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tables/table132.xml" ContentType="application/vnd.openxmlformats-officedocument.spreadsheetml.table+xml"/>
  <Override PartName="/xl/tables/table133.xml" ContentType="application/vnd.openxmlformats-officedocument.spreadsheetml.table+xml"/>
  <Override PartName="/xl/tables/table134.xml" ContentType="application/vnd.openxmlformats-officedocument.spreadsheetml.table+xml"/>
  <Override PartName="/xl/tables/table135.xml" ContentType="application/vnd.openxmlformats-officedocument.spreadsheetml.table+xml"/>
  <Override PartName="/xl/tables/table136.xml" ContentType="application/vnd.openxmlformats-officedocument.spreadsheetml.table+xml"/>
  <Override PartName="/xl/tables/table137.xml" ContentType="application/vnd.openxmlformats-officedocument.spreadsheetml.table+xml"/>
  <Override PartName="/xl/tables/table138.xml" ContentType="application/vnd.openxmlformats-officedocument.spreadsheetml.table+xml"/>
  <Override PartName="/xl/tables/table139.xml" ContentType="application/vnd.openxmlformats-officedocument.spreadsheetml.table+xml"/>
  <Override PartName="/xl/tables/table140.xml" ContentType="application/vnd.openxmlformats-officedocument.spreadsheetml.table+xml"/>
  <Override PartName="/xl/tables/table141.xml" ContentType="application/vnd.openxmlformats-officedocument.spreadsheetml.table+xml"/>
  <Override PartName="/xl/tables/table142.xml" ContentType="application/vnd.openxmlformats-officedocument.spreadsheetml.table+xml"/>
  <Override PartName="/xl/tables/table143.xml" ContentType="application/vnd.openxmlformats-officedocument.spreadsheetml.table+xml"/>
  <Override PartName="/xl/tables/table144.xml" ContentType="application/vnd.openxmlformats-officedocument.spreadsheetml.table+xml"/>
  <Override PartName="/xl/tables/table145.xml" ContentType="application/vnd.openxmlformats-officedocument.spreadsheetml.table+xml"/>
  <Override PartName="/xl/tables/table146.xml" ContentType="application/vnd.openxmlformats-officedocument.spreadsheetml.table+xml"/>
  <Override PartName="/xl/tables/table147.xml" ContentType="application/vnd.openxmlformats-officedocument.spreadsheetml.table+xml"/>
  <Override PartName="/xl/tables/table148.xml" ContentType="application/vnd.openxmlformats-officedocument.spreadsheetml.table+xml"/>
  <Override PartName="/xl/tables/table149.xml" ContentType="application/vnd.openxmlformats-officedocument.spreadsheetml.table+xml"/>
  <Override PartName="/xl/tables/table150.xml" ContentType="application/vnd.openxmlformats-officedocument.spreadsheetml.table+xml"/>
  <Override PartName="/xl/tables/table151.xml" ContentType="application/vnd.openxmlformats-officedocument.spreadsheetml.table+xml"/>
  <Override PartName="/xl/tables/table152.xml" ContentType="application/vnd.openxmlformats-officedocument.spreadsheetml.table+xml"/>
  <Override PartName="/xl/tables/table153.xml" ContentType="application/vnd.openxmlformats-officedocument.spreadsheetml.table+xml"/>
  <Override PartName="/xl/tables/table154.xml" ContentType="application/vnd.openxmlformats-officedocument.spreadsheetml.table+xml"/>
  <Override PartName="/xl/tables/table155.xml" ContentType="application/vnd.openxmlformats-officedocument.spreadsheetml.table+xml"/>
  <Override PartName="/xl/tables/table156.xml" ContentType="application/vnd.openxmlformats-officedocument.spreadsheetml.table+xml"/>
  <Override PartName="/xl/tables/table157.xml" ContentType="application/vnd.openxmlformats-officedocument.spreadsheetml.table+xml"/>
  <Override PartName="/xl/tables/table158.xml" ContentType="application/vnd.openxmlformats-officedocument.spreadsheetml.table+xml"/>
  <Override PartName="/xl/tables/table159.xml" ContentType="application/vnd.openxmlformats-officedocument.spreadsheetml.table+xml"/>
  <Override PartName="/xl/tables/table160.xml" ContentType="application/vnd.openxmlformats-officedocument.spreadsheetml.table+xml"/>
  <Override PartName="/xl/tables/table161.xml" ContentType="application/vnd.openxmlformats-officedocument.spreadsheetml.table+xml"/>
  <Override PartName="/xl/tables/table162.xml" ContentType="application/vnd.openxmlformats-officedocument.spreadsheetml.table+xml"/>
  <Override PartName="/xl/tables/table163.xml" ContentType="application/vnd.openxmlformats-officedocument.spreadsheetml.table+xml"/>
  <Override PartName="/xl/tables/table164.xml" ContentType="application/vnd.openxmlformats-officedocument.spreadsheetml.table+xml"/>
  <Override PartName="/xl/tables/table165.xml" ContentType="application/vnd.openxmlformats-officedocument.spreadsheetml.table+xml"/>
  <Override PartName="/xl/tables/table166.xml" ContentType="application/vnd.openxmlformats-officedocument.spreadsheetml.table+xml"/>
  <Override PartName="/xl/tables/table167.xml" ContentType="application/vnd.openxmlformats-officedocument.spreadsheetml.table+xml"/>
  <Override PartName="/xl/tables/table168.xml" ContentType="application/vnd.openxmlformats-officedocument.spreadsheetml.table+xml"/>
  <Override PartName="/xl/tables/table169.xml" ContentType="application/vnd.openxmlformats-officedocument.spreadsheetml.table+xml"/>
  <Override PartName="/xl/tables/table170.xml" ContentType="application/vnd.openxmlformats-officedocument.spreadsheetml.table+xml"/>
  <Override PartName="/xl/tables/table171.xml" ContentType="application/vnd.openxmlformats-officedocument.spreadsheetml.table+xml"/>
  <Override PartName="/xl/tables/table172.xml" ContentType="application/vnd.openxmlformats-officedocument.spreadsheetml.table+xml"/>
  <Override PartName="/xl/tables/table173.xml" ContentType="application/vnd.openxmlformats-officedocument.spreadsheetml.table+xml"/>
  <Override PartName="/xl/tables/table174.xml" ContentType="application/vnd.openxmlformats-officedocument.spreadsheetml.table+xml"/>
  <Override PartName="/xl/tables/table175.xml" ContentType="application/vnd.openxmlformats-officedocument.spreadsheetml.table+xml"/>
  <Override PartName="/xl/tables/table176.xml" ContentType="application/vnd.openxmlformats-officedocument.spreadsheetml.table+xml"/>
  <Override PartName="/xl/tables/table177.xml" ContentType="application/vnd.openxmlformats-officedocument.spreadsheetml.table+xml"/>
  <Override PartName="/xl/tables/table178.xml" ContentType="application/vnd.openxmlformats-officedocument.spreadsheetml.table+xml"/>
  <Override PartName="/xl/tables/table179.xml" ContentType="application/vnd.openxmlformats-officedocument.spreadsheetml.table+xml"/>
  <Override PartName="/xl/tables/table180.xml" ContentType="application/vnd.openxmlformats-officedocument.spreadsheetml.table+xml"/>
  <Override PartName="/xl/tables/table181.xml" ContentType="application/vnd.openxmlformats-officedocument.spreadsheetml.table+xml"/>
  <Override PartName="/xl/tables/table182.xml" ContentType="application/vnd.openxmlformats-officedocument.spreadsheetml.table+xml"/>
  <Override PartName="/xl/tables/table183.xml" ContentType="application/vnd.openxmlformats-officedocument.spreadsheetml.table+xml"/>
  <Override PartName="/xl/tables/table184.xml" ContentType="application/vnd.openxmlformats-officedocument.spreadsheetml.table+xml"/>
  <Override PartName="/xl/tables/table185.xml" ContentType="application/vnd.openxmlformats-officedocument.spreadsheetml.table+xml"/>
  <Override PartName="/xl/tables/table186.xml" ContentType="application/vnd.openxmlformats-officedocument.spreadsheetml.table+xml"/>
  <Override PartName="/xl/tables/table18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defaultThemeVersion="124226"/>
  <bookViews>
    <workbookView xWindow="0" yWindow="0" windowWidth="24120" windowHeight="11400" tabRatio="857"/>
  </bookViews>
  <sheets>
    <sheet name="Composition et mode d'emplois" sheetId="32" r:id="rId1"/>
    <sheet name="Planning" sheetId="28" r:id="rId2"/>
    <sheet name="À Faire - Récapitulatif" sheetId="16" r:id="rId3"/>
    <sheet name="À Faire - Détails" sheetId="9" r:id="rId4"/>
    <sheet name="Production" sheetId="18" state="hidden" r:id="rId5"/>
    <sheet name="Rentabilité" sheetId="29" state="hidden" r:id="rId6"/>
    <sheet name="Combats - Loots" sheetId="19" state="hidden" r:id="rId7"/>
    <sheet name="Formation de Troupes" sheetId="22" state="hidden" r:id="rId8"/>
    <sheet name="Bâtiments" sheetId="3" state="hidden" r:id="rId9"/>
    <sheet name="Améliorations - Sorts &amp; Troupes" sheetId="12" state="hidden" r:id="rId10"/>
    <sheet name="Héros" sheetId="10" state="hidden" r:id="rId11"/>
    <sheet name="Coûts des Améliorations" sheetId="8" state="hidden" r:id="rId12"/>
    <sheet name="Gains et Stockage" sheetId="17" state="hidden" r:id="rId13"/>
    <sheet name="Trophées" sheetId="20" state="hidden" r:id="rId14"/>
    <sheet name="Coûts de Formation" sheetId="21" state="hidden" r:id="rId15"/>
    <sheet name="Calendrier" sheetId="27" state="hidden" r:id="rId16"/>
    <sheet name="Traduction" sheetId="23" state="hidden" r:id="rId17"/>
    <sheet name="Paramètres - Admin" sheetId="24" state="hidden" r:id="rId18"/>
    <sheet name="Paramètres" sheetId="2" r:id="rId19"/>
    <sheet name="Valeur du Village" sheetId="31" r:id="rId20"/>
    <sheet name="Journal des Modifications" sheetId="14" r:id="rId21"/>
  </sheets>
  <definedNames>
    <definedName name="_xlnm._FilterDatabase" localSheetId="1" hidden="1">Planning!$A$7:$H$74</definedName>
    <definedName name="Actual">(PeriodInActual*(Planning!$F1&gt;0))*PeriodInPlan</definedName>
    <definedName name="ActualBeyond">PeriodInActual*(Planning!$F1&gt;0)</definedName>
    <definedName name="Attack_Defense">'Paramètres - Admin'!$F$2:$F$3</definedName>
    <definedName name="Calendar">Calendrier!$A$2:$A$1000</definedName>
    <definedName name="Langue">Paramètres!$BL$1</definedName>
    <definedName name="Pas">'Paramètres - Admin'!$G$2:$G$5</definedName>
    <definedName name="PercentComplete">PercentCompleteBeyond*PeriodInPlan</definedName>
    <definedName name="PercentCompleteBeyond">(Planning!A$7=MEDIAN(Planning!A$7,Planning!$F1,Planning!$F1+Planning!$G1)*(Planning!$F1&gt;0))*((Planning!A$7&lt;(INT(Planning!$F1+Planning!$G1*Planning!$H1)))+(Planning!A$7=Planning!$F1))*(Planning!$H1&gt;0)</definedName>
    <definedName name="Period">'Paramètres - Admin'!$E$2:$E$12</definedName>
    <definedName name="period_selected">Planning!$E$2</definedName>
    <definedName name="PeriodInActual">Planning!A$7=MEDIAN(Planning!A$7,Planning!$F1,Planning!$F1+Planning!$G1-1)</definedName>
    <definedName name="PeriodInPlan">Planning!A$7=MEDIAN(Planning!A$7,Planning!$E1,Planning!$E1+Planning!$D1-1)</definedName>
    <definedName name="Plan">PeriodInPlan*(Planning!$E1&gt;0)</definedName>
    <definedName name="TimeDisplay">'Paramètres - Admin'!$B$2:$B$7</definedName>
    <definedName name="TimeDisplay2">'Paramètres - Admin'!$C$2:$C$5</definedName>
    <definedName name="_xlnm.Print_Area" localSheetId="2">'À Faire - Récapitulatif'!$A$1:$X$42</definedName>
  </definedNames>
  <calcPr calcId="145621"/>
</workbook>
</file>

<file path=xl/calcChain.xml><?xml version="1.0" encoding="utf-8"?>
<calcChain xmlns="http://schemas.openxmlformats.org/spreadsheetml/2006/main">
  <c r="C3" i="14" l="1"/>
  <c r="AF6" i="2" l="1"/>
  <c r="AF7" i="2"/>
  <c r="AF8" i="2"/>
  <c r="AF9" i="2"/>
  <c r="AF10" i="2"/>
  <c r="AF11" i="2"/>
  <c r="AF12" i="2"/>
  <c r="AF13" i="2"/>
  <c r="AF14" i="2"/>
  <c r="AF15" i="2"/>
  <c r="AF16" i="2"/>
  <c r="C4" i="14"/>
  <c r="C5" i="14"/>
  <c r="D70" i="28"/>
  <c r="C70" i="28"/>
  <c r="G70" i="28"/>
  <c r="BE47" i="2"/>
  <c r="T230" i="9"/>
  <c r="T244" i="9"/>
  <c r="T245" i="9"/>
  <c r="T243" i="9"/>
  <c r="K244" i="9"/>
  <c r="B245" i="9"/>
  <c r="K205" i="9"/>
  <c r="B93" i="9"/>
  <c r="K70" i="9"/>
  <c r="K75" i="9"/>
  <c r="B85" i="9"/>
  <c r="T82" i="9"/>
  <c r="T103" i="9"/>
  <c r="K48" i="9"/>
  <c r="BE3" i="2"/>
  <c r="BE46" i="2"/>
  <c r="C6" i="14"/>
  <c r="T101" i="9"/>
  <c r="T102" i="9"/>
  <c r="T100" i="9"/>
  <c r="AG47" i="2"/>
  <c r="BH47" i="2"/>
  <c r="BG47" i="2"/>
  <c r="BF47" i="2"/>
  <c r="BD47" i="2"/>
  <c r="BC47" i="2"/>
  <c r="BB47" i="2"/>
  <c r="BA47" i="2"/>
  <c r="AZ47" i="2"/>
  <c r="AY47" i="2"/>
  <c r="AX47" i="2"/>
  <c r="AW47" i="2"/>
  <c r="AV47" i="2"/>
  <c r="AU47" i="2"/>
  <c r="AT47" i="2"/>
  <c r="AS47" i="2"/>
  <c r="AR47" i="2"/>
  <c r="AQ47" i="2"/>
  <c r="AP47" i="2"/>
  <c r="AO47" i="2"/>
  <c r="AN47" i="2"/>
  <c r="AM47" i="2"/>
  <c r="AL47" i="2"/>
  <c r="AK47" i="2"/>
  <c r="AJ47" i="2"/>
  <c r="AI47" i="2"/>
  <c r="AH47" i="2"/>
  <c r="Z5" i="2"/>
  <c r="B5" i="2"/>
  <c r="C7" i="14"/>
  <c r="C8" i="14"/>
  <c r="BE4" i="2" l="1"/>
  <c r="C11" i="28"/>
  <c r="C25" i="28"/>
  <c r="I45" i="8" l="1"/>
  <c r="I48" i="8"/>
  <c r="C9" i="14"/>
  <c r="D40" i="28"/>
  <c r="C40" i="28"/>
  <c r="D39" i="28"/>
  <c r="C39" i="28"/>
  <c r="D38" i="28"/>
  <c r="C38" i="28"/>
  <c r="D37" i="28"/>
  <c r="C37" i="28"/>
  <c r="D36" i="28"/>
  <c r="C36" i="28"/>
  <c r="D35" i="28"/>
  <c r="C35" i="28"/>
  <c r="D11" i="28"/>
  <c r="G11" i="28" s="1"/>
  <c r="D25" i="28"/>
  <c r="G25" i="28" s="1"/>
  <c r="AF5" i="2"/>
  <c r="AF3" i="2"/>
  <c r="G36" i="28" l="1"/>
  <c r="G38" i="28"/>
  <c r="G40" i="28"/>
  <c r="G35" i="28"/>
  <c r="G37" i="28"/>
  <c r="G39" i="28"/>
  <c r="AF85" i="2"/>
  <c r="AF46" i="2" l="1"/>
  <c r="AF4" i="2" s="1"/>
  <c r="AF49" i="2" s="1"/>
  <c r="AF61" i="2"/>
  <c r="AF69" i="2"/>
  <c r="AF73" i="2"/>
  <c r="AF77" i="2"/>
  <c r="AF81" i="2"/>
  <c r="AF62" i="2"/>
  <c r="AF66" i="2"/>
  <c r="AF70" i="2"/>
  <c r="AF74" i="2"/>
  <c r="AF78" i="2"/>
  <c r="AF82" i="2"/>
  <c r="AF86" i="2"/>
  <c r="AF63" i="2"/>
  <c r="AF67" i="2"/>
  <c r="AF71" i="2"/>
  <c r="AF75" i="2"/>
  <c r="AF79" i="2"/>
  <c r="AF83" i="2"/>
  <c r="AF87" i="2"/>
  <c r="AF60" i="2"/>
  <c r="AF64" i="2"/>
  <c r="AF68" i="2"/>
  <c r="AF72" i="2"/>
  <c r="AF76" i="2"/>
  <c r="AF80" i="2"/>
  <c r="AF84" i="2"/>
  <c r="AF88" i="2"/>
  <c r="AF65" i="2"/>
  <c r="AF50" i="2" l="1"/>
  <c r="AF51" i="2" s="1"/>
  <c r="AF52" i="2" s="1"/>
  <c r="AF53" i="2" s="1"/>
  <c r="AF54" i="2" s="1"/>
  <c r="AF55" i="2" s="1"/>
  <c r="AF56" i="2" s="1"/>
  <c r="AF57" i="2" s="1"/>
  <c r="AF58" i="2" s="1"/>
  <c r="AF59" i="2" s="1"/>
  <c r="AF89" i="2" l="1"/>
  <c r="C10" i="14" l="1"/>
  <c r="K95" i="9" l="1"/>
  <c r="B149" i="9"/>
  <c r="D33" i="28"/>
  <c r="G33" i="28" s="1"/>
  <c r="C33" i="28"/>
  <c r="D74" i="28"/>
  <c r="C74" i="28"/>
  <c r="T109" i="9"/>
  <c r="T108" i="9"/>
  <c r="T253" i="9"/>
  <c r="K257"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K254" i="9"/>
  <c r="K255" i="9"/>
  <c r="K256" i="9"/>
  <c r="K258" i="9"/>
  <c r="K259" i="9"/>
  <c r="K260" i="9"/>
  <c r="K261" i="9"/>
  <c r="K262" i="9"/>
  <c r="K263" i="9"/>
  <c r="K264" i="9"/>
  <c r="K265" i="9"/>
  <c r="K266" i="9"/>
  <c r="K267" i="9"/>
  <c r="K268" i="9"/>
  <c r="K269" i="9"/>
  <c r="K270" i="9"/>
  <c r="K271" i="9"/>
  <c r="K272" i="9"/>
  <c r="K273" i="9"/>
  <c r="K274" i="9"/>
  <c r="K275" i="9"/>
  <c r="K276" i="9"/>
  <c r="K277" i="9"/>
  <c r="K278" i="9"/>
  <c r="K279" i="9"/>
  <c r="K280" i="9"/>
  <c r="K281" i="9"/>
  <c r="K282" i="9"/>
  <c r="K283" i="9"/>
  <c r="K284" i="9"/>
  <c r="K285" i="9"/>
  <c r="K286" i="9"/>
  <c r="K287" i="9"/>
  <c r="K288" i="9"/>
  <c r="K289" i="9"/>
  <c r="K290" i="9"/>
  <c r="K291" i="9"/>
  <c r="K292" i="9"/>
  <c r="K253" i="9"/>
  <c r="T50" i="9"/>
  <c r="B34" i="9"/>
  <c r="K34" i="9"/>
  <c r="B235" i="9"/>
  <c r="T231" i="9"/>
  <c r="K200" i="9"/>
  <c r="K201" i="9"/>
  <c r="K202" i="9"/>
  <c r="K203" i="9"/>
  <c r="K204" i="9"/>
  <c r="K199" i="9"/>
  <c r="B202" i="9"/>
  <c r="B203" i="9"/>
  <c r="B204" i="9"/>
  <c r="B205" i="9"/>
  <c r="B206" i="9"/>
  <c r="B207" i="9"/>
  <c r="B201" i="9"/>
  <c r="AN3" i="2"/>
  <c r="AK3" i="2"/>
  <c r="AJ3" i="2"/>
  <c r="AK46" i="2"/>
  <c r="C11" i="14"/>
  <c r="K3" i="20"/>
  <c r="K4" i="20"/>
  <c r="K5" i="20"/>
  <c r="K6" i="20"/>
  <c r="K7" i="20"/>
  <c r="K8" i="20"/>
  <c r="K9" i="20"/>
  <c r="K10" i="20"/>
  <c r="K11" i="20"/>
  <c r="K12" i="20"/>
  <c r="K13" i="20"/>
  <c r="R4" i="17"/>
  <c r="R5" i="17"/>
  <c r="R6" i="17"/>
  <c r="R7" i="17"/>
  <c r="R8" i="17"/>
  <c r="R9" i="17"/>
  <c r="R10" i="17"/>
  <c r="R11" i="17"/>
  <c r="R12" i="17"/>
  <c r="R13" i="17"/>
  <c r="R14" i="17"/>
  <c r="X46" i="2"/>
  <c r="W46" i="2"/>
  <c r="W5" i="2"/>
  <c r="W88" i="2" s="1"/>
  <c r="W3" i="2"/>
  <c r="W4" i="2" s="1"/>
  <c r="N3" i="10"/>
  <c r="O3" i="10"/>
  <c r="N4" i="10"/>
  <c r="O4" i="10"/>
  <c r="N5" i="10"/>
  <c r="O5" i="10"/>
  <c r="N6" i="10"/>
  <c r="O6" i="10"/>
  <c r="N7" i="10"/>
  <c r="O7" i="10"/>
  <c r="N8" i="10"/>
  <c r="O8" i="10"/>
  <c r="N9" i="10"/>
  <c r="O9" i="10"/>
  <c r="N10" i="10"/>
  <c r="O10" i="10"/>
  <c r="N11" i="10"/>
  <c r="O11" i="10"/>
  <c r="N12" i="10"/>
  <c r="O12" i="10"/>
  <c r="N13" i="10"/>
  <c r="O13" i="10"/>
  <c r="N14" i="10"/>
  <c r="O14" i="10"/>
  <c r="J14" i="10"/>
  <c r="K14" i="10"/>
  <c r="L14" i="10"/>
  <c r="M14" i="10"/>
  <c r="BG46" i="2"/>
  <c r="BG5" i="2"/>
  <c r="BG3" i="2"/>
  <c r="BH46" i="2"/>
  <c r="H74" i="3"/>
  <c r="I74" i="3"/>
  <c r="J74" i="3"/>
  <c r="K74" i="3"/>
  <c r="P59" i="3"/>
  <c r="Q59" i="3"/>
  <c r="R59" i="3"/>
  <c r="S59" i="3"/>
  <c r="T59" i="3"/>
  <c r="U59" i="3"/>
  <c r="V59" i="3"/>
  <c r="W59" i="3"/>
  <c r="X59" i="3"/>
  <c r="Y59" i="3"/>
  <c r="Z59" i="3"/>
  <c r="AA59" i="3"/>
  <c r="AV35" i="3"/>
  <c r="AW35" i="3"/>
  <c r="AV36" i="3"/>
  <c r="AW36" i="3"/>
  <c r="AV37" i="3"/>
  <c r="AW37" i="3"/>
  <c r="AV38" i="3"/>
  <c r="AW38" i="3"/>
  <c r="AV39" i="3"/>
  <c r="AW39" i="3"/>
  <c r="AV40" i="3"/>
  <c r="AW40" i="3"/>
  <c r="AV41" i="3"/>
  <c r="AW41" i="3"/>
  <c r="AV42" i="3"/>
  <c r="AW42" i="3"/>
  <c r="AV43" i="3"/>
  <c r="AW43" i="3"/>
  <c r="AV44" i="3"/>
  <c r="AW44" i="3"/>
  <c r="AU34" i="3"/>
  <c r="AV34" i="3"/>
  <c r="AW34" i="3"/>
  <c r="AV33" i="3"/>
  <c r="AW33" i="3"/>
  <c r="AB44" i="3"/>
  <c r="AC44" i="3"/>
  <c r="AD44" i="3"/>
  <c r="AE44" i="3"/>
  <c r="AF44" i="3"/>
  <c r="AG44" i="3"/>
  <c r="AH44" i="3"/>
  <c r="AI44" i="3"/>
  <c r="AJ44" i="3"/>
  <c r="AK44" i="3"/>
  <c r="AL44" i="3"/>
  <c r="AM44" i="3"/>
  <c r="AN44" i="3"/>
  <c r="AO44" i="3"/>
  <c r="AP44" i="3"/>
  <c r="AQ44" i="3"/>
  <c r="AR44" i="3"/>
  <c r="AS44" i="3"/>
  <c r="AT44" i="3"/>
  <c r="AU44" i="3"/>
  <c r="P29" i="3"/>
  <c r="Q29" i="3"/>
  <c r="R29" i="3"/>
  <c r="S29" i="3"/>
  <c r="T29" i="3"/>
  <c r="U29" i="3"/>
  <c r="V29" i="3"/>
  <c r="W29" i="3"/>
  <c r="X29" i="3"/>
  <c r="Y29" i="3"/>
  <c r="Z29" i="3"/>
  <c r="AA29" i="3"/>
  <c r="P14" i="3"/>
  <c r="Q14" i="3"/>
  <c r="R14" i="3"/>
  <c r="S14" i="3"/>
  <c r="T14" i="3"/>
  <c r="U14" i="3"/>
  <c r="V14" i="3"/>
  <c r="W14" i="3"/>
  <c r="X14" i="3"/>
  <c r="Y14" i="3"/>
  <c r="Z14" i="3"/>
  <c r="AA14" i="3"/>
  <c r="BG4" i="2" l="1"/>
  <c r="BG49" i="2" s="1"/>
  <c r="BG50" i="2" s="1"/>
  <c r="BG51" i="2" s="1"/>
  <c r="BG52" i="2" s="1"/>
  <c r="BG53" i="2" s="1"/>
  <c r="BG54" i="2" s="1"/>
  <c r="BG55" i="2" s="1"/>
  <c r="BG56" i="2" s="1"/>
  <c r="BG57" i="2" s="1"/>
  <c r="BG58" i="2" s="1"/>
  <c r="BG59" i="2" s="1"/>
  <c r="BG60" i="2" s="1"/>
  <c r="BG61" i="2" s="1"/>
  <c r="BG62" i="2" s="1"/>
  <c r="BG63" i="2" s="1"/>
  <c r="BG64" i="2" s="1"/>
  <c r="BG65" i="2" s="1"/>
  <c r="BG66" i="2" s="1"/>
  <c r="BG67" i="2" s="1"/>
  <c r="BG68" i="2" s="1"/>
  <c r="BG69" i="2" s="1"/>
  <c r="BG70" i="2" s="1"/>
  <c r="BG71" i="2" s="1"/>
  <c r="BG72" i="2" s="1"/>
  <c r="BG73" i="2" s="1"/>
  <c r="BG74" i="2" s="1"/>
  <c r="BG75" i="2" s="1"/>
  <c r="BG76" i="2" s="1"/>
  <c r="BG77" i="2" s="1"/>
  <c r="BG78" i="2" s="1"/>
  <c r="BG79" i="2" s="1"/>
  <c r="BG80" i="2" s="1"/>
  <c r="BG81" i="2" s="1"/>
  <c r="BG82" i="2" s="1"/>
  <c r="BG83" i="2" s="1"/>
  <c r="BG84" i="2" s="1"/>
  <c r="BG85" i="2" s="1"/>
  <c r="BG86" i="2" s="1"/>
  <c r="BG87" i="2" s="1"/>
  <c r="BG88" i="2" s="1"/>
  <c r="G74" i="28"/>
  <c r="W49" i="2"/>
  <c r="W50" i="2" s="1"/>
  <c r="W51" i="2" s="1"/>
  <c r="W52" i="2" s="1"/>
  <c r="W53" i="2"/>
  <c r="W55" i="2"/>
  <c r="W57" i="2"/>
  <c r="W59" i="2"/>
  <c r="W61" i="2"/>
  <c r="W63" i="2"/>
  <c r="W65" i="2"/>
  <c r="W67" i="2"/>
  <c r="W69" i="2"/>
  <c r="W71" i="2"/>
  <c r="W73" i="2"/>
  <c r="W75" i="2"/>
  <c r="W77" i="2"/>
  <c r="W79" i="2"/>
  <c r="W81" i="2"/>
  <c r="W83" i="2"/>
  <c r="W85" i="2"/>
  <c r="W87" i="2"/>
  <c r="W54" i="2"/>
  <c r="W56" i="2"/>
  <c r="W58" i="2"/>
  <c r="W60" i="2"/>
  <c r="W62" i="2"/>
  <c r="W64" i="2"/>
  <c r="W66" i="2"/>
  <c r="W68" i="2"/>
  <c r="W70" i="2"/>
  <c r="W72" i="2"/>
  <c r="W74" i="2"/>
  <c r="W76" i="2"/>
  <c r="W78" i="2"/>
  <c r="W80" i="2"/>
  <c r="W82" i="2"/>
  <c r="W84" i="2"/>
  <c r="W86" i="2"/>
  <c r="C12" i="14"/>
  <c r="H47" i="2" a="1"/>
  <c r="H47" i="2" s="1"/>
  <c r="W89" i="2" l="1"/>
  <c r="BG89" i="2"/>
  <c r="O2" i="22"/>
  <c r="K5" i="22"/>
  <c r="C13" i="14"/>
  <c r="AL51" i="31"/>
  <c r="AL52" i="31"/>
  <c r="AL53" i="31"/>
  <c r="C14" i="14"/>
  <c r="V112" i="31"/>
  <c r="X112" i="31" s="1"/>
  <c r="V113" i="31"/>
  <c r="X113" i="31" s="1"/>
  <c r="V114" i="31"/>
  <c r="X114" i="31" s="1"/>
  <c r="V115" i="31"/>
  <c r="X115" i="31" s="1"/>
  <c r="R112" i="31"/>
  <c r="T112" i="31" s="1"/>
  <c r="R113" i="31"/>
  <c r="T113" i="31" s="1"/>
  <c r="R114" i="31"/>
  <c r="T114" i="31" s="1"/>
  <c r="R115" i="31"/>
  <c r="T115" i="31" s="1"/>
  <c r="N112" i="31"/>
  <c r="P112" i="31" s="1"/>
  <c r="N113" i="31"/>
  <c r="P113" i="31" s="1"/>
  <c r="N114" i="31"/>
  <c r="P114" i="31" s="1"/>
  <c r="N115" i="31"/>
  <c r="P115" i="31" s="1"/>
  <c r="G81" i="31"/>
  <c r="G82" i="31" s="1"/>
  <c r="G83" i="31" s="1"/>
  <c r="G84" i="31" s="1"/>
  <c r="G85" i="31" s="1"/>
  <c r="G86" i="31" s="1"/>
  <c r="G87" i="31" s="1"/>
  <c r="G88" i="31" s="1"/>
  <c r="G89" i="31" s="1"/>
  <c r="G90" i="31" s="1"/>
  <c r="G91" i="31" s="1"/>
  <c r="G92" i="31" s="1"/>
  <c r="G93" i="31" s="1"/>
  <c r="G94" i="31" s="1"/>
  <c r="G95" i="31" s="1"/>
  <c r="G96" i="31" s="1"/>
  <c r="G97" i="31" s="1"/>
  <c r="G98" i="31" s="1"/>
  <c r="G99" i="31" s="1"/>
  <c r="G100" i="31" s="1"/>
  <c r="G101" i="31" s="1"/>
  <c r="G102" i="31" s="1"/>
  <c r="G103" i="31" s="1"/>
  <c r="G104" i="31" s="1"/>
  <c r="G105" i="31" s="1"/>
  <c r="G106" i="31" s="1"/>
  <c r="G107" i="31" s="1"/>
  <c r="G108" i="31" s="1"/>
  <c r="G109" i="31" s="1"/>
  <c r="G110" i="31" s="1"/>
  <c r="G111" i="31" s="1"/>
  <c r="G112" i="31" s="1"/>
  <c r="G113" i="31" s="1"/>
  <c r="G114" i="31" s="1"/>
  <c r="G115" i="31" s="1"/>
  <c r="G116" i="31" s="1"/>
  <c r="G117" i="31" s="1"/>
  <c r="G118" i="31" s="1"/>
  <c r="G119" i="31" s="1"/>
  <c r="C81" i="31"/>
  <c r="C82" i="31" s="1"/>
  <c r="C83" i="31" s="1"/>
  <c r="C84" i="31" s="1"/>
  <c r="C85" i="31" s="1"/>
  <c r="C86" i="31" s="1"/>
  <c r="C87" i="31" s="1"/>
  <c r="C88" i="31" s="1"/>
  <c r="C89" i="31" s="1"/>
  <c r="C90" i="31" s="1"/>
  <c r="C91" i="31" s="1"/>
  <c r="C92" i="31" s="1"/>
  <c r="C93" i="31" s="1"/>
  <c r="C94" i="31" s="1"/>
  <c r="C95" i="31" s="1"/>
  <c r="C96" i="31" s="1"/>
  <c r="C97" i="31" s="1"/>
  <c r="C98" i="31" s="1"/>
  <c r="C99" i="31" s="1"/>
  <c r="C100" i="31" s="1"/>
  <c r="C101" i="31" s="1"/>
  <c r="C102" i="31" s="1"/>
  <c r="C103" i="31" s="1"/>
  <c r="C104" i="31" s="1"/>
  <c r="C105" i="31" s="1"/>
  <c r="C106" i="31" s="1"/>
  <c r="C107" i="31" s="1"/>
  <c r="C108" i="31" s="1"/>
  <c r="C109" i="31" s="1"/>
  <c r="C110" i="31" s="1"/>
  <c r="C111" i="31" s="1"/>
  <c r="C112" i="31" s="1"/>
  <c r="C113" i="31" s="1"/>
  <c r="C114" i="31" s="1"/>
  <c r="C115" i="31" s="1"/>
  <c r="C116" i="31" s="1"/>
  <c r="C117" i="31" s="1"/>
  <c r="C118" i="31" s="1"/>
  <c r="C119" i="31" s="1"/>
  <c r="C15" i="14"/>
  <c r="B162" i="9"/>
  <c r="B22" i="31"/>
  <c r="D22" i="31" s="1"/>
  <c r="AH97" i="31"/>
  <c r="AJ97" i="31" s="1"/>
  <c r="AH98" i="31"/>
  <c r="AJ98" i="31" s="1"/>
  <c r="AH99" i="31"/>
  <c r="AJ99" i="31" s="1"/>
  <c r="AH32" i="31"/>
  <c r="AJ32" i="31" s="1"/>
  <c r="D4" i="20"/>
  <c r="D5" i="20"/>
  <c r="D6" i="20"/>
  <c r="D7" i="20"/>
  <c r="D8" i="20"/>
  <c r="D9" i="20"/>
  <c r="D10" i="20"/>
  <c r="D11" i="20"/>
  <c r="D12" i="20"/>
  <c r="D13" i="20"/>
  <c r="D14" i="20"/>
  <c r="D15" i="20"/>
  <c r="D16" i="20"/>
  <c r="D17" i="20"/>
  <c r="D18" i="20"/>
  <c r="D19" i="20"/>
  <c r="D20" i="20"/>
  <c r="D21" i="20"/>
  <c r="D22" i="20"/>
  <c r="D23" i="20"/>
  <c r="D24" i="20"/>
  <c r="D25" i="20"/>
  <c r="A23" i="20"/>
  <c r="A24" i="20"/>
  <c r="A25" i="20"/>
  <c r="D3" i="20"/>
  <c r="I3" i="31" l="1"/>
  <c r="T201" i="9"/>
  <c r="T200" i="9"/>
  <c r="T210" i="9"/>
  <c r="T209" i="9"/>
  <c r="T208" i="9"/>
  <c r="T207" i="9"/>
  <c r="T206" i="9"/>
  <c r="C16" i="14" l="1"/>
  <c r="C29" i="29" l="1"/>
  <c r="E29" i="29" s="1"/>
  <c r="C28" i="29"/>
  <c r="D28" i="29" s="1"/>
  <c r="C27" i="29"/>
  <c r="E27" i="29" s="1"/>
  <c r="B19" i="29"/>
  <c r="D2" i="22"/>
  <c r="F2" i="22"/>
  <c r="C12" i="22"/>
  <c r="E12" i="22" s="1"/>
  <c r="C11" i="22"/>
  <c r="E11" i="22" s="1"/>
  <c r="C10" i="22"/>
  <c r="E10" i="22" s="1"/>
  <c r="G25" i="22"/>
  <c r="AG3" i="21"/>
  <c r="AC3" i="21"/>
  <c r="Y3" i="21"/>
  <c r="D52" i="28"/>
  <c r="G52" i="28" s="1"/>
  <c r="C52" i="28"/>
  <c r="D51" i="28"/>
  <c r="G51" i="28" s="1"/>
  <c r="C51" i="28"/>
  <c r="D50" i="28"/>
  <c r="G50" i="28" s="1"/>
  <c r="C50" i="28"/>
  <c r="D21" i="28"/>
  <c r="G21" i="28" s="1"/>
  <c r="C21" i="28"/>
  <c r="K219" i="9"/>
  <c r="K218" i="9"/>
  <c r="K220" i="9"/>
  <c r="K221" i="9"/>
  <c r="T218" i="9"/>
  <c r="T219" i="9"/>
  <c r="T220" i="9"/>
  <c r="T221" i="9"/>
  <c r="B218" i="9"/>
  <c r="B219" i="9"/>
  <c r="B220" i="9"/>
  <c r="B221" i="9"/>
  <c r="K57" i="9"/>
  <c r="K58" i="9"/>
  <c r="K56" i="9"/>
  <c r="AM3" i="2"/>
  <c r="M47" i="2" a="1"/>
  <c r="M47" i="2" s="1"/>
  <c r="L47" i="2" a="1"/>
  <c r="L47" i="2" s="1"/>
  <c r="AL3" i="2"/>
  <c r="AL46" i="2"/>
  <c r="AM46" i="2"/>
  <c r="AN46" i="2"/>
  <c r="M5" i="2"/>
  <c r="M52" i="2" s="1"/>
  <c r="M46" i="2"/>
  <c r="M3" i="2"/>
  <c r="Z18" i="3"/>
  <c r="AA18" i="3"/>
  <c r="Z20" i="3"/>
  <c r="AA20" i="3"/>
  <c r="Z21" i="3"/>
  <c r="AA21" i="3"/>
  <c r="Z22" i="3"/>
  <c r="AA22" i="3"/>
  <c r="Z23" i="3"/>
  <c r="AA23" i="3"/>
  <c r="Z24" i="3"/>
  <c r="AA24" i="3"/>
  <c r="Z25" i="3"/>
  <c r="AA25" i="3"/>
  <c r="Z26" i="3"/>
  <c r="AA26" i="3"/>
  <c r="Z27" i="3"/>
  <c r="AA27" i="3"/>
  <c r="Z28" i="3"/>
  <c r="AA28" i="3"/>
  <c r="Z19" i="3"/>
  <c r="AA19" i="3"/>
  <c r="A22" i="20"/>
  <c r="A21" i="20"/>
  <c r="C17" i="14"/>
  <c r="F80" i="31"/>
  <c r="H80" i="31" s="1"/>
  <c r="F81" i="31"/>
  <c r="F82" i="31"/>
  <c r="F83" i="31"/>
  <c r="F84" i="31"/>
  <c r="F85" i="31"/>
  <c r="F86" i="31"/>
  <c r="F87" i="31"/>
  <c r="F88" i="31"/>
  <c r="F89" i="31"/>
  <c r="F90" i="31"/>
  <c r="F91" i="31"/>
  <c r="F92" i="31"/>
  <c r="F93" i="31"/>
  <c r="F94" i="31"/>
  <c r="F95" i="31"/>
  <c r="F96" i="31"/>
  <c r="F97" i="31"/>
  <c r="F98" i="31"/>
  <c r="F99" i="31"/>
  <c r="F100" i="31"/>
  <c r="F101" i="31"/>
  <c r="F102" i="31"/>
  <c r="F103" i="31"/>
  <c r="F104" i="31"/>
  <c r="F105" i="31"/>
  <c r="F106" i="31"/>
  <c r="F107" i="31"/>
  <c r="F108" i="31"/>
  <c r="F109" i="31"/>
  <c r="F110" i="31"/>
  <c r="F111" i="31"/>
  <c r="F112" i="31"/>
  <c r="F113" i="31"/>
  <c r="F114" i="31"/>
  <c r="F115" i="31"/>
  <c r="F116" i="31"/>
  <c r="F117" i="31"/>
  <c r="F118" i="31"/>
  <c r="F119" i="31"/>
  <c r="V69" i="31"/>
  <c r="X69" i="31" s="1"/>
  <c r="V70" i="31"/>
  <c r="X70" i="31" s="1"/>
  <c r="V71" i="31"/>
  <c r="X71" i="31" s="1"/>
  <c r="R69" i="31"/>
  <c r="T69" i="31" s="1"/>
  <c r="R70" i="31"/>
  <c r="T70" i="31" s="1"/>
  <c r="R71" i="31"/>
  <c r="T71" i="31" s="1"/>
  <c r="N69" i="31"/>
  <c r="P69" i="31" s="1"/>
  <c r="N70" i="31"/>
  <c r="P70" i="31" s="1"/>
  <c r="N71" i="31"/>
  <c r="P71" i="31" s="1"/>
  <c r="N72" i="31"/>
  <c r="P72" i="31" s="1"/>
  <c r="J69" i="31"/>
  <c r="L69" i="31" s="1"/>
  <c r="J70" i="31"/>
  <c r="L70" i="31" s="1"/>
  <c r="J71" i="31"/>
  <c r="L71" i="31" s="1"/>
  <c r="J72" i="31"/>
  <c r="L72" i="31" s="1"/>
  <c r="F69" i="31"/>
  <c r="H69" i="31" s="1"/>
  <c r="B69" i="31"/>
  <c r="D69" i="31" s="1"/>
  <c r="B70" i="31"/>
  <c r="D70" i="31" s="1"/>
  <c r="B71" i="31"/>
  <c r="D71" i="31" s="1"/>
  <c r="B72" i="31"/>
  <c r="D72" i="31" s="1"/>
  <c r="B73" i="31"/>
  <c r="D73" i="31" s="1"/>
  <c r="B74" i="31"/>
  <c r="D74" i="31" s="1"/>
  <c r="AN51" i="31"/>
  <c r="AN52" i="31"/>
  <c r="AN53" i="31"/>
  <c r="AH51" i="31"/>
  <c r="AJ51" i="31" s="1"/>
  <c r="AH52" i="31"/>
  <c r="AJ52" i="31" s="1"/>
  <c r="AH53" i="31"/>
  <c r="AJ53" i="31" s="1"/>
  <c r="AH54" i="31"/>
  <c r="AJ54" i="31" s="1"/>
  <c r="AD51" i="31"/>
  <c r="AF51" i="31" s="1"/>
  <c r="AD52" i="31"/>
  <c r="AF52" i="31" s="1"/>
  <c r="AD53" i="31"/>
  <c r="AF53" i="31" s="1"/>
  <c r="AD54" i="31"/>
  <c r="AF54" i="31" s="1"/>
  <c r="AD55" i="31"/>
  <c r="AF55" i="31" s="1"/>
  <c r="AD56" i="31"/>
  <c r="AF56" i="31" s="1"/>
  <c r="AD57" i="31"/>
  <c r="AF57" i="31" s="1"/>
  <c r="AD58" i="31"/>
  <c r="AF58" i="31" s="1"/>
  <c r="Z51" i="31"/>
  <c r="AB51" i="31" s="1"/>
  <c r="Z52" i="31"/>
  <c r="AB52" i="31" s="1"/>
  <c r="Z53" i="31"/>
  <c r="AB53" i="31" s="1"/>
  <c r="Z54" i="31"/>
  <c r="AB54" i="31" s="1"/>
  <c r="Z55" i="31"/>
  <c r="AB55" i="31" s="1"/>
  <c r="Z56" i="31"/>
  <c r="AB56" i="31" s="1"/>
  <c r="V51" i="31"/>
  <c r="V52" i="31"/>
  <c r="V53" i="31"/>
  <c r="V54" i="31"/>
  <c r="V55" i="31"/>
  <c r="V56" i="31"/>
  <c r="V57" i="31"/>
  <c r="V58" i="31"/>
  <c r="R51" i="31"/>
  <c r="T51" i="31" s="1"/>
  <c r="R52" i="31"/>
  <c r="T52" i="31" s="1"/>
  <c r="R53" i="31"/>
  <c r="T53" i="31" s="1"/>
  <c r="R54" i="31"/>
  <c r="T54" i="31" s="1"/>
  <c r="R55" i="31"/>
  <c r="T55" i="31" s="1"/>
  <c r="R56" i="31"/>
  <c r="T56" i="31" s="1"/>
  <c r="R57" i="31"/>
  <c r="T57" i="31" s="1"/>
  <c r="R58" i="31"/>
  <c r="T58" i="31" s="1"/>
  <c r="N51" i="31"/>
  <c r="P51" i="31" s="1"/>
  <c r="N52" i="31"/>
  <c r="N53" i="31"/>
  <c r="N54" i="31"/>
  <c r="N55" i="31"/>
  <c r="N56" i="31"/>
  <c r="N57" i="31"/>
  <c r="N58" i="31"/>
  <c r="J51" i="31"/>
  <c r="L51" i="31" s="1"/>
  <c r="J52" i="31"/>
  <c r="L52" i="31" s="1"/>
  <c r="J53" i="31"/>
  <c r="L53" i="31" s="1"/>
  <c r="J54" i="31"/>
  <c r="L54" i="31" s="1"/>
  <c r="J55" i="31"/>
  <c r="L55" i="31" s="1"/>
  <c r="J56" i="31"/>
  <c r="L56" i="31" s="1"/>
  <c r="J57" i="31"/>
  <c r="L57" i="31" s="1"/>
  <c r="J58" i="31"/>
  <c r="L58" i="31" s="1"/>
  <c r="J59" i="31"/>
  <c r="L59" i="31" s="1"/>
  <c r="J60" i="31"/>
  <c r="L60" i="31" s="1"/>
  <c r="J61" i="31"/>
  <c r="L61" i="31" s="1"/>
  <c r="J62" i="31"/>
  <c r="L62" i="31" s="1"/>
  <c r="J63" i="31"/>
  <c r="L63" i="31" s="1"/>
  <c r="F51" i="31"/>
  <c r="F52" i="31"/>
  <c r="F53" i="31"/>
  <c r="F54" i="31"/>
  <c r="F55" i="31"/>
  <c r="F56" i="31"/>
  <c r="F57" i="31"/>
  <c r="F58" i="31"/>
  <c r="F59" i="31"/>
  <c r="F60" i="31"/>
  <c r="F61" i="31"/>
  <c r="F62" i="31"/>
  <c r="F63" i="31"/>
  <c r="B51" i="31"/>
  <c r="D51" i="31" s="1"/>
  <c r="B52" i="31"/>
  <c r="D52" i="31" s="1"/>
  <c r="B53" i="31"/>
  <c r="D53" i="31" s="1"/>
  <c r="B54" i="31"/>
  <c r="D54" i="31" s="1"/>
  <c r="B55" i="31"/>
  <c r="D55" i="31" s="1"/>
  <c r="B56" i="31"/>
  <c r="D56" i="31" s="1"/>
  <c r="B57" i="31"/>
  <c r="D57" i="31" s="1"/>
  <c r="B58" i="31"/>
  <c r="D58" i="31" s="1"/>
  <c r="B59" i="31"/>
  <c r="D59" i="31" s="1"/>
  <c r="B60" i="31"/>
  <c r="D60" i="31" s="1"/>
  <c r="B61" i="31"/>
  <c r="D61" i="31" s="1"/>
  <c r="B80" i="31"/>
  <c r="D80" i="31" s="1"/>
  <c r="B81" i="31"/>
  <c r="B82" i="31"/>
  <c r="B83" i="31"/>
  <c r="B84" i="31"/>
  <c r="B85" i="31"/>
  <c r="B86" i="31"/>
  <c r="B87" i="31"/>
  <c r="B88" i="31"/>
  <c r="B89" i="31"/>
  <c r="B90" i="31"/>
  <c r="B91" i="31"/>
  <c r="B92" i="31"/>
  <c r="B93" i="31"/>
  <c r="B94" i="31"/>
  <c r="B95" i="31"/>
  <c r="B96" i="31"/>
  <c r="B97" i="31"/>
  <c r="B98" i="31"/>
  <c r="B99" i="31"/>
  <c r="B100" i="31"/>
  <c r="B101" i="31"/>
  <c r="B102" i="31"/>
  <c r="B103" i="31"/>
  <c r="B104" i="31"/>
  <c r="B105" i="31"/>
  <c r="B106" i="31"/>
  <c r="B107" i="31"/>
  <c r="B108" i="31"/>
  <c r="B109" i="31"/>
  <c r="B110" i="31"/>
  <c r="B111" i="31"/>
  <c r="B112" i="31"/>
  <c r="B113" i="31"/>
  <c r="B114" i="31"/>
  <c r="B115" i="31"/>
  <c r="B116" i="31"/>
  <c r="B117" i="31"/>
  <c r="B118" i="31"/>
  <c r="B119" i="31"/>
  <c r="AD110" i="31"/>
  <c r="AF110" i="31" s="1"/>
  <c r="AD111" i="31"/>
  <c r="AF111" i="31" s="1"/>
  <c r="AD112" i="31"/>
  <c r="AF112" i="31" s="1"/>
  <c r="AD113" i="31"/>
  <c r="AF113" i="31" s="1"/>
  <c r="AD114" i="31"/>
  <c r="AF114" i="31" s="1"/>
  <c r="AD115" i="31"/>
  <c r="AF115" i="31" s="1"/>
  <c r="AD97" i="31"/>
  <c r="AF97" i="31" s="1"/>
  <c r="AD98" i="31"/>
  <c r="AF98" i="31" s="1"/>
  <c r="AD99" i="31"/>
  <c r="AF99" i="31" s="1"/>
  <c r="AD100" i="31"/>
  <c r="AF100" i="31" s="1"/>
  <c r="AD101" i="31"/>
  <c r="AF101" i="31" s="1"/>
  <c r="Z97" i="31"/>
  <c r="AB97" i="31" s="1"/>
  <c r="Z98" i="31"/>
  <c r="AB98" i="31" s="1"/>
  <c r="Z99" i="31"/>
  <c r="AB99" i="31" s="1"/>
  <c r="Z100" i="31"/>
  <c r="AB100" i="31" s="1"/>
  <c r="Z101" i="31"/>
  <c r="AB101" i="31" s="1"/>
  <c r="Z102" i="31"/>
  <c r="AB102" i="31" s="1"/>
  <c r="Z103" i="31"/>
  <c r="AB103" i="31" s="1"/>
  <c r="Z104" i="31"/>
  <c r="AB104" i="31" s="1"/>
  <c r="V97" i="31"/>
  <c r="X97" i="31" s="1"/>
  <c r="V98" i="31"/>
  <c r="X98" i="31" s="1"/>
  <c r="V99" i="31"/>
  <c r="X99" i="31" s="1"/>
  <c r="V100" i="31"/>
  <c r="X100" i="31" s="1"/>
  <c r="V101" i="31"/>
  <c r="X101" i="31" s="1"/>
  <c r="V102" i="31"/>
  <c r="X102" i="31" s="1"/>
  <c r="V103" i="31"/>
  <c r="X103" i="31" s="1"/>
  <c r="V104" i="31"/>
  <c r="X104" i="31" s="1"/>
  <c r="R97" i="31"/>
  <c r="T97" i="31" s="1"/>
  <c r="R98" i="31"/>
  <c r="T98" i="31" s="1"/>
  <c r="R99" i="31"/>
  <c r="T99" i="31" s="1"/>
  <c r="R100" i="31"/>
  <c r="T100" i="31" s="1"/>
  <c r="R101" i="31"/>
  <c r="T101" i="31" s="1"/>
  <c r="R102" i="31"/>
  <c r="T102" i="31" s="1"/>
  <c r="R103" i="31"/>
  <c r="T103" i="31" s="1"/>
  <c r="R104" i="31"/>
  <c r="T104" i="31" s="1"/>
  <c r="R105" i="31"/>
  <c r="T105" i="31" s="1"/>
  <c r="R106" i="31"/>
  <c r="T106" i="31" s="1"/>
  <c r="N97" i="31"/>
  <c r="P97" i="31" s="1"/>
  <c r="N98" i="31"/>
  <c r="P98" i="31" s="1"/>
  <c r="N99" i="31"/>
  <c r="P99" i="31" s="1"/>
  <c r="N100" i="31"/>
  <c r="P100" i="31" s="1"/>
  <c r="N101" i="31"/>
  <c r="P101" i="31" s="1"/>
  <c r="N102" i="31"/>
  <c r="P102" i="31" s="1"/>
  <c r="AH80" i="31"/>
  <c r="AJ80" i="31" s="1"/>
  <c r="AH81" i="31"/>
  <c r="AJ81" i="31" s="1"/>
  <c r="AH82" i="31"/>
  <c r="AJ82" i="31" s="1"/>
  <c r="AH83" i="31"/>
  <c r="AJ83" i="31" s="1"/>
  <c r="AH84" i="31"/>
  <c r="AJ84" i="31" s="1"/>
  <c r="AH85" i="31"/>
  <c r="AJ85" i="31" s="1"/>
  <c r="AH86" i="31"/>
  <c r="AJ86" i="31" s="1"/>
  <c r="AH87" i="31"/>
  <c r="AJ87" i="31" s="1"/>
  <c r="AH88" i="31"/>
  <c r="AJ88" i="31" s="1"/>
  <c r="AH89" i="31"/>
  <c r="AJ89" i="31" s="1"/>
  <c r="AH90" i="31"/>
  <c r="AJ90" i="31" s="1"/>
  <c r="AD81" i="31"/>
  <c r="AF81" i="31" s="1"/>
  <c r="AD82" i="31"/>
  <c r="AF82" i="31" s="1"/>
  <c r="AD83" i="31"/>
  <c r="AF83" i="31" s="1"/>
  <c r="AD84" i="31"/>
  <c r="AF84" i="31" s="1"/>
  <c r="AD85" i="31"/>
  <c r="AF85" i="31" s="1"/>
  <c r="AD86" i="31"/>
  <c r="AF86" i="31" s="1"/>
  <c r="AD87" i="31"/>
  <c r="AF87" i="31" s="1"/>
  <c r="AD88" i="31"/>
  <c r="AF88" i="31" s="1"/>
  <c r="AD89" i="31"/>
  <c r="AF89" i="31" s="1"/>
  <c r="AD90" i="31"/>
  <c r="AF90" i="31" s="1"/>
  <c r="AD91" i="31"/>
  <c r="AF91" i="31" s="1"/>
  <c r="AD80" i="31"/>
  <c r="AF80" i="31" s="1"/>
  <c r="Z81" i="31"/>
  <c r="AB81" i="31" s="1"/>
  <c r="Z82" i="31"/>
  <c r="AB82" i="31" s="1"/>
  <c r="Z83" i="31"/>
  <c r="AB83" i="31" s="1"/>
  <c r="Z84" i="31"/>
  <c r="AB84" i="31" s="1"/>
  <c r="Z85" i="31"/>
  <c r="AB85" i="31" s="1"/>
  <c r="Z80" i="31"/>
  <c r="AB80" i="31" s="1"/>
  <c r="V81" i="31"/>
  <c r="X81" i="31" s="1"/>
  <c r="V82" i="31"/>
  <c r="X82" i="31" s="1"/>
  <c r="V83" i="31"/>
  <c r="X83" i="31" s="1"/>
  <c r="V84" i="31"/>
  <c r="X84" i="31" s="1"/>
  <c r="V85" i="31"/>
  <c r="X85" i="31" s="1"/>
  <c r="V86" i="31"/>
  <c r="X86" i="31" s="1"/>
  <c r="V87" i="31"/>
  <c r="X87" i="31" s="1"/>
  <c r="V88" i="31"/>
  <c r="X88" i="31" s="1"/>
  <c r="V89" i="31"/>
  <c r="X89" i="31" s="1"/>
  <c r="V90" i="31"/>
  <c r="X90" i="31" s="1"/>
  <c r="V80" i="31"/>
  <c r="X80" i="31" s="1"/>
  <c r="R81" i="31"/>
  <c r="T81" i="31" s="1"/>
  <c r="R82" i="31"/>
  <c r="T82" i="31" s="1"/>
  <c r="R83" i="31"/>
  <c r="T83" i="31" s="1"/>
  <c r="R84" i="31"/>
  <c r="T84" i="31" s="1"/>
  <c r="R85" i="31"/>
  <c r="T85" i="31" s="1"/>
  <c r="R80" i="31"/>
  <c r="T80" i="31" s="1"/>
  <c r="N81" i="31"/>
  <c r="P81" i="31" s="1"/>
  <c r="N82" i="31"/>
  <c r="P82" i="31" s="1"/>
  <c r="N83" i="31"/>
  <c r="P83" i="31" s="1"/>
  <c r="N84" i="31"/>
  <c r="P84" i="31" s="1"/>
  <c r="N85" i="31"/>
  <c r="P85" i="31" s="1"/>
  <c r="N86" i="31"/>
  <c r="P86" i="31" s="1"/>
  <c r="N87" i="31"/>
  <c r="P87" i="31" s="1"/>
  <c r="N88" i="31"/>
  <c r="P88" i="31" s="1"/>
  <c r="N89" i="31"/>
  <c r="P89" i="31" s="1"/>
  <c r="N90" i="31"/>
  <c r="P90" i="31" s="1"/>
  <c r="N91" i="31"/>
  <c r="P91" i="31" s="1"/>
  <c r="N80" i="31"/>
  <c r="P80" i="31" s="1"/>
  <c r="V41" i="31"/>
  <c r="X41" i="31" s="1"/>
  <c r="V42" i="31"/>
  <c r="X42" i="31" s="1"/>
  <c r="V40" i="31"/>
  <c r="X40" i="31" s="1"/>
  <c r="R41" i="31"/>
  <c r="T41" i="31" s="1"/>
  <c r="R40" i="31"/>
  <c r="T40" i="31" s="1"/>
  <c r="N41" i="31"/>
  <c r="P41" i="31" s="1"/>
  <c r="N42" i="31"/>
  <c r="P42" i="31" s="1"/>
  <c r="N43" i="31"/>
  <c r="P43" i="31" s="1"/>
  <c r="N44" i="31"/>
  <c r="P44" i="31" s="1"/>
  <c r="N40" i="31"/>
  <c r="P40" i="31" s="1"/>
  <c r="J41" i="31"/>
  <c r="L41" i="31" s="1"/>
  <c r="J42" i="31"/>
  <c r="L42" i="31" s="1"/>
  <c r="J43" i="31"/>
  <c r="L43" i="31" s="1"/>
  <c r="J40" i="31"/>
  <c r="L40" i="31" s="1"/>
  <c r="F41" i="31"/>
  <c r="H41" i="31" s="1"/>
  <c r="F42" i="31"/>
  <c r="H42" i="31" s="1"/>
  <c r="F43" i="31"/>
  <c r="H43" i="31" s="1"/>
  <c r="F44" i="31"/>
  <c r="H44" i="31" s="1"/>
  <c r="F40" i="31"/>
  <c r="H40" i="31" s="1"/>
  <c r="B41" i="31"/>
  <c r="D41" i="31" s="1"/>
  <c r="B42" i="31"/>
  <c r="D42" i="31" s="1"/>
  <c r="B43" i="31"/>
  <c r="D43" i="31" s="1"/>
  <c r="B44" i="31"/>
  <c r="D44" i="31" s="1"/>
  <c r="B45" i="31"/>
  <c r="D45" i="31" s="1"/>
  <c r="B40" i="31"/>
  <c r="D40" i="31" s="1"/>
  <c r="AL29" i="31"/>
  <c r="AN29" i="31" s="1"/>
  <c r="AL30" i="31"/>
  <c r="AN30" i="31" s="1"/>
  <c r="AL31" i="31"/>
  <c r="AN31" i="31" s="1"/>
  <c r="AL32" i="31"/>
  <c r="AN32" i="31" s="1"/>
  <c r="AL28" i="31"/>
  <c r="AN28" i="31" s="1"/>
  <c r="AH29" i="31"/>
  <c r="AJ29" i="31" s="1"/>
  <c r="AH30" i="31"/>
  <c r="AJ30" i="31" s="1"/>
  <c r="AH31" i="31"/>
  <c r="AJ31" i="31" s="1"/>
  <c r="AH28" i="31"/>
  <c r="AJ28" i="31" s="1"/>
  <c r="AD29" i="31"/>
  <c r="AF29" i="31" s="1"/>
  <c r="AD30" i="31"/>
  <c r="AF30" i="31" s="1"/>
  <c r="AD31" i="31"/>
  <c r="AF31" i="31" s="1"/>
  <c r="AD28" i="31"/>
  <c r="AF28" i="31" s="1"/>
  <c r="Z29" i="31"/>
  <c r="AB29" i="31" s="1"/>
  <c r="Z30" i="31"/>
  <c r="Z31" i="31"/>
  <c r="AB31" i="31" s="1"/>
  <c r="Z32" i="31"/>
  <c r="AB32" i="31" s="1"/>
  <c r="Z33" i="31"/>
  <c r="AB33" i="31" s="1"/>
  <c r="AB30" i="31"/>
  <c r="Z28" i="31"/>
  <c r="AB28" i="31" s="1"/>
  <c r="V29" i="31"/>
  <c r="X29" i="31" s="1"/>
  <c r="V30" i="31"/>
  <c r="X30" i="31" s="1"/>
  <c r="V31" i="31"/>
  <c r="X31" i="31" s="1"/>
  <c r="V32" i="31"/>
  <c r="X32" i="31" s="1"/>
  <c r="V33" i="31"/>
  <c r="X33" i="31" s="1"/>
  <c r="V28" i="31"/>
  <c r="X28" i="31" s="1"/>
  <c r="R29" i="31"/>
  <c r="T29" i="31" s="1"/>
  <c r="R30" i="31"/>
  <c r="T30" i="31" s="1"/>
  <c r="R31" i="31"/>
  <c r="T31" i="31" s="1"/>
  <c r="R32" i="31"/>
  <c r="T32" i="31" s="1"/>
  <c r="R33" i="31"/>
  <c r="T33" i="31" s="1"/>
  <c r="R28" i="31"/>
  <c r="T28" i="31" s="1"/>
  <c r="N29" i="31"/>
  <c r="P29" i="31" s="1"/>
  <c r="N30" i="31"/>
  <c r="P30" i="31" s="1"/>
  <c r="N31" i="31"/>
  <c r="P31" i="31" s="1"/>
  <c r="N32" i="31"/>
  <c r="P32" i="31" s="1"/>
  <c r="N33" i="31"/>
  <c r="P33" i="31" s="1"/>
  <c r="N34" i="31"/>
  <c r="P34" i="31" s="1"/>
  <c r="N28" i="31"/>
  <c r="P28" i="31" s="1"/>
  <c r="J29" i="31"/>
  <c r="L29" i="31" s="1"/>
  <c r="J30" i="31"/>
  <c r="L30" i="31" s="1"/>
  <c r="J31" i="31"/>
  <c r="L31" i="31" s="1"/>
  <c r="J32" i="31"/>
  <c r="L32" i="31" s="1"/>
  <c r="J33" i="31"/>
  <c r="L33" i="31" s="1"/>
  <c r="J28" i="31"/>
  <c r="L28" i="31" s="1"/>
  <c r="F29" i="31"/>
  <c r="H29" i="31" s="1"/>
  <c r="F30" i="31"/>
  <c r="H30" i="31" s="1"/>
  <c r="F31" i="31"/>
  <c r="H31" i="31" s="1"/>
  <c r="F32" i="31"/>
  <c r="H32" i="31" s="1"/>
  <c r="F33" i="31"/>
  <c r="H33" i="31" s="1"/>
  <c r="F34" i="31"/>
  <c r="H34" i="31" s="1"/>
  <c r="F28" i="31"/>
  <c r="H28" i="31" s="1"/>
  <c r="B29" i="31"/>
  <c r="D29" i="31" s="1"/>
  <c r="B30" i="31"/>
  <c r="D30" i="31" s="1"/>
  <c r="B31" i="31"/>
  <c r="D31" i="31" s="1"/>
  <c r="B32" i="31"/>
  <c r="D32" i="31" s="1"/>
  <c r="B33" i="31"/>
  <c r="D33" i="31" s="1"/>
  <c r="B34" i="31"/>
  <c r="D34" i="31" s="1"/>
  <c r="B28" i="31"/>
  <c r="D28" i="31" s="1"/>
  <c r="R17" i="31"/>
  <c r="R18" i="31"/>
  <c r="R19" i="31"/>
  <c r="R20" i="31"/>
  <c r="T17" i="31"/>
  <c r="T18" i="31"/>
  <c r="T19" i="31"/>
  <c r="T20" i="31"/>
  <c r="R16" i="31"/>
  <c r="T16" i="31" s="1"/>
  <c r="N17" i="31"/>
  <c r="P17" i="31" s="1"/>
  <c r="N18" i="31"/>
  <c r="P18" i="31" s="1"/>
  <c r="N16" i="31"/>
  <c r="P16" i="31" s="1"/>
  <c r="J17" i="31"/>
  <c r="L17" i="31" s="1"/>
  <c r="J18" i="31"/>
  <c r="L18" i="31" s="1"/>
  <c r="J19" i="31"/>
  <c r="L19" i="31" s="1"/>
  <c r="J20" i="31"/>
  <c r="L20" i="31" s="1"/>
  <c r="J16" i="31"/>
  <c r="L16" i="31" s="1"/>
  <c r="F17" i="31"/>
  <c r="F18" i="31"/>
  <c r="H18" i="31" s="1"/>
  <c r="F19" i="31"/>
  <c r="H19" i="31" s="1"/>
  <c r="F20" i="31"/>
  <c r="H20" i="31" s="1"/>
  <c r="F21" i="31"/>
  <c r="F16" i="31"/>
  <c r="H16" i="31" s="1"/>
  <c r="H17" i="31"/>
  <c r="H21" i="31"/>
  <c r="B17" i="31"/>
  <c r="D17" i="31" s="1"/>
  <c r="B18" i="31"/>
  <c r="D18" i="31" s="1"/>
  <c r="B19" i="31"/>
  <c r="D19" i="31" s="1"/>
  <c r="B20" i="31"/>
  <c r="D20" i="31" s="1"/>
  <c r="B21" i="31"/>
  <c r="D21" i="31" s="1"/>
  <c r="B16" i="31"/>
  <c r="D16" i="31" s="1"/>
  <c r="D28" i="28"/>
  <c r="C18" i="14"/>
  <c r="D29" i="12" l="1"/>
  <c r="B29" i="12"/>
  <c r="F29" i="12"/>
  <c r="I2" i="31"/>
  <c r="H51" i="31"/>
  <c r="I4" i="31"/>
  <c r="I7" i="31"/>
  <c r="I6" i="31"/>
  <c r="H119" i="31"/>
  <c r="D10" i="22"/>
  <c r="D27" i="29"/>
  <c r="D29" i="29"/>
  <c r="E28" i="29"/>
  <c r="F33" i="29" s="1"/>
  <c r="G13" i="22"/>
  <c r="G16" i="22"/>
  <c r="F10" i="22"/>
  <c r="D11" i="22"/>
  <c r="F11" i="22"/>
  <c r="D12" i="22"/>
  <c r="F12" i="22"/>
  <c r="AN4" i="2"/>
  <c r="M87" i="2"/>
  <c r="M85" i="2"/>
  <c r="M83" i="2"/>
  <c r="M81" i="2"/>
  <c r="M79" i="2"/>
  <c r="M77" i="2"/>
  <c r="M75" i="2"/>
  <c r="M73" i="2"/>
  <c r="M71" i="2"/>
  <c r="M69" i="2"/>
  <c r="M67" i="2"/>
  <c r="M65" i="2"/>
  <c r="M63" i="2"/>
  <c r="M61" i="2"/>
  <c r="M59" i="2"/>
  <c r="M57" i="2"/>
  <c r="M55" i="2"/>
  <c r="M53" i="2"/>
  <c r="M88" i="2"/>
  <c r="M86" i="2"/>
  <c r="M84" i="2"/>
  <c r="M82" i="2"/>
  <c r="M80" i="2"/>
  <c r="M78" i="2"/>
  <c r="M76" i="2"/>
  <c r="M74" i="2"/>
  <c r="M72" i="2"/>
  <c r="M70" i="2"/>
  <c r="M68" i="2"/>
  <c r="M66" i="2"/>
  <c r="M64" i="2"/>
  <c r="M62" i="2"/>
  <c r="M60" i="2"/>
  <c r="M58" i="2"/>
  <c r="M56" i="2"/>
  <c r="M54" i="2"/>
  <c r="F19" i="12"/>
  <c r="B18" i="12"/>
  <c r="D18" i="12"/>
  <c r="B28" i="12"/>
  <c r="B26" i="12"/>
  <c r="B24" i="12"/>
  <c r="B22" i="12"/>
  <c r="B20" i="12"/>
  <c r="D27" i="12"/>
  <c r="D25" i="12"/>
  <c r="D23" i="12"/>
  <c r="D21" i="12"/>
  <c r="D19" i="12"/>
  <c r="F28" i="12"/>
  <c r="F26" i="12"/>
  <c r="F24" i="12"/>
  <c r="F22" i="12"/>
  <c r="F20" i="12"/>
  <c r="F18" i="12"/>
  <c r="B27" i="12"/>
  <c r="B25" i="12"/>
  <c r="B23" i="12"/>
  <c r="B21" i="12"/>
  <c r="B19" i="12"/>
  <c r="D28" i="12"/>
  <c r="D26" i="12"/>
  <c r="D24" i="12"/>
  <c r="D22" i="12"/>
  <c r="D20" i="12"/>
  <c r="F27" i="12"/>
  <c r="F25" i="12"/>
  <c r="F23" i="12"/>
  <c r="F21" i="12"/>
  <c r="M4" i="2"/>
  <c r="M49" i="2" s="1"/>
  <c r="AM4" i="2"/>
  <c r="AL4" i="2"/>
  <c r="I5" i="31"/>
  <c r="X52" i="31"/>
  <c r="I10" i="31"/>
  <c r="X51" i="31"/>
  <c r="D119" i="31"/>
  <c r="D117" i="31"/>
  <c r="D115" i="31"/>
  <c r="D113" i="31"/>
  <c r="D111" i="31"/>
  <c r="D109" i="31"/>
  <c r="D107" i="31"/>
  <c r="D105" i="31"/>
  <c r="D103" i="31"/>
  <c r="D101" i="31"/>
  <c r="D99" i="31"/>
  <c r="D97" i="31"/>
  <c r="D95" i="31"/>
  <c r="D93" i="31"/>
  <c r="D91" i="31"/>
  <c r="D89" i="31"/>
  <c r="D87" i="31"/>
  <c r="D85" i="31"/>
  <c r="D83" i="31"/>
  <c r="D81" i="31"/>
  <c r="H117" i="31"/>
  <c r="H115" i="31"/>
  <c r="H113" i="31"/>
  <c r="H111" i="31"/>
  <c r="H109" i="31"/>
  <c r="H107" i="31"/>
  <c r="H105" i="31"/>
  <c r="H103" i="31"/>
  <c r="H101" i="31"/>
  <c r="H99" i="31"/>
  <c r="H97" i="31"/>
  <c r="H95" i="31"/>
  <c r="H93" i="31"/>
  <c r="H91" i="31"/>
  <c r="H89" i="31"/>
  <c r="H87" i="31"/>
  <c r="H85" i="31"/>
  <c r="H83" i="31"/>
  <c r="H81" i="31"/>
  <c r="D118" i="31"/>
  <c r="D116" i="31"/>
  <c r="D114" i="31"/>
  <c r="D112" i="31"/>
  <c r="D110" i="31"/>
  <c r="D108" i="31"/>
  <c r="D106" i="31"/>
  <c r="D104" i="31"/>
  <c r="D102" i="31"/>
  <c r="D100" i="31"/>
  <c r="D98" i="31"/>
  <c r="D96" i="31"/>
  <c r="D94" i="31"/>
  <c r="D92" i="31"/>
  <c r="D90" i="31"/>
  <c r="D88" i="31"/>
  <c r="D86" i="31"/>
  <c r="D84" i="31"/>
  <c r="D82" i="31"/>
  <c r="H118" i="31"/>
  <c r="H116" i="31"/>
  <c r="H114" i="31"/>
  <c r="H112" i="31"/>
  <c r="H110" i="31"/>
  <c r="H108" i="31"/>
  <c r="H106" i="31"/>
  <c r="H104" i="31"/>
  <c r="H102" i="31"/>
  <c r="H100" i="31"/>
  <c r="H98" i="31"/>
  <c r="H96" i="31"/>
  <c r="H94" i="31"/>
  <c r="H92" i="31"/>
  <c r="H90" i="31"/>
  <c r="H88" i="31"/>
  <c r="H86" i="31"/>
  <c r="H84" i="31"/>
  <c r="H82" i="31"/>
  <c r="C19" i="14"/>
  <c r="A2" i="27"/>
  <c r="G1" i="28"/>
  <c r="N29" i="12" l="1"/>
  <c r="L29" i="12"/>
  <c r="J29" i="12"/>
  <c r="I11" i="31"/>
  <c r="X53" i="31"/>
  <c r="H55" i="31"/>
  <c r="H52" i="31"/>
  <c r="H53" i="31"/>
  <c r="M50" i="2"/>
  <c r="P52" i="31"/>
  <c r="X54" i="31"/>
  <c r="C20" i="14"/>
  <c r="C21" i="14"/>
  <c r="B74" i="9"/>
  <c r="N16" i="29"/>
  <c r="K14" i="29"/>
  <c r="M14" i="29" s="1"/>
  <c r="K13" i="29"/>
  <c r="M13" i="29" s="1"/>
  <c r="K12" i="29"/>
  <c r="M12" i="29" s="1"/>
  <c r="K11" i="29"/>
  <c r="K28" i="29"/>
  <c r="K10" i="29"/>
  <c r="M10" i="29" s="1"/>
  <c r="K27" i="29"/>
  <c r="M27" i="29" s="1"/>
  <c r="K9" i="29"/>
  <c r="C26" i="29"/>
  <c r="E26" i="29" s="1"/>
  <c r="K26" i="29"/>
  <c r="M26" i="29" s="1"/>
  <c r="K8" i="29"/>
  <c r="M8" i="29" s="1"/>
  <c r="C25" i="29"/>
  <c r="E25" i="29" s="1"/>
  <c r="K25" i="29"/>
  <c r="M25" i="29" s="1"/>
  <c r="K7" i="29"/>
  <c r="M7" i="29" s="1"/>
  <c r="C24" i="29"/>
  <c r="E24" i="29" s="1"/>
  <c r="K24" i="29"/>
  <c r="M24" i="29" s="1"/>
  <c r="K6" i="29"/>
  <c r="M6" i="29" s="1"/>
  <c r="C23" i="29"/>
  <c r="E23" i="29" s="1"/>
  <c r="K23" i="29"/>
  <c r="M23" i="29" s="1"/>
  <c r="K5" i="29"/>
  <c r="M5" i="29" s="1"/>
  <c r="C22" i="29"/>
  <c r="E22" i="29" s="1"/>
  <c r="B18" i="29"/>
  <c r="F31" i="29" s="1"/>
  <c r="B2" i="29"/>
  <c r="A2" i="29"/>
  <c r="AH112" i="31"/>
  <c r="AJ112" i="31" s="1"/>
  <c r="AH114" i="31"/>
  <c r="AJ114" i="31" s="1"/>
  <c r="AH115" i="31"/>
  <c r="AJ115" i="31" s="1"/>
  <c r="AH117" i="31"/>
  <c r="AJ117" i="31" s="1"/>
  <c r="AH116" i="31"/>
  <c r="AJ116" i="31" s="1"/>
  <c r="AH118" i="31"/>
  <c r="AJ118" i="31" s="1"/>
  <c r="AH119" i="31" l="1"/>
  <c r="AJ119" i="31" s="1"/>
  <c r="B148" i="9"/>
  <c r="H54" i="31"/>
  <c r="H56" i="31"/>
  <c r="M28" i="29"/>
  <c r="M51" i="2"/>
  <c r="M89" i="2" s="1"/>
  <c r="P53" i="31"/>
  <c r="X55" i="31"/>
  <c r="F32" i="29"/>
  <c r="L5" i="29"/>
  <c r="L23" i="29"/>
  <c r="D23" i="29"/>
  <c r="L7" i="29"/>
  <c r="L25" i="29"/>
  <c r="D25" i="29"/>
  <c r="L27" i="29"/>
  <c r="L12" i="29"/>
  <c r="L13" i="29"/>
  <c r="N30" i="29"/>
  <c r="D22" i="29"/>
  <c r="L6" i="29"/>
  <c r="L24" i="29"/>
  <c r="D24" i="29"/>
  <c r="L8" i="29"/>
  <c r="L26" i="29"/>
  <c r="D26" i="29"/>
  <c r="M9" i="29"/>
  <c r="L10" i="29"/>
  <c r="L28" i="29"/>
  <c r="M11" i="29"/>
  <c r="L14" i="29"/>
  <c r="L9" i="29"/>
  <c r="L11" i="29"/>
  <c r="D29" i="28"/>
  <c r="G29" i="28" s="1"/>
  <c r="C29" i="28"/>
  <c r="Z3" i="2"/>
  <c r="Y5" i="2"/>
  <c r="P3" i="3"/>
  <c r="Q3" i="3"/>
  <c r="R3" i="3"/>
  <c r="S3" i="3"/>
  <c r="T3" i="3"/>
  <c r="U3" i="3"/>
  <c r="V3" i="3"/>
  <c r="W3" i="3"/>
  <c r="X3" i="3"/>
  <c r="Y3" i="3"/>
  <c r="Z3" i="3"/>
  <c r="AA3" i="3"/>
  <c r="P4" i="3"/>
  <c r="Q4" i="3"/>
  <c r="R4" i="3"/>
  <c r="S4" i="3"/>
  <c r="T4" i="3"/>
  <c r="U4" i="3"/>
  <c r="V4" i="3"/>
  <c r="W4" i="3"/>
  <c r="X4" i="3"/>
  <c r="Y4" i="3"/>
  <c r="Z4" i="3"/>
  <c r="AA4" i="3"/>
  <c r="P5" i="3"/>
  <c r="Q5" i="3"/>
  <c r="R5" i="3"/>
  <c r="S5" i="3"/>
  <c r="T5" i="3"/>
  <c r="U5" i="3"/>
  <c r="V5" i="3"/>
  <c r="W5" i="3"/>
  <c r="X5" i="3"/>
  <c r="Y5" i="3"/>
  <c r="Z5" i="3"/>
  <c r="AA5" i="3"/>
  <c r="P6" i="3"/>
  <c r="Q6" i="3"/>
  <c r="R6" i="3"/>
  <c r="S6" i="3"/>
  <c r="T6" i="3"/>
  <c r="U6" i="3"/>
  <c r="V6" i="3"/>
  <c r="W6" i="3"/>
  <c r="X6" i="3"/>
  <c r="Y6" i="3"/>
  <c r="Z6" i="3"/>
  <c r="AA6" i="3"/>
  <c r="P7" i="3"/>
  <c r="Q7" i="3"/>
  <c r="R7" i="3"/>
  <c r="S7" i="3"/>
  <c r="T7" i="3"/>
  <c r="U7" i="3"/>
  <c r="V7" i="3"/>
  <c r="W7" i="3"/>
  <c r="X7" i="3"/>
  <c r="Y7" i="3"/>
  <c r="Z7" i="3"/>
  <c r="AA7" i="3"/>
  <c r="P8" i="3"/>
  <c r="Q8" i="3"/>
  <c r="R8" i="3"/>
  <c r="S8" i="3"/>
  <c r="T8" i="3"/>
  <c r="U8" i="3"/>
  <c r="V8" i="3"/>
  <c r="W8" i="3"/>
  <c r="X8" i="3"/>
  <c r="Y8" i="3"/>
  <c r="Z8" i="3"/>
  <c r="AA8" i="3"/>
  <c r="P9" i="3"/>
  <c r="Q9" i="3"/>
  <c r="R9" i="3"/>
  <c r="S9" i="3"/>
  <c r="T9" i="3"/>
  <c r="U9" i="3"/>
  <c r="V9" i="3"/>
  <c r="W9" i="3"/>
  <c r="X9" i="3"/>
  <c r="Y9" i="3"/>
  <c r="Z9" i="3"/>
  <c r="AA9" i="3"/>
  <c r="P10" i="3"/>
  <c r="Q10" i="3"/>
  <c r="R10" i="3"/>
  <c r="S10" i="3"/>
  <c r="T10" i="3"/>
  <c r="U10" i="3"/>
  <c r="V10" i="3"/>
  <c r="W10" i="3"/>
  <c r="X10" i="3"/>
  <c r="Y10" i="3"/>
  <c r="Z10" i="3"/>
  <c r="AA10" i="3"/>
  <c r="P11" i="3"/>
  <c r="Q11" i="3"/>
  <c r="R11" i="3"/>
  <c r="S11" i="3"/>
  <c r="T11" i="3"/>
  <c r="U11" i="3"/>
  <c r="V11" i="3"/>
  <c r="W11" i="3"/>
  <c r="X11" i="3"/>
  <c r="Y11" i="3"/>
  <c r="Z11" i="3"/>
  <c r="AA11" i="3"/>
  <c r="P12" i="3"/>
  <c r="Q12" i="3"/>
  <c r="R12" i="3"/>
  <c r="S12" i="3"/>
  <c r="T12" i="3"/>
  <c r="U12" i="3"/>
  <c r="V12" i="3"/>
  <c r="W12" i="3"/>
  <c r="X12" i="3"/>
  <c r="Y12" i="3"/>
  <c r="Z12" i="3"/>
  <c r="AA12" i="3"/>
  <c r="P13" i="3"/>
  <c r="Q13" i="3"/>
  <c r="R13" i="3"/>
  <c r="S13" i="3"/>
  <c r="T13" i="3"/>
  <c r="U13" i="3"/>
  <c r="V13" i="3"/>
  <c r="W13" i="3"/>
  <c r="X13" i="3"/>
  <c r="Y13" i="3"/>
  <c r="Z13" i="3"/>
  <c r="AA13" i="3"/>
  <c r="P18" i="3"/>
  <c r="Q18" i="3"/>
  <c r="R18" i="3"/>
  <c r="S18" i="3"/>
  <c r="T18" i="3"/>
  <c r="U18" i="3"/>
  <c r="V18" i="3"/>
  <c r="W18" i="3"/>
  <c r="X18" i="3"/>
  <c r="Y18" i="3"/>
  <c r="P19" i="3"/>
  <c r="Q19" i="3"/>
  <c r="R19" i="3"/>
  <c r="S19" i="3"/>
  <c r="T19" i="3"/>
  <c r="U19" i="3"/>
  <c r="V19" i="3"/>
  <c r="W19" i="3"/>
  <c r="X19" i="3"/>
  <c r="Y19" i="3"/>
  <c r="P20" i="3"/>
  <c r="Q20" i="3"/>
  <c r="R20" i="3"/>
  <c r="S20" i="3"/>
  <c r="T20" i="3"/>
  <c r="U20" i="3"/>
  <c r="V20" i="3"/>
  <c r="W20" i="3"/>
  <c r="X20" i="3"/>
  <c r="Y20" i="3"/>
  <c r="P21" i="3"/>
  <c r="Q21" i="3"/>
  <c r="R21" i="3"/>
  <c r="S21" i="3"/>
  <c r="T21" i="3"/>
  <c r="U21" i="3"/>
  <c r="V21" i="3"/>
  <c r="W21" i="3"/>
  <c r="X21" i="3"/>
  <c r="Y21" i="3"/>
  <c r="P22" i="3"/>
  <c r="Q22" i="3"/>
  <c r="R22" i="3"/>
  <c r="S22" i="3"/>
  <c r="T22" i="3"/>
  <c r="U22" i="3"/>
  <c r="V22" i="3"/>
  <c r="W22" i="3"/>
  <c r="X22" i="3"/>
  <c r="Y22" i="3"/>
  <c r="P23" i="3"/>
  <c r="Q23" i="3"/>
  <c r="R23" i="3"/>
  <c r="S23" i="3"/>
  <c r="T23" i="3"/>
  <c r="U23" i="3"/>
  <c r="V23" i="3"/>
  <c r="W23" i="3"/>
  <c r="X23" i="3"/>
  <c r="Y23" i="3"/>
  <c r="P24" i="3"/>
  <c r="Q24" i="3"/>
  <c r="R24" i="3"/>
  <c r="S24" i="3"/>
  <c r="T24" i="3"/>
  <c r="U24" i="3"/>
  <c r="V24" i="3"/>
  <c r="W24" i="3"/>
  <c r="X24" i="3"/>
  <c r="Y24" i="3"/>
  <c r="P25" i="3"/>
  <c r="Q25" i="3"/>
  <c r="R25" i="3"/>
  <c r="S25" i="3"/>
  <c r="T25" i="3"/>
  <c r="U25" i="3"/>
  <c r="V25" i="3"/>
  <c r="W25" i="3"/>
  <c r="X25" i="3"/>
  <c r="Y25" i="3"/>
  <c r="P26" i="3"/>
  <c r="Q26" i="3"/>
  <c r="R26" i="3"/>
  <c r="S26" i="3"/>
  <c r="T26" i="3"/>
  <c r="U26" i="3"/>
  <c r="V26" i="3"/>
  <c r="W26" i="3"/>
  <c r="X26" i="3"/>
  <c r="Y26" i="3"/>
  <c r="P27" i="3"/>
  <c r="Q27" i="3"/>
  <c r="R27" i="3"/>
  <c r="S27" i="3"/>
  <c r="T27" i="3"/>
  <c r="U27" i="3"/>
  <c r="V27" i="3"/>
  <c r="W27" i="3"/>
  <c r="X27" i="3"/>
  <c r="Y27" i="3"/>
  <c r="P28" i="3"/>
  <c r="Q28" i="3"/>
  <c r="R28" i="3"/>
  <c r="S28" i="3"/>
  <c r="T28" i="3"/>
  <c r="U28" i="3"/>
  <c r="V28" i="3"/>
  <c r="W28" i="3"/>
  <c r="X28" i="3"/>
  <c r="Y28" i="3"/>
  <c r="AB33" i="3"/>
  <c r="AC33" i="3"/>
  <c r="AD33" i="3"/>
  <c r="AE33" i="3"/>
  <c r="AF33" i="3"/>
  <c r="AG33" i="3"/>
  <c r="AH33" i="3"/>
  <c r="AI33" i="3"/>
  <c r="AJ33" i="3"/>
  <c r="AK33" i="3"/>
  <c r="AL33" i="3"/>
  <c r="AM33" i="3"/>
  <c r="AN33" i="3"/>
  <c r="AO33" i="3"/>
  <c r="AP33" i="3"/>
  <c r="AQ33" i="3"/>
  <c r="AR33" i="3"/>
  <c r="AS33" i="3"/>
  <c r="AT33" i="3"/>
  <c r="AU33" i="3"/>
  <c r="P48" i="3"/>
  <c r="Q48" i="3"/>
  <c r="R48" i="3"/>
  <c r="S48" i="3"/>
  <c r="T48" i="3"/>
  <c r="U48" i="3"/>
  <c r="V48" i="3"/>
  <c r="W48" i="3"/>
  <c r="X48" i="3"/>
  <c r="Y48" i="3"/>
  <c r="Z48" i="3"/>
  <c r="AA48" i="3"/>
  <c r="AB34" i="3"/>
  <c r="AC34" i="3"/>
  <c r="AD34" i="3"/>
  <c r="AE34" i="3"/>
  <c r="AF34" i="3"/>
  <c r="AG34" i="3"/>
  <c r="AH34" i="3"/>
  <c r="AI34" i="3"/>
  <c r="AJ34" i="3"/>
  <c r="AK34" i="3"/>
  <c r="AL34" i="3"/>
  <c r="AM34" i="3"/>
  <c r="AN34" i="3"/>
  <c r="AO34" i="3"/>
  <c r="AP34" i="3"/>
  <c r="AQ34" i="3"/>
  <c r="AR34" i="3"/>
  <c r="AS34" i="3"/>
  <c r="AT34" i="3"/>
  <c r="P49" i="3"/>
  <c r="Q49" i="3"/>
  <c r="R49" i="3"/>
  <c r="S49" i="3"/>
  <c r="T49" i="3"/>
  <c r="U49" i="3"/>
  <c r="V49" i="3"/>
  <c r="W49" i="3"/>
  <c r="X49" i="3"/>
  <c r="Y49" i="3"/>
  <c r="Z49" i="3"/>
  <c r="AA49" i="3"/>
  <c r="AB35" i="3"/>
  <c r="AC35" i="3"/>
  <c r="AD35" i="3"/>
  <c r="AE35" i="3"/>
  <c r="AF35" i="3"/>
  <c r="AG35" i="3"/>
  <c r="AH35" i="3"/>
  <c r="AI35" i="3"/>
  <c r="AJ35" i="3"/>
  <c r="AK35" i="3"/>
  <c r="AL35" i="3"/>
  <c r="AM35" i="3"/>
  <c r="AN35" i="3"/>
  <c r="AO35" i="3"/>
  <c r="AP35" i="3"/>
  <c r="AQ35" i="3"/>
  <c r="AR35" i="3"/>
  <c r="AS35" i="3"/>
  <c r="AT35" i="3"/>
  <c r="AU35" i="3"/>
  <c r="P50" i="3"/>
  <c r="Q50" i="3"/>
  <c r="R50" i="3"/>
  <c r="S50" i="3"/>
  <c r="T50" i="3"/>
  <c r="U50" i="3"/>
  <c r="V50" i="3"/>
  <c r="W50" i="3"/>
  <c r="X50" i="3"/>
  <c r="Y50" i="3"/>
  <c r="Z50" i="3"/>
  <c r="AA50" i="3"/>
  <c r="AB36" i="3"/>
  <c r="AC36" i="3"/>
  <c r="AD36" i="3"/>
  <c r="AE36" i="3"/>
  <c r="AF36" i="3"/>
  <c r="AG36" i="3"/>
  <c r="AH36" i="3"/>
  <c r="AI36" i="3"/>
  <c r="AJ36" i="3"/>
  <c r="AK36" i="3"/>
  <c r="AL36" i="3"/>
  <c r="AM36" i="3"/>
  <c r="AN36" i="3"/>
  <c r="AO36" i="3"/>
  <c r="AP36" i="3"/>
  <c r="AQ36" i="3"/>
  <c r="AR36" i="3"/>
  <c r="AS36" i="3"/>
  <c r="AT36" i="3"/>
  <c r="AU36" i="3"/>
  <c r="P51" i="3"/>
  <c r="Q51" i="3"/>
  <c r="R51" i="3"/>
  <c r="S51" i="3"/>
  <c r="T51" i="3"/>
  <c r="U51" i="3"/>
  <c r="V51" i="3"/>
  <c r="W51" i="3"/>
  <c r="X51" i="3"/>
  <c r="Y51" i="3"/>
  <c r="Z51" i="3"/>
  <c r="AA51" i="3"/>
  <c r="AB37" i="3"/>
  <c r="AC37" i="3"/>
  <c r="AD37" i="3"/>
  <c r="AE37" i="3"/>
  <c r="AF37" i="3"/>
  <c r="AG37" i="3"/>
  <c r="AH37" i="3"/>
  <c r="AI37" i="3"/>
  <c r="AJ37" i="3"/>
  <c r="AK37" i="3"/>
  <c r="AL37" i="3"/>
  <c r="AM37" i="3"/>
  <c r="AN37" i="3"/>
  <c r="AO37" i="3"/>
  <c r="AP37" i="3"/>
  <c r="AQ37" i="3"/>
  <c r="AR37" i="3"/>
  <c r="AS37" i="3"/>
  <c r="AT37" i="3"/>
  <c r="AU37" i="3"/>
  <c r="P52" i="3"/>
  <c r="Q52" i="3"/>
  <c r="R52" i="3"/>
  <c r="S52" i="3"/>
  <c r="T52" i="3"/>
  <c r="U52" i="3"/>
  <c r="V52" i="3"/>
  <c r="W52" i="3"/>
  <c r="X52" i="3"/>
  <c r="Y52" i="3"/>
  <c r="Z52" i="3"/>
  <c r="AA52" i="3"/>
  <c r="AB38" i="3"/>
  <c r="AC38" i="3"/>
  <c r="AD38" i="3"/>
  <c r="AE38" i="3"/>
  <c r="AF38" i="3"/>
  <c r="AG38" i="3"/>
  <c r="AH38" i="3"/>
  <c r="AI38" i="3"/>
  <c r="AJ38" i="3"/>
  <c r="AK38" i="3"/>
  <c r="AL38" i="3"/>
  <c r="AM38" i="3"/>
  <c r="AN38" i="3"/>
  <c r="AO38" i="3"/>
  <c r="AP38" i="3"/>
  <c r="AQ38" i="3"/>
  <c r="AR38" i="3"/>
  <c r="AS38" i="3"/>
  <c r="AT38" i="3"/>
  <c r="AU38" i="3"/>
  <c r="P53" i="3"/>
  <c r="Q53" i="3"/>
  <c r="R53" i="3"/>
  <c r="S53" i="3"/>
  <c r="T53" i="3"/>
  <c r="U53" i="3"/>
  <c r="V53" i="3"/>
  <c r="W53" i="3"/>
  <c r="X53" i="3"/>
  <c r="Y53" i="3"/>
  <c r="Z53" i="3"/>
  <c r="AA53" i="3"/>
  <c r="AB39" i="3"/>
  <c r="AC39" i="3"/>
  <c r="AD39" i="3"/>
  <c r="AE39" i="3"/>
  <c r="AF39" i="3"/>
  <c r="AG39" i="3"/>
  <c r="AH39" i="3"/>
  <c r="AI39" i="3"/>
  <c r="AJ39" i="3"/>
  <c r="AK39" i="3"/>
  <c r="AL39" i="3"/>
  <c r="AM39" i="3"/>
  <c r="AN39" i="3"/>
  <c r="AO39" i="3"/>
  <c r="AP39" i="3"/>
  <c r="AQ39" i="3"/>
  <c r="AR39" i="3"/>
  <c r="AS39" i="3"/>
  <c r="AT39" i="3"/>
  <c r="AU39" i="3"/>
  <c r="P54" i="3"/>
  <c r="Q54" i="3"/>
  <c r="R54" i="3"/>
  <c r="S54" i="3"/>
  <c r="T54" i="3"/>
  <c r="U54" i="3"/>
  <c r="V54" i="3"/>
  <c r="W54" i="3"/>
  <c r="X54" i="3"/>
  <c r="Y54" i="3"/>
  <c r="Z54" i="3"/>
  <c r="AA54" i="3"/>
  <c r="AB40" i="3"/>
  <c r="AC40" i="3"/>
  <c r="AD40" i="3"/>
  <c r="AE40" i="3"/>
  <c r="AF40" i="3"/>
  <c r="AG40" i="3"/>
  <c r="AH40" i="3"/>
  <c r="AI40" i="3"/>
  <c r="AJ40" i="3"/>
  <c r="AK40" i="3"/>
  <c r="AL40" i="3"/>
  <c r="AM40" i="3"/>
  <c r="AN40" i="3"/>
  <c r="AO40" i="3"/>
  <c r="AP40" i="3"/>
  <c r="AQ40" i="3"/>
  <c r="AR40" i="3"/>
  <c r="AS40" i="3"/>
  <c r="AT40" i="3"/>
  <c r="AU40" i="3"/>
  <c r="P55" i="3"/>
  <c r="Q55" i="3"/>
  <c r="R55" i="3"/>
  <c r="S55" i="3"/>
  <c r="T55" i="3"/>
  <c r="U55" i="3"/>
  <c r="V55" i="3"/>
  <c r="W55" i="3"/>
  <c r="X55" i="3"/>
  <c r="Y55" i="3"/>
  <c r="Z55" i="3"/>
  <c r="AA55" i="3"/>
  <c r="AB41" i="3"/>
  <c r="AC41" i="3"/>
  <c r="AD41" i="3"/>
  <c r="AE41" i="3"/>
  <c r="AF41" i="3"/>
  <c r="AG41" i="3"/>
  <c r="AH41" i="3"/>
  <c r="AI41" i="3"/>
  <c r="AJ41" i="3"/>
  <c r="AK41" i="3"/>
  <c r="AL41" i="3"/>
  <c r="AM41" i="3"/>
  <c r="AN41" i="3"/>
  <c r="AO41" i="3"/>
  <c r="AP41" i="3"/>
  <c r="AQ41" i="3"/>
  <c r="AR41" i="3"/>
  <c r="AS41" i="3"/>
  <c r="AT41" i="3"/>
  <c r="AU41" i="3"/>
  <c r="P56" i="3"/>
  <c r="Q56" i="3"/>
  <c r="R56" i="3"/>
  <c r="S56" i="3"/>
  <c r="T56" i="3"/>
  <c r="U56" i="3"/>
  <c r="V56" i="3"/>
  <c r="W56" i="3"/>
  <c r="X56" i="3"/>
  <c r="Y56" i="3"/>
  <c r="Z56" i="3"/>
  <c r="AA56" i="3"/>
  <c r="AB42" i="3"/>
  <c r="AC42" i="3"/>
  <c r="AD42" i="3"/>
  <c r="AE42" i="3"/>
  <c r="AF42" i="3"/>
  <c r="AG42" i="3"/>
  <c r="AH42" i="3"/>
  <c r="AI42" i="3"/>
  <c r="AJ42" i="3"/>
  <c r="AK42" i="3"/>
  <c r="AL42" i="3"/>
  <c r="AM42" i="3"/>
  <c r="AN42" i="3"/>
  <c r="AO42" i="3"/>
  <c r="AP42" i="3"/>
  <c r="AQ42" i="3"/>
  <c r="AR42" i="3"/>
  <c r="AS42" i="3"/>
  <c r="AT42" i="3"/>
  <c r="AU42" i="3"/>
  <c r="P57" i="3"/>
  <c r="Q57" i="3"/>
  <c r="R57" i="3"/>
  <c r="S57" i="3"/>
  <c r="T57" i="3"/>
  <c r="U57" i="3"/>
  <c r="V57" i="3"/>
  <c r="W57" i="3"/>
  <c r="X57" i="3"/>
  <c r="Y57" i="3"/>
  <c r="Z57" i="3"/>
  <c r="AA57" i="3"/>
  <c r="AB43" i="3"/>
  <c r="AC43" i="3"/>
  <c r="AD43" i="3"/>
  <c r="AE43" i="3"/>
  <c r="AF43" i="3"/>
  <c r="AG43" i="3"/>
  <c r="AH43" i="3"/>
  <c r="AI43" i="3"/>
  <c r="AJ43" i="3"/>
  <c r="AK43" i="3"/>
  <c r="AL43" i="3"/>
  <c r="AM43" i="3"/>
  <c r="AN43" i="3"/>
  <c r="AO43" i="3"/>
  <c r="AP43" i="3"/>
  <c r="AQ43" i="3"/>
  <c r="AR43" i="3"/>
  <c r="AS43" i="3"/>
  <c r="AT43" i="3"/>
  <c r="AU43" i="3"/>
  <c r="P58" i="3"/>
  <c r="Q58" i="3"/>
  <c r="R58" i="3"/>
  <c r="S58" i="3"/>
  <c r="T58" i="3"/>
  <c r="U58" i="3"/>
  <c r="V58" i="3"/>
  <c r="W58" i="3"/>
  <c r="X58" i="3"/>
  <c r="Y58" i="3"/>
  <c r="Z58" i="3"/>
  <c r="AA58" i="3"/>
  <c r="H63" i="3"/>
  <c r="I63" i="3"/>
  <c r="J63" i="3"/>
  <c r="K63" i="3"/>
  <c r="H64" i="3"/>
  <c r="I64" i="3"/>
  <c r="J64" i="3"/>
  <c r="K64" i="3"/>
  <c r="H65" i="3"/>
  <c r="I65" i="3"/>
  <c r="J65" i="3"/>
  <c r="K65" i="3"/>
  <c r="H66" i="3"/>
  <c r="I66" i="3"/>
  <c r="J66" i="3"/>
  <c r="K66" i="3"/>
  <c r="H67" i="3"/>
  <c r="I67" i="3"/>
  <c r="J67" i="3"/>
  <c r="K67" i="3"/>
  <c r="H68" i="3"/>
  <c r="I68" i="3"/>
  <c r="J68" i="3"/>
  <c r="K68" i="3"/>
  <c r="H69" i="3"/>
  <c r="I69" i="3"/>
  <c r="J69" i="3"/>
  <c r="K69" i="3"/>
  <c r="H70" i="3"/>
  <c r="I70" i="3"/>
  <c r="J70" i="3"/>
  <c r="K70" i="3"/>
  <c r="H71" i="3"/>
  <c r="I71" i="3"/>
  <c r="J71" i="3"/>
  <c r="K71" i="3"/>
  <c r="H72" i="3"/>
  <c r="I72" i="3"/>
  <c r="J72" i="3"/>
  <c r="K72" i="3"/>
  <c r="H73" i="3"/>
  <c r="I73" i="3"/>
  <c r="J73" i="3"/>
  <c r="K73" i="3"/>
  <c r="H57" i="31" l="1"/>
  <c r="F30" i="29"/>
  <c r="P54" i="31"/>
  <c r="X56" i="31"/>
  <c r="N15" i="29"/>
  <c r="N17" i="29"/>
  <c r="N29" i="29"/>
  <c r="A4" i="20"/>
  <c r="A5" i="20"/>
  <c r="A6" i="20"/>
  <c r="A7" i="20"/>
  <c r="A8" i="20"/>
  <c r="A9" i="20"/>
  <c r="A10" i="20"/>
  <c r="A11" i="20"/>
  <c r="A12" i="20"/>
  <c r="A13" i="20"/>
  <c r="A14" i="20"/>
  <c r="A15" i="20"/>
  <c r="A16" i="20"/>
  <c r="A17" i="20"/>
  <c r="A18" i="20"/>
  <c r="A19" i="20"/>
  <c r="A20" i="20"/>
  <c r="A3" i="20"/>
  <c r="C22" i="14"/>
  <c r="D7" i="29" l="1"/>
  <c r="B13" i="29" s="1"/>
  <c r="K8" i="19"/>
  <c r="H58" i="31"/>
  <c r="D5" i="29"/>
  <c r="B11" i="29" s="1"/>
  <c r="P55" i="31"/>
  <c r="X57" i="31"/>
  <c r="X58" i="31"/>
  <c r="D6" i="29"/>
  <c r="B12" i="29" s="1"/>
  <c r="T83" i="9"/>
  <c r="T84" i="9"/>
  <c r="T85" i="9"/>
  <c r="T86" i="9"/>
  <c r="T87" i="9"/>
  <c r="C23" i="14"/>
  <c r="H59" i="31" l="1"/>
  <c r="P56" i="31"/>
  <c r="T5" i="2"/>
  <c r="T87" i="2" s="1"/>
  <c r="U5" i="2"/>
  <c r="T46" i="2"/>
  <c r="T3" i="2"/>
  <c r="H60" i="31" l="1"/>
  <c r="P58" i="31"/>
  <c r="P57" i="31"/>
  <c r="T4" i="2"/>
  <c r="T58" i="2"/>
  <c r="T62" i="2"/>
  <c r="T66" i="2"/>
  <c r="T70" i="2"/>
  <c r="T74" i="2"/>
  <c r="T78" i="2"/>
  <c r="T82" i="2"/>
  <c r="T86" i="2"/>
  <c r="T56" i="2"/>
  <c r="T60" i="2"/>
  <c r="T64" i="2"/>
  <c r="T68" i="2"/>
  <c r="T72" i="2"/>
  <c r="T76" i="2"/>
  <c r="T80" i="2"/>
  <c r="T84" i="2"/>
  <c r="T88" i="2"/>
  <c r="T49" i="2"/>
  <c r="T57" i="2"/>
  <c r="T59" i="2"/>
  <c r="T61" i="2"/>
  <c r="T63" i="2"/>
  <c r="T65" i="2"/>
  <c r="T67" i="2"/>
  <c r="T69" i="2"/>
  <c r="T71" i="2"/>
  <c r="T73" i="2"/>
  <c r="T75" i="2"/>
  <c r="T77" i="2"/>
  <c r="T79" i="2"/>
  <c r="T81" i="2"/>
  <c r="T83" i="2"/>
  <c r="T85" i="2"/>
  <c r="H61" i="31" l="1"/>
  <c r="T50" i="2"/>
  <c r="T51" i="2" s="1"/>
  <c r="T52" i="2" s="1"/>
  <c r="T53" i="2" s="1"/>
  <c r="T54" i="2" s="1"/>
  <c r="T55" i="2" s="1"/>
  <c r="B110" i="9"/>
  <c r="B109" i="9"/>
  <c r="B105" i="9"/>
  <c r="B107" i="9"/>
  <c r="H63" i="31" l="1"/>
  <c r="H62" i="31"/>
  <c r="T89" i="2"/>
  <c r="I9" i="31" l="1"/>
  <c r="AH110" i="31"/>
  <c r="AJ110" i="31" s="1"/>
  <c r="AH111" i="31" l="1"/>
  <c r="AJ111" i="31" s="1"/>
  <c r="AH113" i="31"/>
  <c r="AJ113" i="31" s="1"/>
  <c r="I8" i="31" l="1"/>
  <c r="K5" i="31" s="1"/>
  <c r="I7" i="28"/>
  <c r="I70" i="28" l="1"/>
  <c r="I53" i="28"/>
  <c r="I71" i="28"/>
  <c r="I50" i="28"/>
  <c r="I52" i="28"/>
  <c r="I44" i="28"/>
  <c r="I74" i="28"/>
  <c r="I51" i="28"/>
  <c r="I34" i="28"/>
  <c r="I37" i="28"/>
  <c r="I36" i="28"/>
  <c r="I40" i="28"/>
  <c r="I35" i="28"/>
  <c r="I39" i="28"/>
  <c r="I38" i="28"/>
  <c r="I11" i="28"/>
  <c r="I25" i="28"/>
  <c r="I33" i="28"/>
  <c r="I21" i="28"/>
  <c r="I15" i="28"/>
  <c r="I22" i="28"/>
  <c r="I28" i="28"/>
  <c r="I29" i="28"/>
  <c r="I41" i="28"/>
  <c r="J7" i="28"/>
  <c r="J70" i="28" l="1"/>
  <c r="J50" i="28"/>
  <c r="J51" i="28"/>
  <c r="J52" i="28"/>
  <c r="J53" i="28"/>
  <c r="J71" i="28"/>
  <c r="J44" i="28"/>
  <c r="J74" i="28"/>
  <c r="J34" i="28"/>
  <c r="J36" i="28"/>
  <c r="J40" i="28"/>
  <c r="J37" i="28"/>
  <c r="J38" i="28"/>
  <c r="J35" i="28"/>
  <c r="J39" i="28"/>
  <c r="J11" i="28"/>
  <c r="J25" i="28"/>
  <c r="J33" i="28"/>
  <c r="J21" i="28"/>
  <c r="J15" i="28"/>
  <c r="J22" i="28"/>
  <c r="J28" i="28"/>
  <c r="J29" i="28"/>
  <c r="J41" i="28"/>
  <c r="J8" i="28"/>
  <c r="I47" i="2" a="1"/>
  <c r="I47" i="2" s="1"/>
  <c r="B17" i="18" l="1"/>
  <c r="C17" i="18"/>
  <c r="D17" i="18"/>
  <c r="B6" i="18"/>
  <c r="D69" i="28"/>
  <c r="C69" i="28"/>
  <c r="D68" i="28"/>
  <c r="C68" i="28"/>
  <c r="C25" i="14"/>
  <c r="C24" i="14"/>
  <c r="B18" i="9"/>
  <c r="K17" i="9"/>
  <c r="K18" i="9"/>
  <c r="I68" i="28" l="1"/>
  <c r="J68" i="28"/>
  <c r="I69" i="28"/>
  <c r="J69" i="28"/>
  <c r="K127" i="9"/>
  <c r="K128" i="9"/>
  <c r="K126" i="9"/>
  <c r="T118" i="9" l="1"/>
  <c r="K230" i="9" l="1"/>
  <c r="K231" i="9"/>
  <c r="K232" i="9"/>
  <c r="K233" i="9"/>
  <c r="T237" i="9"/>
  <c r="T238" i="9"/>
  <c r="K241" i="9"/>
  <c r="K242" i="9"/>
  <c r="K243" i="9"/>
  <c r="B241" i="9"/>
  <c r="B242" i="9"/>
  <c r="B243" i="9"/>
  <c r="B244" i="9"/>
  <c r="B230" i="9"/>
  <c r="B231" i="9"/>
  <c r="B232" i="9"/>
  <c r="B233" i="9"/>
  <c r="B234" i="9"/>
  <c r="K184" i="9" l="1"/>
  <c r="K183" i="9"/>
  <c r="K182" i="9"/>
  <c r="K181" i="9"/>
  <c r="K180" i="9"/>
  <c r="K194" i="9"/>
  <c r="K193" i="9"/>
  <c r="K192" i="9"/>
  <c r="K191" i="9"/>
  <c r="K190" i="9"/>
  <c r="T182" i="9"/>
  <c r="T181" i="9"/>
  <c r="T180" i="9"/>
  <c r="T199" i="9"/>
  <c r="T198" i="9"/>
  <c r="T192" i="9"/>
  <c r="T191" i="9"/>
  <c r="T190" i="9"/>
  <c r="T189" i="9"/>
  <c r="T188" i="9"/>
  <c r="B191" i="9"/>
  <c r="B192" i="9"/>
  <c r="B193" i="9"/>
  <c r="B194" i="9"/>
  <c r="B195" i="9"/>
  <c r="B196" i="9"/>
  <c r="B180" i="9"/>
  <c r="B181" i="9"/>
  <c r="B182" i="9"/>
  <c r="B183" i="9"/>
  <c r="B184" i="9"/>
  <c r="B185" i="9"/>
  <c r="B168" i="9"/>
  <c r="B169" i="9"/>
  <c r="B170" i="9"/>
  <c r="B171" i="9"/>
  <c r="T157" i="9"/>
  <c r="T158" i="9"/>
  <c r="T159" i="9"/>
  <c r="T160" i="9"/>
  <c r="K157" i="9"/>
  <c r="K158" i="9"/>
  <c r="K159" i="9"/>
  <c r="K160" i="9"/>
  <c r="K161" i="9"/>
  <c r="K167" i="9"/>
  <c r="K168" i="9"/>
  <c r="B157" i="9"/>
  <c r="B158" i="9"/>
  <c r="B159" i="9"/>
  <c r="B160" i="9"/>
  <c r="B161" i="9"/>
  <c r="B140" i="9"/>
  <c r="B141" i="9"/>
  <c r="B142" i="9"/>
  <c r="B143" i="9"/>
  <c r="B144" i="9"/>
  <c r="B145" i="9"/>
  <c r="B146" i="9"/>
  <c r="B147" i="9"/>
  <c r="K144" i="9"/>
  <c r="K143" i="9"/>
  <c r="K142" i="9"/>
  <c r="K141" i="9"/>
  <c r="K140" i="9"/>
  <c r="T93" i="9"/>
  <c r="T94" i="9"/>
  <c r="T95" i="9"/>
  <c r="K101" i="9"/>
  <c r="K102" i="9"/>
  <c r="K103" i="9"/>
  <c r="K104" i="9"/>
  <c r="K105" i="9"/>
  <c r="K106" i="9"/>
  <c r="K107" i="9"/>
  <c r="K88" i="9"/>
  <c r="K89" i="9"/>
  <c r="K90" i="9"/>
  <c r="K91" i="9"/>
  <c r="K92" i="9"/>
  <c r="K93" i="9"/>
  <c r="K94" i="9"/>
  <c r="T71" i="9"/>
  <c r="T72" i="9"/>
  <c r="T73" i="9"/>
  <c r="T74" i="9"/>
  <c r="T75" i="9"/>
  <c r="T76" i="9"/>
  <c r="T77" i="9"/>
  <c r="B86" i="9"/>
  <c r="B87" i="9"/>
  <c r="B88" i="9"/>
  <c r="B89" i="9"/>
  <c r="B90" i="9"/>
  <c r="B91" i="9"/>
  <c r="B92" i="9"/>
  <c r="K71" i="9"/>
  <c r="K72" i="9"/>
  <c r="K73" i="9"/>
  <c r="K74" i="9"/>
  <c r="K76" i="9"/>
  <c r="K77" i="9"/>
  <c r="K78" i="9"/>
  <c r="K79" i="9"/>
  <c r="K80" i="9"/>
  <c r="K81" i="9"/>
  <c r="K82" i="9"/>
  <c r="B99" i="9"/>
  <c r="B100" i="9"/>
  <c r="B101" i="9"/>
  <c r="B102" i="9"/>
  <c r="B103" i="9"/>
  <c r="B104" i="9"/>
  <c r="B106" i="9"/>
  <c r="B108" i="9"/>
  <c r="T43" i="9"/>
  <c r="T44" i="9"/>
  <c r="T45" i="9"/>
  <c r="T46" i="9"/>
  <c r="T47" i="9"/>
  <c r="T48" i="9"/>
  <c r="T49" i="9"/>
  <c r="B57" i="9"/>
  <c r="B58" i="9"/>
  <c r="B59" i="9"/>
  <c r="B60" i="9"/>
  <c r="T56" i="9"/>
  <c r="T57" i="9"/>
  <c r="T58" i="9"/>
  <c r="T59" i="9"/>
  <c r="T60" i="9"/>
  <c r="T61" i="9"/>
  <c r="T62" i="9"/>
  <c r="K43" i="9"/>
  <c r="K44" i="9"/>
  <c r="K45" i="9"/>
  <c r="K46" i="9"/>
  <c r="K47" i="9"/>
  <c r="B43" i="9"/>
  <c r="B44" i="9"/>
  <c r="B45" i="9"/>
  <c r="B46" i="9"/>
  <c r="B47" i="9"/>
  <c r="B48" i="9"/>
  <c r="B49" i="9"/>
  <c r="B50" i="9"/>
  <c r="B51" i="9"/>
  <c r="K24" i="9"/>
  <c r="K25" i="9"/>
  <c r="K26" i="9"/>
  <c r="K27" i="9"/>
  <c r="K28" i="9"/>
  <c r="K29" i="9"/>
  <c r="K30" i="9"/>
  <c r="K31" i="9"/>
  <c r="K32" i="9"/>
  <c r="K33" i="9"/>
  <c r="K8" i="9"/>
  <c r="K9" i="9"/>
  <c r="K10" i="9"/>
  <c r="K11" i="9"/>
  <c r="K12" i="9"/>
  <c r="K13" i="9"/>
  <c r="K14" i="9"/>
  <c r="K15" i="9"/>
  <c r="K16" i="9"/>
  <c r="T24" i="9"/>
  <c r="T25" i="9"/>
  <c r="T26" i="9"/>
  <c r="T27" i="9"/>
  <c r="T28" i="9"/>
  <c r="B24" i="9"/>
  <c r="B25" i="9"/>
  <c r="B26" i="9"/>
  <c r="B27" i="9"/>
  <c r="B28" i="9"/>
  <c r="B29" i="9"/>
  <c r="B30" i="9"/>
  <c r="B31" i="9"/>
  <c r="B32" i="9"/>
  <c r="B33" i="9"/>
  <c r="T8" i="9"/>
  <c r="T9" i="9"/>
  <c r="T10" i="9"/>
  <c r="T11" i="9"/>
  <c r="T12" i="9"/>
  <c r="B8" i="9"/>
  <c r="B9" i="9"/>
  <c r="B10" i="9"/>
  <c r="B11" i="9"/>
  <c r="B12" i="9"/>
  <c r="B13" i="9"/>
  <c r="B14" i="9"/>
  <c r="B15" i="9"/>
  <c r="B16" i="9"/>
  <c r="B17" i="9"/>
  <c r="C27" i="14" l="1"/>
  <c r="C26" i="14"/>
  <c r="AO3" i="2" l="1"/>
  <c r="C28" i="14" l="1"/>
  <c r="C29" i="14" l="1"/>
  <c r="C30" i="14"/>
  <c r="C31" i="14"/>
  <c r="C32" i="14"/>
  <c r="AG3" i="2" l="1"/>
  <c r="C33" i="14" l="1"/>
  <c r="BD3" i="2" l="1"/>
  <c r="BC3" i="2"/>
  <c r="C34" i="14" l="1"/>
  <c r="C35" i="14" l="1"/>
  <c r="BB3" i="2" l="1"/>
  <c r="BA3" i="2"/>
  <c r="AZ3" i="2"/>
  <c r="AY3" i="2"/>
  <c r="AI3" i="2"/>
  <c r="AH3" i="2"/>
  <c r="AX3" i="2"/>
  <c r="AW3" i="2"/>
  <c r="AV3" i="2"/>
  <c r="AU3" i="2"/>
  <c r="AT3" i="2"/>
  <c r="AS3" i="2"/>
  <c r="AR3" i="2"/>
  <c r="AQ3" i="2"/>
  <c r="AP3" i="2"/>
  <c r="C36" i="14" l="1"/>
  <c r="L3" i="2" l="1"/>
  <c r="C37" i="14" l="1"/>
  <c r="C72" i="14" l="1"/>
  <c r="C71" i="14"/>
  <c r="C70" i="14"/>
  <c r="C69" i="14"/>
  <c r="C68" i="14"/>
  <c r="C67" i="14"/>
  <c r="C66" i="14"/>
  <c r="C65" i="14"/>
  <c r="C64" i="14"/>
  <c r="C63" i="14"/>
  <c r="C62" i="14"/>
  <c r="C61" i="14"/>
  <c r="C60" i="14"/>
  <c r="C59" i="14"/>
  <c r="C58" i="14"/>
  <c r="C57" i="14"/>
  <c r="C56" i="14"/>
  <c r="C55" i="14"/>
  <c r="C54" i="14"/>
  <c r="C53" i="14"/>
  <c r="C52" i="14"/>
  <c r="C51" i="14"/>
  <c r="C50" i="14"/>
  <c r="C49" i="14"/>
  <c r="C48" i="14"/>
  <c r="C47" i="14"/>
  <c r="C46" i="14"/>
  <c r="C45" i="14"/>
  <c r="C44" i="14"/>
  <c r="C43" i="14"/>
  <c r="C42" i="14"/>
  <c r="C41" i="14"/>
  <c r="C40" i="14"/>
  <c r="C74" i="14"/>
  <c r="C73" i="14"/>
  <c r="C39" i="14"/>
  <c r="C38" i="14"/>
  <c r="T236" i="9" l="1"/>
  <c r="AB5" i="2" l="1"/>
  <c r="AB3" i="2"/>
  <c r="Y3" i="2"/>
  <c r="AD3" i="2"/>
  <c r="AA3" i="2"/>
  <c r="P30" i="22" l="1"/>
  <c r="Q29" i="22"/>
  <c r="K29" i="22"/>
  <c r="L29" i="22" l="1"/>
  <c r="N29" i="22"/>
  <c r="M29" i="22"/>
  <c r="D67" i="28"/>
  <c r="C67" i="28"/>
  <c r="AA5" i="2"/>
  <c r="AD5" i="2"/>
  <c r="AC5" i="2"/>
  <c r="AC3" i="2"/>
  <c r="I67" i="28" l="1"/>
  <c r="J67" i="28"/>
  <c r="K119" i="9"/>
  <c r="K120" i="9"/>
  <c r="K121" i="9"/>
  <c r="K118" i="9"/>
  <c r="T124" i="9"/>
  <c r="T125" i="9"/>
  <c r="T123" i="9"/>
  <c r="B129" i="9" l="1"/>
  <c r="B130" i="9"/>
  <c r="B131" i="9"/>
  <c r="B128" i="9"/>
  <c r="B119" i="9" l="1"/>
  <c r="B120" i="9"/>
  <c r="B121" i="9"/>
  <c r="B122" i="9"/>
  <c r="B123" i="9"/>
  <c r="B118" i="9" l="1"/>
  <c r="T70" i="9" l="1"/>
  <c r="C66" i="28" l="1"/>
  <c r="G68" i="28" l="1"/>
  <c r="BD46" i="2" l="1"/>
  <c r="BD4" i="2" l="1"/>
  <c r="D66" i="28" l="1"/>
  <c r="BA46" i="2"/>
  <c r="I66" i="28" l="1"/>
  <c r="J66" i="28"/>
  <c r="BA4" i="2"/>
  <c r="G66" i="28"/>
  <c r="G67" i="28"/>
  <c r="AD46" i="2" l="1"/>
  <c r="AD87" i="2"/>
  <c r="AD4" i="2" l="1"/>
  <c r="AD49" i="2" s="1"/>
  <c r="AD50" i="2" s="1"/>
  <c r="AD51" i="2" s="1"/>
  <c r="AD52" i="2"/>
  <c r="AD54" i="2"/>
  <c r="AD56" i="2"/>
  <c r="AD58" i="2"/>
  <c r="AD60" i="2"/>
  <c r="AD62" i="2"/>
  <c r="AD64" i="2"/>
  <c r="AD66" i="2"/>
  <c r="AD68" i="2"/>
  <c r="AD70" i="2"/>
  <c r="AD72" i="2"/>
  <c r="AD74" i="2"/>
  <c r="AD76" i="2"/>
  <c r="AD78" i="2"/>
  <c r="AD80" i="2"/>
  <c r="AD82" i="2"/>
  <c r="AD84" i="2"/>
  <c r="AD86" i="2"/>
  <c r="AD88" i="2"/>
  <c r="AD53" i="2"/>
  <c r="AD55" i="2"/>
  <c r="AD57" i="2"/>
  <c r="AD59" i="2"/>
  <c r="AD61" i="2"/>
  <c r="AD63" i="2"/>
  <c r="AD65" i="2"/>
  <c r="AD67" i="2"/>
  <c r="AD69" i="2"/>
  <c r="AD71" i="2"/>
  <c r="AD73" i="2"/>
  <c r="AD75" i="2"/>
  <c r="AD77" i="2"/>
  <c r="AD79" i="2"/>
  <c r="AD81" i="2"/>
  <c r="AD83" i="2"/>
  <c r="AD85" i="2"/>
  <c r="R46" i="2"/>
  <c r="AC46" i="2"/>
  <c r="AC4" i="2" s="1"/>
  <c r="AB46" i="2"/>
  <c r="AA46" i="2"/>
  <c r="AC87" i="2"/>
  <c r="AB88" i="2"/>
  <c r="AA87" i="2"/>
  <c r="AD89" i="2" l="1"/>
  <c r="AB4" i="2"/>
  <c r="AB49" i="2" s="1"/>
  <c r="AB50" i="2" s="1"/>
  <c r="AB51" i="2" s="1"/>
  <c r="AB52" i="2" s="1"/>
  <c r="AB53" i="2" s="1"/>
  <c r="AA4" i="2"/>
  <c r="AA49" i="2" s="1"/>
  <c r="AA50" i="2" s="1"/>
  <c r="AA51" i="2" s="1"/>
  <c r="AA52" i="2" s="1"/>
  <c r="AA53" i="2" s="1"/>
  <c r="AA54" i="2"/>
  <c r="AC54" i="2"/>
  <c r="AB55" i="2"/>
  <c r="AA56" i="2"/>
  <c r="AC56" i="2"/>
  <c r="AB57" i="2"/>
  <c r="AA58" i="2"/>
  <c r="AC58" i="2"/>
  <c r="AB59" i="2"/>
  <c r="AA60" i="2"/>
  <c r="AC60" i="2"/>
  <c r="AB61" i="2"/>
  <c r="AA62" i="2"/>
  <c r="AC62" i="2"/>
  <c r="AB63" i="2"/>
  <c r="AA64" i="2"/>
  <c r="AC64" i="2"/>
  <c r="AB65" i="2"/>
  <c r="AA66" i="2"/>
  <c r="AC66" i="2"/>
  <c r="AB67" i="2"/>
  <c r="AA68" i="2"/>
  <c r="AC68" i="2"/>
  <c r="AB69" i="2"/>
  <c r="AA70" i="2"/>
  <c r="AC70" i="2"/>
  <c r="AB71" i="2"/>
  <c r="AA72" i="2"/>
  <c r="AC72" i="2"/>
  <c r="AB73" i="2"/>
  <c r="AA74" i="2"/>
  <c r="AC74" i="2"/>
  <c r="AB75" i="2"/>
  <c r="AA76" i="2"/>
  <c r="AC76" i="2"/>
  <c r="AB77" i="2"/>
  <c r="AA78" i="2"/>
  <c r="AC78" i="2"/>
  <c r="AB79" i="2"/>
  <c r="AA80" i="2"/>
  <c r="AC80" i="2"/>
  <c r="AB81" i="2"/>
  <c r="AA82" i="2"/>
  <c r="AC82" i="2"/>
  <c r="AB83" i="2"/>
  <c r="AA84" i="2"/>
  <c r="AC84" i="2"/>
  <c r="AB85" i="2"/>
  <c r="AA86" i="2"/>
  <c r="AC86" i="2"/>
  <c r="AB87" i="2"/>
  <c r="AA88" i="2"/>
  <c r="AC88" i="2"/>
  <c r="AC49" i="2"/>
  <c r="AB54" i="2"/>
  <c r="AA55" i="2"/>
  <c r="AC55" i="2"/>
  <c r="AB56" i="2"/>
  <c r="AA57" i="2"/>
  <c r="AC57" i="2"/>
  <c r="AB58" i="2"/>
  <c r="AA59" i="2"/>
  <c r="AC59" i="2"/>
  <c r="AB60" i="2"/>
  <c r="AA61" i="2"/>
  <c r="AC61" i="2"/>
  <c r="AB62" i="2"/>
  <c r="AA63" i="2"/>
  <c r="AC63" i="2"/>
  <c r="AB64" i="2"/>
  <c r="AA65" i="2"/>
  <c r="AC65" i="2"/>
  <c r="AB66" i="2"/>
  <c r="AA67" i="2"/>
  <c r="AC67" i="2"/>
  <c r="AB68" i="2"/>
  <c r="AA69" i="2"/>
  <c r="AC69" i="2"/>
  <c r="AB70" i="2"/>
  <c r="AA71" i="2"/>
  <c r="AC71" i="2"/>
  <c r="AB72" i="2"/>
  <c r="AA73" i="2"/>
  <c r="AC73" i="2"/>
  <c r="AB74" i="2"/>
  <c r="AA75" i="2"/>
  <c r="AC75" i="2"/>
  <c r="AB76" i="2"/>
  <c r="AA77" i="2"/>
  <c r="AC77" i="2"/>
  <c r="AB78" i="2"/>
  <c r="AA79" i="2"/>
  <c r="AC79" i="2"/>
  <c r="AB80" i="2"/>
  <c r="AA81" i="2"/>
  <c r="AC81" i="2"/>
  <c r="AB82" i="2"/>
  <c r="AA83" i="2"/>
  <c r="AC83" i="2"/>
  <c r="AB84" i="2"/>
  <c r="AA85" i="2"/>
  <c r="AC85" i="2"/>
  <c r="AB86" i="2"/>
  <c r="Q46" i="2"/>
  <c r="R5" i="2"/>
  <c r="R88" i="2" s="1"/>
  <c r="Q5" i="2"/>
  <c r="Q88" i="2" s="1"/>
  <c r="R3" i="2"/>
  <c r="R4" i="2" s="1"/>
  <c r="Q3" i="2"/>
  <c r="Q4" i="2" l="1"/>
  <c r="Q49" i="2" s="1"/>
  <c r="Q50" i="2" s="1"/>
  <c r="Q51" i="2" s="1"/>
  <c r="Q52" i="2" s="1"/>
  <c r="Q53" i="2" s="1"/>
  <c r="Q54" i="2" s="1"/>
  <c r="Q55" i="2" s="1"/>
  <c r="Q56" i="2" s="1"/>
  <c r="AA89" i="2"/>
  <c r="AC50" i="2"/>
  <c r="AC51" i="2" s="1"/>
  <c r="AC52" i="2" s="1"/>
  <c r="AC53" i="2" s="1"/>
  <c r="AB89"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R49"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Q24" i="22"/>
  <c r="Q25" i="22"/>
  <c r="AC89" i="2" l="1"/>
  <c r="R50" i="2"/>
  <c r="R51" i="2" s="1"/>
  <c r="R52" i="2" s="1"/>
  <c r="R53" i="2" s="1"/>
  <c r="R54" i="2" s="1"/>
  <c r="R55" i="2" s="1"/>
  <c r="R56" i="2" s="1"/>
  <c r="Q89" i="2"/>
  <c r="R89" i="2" l="1"/>
  <c r="C9" i="28" l="1"/>
  <c r="K7" i="28" l="1"/>
  <c r="I2" i="28"/>
  <c r="K70" i="28" l="1"/>
  <c r="K50" i="28"/>
  <c r="K51" i="28"/>
  <c r="K52" i="28"/>
  <c r="K53" i="28"/>
  <c r="K66" i="28"/>
  <c r="K67" i="28"/>
  <c r="K44" i="28"/>
  <c r="K68" i="28"/>
  <c r="K69" i="28"/>
  <c r="K71" i="28"/>
  <c r="K74" i="28"/>
  <c r="K34" i="28"/>
  <c r="K35" i="28"/>
  <c r="K39" i="28"/>
  <c r="K38" i="28"/>
  <c r="K37" i="28"/>
  <c r="K36" i="28"/>
  <c r="K40" i="28"/>
  <c r="K11" i="28"/>
  <c r="K25" i="28"/>
  <c r="K33" i="28"/>
  <c r="K21" i="28"/>
  <c r="K15" i="28"/>
  <c r="K22" i="28"/>
  <c r="K28" i="28"/>
  <c r="K29" i="28"/>
  <c r="K41" i="28"/>
  <c r="K8" i="28"/>
  <c r="L7" i="28"/>
  <c r="I8" i="28"/>
  <c r="L70" i="28" l="1"/>
  <c r="L50" i="28"/>
  <c r="L51" i="28"/>
  <c r="L52" i="28"/>
  <c r="L53" i="28"/>
  <c r="L66" i="28"/>
  <c r="L67" i="28"/>
  <c r="L68" i="28"/>
  <c r="L69" i="28"/>
  <c r="L71" i="28"/>
  <c r="L44" i="28"/>
  <c r="L74" i="28"/>
  <c r="L34" i="28"/>
  <c r="L38" i="28"/>
  <c r="L35" i="28"/>
  <c r="L39" i="28"/>
  <c r="L36" i="28"/>
  <c r="L40" i="28"/>
  <c r="L37" i="28"/>
  <c r="L11" i="28"/>
  <c r="L25" i="28"/>
  <c r="L33" i="28"/>
  <c r="L21" i="28"/>
  <c r="L15" i="28"/>
  <c r="L22" i="28"/>
  <c r="L28" i="28"/>
  <c r="L29" i="28"/>
  <c r="L41" i="28"/>
  <c r="L8" i="28"/>
  <c r="M7" i="28"/>
  <c r="B263" i="9"/>
  <c r="M12" i="10"/>
  <c r="A2" i="9"/>
  <c r="Q26" i="22"/>
  <c r="Q27" i="22"/>
  <c r="Q28" i="22"/>
  <c r="S6" i="22"/>
  <c r="S7" i="22"/>
  <c r="S8" i="22"/>
  <c r="S9" i="22"/>
  <c r="S10" i="22"/>
  <c r="S11" i="22"/>
  <c r="S12" i="22"/>
  <c r="S13" i="22"/>
  <c r="S14" i="22"/>
  <c r="S5" i="22"/>
  <c r="M70" i="28" l="1"/>
  <c r="M50" i="28"/>
  <c r="M51" i="28"/>
  <c r="M52" i="28"/>
  <c r="M53" i="28"/>
  <c r="M66" i="28"/>
  <c r="M67" i="28"/>
  <c r="M44" i="28"/>
  <c r="M68" i="28"/>
  <c r="M69" i="28"/>
  <c r="M71" i="28"/>
  <c r="M74" i="28"/>
  <c r="M34" i="28"/>
  <c r="M37" i="28"/>
  <c r="M36" i="28"/>
  <c r="M40" i="28"/>
  <c r="M35" i="28"/>
  <c r="M39" i="28"/>
  <c r="M38" i="28"/>
  <c r="M11" i="28"/>
  <c r="M25" i="28"/>
  <c r="M33" i="28"/>
  <c r="V106" i="9"/>
  <c r="W106" i="9"/>
  <c r="U108" i="9" s="1"/>
  <c r="U109" i="9" s="1"/>
  <c r="V251" i="9"/>
  <c r="Y251" i="9" s="1"/>
  <c r="W251" i="9"/>
  <c r="U253" i="9" s="1"/>
  <c r="U254" i="9" s="1"/>
  <c r="U255" i="9" s="1"/>
  <c r="U256" i="9" s="1"/>
  <c r="U257" i="9" s="1"/>
  <c r="U258" i="9" s="1"/>
  <c r="U259" i="9" s="1"/>
  <c r="U260" i="9" s="1"/>
  <c r="U261" i="9" s="1"/>
  <c r="U262" i="9" s="1"/>
  <c r="U263" i="9" s="1"/>
  <c r="U264" i="9" s="1"/>
  <c r="U265" i="9" s="1"/>
  <c r="U266" i="9" s="1"/>
  <c r="U267" i="9" s="1"/>
  <c r="U268" i="9" s="1"/>
  <c r="U269" i="9" s="1"/>
  <c r="U270" i="9" s="1"/>
  <c r="U271" i="9" s="1"/>
  <c r="U272" i="9" s="1"/>
  <c r="U273" i="9" s="1"/>
  <c r="U274" i="9" s="1"/>
  <c r="U275" i="9" s="1"/>
  <c r="U276" i="9" s="1"/>
  <c r="U277" i="9" s="1"/>
  <c r="U278" i="9" s="1"/>
  <c r="U279" i="9" s="1"/>
  <c r="U280" i="9" s="1"/>
  <c r="U281" i="9" s="1"/>
  <c r="U282" i="9" s="1"/>
  <c r="U283" i="9" s="1"/>
  <c r="U284" i="9" s="1"/>
  <c r="U285" i="9" s="1"/>
  <c r="U286" i="9" s="1"/>
  <c r="U287" i="9" s="1"/>
  <c r="U288" i="9" s="1"/>
  <c r="U289" i="9" s="1"/>
  <c r="U290" i="9" s="1"/>
  <c r="U291" i="9" s="1"/>
  <c r="U292" i="9" s="1"/>
  <c r="D216" i="9"/>
  <c r="G216" i="9" s="1"/>
  <c r="M216" i="9"/>
  <c r="P216" i="9" s="1"/>
  <c r="V216" i="9"/>
  <c r="M21" i="28"/>
  <c r="N54" i="9"/>
  <c r="L56" i="9" s="1"/>
  <c r="L57" i="9" s="1"/>
  <c r="L58" i="9" s="1"/>
  <c r="M54" i="9"/>
  <c r="P54" i="9" s="1"/>
  <c r="M15" i="28"/>
  <c r="M22" i="28"/>
  <c r="M28" i="28"/>
  <c r="M29" i="28"/>
  <c r="M41" i="28"/>
  <c r="M8" i="28"/>
  <c r="V80" i="9"/>
  <c r="Y80" i="9" s="1"/>
  <c r="W80" i="9"/>
  <c r="E116" i="9"/>
  <c r="W116" i="9"/>
  <c r="U118" i="9" s="1"/>
  <c r="N124" i="9"/>
  <c r="L126" i="9" s="1"/>
  <c r="L127" i="9" s="1"/>
  <c r="L128" i="9" s="1"/>
  <c r="M124" i="9"/>
  <c r="P124" i="9" s="1"/>
  <c r="V116" i="9"/>
  <c r="Y116" i="9" s="1"/>
  <c r="N137" i="9"/>
  <c r="L139" i="9" s="1"/>
  <c r="M137" i="9"/>
  <c r="W121" i="9"/>
  <c r="U123" i="9" s="1"/>
  <c r="U124" i="9" s="1"/>
  <c r="U125" i="9" s="1"/>
  <c r="M116" i="9"/>
  <c r="P116" i="9" s="1"/>
  <c r="N116" i="9"/>
  <c r="V121" i="9"/>
  <c r="Y121" i="9" s="1"/>
  <c r="D126" i="9"/>
  <c r="G126" i="9" s="1"/>
  <c r="D116" i="9"/>
  <c r="G116" i="9" s="1"/>
  <c r="E126" i="9"/>
  <c r="C128" i="9" s="1"/>
  <c r="C129" i="9" s="1"/>
  <c r="C130" i="9" s="1"/>
  <c r="C131" i="9" s="1"/>
  <c r="E68" i="9"/>
  <c r="C70" i="9" s="1"/>
  <c r="D251" i="9"/>
  <c r="N7" i="28"/>
  <c r="E251" i="9"/>
  <c r="C253" i="9" s="1"/>
  <c r="BC46" i="2"/>
  <c r="K28" i="22"/>
  <c r="N70" i="28" l="1"/>
  <c r="Q124" i="9"/>
  <c r="Q54" i="9"/>
  <c r="Q216" i="9"/>
  <c r="T19" i="16" s="1"/>
  <c r="H126" i="9"/>
  <c r="H116" i="9"/>
  <c r="Z121" i="9"/>
  <c r="Q116" i="9"/>
  <c r="Z116" i="9"/>
  <c r="Z80" i="9"/>
  <c r="Y216" i="9"/>
  <c r="H216" i="9"/>
  <c r="Y106" i="9"/>
  <c r="Z106" i="9" s="1"/>
  <c r="B27" i="16" s="1"/>
  <c r="N50" i="28"/>
  <c r="N51" i="28"/>
  <c r="N52" i="28"/>
  <c r="N53" i="28"/>
  <c r="N66" i="28"/>
  <c r="N67" i="28"/>
  <c r="N68" i="28"/>
  <c r="N69" i="28"/>
  <c r="N71" i="28"/>
  <c r="N44" i="28"/>
  <c r="N74" i="28"/>
  <c r="N34" i="28"/>
  <c r="N36" i="28"/>
  <c r="N40" i="28"/>
  <c r="N37" i="28"/>
  <c r="N38" i="28"/>
  <c r="N35" i="28"/>
  <c r="N39" i="28"/>
  <c r="N11" i="28"/>
  <c r="N25" i="28"/>
  <c r="N33" i="28"/>
  <c r="U82" i="9"/>
  <c r="U83" i="9" s="1"/>
  <c r="U84" i="9" s="1"/>
  <c r="U85" i="9" s="1"/>
  <c r="U86" i="9" s="1"/>
  <c r="U87" i="9" s="1"/>
  <c r="W253" i="9"/>
  <c r="Z251" i="9"/>
  <c r="T25" i="16" s="1"/>
  <c r="N21" i="28"/>
  <c r="T17" i="16"/>
  <c r="H12" i="16"/>
  <c r="N15" i="28"/>
  <c r="N22" i="28"/>
  <c r="N28" i="28"/>
  <c r="N29" i="28"/>
  <c r="N41" i="28"/>
  <c r="N8" i="28"/>
  <c r="N11" i="16"/>
  <c r="N8" i="16"/>
  <c r="L118" i="9"/>
  <c r="L119" i="9" s="1"/>
  <c r="L120" i="9" s="1"/>
  <c r="L121" i="9" s="1"/>
  <c r="C118" i="9"/>
  <c r="C119" i="9" s="1"/>
  <c r="C120" i="9" s="1"/>
  <c r="C121" i="9" s="1"/>
  <c r="C122" i="9" s="1"/>
  <c r="C123" i="9" s="1"/>
  <c r="N10" i="16"/>
  <c r="N12" i="16"/>
  <c r="N9" i="16"/>
  <c r="N7" i="16"/>
  <c r="O7" i="28"/>
  <c r="N28" i="22"/>
  <c r="L28" i="22"/>
  <c r="M28" i="22"/>
  <c r="A2" i="28"/>
  <c r="O70" i="28" l="1"/>
  <c r="Z216" i="9"/>
  <c r="T18" i="16" s="1"/>
  <c r="O50" i="28"/>
  <c r="O51" i="28"/>
  <c r="O52" i="28"/>
  <c r="O53" i="28"/>
  <c r="O66" i="28"/>
  <c r="O67" i="28"/>
  <c r="O44" i="28"/>
  <c r="O68" i="28"/>
  <c r="O69" i="28"/>
  <c r="O71" i="28"/>
  <c r="O74" i="28"/>
  <c r="O34" i="28"/>
  <c r="O35" i="28"/>
  <c r="O39" i="28"/>
  <c r="O38" i="28"/>
  <c r="O37" i="28"/>
  <c r="O36" i="28"/>
  <c r="O40" i="28"/>
  <c r="O11" i="28"/>
  <c r="O25" i="28"/>
  <c r="O33" i="28"/>
  <c r="W108" i="9"/>
  <c r="V253" i="9"/>
  <c r="Y253" i="9"/>
  <c r="X253" i="9"/>
  <c r="T20" i="16"/>
  <c r="O21" i="28"/>
  <c r="O15" i="28"/>
  <c r="O22" i="28"/>
  <c r="O28" i="28"/>
  <c r="O29" i="28"/>
  <c r="O41" i="28"/>
  <c r="O8" i="28"/>
  <c r="N13" i="16"/>
  <c r="P7" i="28"/>
  <c r="A2" i="19"/>
  <c r="B6" i="19" s="1"/>
  <c r="P70" i="28" l="1"/>
  <c r="P50" i="28"/>
  <c r="P51" i="28"/>
  <c r="P52" i="28"/>
  <c r="P53" i="28"/>
  <c r="P66" i="28"/>
  <c r="P67" i="28"/>
  <c r="P68" i="28"/>
  <c r="P69" i="28"/>
  <c r="P71" i="28"/>
  <c r="P44" i="28"/>
  <c r="P74" i="28"/>
  <c r="P34" i="28"/>
  <c r="P38" i="28"/>
  <c r="P35" i="28"/>
  <c r="P39" i="28"/>
  <c r="P36" i="28"/>
  <c r="P40" i="28"/>
  <c r="P37" i="28"/>
  <c r="P11" i="28"/>
  <c r="P25" i="28"/>
  <c r="P33" i="28"/>
  <c r="V108" i="9"/>
  <c r="X108" i="9"/>
  <c r="Y108" i="9"/>
  <c r="P21" i="28"/>
  <c r="P15" i="28"/>
  <c r="P22" i="28"/>
  <c r="P28" i="28"/>
  <c r="P29" i="28"/>
  <c r="P41" i="28"/>
  <c r="P8" i="28"/>
  <c r="Q7" i="28"/>
  <c r="G6" i="19"/>
  <c r="F6" i="19"/>
  <c r="E6" i="19"/>
  <c r="D6" i="19"/>
  <c r="C6" i="19"/>
  <c r="Q70" i="28" l="1"/>
  <c r="Q50" i="28"/>
  <c r="Q51" i="28"/>
  <c r="Q52" i="28"/>
  <c r="Q53" i="28"/>
  <c r="Q66" i="28"/>
  <c r="Q67" i="28"/>
  <c r="Q44" i="28"/>
  <c r="Q68" i="28"/>
  <c r="Q69" i="28"/>
  <c r="Q71" i="28"/>
  <c r="Q74" i="28"/>
  <c r="Q34" i="28"/>
  <c r="Q37" i="28"/>
  <c r="Q36" i="28"/>
  <c r="Q40" i="28"/>
  <c r="Q35" i="28"/>
  <c r="Q39" i="28"/>
  <c r="Q38" i="28"/>
  <c r="Q11" i="28"/>
  <c r="Q25" i="28"/>
  <c r="Q33" i="28"/>
  <c r="Q21" i="28"/>
  <c r="Q15" i="28"/>
  <c r="Q22" i="28"/>
  <c r="Q28" i="28"/>
  <c r="Q29" i="28"/>
  <c r="Q41" i="28"/>
  <c r="Q8" i="28"/>
  <c r="R7" i="28"/>
  <c r="R70" i="28" l="1"/>
  <c r="R50" i="28"/>
  <c r="R51" i="28"/>
  <c r="R52" i="28"/>
  <c r="R53" i="28"/>
  <c r="R66" i="28"/>
  <c r="R67" i="28"/>
  <c r="R68" i="28"/>
  <c r="R69" i="28"/>
  <c r="R71" i="28"/>
  <c r="R44" i="28"/>
  <c r="R74" i="28"/>
  <c r="R34" i="28"/>
  <c r="R36" i="28"/>
  <c r="R40" i="28"/>
  <c r="R37" i="28"/>
  <c r="R38" i="28"/>
  <c r="R35" i="28"/>
  <c r="R39" i="28"/>
  <c r="R11" i="28"/>
  <c r="R25" i="28"/>
  <c r="R33" i="28"/>
  <c r="R21" i="28"/>
  <c r="R15" i="28"/>
  <c r="R22" i="28"/>
  <c r="R28" i="28"/>
  <c r="R29" i="28"/>
  <c r="R41" i="28"/>
  <c r="R8" i="28"/>
  <c r="S7" i="28"/>
  <c r="G69" i="28"/>
  <c r="S70" i="28" l="1"/>
  <c r="S50" i="28"/>
  <c r="S51" i="28"/>
  <c r="S52" i="28"/>
  <c r="S53" i="28"/>
  <c r="S66" i="28"/>
  <c r="S67" i="28"/>
  <c r="S44" i="28"/>
  <c r="S68" i="28"/>
  <c r="S69" i="28"/>
  <c r="S71" i="28"/>
  <c r="S74" i="28"/>
  <c r="S34" i="28"/>
  <c r="S35" i="28"/>
  <c r="S39" i="28"/>
  <c r="S38" i="28"/>
  <c r="S37" i="28"/>
  <c r="S36" i="28"/>
  <c r="S40" i="28"/>
  <c r="S11" i="28"/>
  <c r="S25" i="28"/>
  <c r="S33" i="28"/>
  <c r="S21" i="28"/>
  <c r="S15" i="28"/>
  <c r="S22" i="28"/>
  <c r="S28" i="28"/>
  <c r="S29" i="28"/>
  <c r="S41" i="28"/>
  <c r="S8" i="28"/>
  <c r="T7" i="28"/>
  <c r="T70" i="28" l="1"/>
  <c r="T50" i="28"/>
  <c r="T51" i="28"/>
  <c r="T52" i="28"/>
  <c r="T53" i="28"/>
  <c r="T66" i="28"/>
  <c r="T67" i="28"/>
  <c r="T68" i="28"/>
  <c r="T69" i="28"/>
  <c r="T71" i="28"/>
  <c r="T44" i="28"/>
  <c r="T74" i="28"/>
  <c r="T34" i="28"/>
  <c r="T38" i="28"/>
  <c r="T35" i="28"/>
  <c r="T39" i="28"/>
  <c r="T36" i="28"/>
  <c r="T40" i="28"/>
  <c r="T37" i="28"/>
  <c r="T11" i="28"/>
  <c r="T25" i="28"/>
  <c r="T33" i="28"/>
  <c r="T21" i="28"/>
  <c r="T15" i="28"/>
  <c r="T22" i="28"/>
  <c r="T28" i="28"/>
  <c r="T29" i="28"/>
  <c r="T41" i="28"/>
  <c r="T8" i="28"/>
  <c r="U7" i="28"/>
  <c r="T229" i="9"/>
  <c r="BC4" i="2"/>
  <c r="K24" i="22"/>
  <c r="U70" i="28" l="1"/>
  <c r="U50" i="28"/>
  <c r="U51" i="28"/>
  <c r="U52" i="28"/>
  <c r="U53" i="28"/>
  <c r="U66" i="28"/>
  <c r="U67" i="28"/>
  <c r="U44" i="28"/>
  <c r="U68" i="28"/>
  <c r="U69" i="28"/>
  <c r="U71" i="28"/>
  <c r="U74" i="28"/>
  <c r="U34" i="28"/>
  <c r="U37" i="28"/>
  <c r="U36" i="28"/>
  <c r="U40" i="28"/>
  <c r="U35" i="28"/>
  <c r="U39" i="28"/>
  <c r="U38" i="28"/>
  <c r="U11" i="28"/>
  <c r="U25" i="28"/>
  <c r="U33" i="28"/>
  <c r="U21" i="28"/>
  <c r="U15" i="28"/>
  <c r="U22" i="28"/>
  <c r="U28" i="28"/>
  <c r="U29" i="28"/>
  <c r="U41" i="28"/>
  <c r="U8" i="28"/>
  <c r="V7" i="28"/>
  <c r="V70" i="28" l="1"/>
  <c r="V50" i="28"/>
  <c r="V51" i="28"/>
  <c r="V52" i="28"/>
  <c r="V53" i="28"/>
  <c r="V66" i="28"/>
  <c r="V67" i="28"/>
  <c r="V68" i="28"/>
  <c r="V69" i="28"/>
  <c r="V71" i="28"/>
  <c r="V44" i="28"/>
  <c r="V74" i="28"/>
  <c r="V34" i="28"/>
  <c r="V36" i="28"/>
  <c r="V40" i="28"/>
  <c r="V37" i="28"/>
  <c r="V38" i="28"/>
  <c r="V35" i="28"/>
  <c r="V39" i="28"/>
  <c r="V11" i="28"/>
  <c r="V25" i="28"/>
  <c r="V33" i="28"/>
  <c r="V21" i="28"/>
  <c r="V15" i="28"/>
  <c r="V22" i="28"/>
  <c r="V28" i="28"/>
  <c r="V29" i="28"/>
  <c r="V41" i="28"/>
  <c r="V8" i="28"/>
  <c r="W7" i="28"/>
  <c r="W70" i="28" l="1"/>
  <c r="W50" i="28"/>
  <c r="W51" i="28"/>
  <c r="W52" i="28"/>
  <c r="W53" i="28"/>
  <c r="W66" i="28"/>
  <c r="W67" i="28"/>
  <c r="W44" i="28"/>
  <c r="W68" i="28"/>
  <c r="W69" i="28"/>
  <c r="W71" i="28"/>
  <c r="W74" i="28"/>
  <c r="W34" i="28"/>
  <c r="W35" i="28"/>
  <c r="W39" i="28"/>
  <c r="W38" i="28"/>
  <c r="W37" i="28"/>
  <c r="W36" i="28"/>
  <c r="W40" i="28"/>
  <c r="W11" i="28"/>
  <c r="W25" i="28"/>
  <c r="W33" i="28"/>
  <c r="W21" i="28"/>
  <c r="W15" i="28"/>
  <c r="W22" i="28"/>
  <c r="W28" i="28"/>
  <c r="W29" i="28"/>
  <c r="W41" i="28"/>
  <c r="W8" i="28"/>
  <c r="X7" i="28"/>
  <c r="X70" i="28" l="1"/>
  <c r="X50" i="28"/>
  <c r="X51" i="28"/>
  <c r="X52" i="28"/>
  <c r="X53" i="28"/>
  <c r="X66" i="28"/>
  <c r="X67" i="28"/>
  <c r="X68" i="28"/>
  <c r="X69" i="28"/>
  <c r="X71" i="28"/>
  <c r="X44" i="28"/>
  <c r="X74" i="28"/>
  <c r="X34" i="28"/>
  <c r="X38" i="28"/>
  <c r="X35" i="28"/>
  <c r="X39" i="28"/>
  <c r="X36" i="28"/>
  <c r="X40" i="28"/>
  <c r="X37" i="28"/>
  <c r="X11" i="28"/>
  <c r="X25" i="28"/>
  <c r="X33" i="28"/>
  <c r="X21" i="28"/>
  <c r="X15" i="28"/>
  <c r="X22" i="28"/>
  <c r="X28" i="28"/>
  <c r="X29" i="28"/>
  <c r="X41" i="28"/>
  <c r="X8" i="28"/>
  <c r="Y7" i="28"/>
  <c r="Y70" i="28" l="1"/>
  <c r="Y50" i="28"/>
  <c r="Y51" i="28"/>
  <c r="Y52" i="28"/>
  <c r="Y53" i="28"/>
  <c r="Y66" i="28"/>
  <c r="Y67" i="28"/>
  <c r="Y44" i="28"/>
  <c r="Y68" i="28"/>
  <c r="Y69" i="28"/>
  <c r="Y71" i="28"/>
  <c r="Y74" i="28"/>
  <c r="Y34" i="28"/>
  <c r="Y37" i="28"/>
  <c r="Y36" i="28"/>
  <c r="Y40" i="28"/>
  <c r="Y35" i="28"/>
  <c r="Y39" i="28"/>
  <c r="Y38" i="28"/>
  <c r="Y11" i="28"/>
  <c r="Y25" i="28"/>
  <c r="Y33" i="28"/>
  <c r="Y21" i="28"/>
  <c r="Y15" i="28"/>
  <c r="Y22" i="28"/>
  <c r="Y28" i="28"/>
  <c r="Y29" i="28"/>
  <c r="Y41" i="28"/>
  <c r="Y8" i="28"/>
  <c r="Z7" i="28"/>
  <c r="Z70" i="28" l="1"/>
  <c r="Z50" i="28"/>
  <c r="Z51" i="28"/>
  <c r="Z52" i="28"/>
  <c r="Z53" i="28"/>
  <c r="Z66" i="28"/>
  <c r="Z67" i="28"/>
  <c r="Z68" i="28"/>
  <c r="Z69" i="28"/>
  <c r="Z71" i="28"/>
  <c r="Z44" i="28"/>
  <c r="Z74" i="28"/>
  <c r="Z34" i="28"/>
  <c r="Z36" i="28"/>
  <c r="Z40" i="28"/>
  <c r="Z37" i="28"/>
  <c r="Z38" i="28"/>
  <c r="Z35" i="28"/>
  <c r="Z39" i="28"/>
  <c r="Z11" i="28"/>
  <c r="Z25" i="28"/>
  <c r="Z33" i="28"/>
  <c r="Z21" i="28"/>
  <c r="Z15" i="28"/>
  <c r="Z22" i="28"/>
  <c r="Z28" i="28"/>
  <c r="Z29" i="28"/>
  <c r="Z41" i="28"/>
  <c r="Z8" i="28"/>
  <c r="AA7" i="28"/>
  <c r="AA70" i="28" l="1"/>
  <c r="AA50" i="28"/>
  <c r="AA51" i="28"/>
  <c r="AA52" i="28"/>
  <c r="AA53" i="28"/>
  <c r="AA66" i="28"/>
  <c r="AA67" i="28"/>
  <c r="AA44" i="28"/>
  <c r="AA68" i="28"/>
  <c r="AA69" i="28"/>
  <c r="AA71" i="28"/>
  <c r="AA74" i="28"/>
  <c r="AA34" i="28"/>
  <c r="AA35" i="28"/>
  <c r="AA39" i="28"/>
  <c r="AA38" i="28"/>
  <c r="AA37" i="28"/>
  <c r="AA36" i="28"/>
  <c r="AA40" i="28"/>
  <c r="AA11" i="28"/>
  <c r="AA25" i="28"/>
  <c r="AA33" i="28"/>
  <c r="AA21" i="28"/>
  <c r="AA15" i="28"/>
  <c r="AA22" i="28"/>
  <c r="AA28" i="28"/>
  <c r="AA29" i="28"/>
  <c r="AA41" i="28"/>
  <c r="AA8" i="28"/>
  <c r="AB7" i="28"/>
  <c r="I3" i="28"/>
  <c r="I4" i="28" s="1"/>
  <c r="AB70" i="28" l="1"/>
  <c r="AB50" i="28"/>
  <c r="AB51" i="28"/>
  <c r="AB52" i="28"/>
  <c r="AB53" i="28"/>
  <c r="AB66" i="28"/>
  <c r="AB67" i="28"/>
  <c r="AB68" i="28"/>
  <c r="AB69" i="28"/>
  <c r="AB71" i="28"/>
  <c r="AB44" i="28"/>
  <c r="AB74" i="28"/>
  <c r="AB34" i="28"/>
  <c r="AB38" i="28"/>
  <c r="AB35" i="28"/>
  <c r="AB39" i="28"/>
  <c r="AB36" i="28"/>
  <c r="AB40" i="28"/>
  <c r="AB37" i="28"/>
  <c r="AB11" i="28"/>
  <c r="AB25" i="28"/>
  <c r="AB33" i="28"/>
  <c r="AB21" i="28"/>
  <c r="AB15" i="28"/>
  <c r="AB22" i="28"/>
  <c r="AB28" i="28"/>
  <c r="AB29" i="28"/>
  <c r="AB41" i="28"/>
  <c r="AB8" i="28"/>
  <c r="AC7" i="28"/>
  <c r="I5" i="28"/>
  <c r="D10" i="28"/>
  <c r="G10" i="28" s="1"/>
  <c r="C10" i="28"/>
  <c r="AC70" i="28" l="1"/>
  <c r="AC50" i="28"/>
  <c r="AC51" i="28"/>
  <c r="AC52" i="28"/>
  <c r="AC53" i="28"/>
  <c r="AC66" i="28"/>
  <c r="AC67" i="28"/>
  <c r="AC44" i="28"/>
  <c r="AC68" i="28"/>
  <c r="AC69" i="28"/>
  <c r="AC71" i="28"/>
  <c r="AC74" i="28"/>
  <c r="AC34" i="28"/>
  <c r="AC37" i="28"/>
  <c r="AC36" i="28"/>
  <c r="AC40" i="28"/>
  <c r="AC35" i="28"/>
  <c r="AC39" i="28"/>
  <c r="AC38" i="28"/>
  <c r="AC11" i="28"/>
  <c r="AC25" i="28"/>
  <c r="AC33" i="28"/>
  <c r="AC21" i="28"/>
  <c r="I10" i="28"/>
  <c r="J10" i="28"/>
  <c r="K10" i="28"/>
  <c r="L10" i="28"/>
  <c r="M10" i="28"/>
  <c r="N10" i="28"/>
  <c r="O10" i="28"/>
  <c r="P10" i="28"/>
  <c r="Q10" i="28"/>
  <c r="R10" i="28"/>
  <c r="S10" i="28"/>
  <c r="T10" i="28"/>
  <c r="U10" i="28"/>
  <c r="V10" i="28"/>
  <c r="W10" i="28"/>
  <c r="X10" i="28"/>
  <c r="Y10" i="28"/>
  <c r="Z10" i="28"/>
  <c r="AA10" i="28"/>
  <c r="AC10" i="28"/>
  <c r="AC15" i="28"/>
  <c r="AC22" i="28"/>
  <c r="AC28" i="28"/>
  <c r="AC29" i="28"/>
  <c r="AC41" i="28"/>
  <c r="AC8" i="28"/>
  <c r="AB10" i="28"/>
  <c r="AD7" i="28"/>
  <c r="A3" i="27"/>
  <c r="A4" i="27" s="1"/>
  <c r="A5" i="27" s="1"/>
  <c r="A6" i="27" s="1"/>
  <c r="A7" i="27" s="1"/>
  <c r="A8" i="27" s="1"/>
  <c r="A9" i="27" s="1"/>
  <c r="A10" i="27" s="1"/>
  <c r="A11" i="27" s="1"/>
  <c r="A12" i="27" s="1"/>
  <c r="A13" i="27" s="1"/>
  <c r="A14" i="27" s="1"/>
  <c r="A15" i="27" s="1"/>
  <c r="A16" i="27" s="1"/>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A92" i="27" s="1"/>
  <c r="A93" i="27" s="1"/>
  <c r="A94" i="27" s="1"/>
  <c r="A95" i="27" s="1"/>
  <c r="A96" i="27" s="1"/>
  <c r="A97" i="27" s="1"/>
  <c r="A98" i="27" s="1"/>
  <c r="A99" i="27" s="1"/>
  <c r="A100" i="27" s="1"/>
  <c r="A101" i="27" s="1"/>
  <c r="A102" i="27" s="1"/>
  <c r="A103" i="27" s="1"/>
  <c r="A104" i="27" s="1"/>
  <c r="A105" i="27" s="1"/>
  <c r="A106" i="27" s="1"/>
  <c r="A107" i="27" s="1"/>
  <c r="A108" i="27" s="1"/>
  <c r="A109" i="27" s="1"/>
  <c r="A110" i="27" s="1"/>
  <c r="A111" i="27" s="1"/>
  <c r="A112" i="27" s="1"/>
  <c r="A113" i="27" s="1"/>
  <c r="A114" i="27" s="1"/>
  <c r="A115" i="27" s="1"/>
  <c r="A116" i="27" s="1"/>
  <c r="A117" i="27" s="1"/>
  <c r="A118" i="27" s="1"/>
  <c r="A119" i="27" s="1"/>
  <c r="A120" i="27" s="1"/>
  <c r="A121" i="27" s="1"/>
  <c r="A122" i="27" s="1"/>
  <c r="A123" i="27" s="1"/>
  <c r="A124" i="27" s="1"/>
  <c r="A125" i="27" s="1"/>
  <c r="A126" i="27" s="1"/>
  <c r="A127" i="27" s="1"/>
  <c r="A128" i="27" s="1"/>
  <c r="A129" i="27" s="1"/>
  <c r="A130" i="27" s="1"/>
  <c r="A131" i="27" s="1"/>
  <c r="A132" i="27" s="1"/>
  <c r="A133" i="27" s="1"/>
  <c r="A134" i="27" s="1"/>
  <c r="A135" i="27" s="1"/>
  <c r="A136" i="27" s="1"/>
  <c r="A137" i="27" s="1"/>
  <c r="A138" i="27" s="1"/>
  <c r="A139" i="27" s="1"/>
  <c r="A140" i="27" s="1"/>
  <c r="A141" i="27" s="1"/>
  <c r="A142" i="27" s="1"/>
  <c r="A143" i="27" s="1"/>
  <c r="A144" i="27" s="1"/>
  <c r="A145" i="27" s="1"/>
  <c r="A146" i="27" s="1"/>
  <c r="A147" i="27" s="1"/>
  <c r="A148" i="27" s="1"/>
  <c r="A149" i="27" s="1"/>
  <c r="A150" i="27" s="1"/>
  <c r="A151" i="27" s="1"/>
  <c r="A152" i="27" s="1"/>
  <c r="A153" i="27" s="1"/>
  <c r="A154" i="27" s="1"/>
  <c r="A155" i="27" s="1"/>
  <c r="A156" i="27" s="1"/>
  <c r="A157" i="27" s="1"/>
  <c r="A158" i="27" s="1"/>
  <c r="A159" i="27" s="1"/>
  <c r="A160" i="27" s="1"/>
  <c r="A161" i="27" s="1"/>
  <c r="A162" i="27" s="1"/>
  <c r="A163" i="27" s="1"/>
  <c r="A164" i="27" s="1"/>
  <c r="A165" i="27" s="1"/>
  <c r="A166" i="27" s="1"/>
  <c r="A167" i="27" s="1"/>
  <c r="A168" i="27" s="1"/>
  <c r="A169" i="27" s="1"/>
  <c r="A170" i="27" s="1"/>
  <c r="A171" i="27" s="1"/>
  <c r="A172" i="27" s="1"/>
  <c r="A173" i="27" s="1"/>
  <c r="A174" i="27" s="1"/>
  <c r="A175" i="27" s="1"/>
  <c r="A176" i="27" s="1"/>
  <c r="A177" i="27" s="1"/>
  <c r="A178" i="27" s="1"/>
  <c r="A179" i="27" s="1"/>
  <c r="A180" i="27" s="1"/>
  <c r="A181" i="27" s="1"/>
  <c r="A182" i="27" s="1"/>
  <c r="A183" i="27" s="1"/>
  <c r="A184" i="27" s="1"/>
  <c r="A185" i="27" s="1"/>
  <c r="A186" i="27" s="1"/>
  <c r="A187" i="27" s="1"/>
  <c r="A188" i="27" s="1"/>
  <c r="A189" i="27" s="1"/>
  <c r="A190" i="27" s="1"/>
  <c r="A191" i="27" s="1"/>
  <c r="A192" i="27" s="1"/>
  <c r="A193" i="27" s="1"/>
  <c r="A194" i="27" s="1"/>
  <c r="A195" i="27" s="1"/>
  <c r="A196" i="27" s="1"/>
  <c r="A197" i="27" s="1"/>
  <c r="A198" i="27" s="1"/>
  <c r="A199" i="27" s="1"/>
  <c r="A200" i="27" s="1"/>
  <c r="A201" i="27" s="1"/>
  <c r="A202" i="27" s="1"/>
  <c r="A203" i="27" s="1"/>
  <c r="A204" i="27" s="1"/>
  <c r="A205" i="27" s="1"/>
  <c r="A206" i="27" s="1"/>
  <c r="A207" i="27" s="1"/>
  <c r="A208" i="27" s="1"/>
  <c r="A209" i="27" s="1"/>
  <c r="A210" i="27" s="1"/>
  <c r="A211" i="27" s="1"/>
  <c r="A212" i="27" s="1"/>
  <c r="A213" i="27" s="1"/>
  <c r="A214" i="27" s="1"/>
  <c r="A215" i="27" s="1"/>
  <c r="A216" i="27" s="1"/>
  <c r="A217" i="27" s="1"/>
  <c r="A218" i="27" s="1"/>
  <c r="A219" i="27" s="1"/>
  <c r="A220" i="27" s="1"/>
  <c r="A221" i="27" s="1"/>
  <c r="A222" i="27" s="1"/>
  <c r="A223" i="27" s="1"/>
  <c r="A224" i="27" s="1"/>
  <c r="A225" i="27" s="1"/>
  <c r="A226" i="27" s="1"/>
  <c r="A227" i="27" s="1"/>
  <c r="A228" i="27" s="1"/>
  <c r="A229" i="27" s="1"/>
  <c r="A230" i="27" s="1"/>
  <c r="A231" i="27" s="1"/>
  <c r="A232" i="27" s="1"/>
  <c r="A233" i="27" s="1"/>
  <c r="A234" i="27" s="1"/>
  <c r="A235" i="27" s="1"/>
  <c r="A236" i="27" s="1"/>
  <c r="A237" i="27" s="1"/>
  <c r="A238" i="27" s="1"/>
  <c r="A239" i="27" s="1"/>
  <c r="A240" i="27" s="1"/>
  <c r="A241" i="27" s="1"/>
  <c r="A242" i="27" s="1"/>
  <c r="A243" i="27" s="1"/>
  <c r="A244" i="27" s="1"/>
  <c r="A245" i="27" s="1"/>
  <c r="A246" i="27" s="1"/>
  <c r="A247" i="27" s="1"/>
  <c r="A248" i="27" s="1"/>
  <c r="A249" i="27" s="1"/>
  <c r="A250" i="27" s="1"/>
  <c r="A251" i="27" s="1"/>
  <c r="A252" i="27" s="1"/>
  <c r="A253" i="27" s="1"/>
  <c r="A254" i="27" s="1"/>
  <c r="A255" i="27" s="1"/>
  <c r="A256" i="27" s="1"/>
  <c r="A257" i="27" s="1"/>
  <c r="A258" i="27" s="1"/>
  <c r="A259" i="27" s="1"/>
  <c r="A260" i="27" s="1"/>
  <c r="A261" i="27" s="1"/>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A290" i="27" s="1"/>
  <c r="A291" i="27" s="1"/>
  <c r="A292" i="27" s="1"/>
  <c r="A293" i="27" s="1"/>
  <c r="A294" i="27" s="1"/>
  <c r="A295" i="27" s="1"/>
  <c r="A296" i="27" s="1"/>
  <c r="A297" i="27" s="1"/>
  <c r="A298" i="27" s="1"/>
  <c r="A299" i="27" s="1"/>
  <c r="A300" i="27" s="1"/>
  <c r="A301" i="27" s="1"/>
  <c r="A302" i="27" s="1"/>
  <c r="A303" i="27" s="1"/>
  <c r="A304" i="27" s="1"/>
  <c r="A305" i="27" s="1"/>
  <c r="A306" i="27" s="1"/>
  <c r="A307" i="27" s="1"/>
  <c r="A308" i="27" s="1"/>
  <c r="A309" i="27" s="1"/>
  <c r="A310" i="27" s="1"/>
  <c r="A311" i="27" s="1"/>
  <c r="A312" i="27" s="1"/>
  <c r="A313" i="27" s="1"/>
  <c r="A314" i="27" s="1"/>
  <c r="A315" i="27" s="1"/>
  <c r="A316" i="27" s="1"/>
  <c r="A317" i="27" s="1"/>
  <c r="A318" i="27" s="1"/>
  <c r="A319" i="27" s="1"/>
  <c r="A320" i="27" s="1"/>
  <c r="A321" i="27" s="1"/>
  <c r="A322" i="27" s="1"/>
  <c r="A323" i="27" s="1"/>
  <c r="A324" i="27" s="1"/>
  <c r="A325" i="27" s="1"/>
  <c r="A326" i="27" s="1"/>
  <c r="A327" i="27" s="1"/>
  <c r="A328" i="27" s="1"/>
  <c r="A329" i="27" s="1"/>
  <c r="A330" i="27" s="1"/>
  <c r="A331" i="27" s="1"/>
  <c r="A332" i="27" s="1"/>
  <c r="A333" i="27" s="1"/>
  <c r="A334" i="27" s="1"/>
  <c r="A335" i="27" s="1"/>
  <c r="A336" i="27" s="1"/>
  <c r="A337" i="27" s="1"/>
  <c r="A338" i="27" s="1"/>
  <c r="A339" i="27" s="1"/>
  <c r="A340" i="27" s="1"/>
  <c r="A341" i="27" s="1"/>
  <c r="A342" i="27" s="1"/>
  <c r="A343" i="27" s="1"/>
  <c r="A344" i="27" s="1"/>
  <c r="A345" i="27" s="1"/>
  <c r="A346" i="27" s="1"/>
  <c r="A347" i="27" s="1"/>
  <c r="A348" i="27" s="1"/>
  <c r="A349" i="27" s="1"/>
  <c r="A350" i="27" s="1"/>
  <c r="A351" i="27" s="1"/>
  <c r="A352" i="27" s="1"/>
  <c r="A353" i="27" s="1"/>
  <c r="A354" i="27" s="1"/>
  <c r="A355" i="27" s="1"/>
  <c r="A356" i="27" s="1"/>
  <c r="A357" i="27" s="1"/>
  <c r="A358" i="27" s="1"/>
  <c r="A359" i="27" s="1"/>
  <c r="A360" i="27" s="1"/>
  <c r="A361" i="27" s="1"/>
  <c r="A362" i="27" s="1"/>
  <c r="A363" i="27" s="1"/>
  <c r="A364" i="27" s="1"/>
  <c r="A365" i="27" s="1"/>
  <c r="A366" i="27" s="1"/>
  <c r="A367" i="27" s="1"/>
  <c r="A368" i="27" s="1"/>
  <c r="A369" i="27" s="1"/>
  <c r="A370" i="27" s="1"/>
  <c r="A371" i="27" s="1"/>
  <c r="A372" i="27" s="1"/>
  <c r="A373" i="27" s="1"/>
  <c r="A374" i="27" s="1"/>
  <c r="A375" i="27" s="1"/>
  <c r="A376" i="27" s="1"/>
  <c r="A377" i="27" s="1"/>
  <c r="A378" i="27" s="1"/>
  <c r="A379" i="27" s="1"/>
  <c r="A380" i="27" s="1"/>
  <c r="A381" i="27" s="1"/>
  <c r="A382" i="27" s="1"/>
  <c r="A383" i="27" s="1"/>
  <c r="A384" i="27" s="1"/>
  <c r="A385" i="27" s="1"/>
  <c r="A386" i="27" s="1"/>
  <c r="A387" i="27" s="1"/>
  <c r="A388" i="27" s="1"/>
  <c r="A389" i="27" s="1"/>
  <c r="A390" i="27" s="1"/>
  <c r="A391" i="27" s="1"/>
  <c r="A392" i="27" s="1"/>
  <c r="A393" i="27" s="1"/>
  <c r="A394" i="27" s="1"/>
  <c r="A395" i="27" s="1"/>
  <c r="A396" i="27" s="1"/>
  <c r="A397" i="27" s="1"/>
  <c r="A398" i="27" s="1"/>
  <c r="A399" i="27" s="1"/>
  <c r="A400" i="27" s="1"/>
  <c r="A401" i="27" s="1"/>
  <c r="A402" i="27" s="1"/>
  <c r="A403" i="27" s="1"/>
  <c r="A404" i="27" s="1"/>
  <c r="A405" i="27" s="1"/>
  <c r="A406" i="27" s="1"/>
  <c r="A407" i="27" s="1"/>
  <c r="A408" i="27" s="1"/>
  <c r="A409" i="27" s="1"/>
  <c r="A410" i="27" s="1"/>
  <c r="A411" i="27" s="1"/>
  <c r="A412" i="27" s="1"/>
  <c r="A413" i="27" s="1"/>
  <c r="A414" i="27" s="1"/>
  <c r="A415" i="27" s="1"/>
  <c r="A416" i="27" s="1"/>
  <c r="A417" i="27" s="1"/>
  <c r="A418" i="27" s="1"/>
  <c r="A419" i="27" s="1"/>
  <c r="A420" i="27" s="1"/>
  <c r="A421" i="27" s="1"/>
  <c r="A422" i="27" s="1"/>
  <c r="A423" i="27" s="1"/>
  <c r="A424" i="27" s="1"/>
  <c r="A425" i="27" s="1"/>
  <c r="A426" i="27" s="1"/>
  <c r="A427" i="27" s="1"/>
  <c r="A428" i="27" s="1"/>
  <c r="A429" i="27" s="1"/>
  <c r="A430" i="27" s="1"/>
  <c r="A431" i="27" s="1"/>
  <c r="A432" i="27" s="1"/>
  <c r="A433" i="27" s="1"/>
  <c r="A434" i="27" s="1"/>
  <c r="A435" i="27" s="1"/>
  <c r="A436" i="27" s="1"/>
  <c r="A437" i="27" s="1"/>
  <c r="A438" i="27" s="1"/>
  <c r="A439" i="27" s="1"/>
  <c r="A440" i="27" s="1"/>
  <c r="A441" i="27" s="1"/>
  <c r="A442" i="27" s="1"/>
  <c r="A443" i="27" s="1"/>
  <c r="A444" i="27" s="1"/>
  <c r="A445" i="27" s="1"/>
  <c r="A446" i="27" s="1"/>
  <c r="A447" i="27" s="1"/>
  <c r="A448" i="27" s="1"/>
  <c r="A449" i="27" s="1"/>
  <c r="A450" i="27" s="1"/>
  <c r="A451" i="27" s="1"/>
  <c r="A452" i="27" s="1"/>
  <c r="A453" i="27" s="1"/>
  <c r="A454" i="27" s="1"/>
  <c r="A455" i="27" s="1"/>
  <c r="A456" i="27" s="1"/>
  <c r="A457" i="27" s="1"/>
  <c r="A458" i="27" s="1"/>
  <c r="A459" i="27" s="1"/>
  <c r="A460" i="27" s="1"/>
  <c r="A461" i="27" s="1"/>
  <c r="A462" i="27" s="1"/>
  <c r="A463" i="27" s="1"/>
  <c r="A464" i="27" s="1"/>
  <c r="A465" i="27" s="1"/>
  <c r="A466" i="27" s="1"/>
  <c r="A467" i="27" s="1"/>
  <c r="A468" i="27" s="1"/>
  <c r="A469" i="27" s="1"/>
  <c r="A470" i="27" s="1"/>
  <c r="A471" i="27" s="1"/>
  <c r="A472" i="27" s="1"/>
  <c r="A473" i="27" s="1"/>
  <c r="A474" i="27" s="1"/>
  <c r="A475" i="27" s="1"/>
  <c r="A476" i="27" s="1"/>
  <c r="A477" i="27" s="1"/>
  <c r="A478" i="27" s="1"/>
  <c r="A479" i="27" s="1"/>
  <c r="A480" i="27" s="1"/>
  <c r="A481" i="27" s="1"/>
  <c r="A482" i="27" s="1"/>
  <c r="A483" i="27" s="1"/>
  <c r="A484" i="27" s="1"/>
  <c r="A485" i="27" s="1"/>
  <c r="A486" i="27" s="1"/>
  <c r="A487" i="27" s="1"/>
  <c r="A488" i="27" s="1"/>
  <c r="A489" i="27" s="1"/>
  <c r="A490" i="27" s="1"/>
  <c r="A491" i="27" s="1"/>
  <c r="A492" i="27" s="1"/>
  <c r="A493" i="27" s="1"/>
  <c r="A494" i="27" s="1"/>
  <c r="A495" i="27" s="1"/>
  <c r="A496" i="27" s="1"/>
  <c r="A497" i="27" s="1"/>
  <c r="A498" i="27" s="1"/>
  <c r="A499" i="27" s="1"/>
  <c r="A500" i="27" s="1"/>
  <c r="A501" i="27" s="1"/>
  <c r="A502" i="27" s="1"/>
  <c r="A503" i="27" s="1"/>
  <c r="A504" i="27" s="1"/>
  <c r="A505" i="27" s="1"/>
  <c r="A506" i="27" s="1"/>
  <c r="A507" i="27" s="1"/>
  <c r="A508" i="27" s="1"/>
  <c r="A509" i="27" s="1"/>
  <c r="A510" i="27" s="1"/>
  <c r="A511" i="27" s="1"/>
  <c r="A512" i="27" s="1"/>
  <c r="A513" i="27" s="1"/>
  <c r="A514" i="27" s="1"/>
  <c r="A515" i="27" s="1"/>
  <c r="A516" i="27" s="1"/>
  <c r="A517" i="27" s="1"/>
  <c r="A518" i="27" s="1"/>
  <c r="A519" i="27" s="1"/>
  <c r="A520" i="27" s="1"/>
  <c r="A521" i="27" s="1"/>
  <c r="A522" i="27" s="1"/>
  <c r="A523" i="27" s="1"/>
  <c r="A524" i="27" s="1"/>
  <c r="A525" i="27" s="1"/>
  <c r="A526" i="27" s="1"/>
  <c r="A527" i="27" s="1"/>
  <c r="A528" i="27" s="1"/>
  <c r="A529" i="27" s="1"/>
  <c r="A530" i="27" s="1"/>
  <c r="A531" i="27" s="1"/>
  <c r="A532" i="27" s="1"/>
  <c r="A533" i="27" s="1"/>
  <c r="A534" i="27" s="1"/>
  <c r="A535" i="27" s="1"/>
  <c r="A536" i="27" s="1"/>
  <c r="A537" i="27" s="1"/>
  <c r="A538" i="27" s="1"/>
  <c r="A539" i="27" s="1"/>
  <c r="A540" i="27" s="1"/>
  <c r="A541" i="27" s="1"/>
  <c r="A542" i="27" s="1"/>
  <c r="A543" i="27" s="1"/>
  <c r="A544" i="27" s="1"/>
  <c r="A545" i="27" s="1"/>
  <c r="A546" i="27" s="1"/>
  <c r="A547" i="27" s="1"/>
  <c r="A548" i="27" s="1"/>
  <c r="A549" i="27" s="1"/>
  <c r="A550" i="27" s="1"/>
  <c r="A551" i="27" s="1"/>
  <c r="A552" i="27" s="1"/>
  <c r="A553" i="27" s="1"/>
  <c r="A554" i="27" s="1"/>
  <c r="A555" i="27" s="1"/>
  <c r="A556" i="27" s="1"/>
  <c r="A557" i="27" s="1"/>
  <c r="A558" i="27" s="1"/>
  <c r="A559" i="27" s="1"/>
  <c r="A560" i="27" s="1"/>
  <c r="A561" i="27" s="1"/>
  <c r="A562" i="27" s="1"/>
  <c r="A563" i="27" s="1"/>
  <c r="A564" i="27" s="1"/>
  <c r="A565" i="27" s="1"/>
  <c r="A566" i="27" s="1"/>
  <c r="A567" i="27" s="1"/>
  <c r="A568" i="27" s="1"/>
  <c r="A569" i="27" s="1"/>
  <c r="A570" i="27" s="1"/>
  <c r="A571" i="27" s="1"/>
  <c r="A572" i="27" s="1"/>
  <c r="A573" i="27" s="1"/>
  <c r="A574" i="27" s="1"/>
  <c r="A575" i="27" s="1"/>
  <c r="A576" i="27" s="1"/>
  <c r="A577" i="27" s="1"/>
  <c r="A578" i="27" s="1"/>
  <c r="A579" i="27" s="1"/>
  <c r="A580" i="27" s="1"/>
  <c r="A581" i="27" s="1"/>
  <c r="A582" i="27" s="1"/>
  <c r="A583" i="27" s="1"/>
  <c r="A584" i="27" s="1"/>
  <c r="A585" i="27" s="1"/>
  <c r="A586" i="27" s="1"/>
  <c r="A587" i="27" s="1"/>
  <c r="A588" i="27" s="1"/>
  <c r="A589" i="27" s="1"/>
  <c r="A590" i="27" s="1"/>
  <c r="A591" i="27" s="1"/>
  <c r="A592" i="27" s="1"/>
  <c r="A593" i="27" s="1"/>
  <c r="A594" i="27" s="1"/>
  <c r="A595" i="27" s="1"/>
  <c r="A596" i="27" s="1"/>
  <c r="A597" i="27" s="1"/>
  <c r="A598" i="27" s="1"/>
  <c r="A599" i="27" s="1"/>
  <c r="A600" i="27" s="1"/>
  <c r="A601" i="27" s="1"/>
  <c r="A602" i="27" s="1"/>
  <c r="A603" i="27" s="1"/>
  <c r="A604" i="27" s="1"/>
  <c r="A605" i="27" s="1"/>
  <c r="A606" i="27" s="1"/>
  <c r="A607" i="27" s="1"/>
  <c r="A608" i="27" s="1"/>
  <c r="A609" i="27" s="1"/>
  <c r="A610" i="27" s="1"/>
  <c r="A611" i="27" s="1"/>
  <c r="A612" i="27" s="1"/>
  <c r="A613" i="27" s="1"/>
  <c r="A614" i="27" s="1"/>
  <c r="A615" i="27" s="1"/>
  <c r="A616" i="27" s="1"/>
  <c r="A617" i="27" s="1"/>
  <c r="A618" i="27" s="1"/>
  <c r="A619" i="27" s="1"/>
  <c r="A620" i="27" s="1"/>
  <c r="A621" i="27" s="1"/>
  <c r="A622" i="27" s="1"/>
  <c r="A623" i="27" s="1"/>
  <c r="A624" i="27" s="1"/>
  <c r="A625" i="27" s="1"/>
  <c r="A626" i="27" s="1"/>
  <c r="A627" i="27" s="1"/>
  <c r="A628" i="27" s="1"/>
  <c r="A629" i="27" s="1"/>
  <c r="A630" i="27" s="1"/>
  <c r="A631" i="27" s="1"/>
  <c r="A632" i="27" s="1"/>
  <c r="A633" i="27" s="1"/>
  <c r="A634" i="27" s="1"/>
  <c r="A635" i="27" s="1"/>
  <c r="A636" i="27" s="1"/>
  <c r="A637" i="27" s="1"/>
  <c r="A638" i="27" s="1"/>
  <c r="A639" i="27" s="1"/>
  <c r="A640" i="27" s="1"/>
  <c r="A641" i="27" s="1"/>
  <c r="A642" i="27" s="1"/>
  <c r="A643" i="27" s="1"/>
  <c r="A644" i="27" s="1"/>
  <c r="A645" i="27" s="1"/>
  <c r="A646" i="27" s="1"/>
  <c r="A647" i="27" s="1"/>
  <c r="A648" i="27" s="1"/>
  <c r="A649" i="27" s="1"/>
  <c r="A650" i="27" s="1"/>
  <c r="A651" i="27" s="1"/>
  <c r="A652" i="27" s="1"/>
  <c r="A653" i="27" s="1"/>
  <c r="A654" i="27" s="1"/>
  <c r="A655" i="27" s="1"/>
  <c r="A656" i="27" s="1"/>
  <c r="A657" i="27" s="1"/>
  <c r="A658" i="27" s="1"/>
  <c r="A659" i="27" s="1"/>
  <c r="A660" i="27" s="1"/>
  <c r="A661" i="27" s="1"/>
  <c r="A662" i="27" s="1"/>
  <c r="A663" i="27" s="1"/>
  <c r="A664" i="27" s="1"/>
  <c r="A665" i="27" s="1"/>
  <c r="A666" i="27" s="1"/>
  <c r="A667" i="27" s="1"/>
  <c r="A668" i="27" s="1"/>
  <c r="A669" i="27" s="1"/>
  <c r="A670" i="27" s="1"/>
  <c r="A671" i="27" s="1"/>
  <c r="A672" i="27" s="1"/>
  <c r="A673" i="27" s="1"/>
  <c r="A674" i="27" s="1"/>
  <c r="A675" i="27" s="1"/>
  <c r="A676" i="27" s="1"/>
  <c r="A677" i="27" s="1"/>
  <c r="A678" i="27" s="1"/>
  <c r="A679" i="27" s="1"/>
  <c r="A680" i="27" s="1"/>
  <c r="A681" i="27" s="1"/>
  <c r="A682" i="27" s="1"/>
  <c r="A683" i="27" s="1"/>
  <c r="A684" i="27" s="1"/>
  <c r="A685" i="27" s="1"/>
  <c r="A686" i="27" s="1"/>
  <c r="A687" i="27" s="1"/>
  <c r="A688" i="27" s="1"/>
  <c r="A689" i="27" s="1"/>
  <c r="A690" i="27" s="1"/>
  <c r="A691" i="27" s="1"/>
  <c r="A692" i="27" s="1"/>
  <c r="A693" i="27" s="1"/>
  <c r="A694" i="27" s="1"/>
  <c r="A695" i="27" s="1"/>
  <c r="A696" i="27" s="1"/>
  <c r="A697" i="27" s="1"/>
  <c r="A698" i="27" s="1"/>
  <c r="A699" i="27" s="1"/>
  <c r="A700" i="27" s="1"/>
  <c r="A701" i="27" s="1"/>
  <c r="A702" i="27" s="1"/>
  <c r="A703" i="27" s="1"/>
  <c r="A704" i="27" s="1"/>
  <c r="A705" i="27" s="1"/>
  <c r="A706" i="27" s="1"/>
  <c r="A707" i="27" s="1"/>
  <c r="A708" i="27" s="1"/>
  <c r="A709" i="27" s="1"/>
  <c r="A710" i="27" s="1"/>
  <c r="A711" i="27" s="1"/>
  <c r="A712" i="27" s="1"/>
  <c r="A713" i="27" s="1"/>
  <c r="A714" i="27" s="1"/>
  <c r="A715" i="27" s="1"/>
  <c r="A716" i="27" s="1"/>
  <c r="A717" i="27" s="1"/>
  <c r="A718" i="27" s="1"/>
  <c r="A719" i="27" s="1"/>
  <c r="A720" i="27" s="1"/>
  <c r="A721" i="27" s="1"/>
  <c r="A722" i="27" s="1"/>
  <c r="A723" i="27" s="1"/>
  <c r="A724" i="27" s="1"/>
  <c r="A725" i="27" s="1"/>
  <c r="A726" i="27" s="1"/>
  <c r="A727" i="27" s="1"/>
  <c r="A728" i="27" s="1"/>
  <c r="A729" i="27" s="1"/>
  <c r="A730" i="27" s="1"/>
  <c r="A731" i="27" s="1"/>
  <c r="A732" i="27" s="1"/>
  <c r="A733" i="27" s="1"/>
  <c r="A734" i="27" s="1"/>
  <c r="A735" i="27" s="1"/>
  <c r="A736" i="27" s="1"/>
  <c r="A737" i="27" s="1"/>
  <c r="A738" i="27" s="1"/>
  <c r="A739" i="27" s="1"/>
  <c r="A740" i="27" s="1"/>
  <c r="A741" i="27" s="1"/>
  <c r="A742" i="27" s="1"/>
  <c r="A743" i="27" s="1"/>
  <c r="A744" i="27" s="1"/>
  <c r="A745" i="27" s="1"/>
  <c r="A746" i="27" s="1"/>
  <c r="A747" i="27" s="1"/>
  <c r="A748" i="27" s="1"/>
  <c r="A749" i="27" s="1"/>
  <c r="A750" i="27" s="1"/>
  <c r="A751" i="27" s="1"/>
  <c r="A752" i="27" s="1"/>
  <c r="A753" i="27" s="1"/>
  <c r="A754" i="27" s="1"/>
  <c r="A755" i="27" s="1"/>
  <c r="A756" i="27" s="1"/>
  <c r="A757" i="27" s="1"/>
  <c r="A758" i="27" s="1"/>
  <c r="A759" i="27" s="1"/>
  <c r="A760" i="27" s="1"/>
  <c r="A761" i="27" s="1"/>
  <c r="A762" i="27" s="1"/>
  <c r="A763" i="27" s="1"/>
  <c r="A764" i="27" s="1"/>
  <c r="A765" i="27" s="1"/>
  <c r="A766" i="27" s="1"/>
  <c r="A767" i="27" s="1"/>
  <c r="A768" i="27" s="1"/>
  <c r="A769" i="27" s="1"/>
  <c r="A770" i="27" s="1"/>
  <c r="A771" i="27" s="1"/>
  <c r="A772" i="27" s="1"/>
  <c r="A773" i="27" s="1"/>
  <c r="A774" i="27" s="1"/>
  <c r="A775" i="27" s="1"/>
  <c r="A776" i="27" s="1"/>
  <c r="A777" i="27" s="1"/>
  <c r="A778" i="27" s="1"/>
  <c r="A779" i="27" s="1"/>
  <c r="A780" i="27" s="1"/>
  <c r="A781" i="27" s="1"/>
  <c r="A782" i="27" s="1"/>
  <c r="A783" i="27" s="1"/>
  <c r="A784" i="27" s="1"/>
  <c r="A785" i="27" s="1"/>
  <c r="A786" i="27" s="1"/>
  <c r="A787" i="27" s="1"/>
  <c r="A788" i="27" s="1"/>
  <c r="A789" i="27" s="1"/>
  <c r="A790" i="27" s="1"/>
  <c r="A791" i="27" s="1"/>
  <c r="A792" i="27" s="1"/>
  <c r="A793" i="27" s="1"/>
  <c r="A794" i="27" s="1"/>
  <c r="A795" i="27" s="1"/>
  <c r="A796" i="27" s="1"/>
  <c r="A797" i="27" s="1"/>
  <c r="A798" i="27" s="1"/>
  <c r="A799" i="27" s="1"/>
  <c r="A800" i="27" s="1"/>
  <c r="A801" i="27" s="1"/>
  <c r="A802" i="27" s="1"/>
  <c r="A803" i="27" s="1"/>
  <c r="A804" i="27" s="1"/>
  <c r="A805" i="27" s="1"/>
  <c r="A806" i="27" s="1"/>
  <c r="A807" i="27" s="1"/>
  <c r="A808" i="27" s="1"/>
  <c r="A809" i="27" s="1"/>
  <c r="A810" i="27" s="1"/>
  <c r="A811" i="27" s="1"/>
  <c r="A812" i="27" s="1"/>
  <c r="A813" i="27" s="1"/>
  <c r="A814" i="27" s="1"/>
  <c r="A815" i="27" s="1"/>
  <c r="A816" i="27" s="1"/>
  <c r="A817" i="27" s="1"/>
  <c r="A818" i="27" s="1"/>
  <c r="A819" i="27" s="1"/>
  <c r="A820" i="27" s="1"/>
  <c r="A821" i="27" s="1"/>
  <c r="A822" i="27" s="1"/>
  <c r="A823" i="27" s="1"/>
  <c r="A824" i="27" s="1"/>
  <c r="A825" i="27" s="1"/>
  <c r="A826" i="27" s="1"/>
  <c r="A827" i="27" s="1"/>
  <c r="A828" i="27" s="1"/>
  <c r="A829" i="27" s="1"/>
  <c r="A830" i="27" s="1"/>
  <c r="A831" i="27" s="1"/>
  <c r="A832" i="27" s="1"/>
  <c r="A833" i="27" s="1"/>
  <c r="A834" i="27" s="1"/>
  <c r="A835" i="27" s="1"/>
  <c r="A836" i="27" s="1"/>
  <c r="A837" i="27" s="1"/>
  <c r="A838" i="27" s="1"/>
  <c r="A839" i="27" s="1"/>
  <c r="A840" i="27" s="1"/>
  <c r="A841" i="27" s="1"/>
  <c r="A842" i="27" s="1"/>
  <c r="A843" i="27" s="1"/>
  <c r="A844" i="27" s="1"/>
  <c r="A845" i="27" s="1"/>
  <c r="A846" i="27" s="1"/>
  <c r="A847" i="27" s="1"/>
  <c r="A848" i="27" s="1"/>
  <c r="A849" i="27" s="1"/>
  <c r="A850" i="27" s="1"/>
  <c r="A851" i="27" s="1"/>
  <c r="A852" i="27" s="1"/>
  <c r="A853" i="27" s="1"/>
  <c r="A854" i="27" s="1"/>
  <c r="A855" i="27" s="1"/>
  <c r="A856" i="27" s="1"/>
  <c r="A857" i="27" s="1"/>
  <c r="A858" i="27" s="1"/>
  <c r="A859" i="27" s="1"/>
  <c r="A860" i="27" s="1"/>
  <c r="A861" i="27" s="1"/>
  <c r="A862" i="27" s="1"/>
  <c r="A863" i="27" s="1"/>
  <c r="A864" i="27" s="1"/>
  <c r="A865" i="27" s="1"/>
  <c r="A866" i="27" s="1"/>
  <c r="A867" i="27" s="1"/>
  <c r="A868" i="27" s="1"/>
  <c r="A869" i="27" s="1"/>
  <c r="A870" i="27" s="1"/>
  <c r="A871" i="27" s="1"/>
  <c r="A872" i="27" s="1"/>
  <c r="A873" i="27" s="1"/>
  <c r="A874" i="27" s="1"/>
  <c r="A875" i="27" s="1"/>
  <c r="A876" i="27" s="1"/>
  <c r="A877" i="27" s="1"/>
  <c r="A878" i="27" s="1"/>
  <c r="A879" i="27" s="1"/>
  <c r="A880" i="27" s="1"/>
  <c r="A881" i="27" s="1"/>
  <c r="A882" i="27" s="1"/>
  <c r="A883" i="27" s="1"/>
  <c r="A884" i="27" s="1"/>
  <c r="A885" i="27" s="1"/>
  <c r="A886" i="27" s="1"/>
  <c r="A887" i="27" s="1"/>
  <c r="A888" i="27" s="1"/>
  <c r="A889" i="27" s="1"/>
  <c r="A890" i="27" s="1"/>
  <c r="A891" i="27" s="1"/>
  <c r="A892" i="27" s="1"/>
  <c r="A893" i="27" s="1"/>
  <c r="A894" i="27" s="1"/>
  <c r="A895" i="27" s="1"/>
  <c r="A896" i="27" s="1"/>
  <c r="A897" i="27" s="1"/>
  <c r="A898" i="27" s="1"/>
  <c r="A899" i="27" s="1"/>
  <c r="A900" i="27" s="1"/>
  <c r="A901" i="27" s="1"/>
  <c r="A902" i="27" s="1"/>
  <c r="A903" i="27" s="1"/>
  <c r="A904" i="27" s="1"/>
  <c r="A905" i="27" s="1"/>
  <c r="A906" i="27" s="1"/>
  <c r="A907" i="27" s="1"/>
  <c r="A908" i="27" s="1"/>
  <c r="A909" i="27" s="1"/>
  <c r="A910" i="27" s="1"/>
  <c r="A911" i="27" s="1"/>
  <c r="A912" i="27" s="1"/>
  <c r="A913" i="27" s="1"/>
  <c r="A914" i="27" s="1"/>
  <c r="A915" i="27" s="1"/>
  <c r="A916" i="27" s="1"/>
  <c r="A917" i="27" s="1"/>
  <c r="A918" i="27" s="1"/>
  <c r="A919" i="27" s="1"/>
  <c r="A920" i="27" s="1"/>
  <c r="A921" i="27" s="1"/>
  <c r="A922" i="27" s="1"/>
  <c r="A923" i="27" s="1"/>
  <c r="A924" i="27" s="1"/>
  <c r="A925" i="27" s="1"/>
  <c r="A926" i="27" s="1"/>
  <c r="A927" i="27" s="1"/>
  <c r="A928" i="27" s="1"/>
  <c r="A929" i="27" s="1"/>
  <c r="A930" i="27" s="1"/>
  <c r="A931" i="27" s="1"/>
  <c r="A932" i="27" s="1"/>
  <c r="A933" i="27" s="1"/>
  <c r="A934" i="27" s="1"/>
  <c r="A935" i="27" s="1"/>
  <c r="A936" i="27" s="1"/>
  <c r="A937" i="27" s="1"/>
  <c r="A938" i="27" s="1"/>
  <c r="A939" i="27" s="1"/>
  <c r="A940" i="27" s="1"/>
  <c r="A941" i="27" s="1"/>
  <c r="A942" i="27" s="1"/>
  <c r="A943" i="27" s="1"/>
  <c r="A944" i="27" s="1"/>
  <c r="A945" i="27" s="1"/>
  <c r="A946" i="27" s="1"/>
  <c r="A947" i="27" s="1"/>
  <c r="A948" i="27" s="1"/>
  <c r="A949" i="27" s="1"/>
  <c r="A950" i="27" s="1"/>
  <c r="A951" i="27" s="1"/>
  <c r="A952" i="27" s="1"/>
  <c r="A953" i="27" s="1"/>
  <c r="A954" i="27" s="1"/>
  <c r="A955" i="27" s="1"/>
  <c r="A956" i="27" s="1"/>
  <c r="A957" i="27" s="1"/>
  <c r="A958" i="27" s="1"/>
  <c r="A959" i="27" s="1"/>
  <c r="A960" i="27" s="1"/>
  <c r="A961" i="27" s="1"/>
  <c r="A962" i="27" s="1"/>
  <c r="A963" i="27" s="1"/>
  <c r="A964" i="27" s="1"/>
  <c r="A965" i="27" s="1"/>
  <c r="A966" i="27" s="1"/>
  <c r="A967" i="27" s="1"/>
  <c r="A968" i="27" s="1"/>
  <c r="A969" i="27" s="1"/>
  <c r="A970" i="27" s="1"/>
  <c r="A971" i="27" s="1"/>
  <c r="A972" i="27" s="1"/>
  <c r="A973" i="27" s="1"/>
  <c r="A974" i="27" s="1"/>
  <c r="A975" i="27" s="1"/>
  <c r="A976" i="27" s="1"/>
  <c r="A977" i="27" s="1"/>
  <c r="A978" i="27" s="1"/>
  <c r="A979" i="27" s="1"/>
  <c r="A980" i="27" s="1"/>
  <c r="A981" i="27" s="1"/>
  <c r="A982" i="27" s="1"/>
  <c r="A983" i="27" s="1"/>
  <c r="A984" i="27" s="1"/>
  <c r="A985" i="27" s="1"/>
  <c r="A986" i="27" s="1"/>
  <c r="A987" i="27" s="1"/>
  <c r="A988" i="27" s="1"/>
  <c r="A989" i="27" s="1"/>
  <c r="A990" i="27" s="1"/>
  <c r="A991" i="27" s="1"/>
  <c r="A992" i="27" s="1"/>
  <c r="A993" i="27" s="1"/>
  <c r="A994" i="27" s="1"/>
  <c r="A995" i="27" s="1"/>
  <c r="A996" i="27" s="1"/>
  <c r="A997" i="27" s="1"/>
  <c r="A998" i="27" s="1"/>
  <c r="A999" i="27" s="1"/>
  <c r="A1000" i="27" s="1"/>
  <c r="AD70" i="28" l="1"/>
  <c r="AD50" i="28"/>
  <c r="AD51" i="28"/>
  <c r="AD52" i="28"/>
  <c r="AD53" i="28"/>
  <c r="AD66" i="28"/>
  <c r="AD67" i="28"/>
  <c r="AD68" i="28"/>
  <c r="AD69" i="28"/>
  <c r="AD71" i="28"/>
  <c r="AD44" i="28"/>
  <c r="AD74" i="28"/>
  <c r="AD34" i="28"/>
  <c r="AD36" i="28"/>
  <c r="AD40" i="28"/>
  <c r="AD37" i="28"/>
  <c r="AD38" i="28"/>
  <c r="AD35" i="28"/>
  <c r="AD39" i="28"/>
  <c r="AD11" i="28"/>
  <c r="AD25" i="28"/>
  <c r="AD33" i="28"/>
  <c r="AD21" i="28"/>
  <c r="AD10" i="28"/>
  <c r="AD15" i="28"/>
  <c r="AD22" i="28"/>
  <c r="AD28" i="28"/>
  <c r="AD29" i="28"/>
  <c r="AD41" i="28"/>
  <c r="AD8" i="28"/>
  <c r="AE7" i="28"/>
  <c r="D73" i="28"/>
  <c r="D72" i="28"/>
  <c r="D64" i="28"/>
  <c r="D65" i="28"/>
  <c r="D54" i="28"/>
  <c r="D63" i="28"/>
  <c r="D62" i="28"/>
  <c r="D61" i="28"/>
  <c r="D60" i="28"/>
  <c r="D59" i="28"/>
  <c r="D58" i="28"/>
  <c r="D57" i="28"/>
  <c r="D56" i="28"/>
  <c r="D55" i="28"/>
  <c r="D45" i="28"/>
  <c r="D49" i="28"/>
  <c r="D48" i="28"/>
  <c r="D47" i="28"/>
  <c r="D46" i="28"/>
  <c r="D42" i="28"/>
  <c r="D43" i="28"/>
  <c r="AD43" i="28" s="1"/>
  <c r="D23" i="28"/>
  <c r="D32" i="28"/>
  <c r="D31" i="28"/>
  <c r="D30" i="28"/>
  <c r="D27" i="28"/>
  <c r="D26" i="28"/>
  <c r="D24" i="28"/>
  <c r="D16" i="28"/>
  <c r="D20" i="28"/>
  <c r="AD20" i="28" s="1"/>
  <c r="D19" i="28"/>
  <c r="D18" i="28"/>
  <c r="AD18" i="28" s="1"/>
  <c r="D17" i="28"/>
  <c r="D14" i="28"/>
  <c r="D13" i="28"/>
  <c r="D12" i="28"/>
  <c r="G12" i="28" s="1"/>
  <c r="D9" i="28"/>
  <c r="C73" i="28"/>
  <c r="C72" i="28"/>
  <c r="C65" i="28"/>
  <c r="C64" i="28"/>
  <c r="C63" i="28"/>
  <c r="C62" i="28"/>
  <c r="C61" i="28"/>
  <c r="C60" i="28"/>
  <c r="C59" i="28"/>
  <c r="C58" i="28"/>
  <c r="C57" i="28"/>
  <c r="C56" i="28"/>
  <c r="C55" i="28"/>
  <c r="C54" i="28"/>
  <c r="C49" i="28"/>
  <c r="C48" i="28"/>
  <c r="C47" i="28"/>
  <c r="C46" i="28"/>
  <c r="C45" i="28"/>
  <c r="C43" i="28"/>
  <c r="C42" i="28"/>
  <c r="C32" i="28"/>
  <c r="C31" i="28"/>
  <c r="C30" i="28"/>
  <c r="C28" i="28"/>
  <c r="C27" i="28"/>
  <c r="C26" i="28"/>
  <c r="C24" i="28"/>
  <c r="C23" i="28"/>
  <c r="C20" i="28"/>
  <c r="C19" i="28"/>
  <c r="C18" i="28"/>
  <c r="C17" i="28"/>
  <c r="C16" i="28"/>
  <c r="C14" i="28"/>
  <c r="C13" i="28"/>
  <c r="C12" i="28"/>
  <c r="AE70" i="28" l="1"/>
  <c r="I46" i="28"/>
  <c r="J46" i="28"/>
  <c r="K46" i="28"/>
  <c r="L46" i="28"/>
  <c r="M46" i="28"/>
  <c r="N46" i="28"/>
  <c r="O46" i="28"/>
  <c r="P46" i="28"/>
  <c r="Q46" i="28"/>
  <c r="R46" i="28"/>
  <c r="S46" i="28"/>
  <c r="T46" i="28"/>
  <c r="U46" i="28"/>
  <c r="V46" i="28"/>
  <c r="W46" i="28"/>
  <c r="X46" i="28"/>
  <c r="Y46" i="28"/>
  <c r="Z46" i="28"/>
  <c r="AA46" i="28"/>
  <c r="AB46" i="28"/>
  <c r="AC46" i="28"/>
  <c r="I48" i="28"/>
  <c r="J48" i="28"/>
  <c r="K48" i="28"/>
  <c r="L48" i="28"/>
  <c r="M48" i="28"/>
  <c r="N48" i="28"/>
  <c r="O48" i="28"/>
  <c r="P48" i="28"/>
  <c r="Q48" i="28"/>
  <c r="R48" i="28"/>
  <c r="S48" i="28"/>
  <c r="T48" i="28"/>
  <c r="U48" i="28"/>
  <c r="V48" i="28"/>
  <c r="W48" i="28"/>
  <c r="X48" i="28"/>
  <c r="Y48" i="28"/>
  <c r="Z48" i="28"/>
  <c r="AA48" i="28"/>
  <c r="AB48" i="28"/>
  <c r="AC48" i="28"/>
  <c r="I45" i="28"/>
  <c r="J45" i="28"/>
  <c r="K45" i="28"/>
  <c r="L45" i="28"/>
  <c r="M45" i="28"/>
  <c r="N45" i="28"/>
  <c r="O45" i="28"/>
  <c r="P45" i="28"/>
  <c r="Q45" i="28"/>
  <c r="R45" i="28"/>
  <c r="S45" i="28"/>
  <c r="T45" i="28"/>
  <c r="U45" i="28"/>
  <c r="V45" i="28"/>
  <c r="W45" i="28"/>
  <c r="X45" i="28"/>
  <c r="Y45" i="28"/>
  <c r="Z45" i="28"/>
  <c r="AA45" i="28"/>
  <c r="AB45" i="28"/>
  <c r="AC45" i="28"/>
  <c r="I56" i="28"/>
  <c r="J56" i="28"/>
  <c r="K56" i="28"/>
  <c r="L56" i="28"/>
  <c r="M56" i="28"/>
  <c r="N56" i="28"/>
  <c r="O56" i="28"/>
  <c r="P56" i="28"/>
  <c r="Q56" i="28"/>
  <c r="R56" i="28"/>
  <c r="S56" i="28"/>
  <c r="T56" i="28"/>
  <c r="U56" i="28"/>
  <c r="V56" i="28"/>
  <c r="W56" i="28"/>
  <c r="X56" i="28"/>
  <c r="Y56" i="28"/>
  <c r="Z56" i="28"/>
  <c r="AA56" i="28"/>
  <c r="AB56" i="28"/>
  <c r="AC56" i="28"/>
  <c r="I58" i="28"/>
  <c r="J58" i="28"/>
  <c r="K58" i="28"/>
  <c r="L58" i="28"/>
  <c r="M58" i="28"/>
  <c r="N58" i="28"/>
  <c r="O58" i="28"/>
  <c r="P58" i="28"/>
  <c r="Q58" i="28"/>
  <c r="R58" i="28"/>
  <c r="S58" i="28"/>
  <c r="T58" i="28"/>
  <c r="U58" i="28"/>
  <c r="V58" i="28"/>
  <c r="W58" i="28"/>
  <c r="X58" i="28"/>
  <c r="Y58" i="28"/>
  <c r="Z58" i="28"/>
  <c r="AA58" i="28"/>
  <c r="AB58" i="28"/>
  <c r="AC58" i="28"/>
  <c r="I60" i="28"/>
  <c r="J60" i="28"/>
  <c r="K60" i="28"/>
  <c r="L60" i="28"/>
  <c r="M60" i="28"/>
  <c r="N60" i="28"/>
  <c r="O60" i="28"/>
  <c r="P60" i="28"/>
  <c r="Q60" i="28"/>
  <c r="R60" i="28"/>
  <c r="S60" i="28"/>
  <c r="T60" i="28"/>
  <c r="U60" i="28"/>
  <c r="V60" i="28"/>
  <c r="W60" i="28"/>
  <c r="X60" i="28"/>
  <c r="Y60" i="28"/>
  <c r="Z60" i="28"/>
  <c r="AA60" i="28"/>
  <c r="AB60" i="28"/>
  <c r="AC60" i="28"/>
  <c r="I62" i="28"/>
  <c r="J62" i="28"/>
  <c r="K62" i="28"/>
  <c r="L62" i="28"/>
  <c r="M62" i="28"/>
  <c r="N62" i="28"/>
  <c r="O62" i="28"/>
  <c r="P62" i="28"/>
  <c r="Q62" i="28"/>
  <c r="R62" i="28"/>
  <c r="S62" i="28"/>
  <c r="T62" i="28"/>
  <c r="U62" i="28"/>
  <c r="V62" i="28"/>
  <c r="W62" i="28"/>
  <c r="X62" i="28"/>
  <c r="Y62" i="28"/>
  <c r="Z62" i="28"/>
  <c r="AA62" i="28"/>
  <c r="AB62" i="28"/>
  <c r="AC62" i="28"/>
  <c r="I54" i="28"/>
  <c r="J54" i="28"/>
  <c r="K54" i="28"/>
  <c r="L54" i="28"/>
  <c r="M54" i="28"/>
  <c r="N54" i="28"/>
  <c r="O54" i="28"/>
  <c r="P54" i="28"/>
  <c r="Q54" i="28"/>
  <c r="R54" i="28"/>
  <c r="S54" i="28"/>
  <c r="T54" i="28"/>
  <c r="U54" i="28"/>
  <c r="V54" i="28"/>
  <c r="W54" i="28"/>
  <c r="X54" i="28"/>
  <c r="Y54" i="28"/>
  <c r="Z54" i="28"/>
  <c r="AA54" i="28"/>
  <c r="AB54" i="28"/>
  <c r="AC54" i="28"/>
  <c r="I64" i="28"/>
  <c r="J64" i="28"/>
  <c r="K64" i="28"/>
  <c r="L64" i="28"/>
  <c r="M64" i="28"/>
  <c r="N64" i="28"/>
  <c r="O64" i="28"/>
  <c r="P64" i="28"/>
  <c r="Q64" i="28"/>
  <c r="R64" i="28"/>
  <c r="S64" i="28"/>
  <c r="T64" i="28"/>
  <c r="U64" i="28"/>
  <c r="V64" i="28"/>
  <c r="W64" i="28"/>
  <c r="X64" i="28"/>
  <c r="Y64" i="28"/>
  <c r="Z64" i="28"/>
  <c r="AA64" i="28"/>
  <c r="AB64" i="28"/>
  <c r="AC64" i="28"/>
  <c r="I73" i="28"/>
  <c r="J73" i="28"/>
  <c r="K73" i="28"/>
  <c r="L73" i="28"/>
  <c r="M73" i="28"/>
  <c r="N73" i="28"/>
  <c r="O73" i="28"/>
  <c r="P73" i="28"/>
  <c r="Q73" i="28"/>
  <c r="R73" i="28"/>
  <c r="S73" i="28"/>
  <c r="T73" i="28"/>
  <c r="U73" i="28"/>
  <c r="V73" i="28"/>
  <c r="W73" i="28"/>
  <c r="X73" i="28"/>
  <c r="Y73" i="28"/>
  <c r="Z73" i="28"/>
  <c r="AA73" i="28"/>
  <c r="AB73" i="28"/>
  <c r="AC73" i="28"/>
  <c r="AD64" i="28"/>
  <c r="AD62" i="28"/>
  <c r="AD60" i="28"/>
  <c r="AD58" i="28"/>
  <c r="AD56" i="28"/>
  <c r="AD54" i="28"/>
  <c r="AD48" i="28"/>
  <c r="AD46" i="28"/>
  <c r="I47" i="28"/>
  <c r="J47" i="28"/>
  <c r="K47" i="28"/>
  <c r="L47" i="28"/>
  <c r="M47" i="28"/>
  <c r="N47" i="28"/>
  <c r="O47" i="28"/>
  <c r="P47" i="28"/>
  <c r="Q47" i="28"/>
  <c r="R47" i="28"/>
  <c r="S47" i="28"/>
  <c r="T47" i="28"/>
  <c r="U47" i="28"/>
  <c r="V47" i="28"/>
  <c r="W47" i="28"/>
  <c r="X47" i="28"/>
  <c r="Y47" i="28"/>
  <c r="Z47" i="28"/>
  <c r="AA47" i="28"/>
  <c r="AB47" i="28"/>
  <c r="AC47" i="28"/>
  <c r="I49" i="28"/>
  <c r="J49" i="28"/>
  <c r="K49" i="28"/>
  <c r="L49" i="28"/>
  <c r="M49" i="28"/>
  <c r="N49" i="28"/>
  <c r="O49" i="28"/>
  <c r="P49" i="28"/>
  <c r="Q49" i="28"/>
  <c r="R49" i="28"/>
  <c r="S49" i="28"/>
  <c r="T49" i="28"/>
  <c r="U49" i="28"/>
  <c r="V49" i="28"/>
  <c r="W49" i="28"/>
  <c r="X49" i="28"/>
  <c r="Y49" i="28"/>
  <c r="Z49" i="28"/>
  <c r="AA49" i="28"/>
  <c r="AB49" i="28"/>
  <c r="AC49" i="28"/>
  <c r="I55" i="28"/>
  <c r="J55" i="28"/>
  <c r="K55" i="28"/>
  <c r="L55" i="28"/>
  <c r="M55" i="28"/>
  <c r="N55" i="28"/>
  <c r="O55" i="28"/>
  <c r="P55" i="28"/>
  <c r="Q55" i="28"/>
  <c r="R55" i="28"/>
  <c r="S55" i="28"/>
  <c r="T55" i="28"/>
  <c r="U55" i="28"/>
  <c r="V55" i="28"/>
  <c r="W55" i="28"/>
  <c r="X55" i="28"/>
  <c r="Y55" i="28"/>
  <c r="Z55" i="28"/>
  <c r="AA55" i="28"/>
  <c r="AB55" i="28"/>
  <c r="AC55" i="28"/>
  <c r="I57" i="28"/>
  <c r="J57" i="28"/>
  <c r="K57" i="28"/>
  <c r="L57" i="28"/>
  <c r="M57" i="28"/>
  <c r="N57" i="28"/>
  <c r="O57" i="28"/>
  <c r="P57" i="28"/>
  <c r="Q57" i="28"/>
  <c r="R57" i="28"/>
  <c r="S57" i="28"/>
  <c r="T57" i="28"/>
  <c r="U57" i="28"/>
  <c r="V57" i="28"/>
  <c r="W57" i="28"/>
  <c r="X57" i="28"/>
  <c r="Y57" i="28"/>
  <c r="Z57" i="28"/>
  <c r="AA57" i="28"/>
  <c r="AB57" i="28"/>
  <c r="AC57" i="28"/>
  <c r="I59" i="28"/>
  <c r="J59" i="28"/>
  <c r="K59" i="28"/>
  <c r="L59" i="28"/>
  <c r="M59" i="28"/>
  <c r="N59" i="28"/>
  <c r="O59" i="28"/>
  <c r="P59" i="28"/>
  <c r="Q59" i="28"/>
  <c r="R59" i="28"/>
  <c r="S59" i="28"/>
  <c r="T59" i="28"/>
  <c r="U59" i="28"/>
  <c r="V59" i="28"/>
  <c r="W59" i="28"/>
  <c r="X59" i="28"/>
  <c r="Y59" i="28"/>
  <c r="Z59" i="28"/>
  <c r="AA59" i="28"/>
  <c r="AB59" i="28"/>
  <c r="AC59" i="28"/>
  <c r="I61" i="28"/>
  <c r="J61" i="28"/>
  <c r="K61" i="28"/>
  <c r="L61" i="28"/>
  <c r="M61" i="28"/>
  <c r="N61" i="28"/>
  <c r="O61" i="28"/>
  <c r="P61" i="28"/>
  <c r="Q61" i="28"/>
  <c r="R61" i="28"/>
  <c r="S61" i="28"/>
  <c r="T61" i="28"/>
  <c r="U61" i="28"/>
  <c r="V61" i="28"/>
  <c r="W61" i="28"/>
  <c r="X61" i="28"/>
  <c r="Y61" i="28"/>
  <c r="Z61" i="28"/>
  <c r="AA61" i="28"/>
  <c r="AB61" i="28"/>
  <c r="AC61" i="28"/>
  <c r="I63" i="28"/>
  <c r="J63" i="28"/>
  <c r="K63" i="28"/>
  <c r="L63" i="28"/>
  <c r="M63" i="28"/>
  <c r="N63" i="28"/>
  <c r="O63" i="28"/>
  <c r="P63" i="28"/>
  <c r="Q63" i="28"/>
  <c r="R63" i="28"/>
  <c r="S63" i="28"/>
  <c r="T63" i="28"/>
  <c r="U63" i="28"/>
  <c r="V63" i="28"/>
  <c r="W63" i="28"/>
  <c r="X63" i="28"/>
  <c r="Y63" i="28"/>
  <c r="Z63" i="28"/>
  <c r="AA63" i="28"/>
  <c r="AB63" i="28"/>
  <c r="AC63" i="28"/>
  <c r="I65" i="28"/>
  <c r="J65" i="28"/>
  <c r="K65" i="28"/>
  <c r="L65" i="28"/>
  <c r="M65" i="28"/>
  <c r="N65" i="28"/>
  <c r="O65" i="28"/>
  <c r="P65" i="28"/>
  <c r="Q65" i="28"/>
  <c r="R65" i="28"/>
  <c r="S65" i="28"/>
  <c r="T65" i="28"/>
  <c r="U65" i="28"/>
  <c r="V65" i="28"/>
  <c r="W65" i="28"/>
  <c r="X65" i="28"/>
  <c r="Y65" i="28"/>
  <c r="Z65" i="28"/>
  <c r="AA65" i="28"/>
  <c r="AB65" i="28"/>
  <c r="AC65" i="28"/>
  <c r="I72" i="28"/>
  <c r="J72" i="28"/>
  <c r="K72" i="28"/>
  <c r="L72" i="28"/>
  <c r="M72" i="28"/>
  <c r="N72" i="28"/>
  <c r="O72" i="28"/>
  <c r="P72" i="28"/>
  <c r="Q72" i="28"/>
  <c r="R72" i="28"/>
  <c r="S72" i="28"/>
  <c r="T72" i="28"/>
  <c r="U72" i="28"/>
  <c r="V72" i="28"/>
  <c r="W72" i="28"/>
  <c r="X72" i="28"/>
  <c r="Y72" i="28"/>
  <c r="Z72" i="28"/>
  <c r="AA72" i="28"/>
  <c r="AB72" i="28"/>
  <c r="AC72" i="28"/>
  <c r="AD73" i="28"/>
  <c r="AD72" i="28"/>
  <c r="AD65" i="28"/>
  <c r="AD63" i="28"/>
  <c r="AD61" i="28"/>
  <c r="AD59" i="28"/>
  <c r="AD57" i="28"/>
  <c r="AD55" i="28"/>
  <c r="AD49" i="28"/>
  <c r="AD47" i="28"/>
  <c r="AD45" i="28"/>
  <c r="AE45" i="28"/>
  <c r="AE46" i="28"/>
  <c r="AE47" i="28"/>
  <c r="AE48" i="28"/>
  <c r="AE49" i="28"/>
  <c r="AE50" i="28"/>
  <c r="AE51" i="28"/>
  <c r="AE52" i="28"/>
  <c r="AE53" i="28"/>
  <c r="AE54" i="28"/>
  <c r="AE55" i="28"/>
  <c r="AE56" i="28"/>
  <c r="AE57" i="28"/>
  <c r="AE58" i="28"/>
  <c r="AE59" i="28"/>
  <c r="AE60" i="28"/>
  <c r="AE61" i="28"/>
  <c r="AE62" i="28"/>
  <c r="AE63" i="28"/>
  <c r="AE64" i="28"/>
  <c r="AE65" i="28"/>
  <c r="AE66" i="28"/>
  <c r="AE67" i="28"/>
  <c r="AE44" i="28"/>
  <c r="AE68" i="28"/>
  <c r="AE69" i="28"/>
  <c r="AE71" i="28"/>
  <c r="AE72" i="28"/>
  <c r="AE73" i="28"/>
  <c r="AE74" i="28"/>
  <c r="AE34" i="28"/>
  <c r="AE35" i="28"/>
  <c r="AE39" i="28"/>
  <c r="AE38" i="28"/>
  <c r="AE37" i="28"/>
  <c r="AE36" i="28"/>
  <c r="AE40" i="28"/>
  <c r="AE11" i="28"/>
  <c r="AE25" i="28"/>
  <c r="AE33" i="28"/>
  <c r="AE21" i="28"/>
  <c r="AD14" i="28"/>
  <c r="G14" i="28"/>
  <c r="L13" i="28"/>
  <c r="G13" i="28"/>
  <c r="AD12" i="28"/>
  <c r="L12" i="28"/>
  <c r="I9" i="28"/>
  <c r="J9" i="28"/>
  <c r="K9" i="28"/>
  <c r="L9" i="28"/>
  <c r="M9" i="28"/>
  <c r="N9" i="28"/>
  <c r="O9" i="28"/>
  <c r="P9" i="28"/>
  <c r="Q9" i="28"/>
  <c r="R9" i="28"/>
  <c r="S9" i="28"/>
  <c r="T9" i="28"/>
  <c r="U9" i="28"/>
  <c r="V9" i="28"/>
  <c r="W9" i="28"/>
  <c r="X9" i="28"/>
  <c r="Y9" i="28"/>
  <c r="Z9" i="28"/>
  <c r="AA9" i="28"/>
  <c r="AB9" i="28"/>
  <c r="AC9" i="28"/>
  <c r="I13" i="28"/>
  <c r="J13" i="28"/>
  <c r="K13" i="28"/>
  <c r="M13" i="28"/>
  <c r="N13" i="28"/>
  <c r="O13" i="28"/>
  <c r="P13" i="28"/>
  <c r="Q13" i="28"/>
  <c r="R13" i="28"/>
  <c r="S13" i="28"/>
  <c r="T13" i="28"/>
  <c r="U13" i="28"/>
  <c r="V13" i="28"/>
  <c r="W13" i="28"/>
  <c r="X13" i="28"/>
  <c r="Y13" i="28"/>
  <c r="Z13" i="28"/>
  <c r="AA13" i="28"/>
  <c r="AB13" i="28"/>
  <c r="AC13" i="28"/>
  <c r="I17" i="28"/>
  <c r="J17" i="28"/>
  <c r="K17" i="28"/>
  <c r="L17" i="28"/>
  <c r="M17" i="28"/>
  <c r="N17" i="28"/>
  <c r="O17" i="28"/>
  <c r="P17" i="28"/>
  <c r="Q17" i="28"/>
  <c r="R17" i="28"/>
  <c r="S17" i="28"/>
  <c r="T17" i="28"/>
  <c r="U17" i="28"/>
  <c r="V17" i="28"/>
  <c r="W17" i="28"/>
  <c r="X17" i="28"/>
  <c r="Y17" i="28"/>
  <c r="Z17" i="28"/>
  <c r="AA17" i="28"/>
  <c r="AB17" i="28"/>
  <c r="AC17" i="28"/>
  <c r="I19" i="28"/>
  <c r="J19" i="28"/>
  <c r="K19" i="28"/>
  <c r="L19" i="28"/>
  <c r="M19" i="28"/>
  <c r="N19" i="28"/>
  <c r="O19" i="28"/>
  <c r="P19" i="28"/>
  <c r="Q19" i="28"/>
  <c r="R19" i="28"/>
  <c r="S19" i="28"/>
  <c r="T19" i="28"/>
  <c r="U19" i="28"/>
  <c r="V19" i="28"/>
  <c r="W19" i="28"/>
  <c r="X19" i="28"/>
  <c r="Y19" i="28"/>
  <c r="Z19" i="28"/>
  <c r="AA19" i="28"/>
  <c r="AB19" i="28"/>
  <c r="AC19" i="28"/>
  <c r="I16" i="28"/>
  <c r="J16" i="28"/>
  <c r="K16" i="28"/>
  <c r="L16" i="28"/>
  <c r="M16" i="28"/>
  <c r="N16" i="28"/>
  <c r="O16" i="28"/>
  <c r="P16" i="28"/>
  <c r="Q16" i="28"/>
  <c r="R16" i="28"/>
  <c r="S16" i="28"/>
  <c r="T16" i="28"/>
  <c r="U16" i="28"/>
  <c r="V16" i="28"/>
  <c r="W16" i="28"/>
  <c r="X16" i="28"/>
  <c r="Y16" i="28"/>
  <c r="Z16" i="28"/>
  <c r="AA16" i="28"/>
  <c r="AB16" i="28"/>
  <c r="AC16" i="28"/>
  <c r="I27" i="28"/>
  <c r="J27" i="28"/>
  <c r="K27" i="28"/>
  <c r="L27" i="28"/>
  <c r="M27" i="28"/>
  <c r="N27" i="28"/>
  <c r="O27" i="28"/>
  <c r="P27" i="28"/>
  <c r="Q27" i="28"/>
  <c r="R27" i="28"/>
  <c r="S27" i="28"/>
  <c r="T27" i="28"/>
  <c r="U27" i="28"/>
  <c r="V27" i="28"/>
  <c r="W27" i="28"/>
  <c r="X27" i="28"/>
  <c r="Y27" i="28"/>
  <c r="Z27" i="28"/>
  <c r="AA27" i="28"/>
  <c r="AB27" i="28"/>
  <c r="AC27" i="28"/>
  <c r="I31" i="28"/>
  <c r="J31" i="28"/>
  <c r="K31" i="28"/>
  <c r="L31" i="28"/>
  <c r="M31" i="28"/>
  <c r="N31" i="28"/>
  <c r="O31" i="28"/>
  <c r="P31" i="28"/>
  <c r="Q31" i="28"/>
  <c r="R31" i="28"/>
  <c r="S31" i="28"/>
  <c r="T31" i="28"/>
  <c r="U31" i="28"/>
  <c r="V31" i="28"/>
  <c r="W31" i="28"/>
  <c r="X31" i="28"/>
  <c r="Y31" i="28"/>
  <c r="Z31" i="28"/>
  <c r="AA31" i="28"/>
  <c r="AB31" i="28"/>
  <c r="AC31" i="28"/>
  <c r="I23" i="28"/>
  <c r="J23" i="28"/>
  <c r="K23" i="28"/>
  <c r="L23" i="28"/>
  <c r="M23" i="28"/>
  <c r="N23" i="28"/>
  <c r="O23" i="28"/>
  <c r="P23" i="28"/>
  <c r="Q23" i="28"/>
  <c r="R23" i="28"/>
  <c r="S23" i="28"/>
  <c r="T23" i="28"/>
  <c r="U23" i="28"/>
  <c r="V23" i="28"/>
  <c r="W23" i="28"/>
  <c r="X23" i="28"/>
  <c r="Y23" i="28"/>
  <c r="Z23" i="28"/>
  <c r="AA23" i="28"/>
  <c r="AB23" i="28"/>
  <c r="AC23" i="28"/>
  <c r="I42" i="28"/>
  <c r="J42" i="28"/>
  <c r="K42" i="28"/>
  <c r="L42" i="28"/>
  <c r="M42" i="28"/>
  <c r="N42" i="28"/>
  <c r="O42" i="28"/>
  <c r="P42" i="28"/>
  <c r="Q42" i="28"/>
  <c r="R42" i="28"/>
  <c r="S42" i="28"/>
  <c r="T42" i="28"/>
  <c r="U42" i="28"/>
  <c r="V42" i="28"/>
  <c r="W42" i="28"/>
  <c r="X42" i="28"/>
  <c r="Y42" i="28"/>
  <c r="Z42" i="28"/>
  <c r="AA42" i="28"/>
  <c r="AB42" i="28"/>
  <c r="AC42" i="28"/>
  <c r="AE10" i="28"/>
  <c r="AE12" i="28"/>
  <c r="AE13" i="28"/>
  <c r="AE14" i="28"/>
  <c r="AE15" i="28"/>
  <c r="AE16" i="28"/>
  <c r="AE17" i="28"/>
  <c r="AE18" i="28"/>
  <c r="AE19" i="28"/>
  <c r="AE20" i="28"/>
  <c r="AE22" i="28"/>
  <c r="AE23" i="28"/>
  <c r="AE24" i="28"/>
  <c r="AE26" i="28"/>
  <c r="AE27" i="28"/>
  <c r="AE28" i="28"/>
  <c r="AE29" i="28"/>
  <c r="AE30" i="28"/>
  <c r="AE31" i="28"/>
  <c r="AE32" i="28"/>
  <c r="AE41" i="28"/>
  <c r="AE42" i="28"/>
  <c r="AE43" i="28"/>
  <c r="AE9" i="28"/>
  <c r="AE8" i="28"/>
  <c r="AD9" i="28"/>
  <c r="AD31" i="28"/>
  <c r="AD27" i="28"/>
  <c r="AD23" i="28"/>
  <c r="AD16" i="28"/>
  <c r="I12" i="28"/>
  <c r="J12" i="28"/>
  <c r="K12" i="28"/>
  <c r="M12" i="28"/>
  <c r="N12" i="28"/>
  <c r="O12" i="28"/>
  <c r="P12" i="28"/>
  <c r="Q12" i="28"/>
  <c r="R12" i="28"/>
  <c r="S12" i="28"/>
  <c r="T12" i="28"/>
  <c r="U12" i="28"/>
  <c r="V12" i="28"/>
  <c r="W12" i="28"/>
  <c r="X12" i="28"/>
  <c r="Y12" i="28"/>
  <c r="Z12" i="28"/>
  <c r="AA12" i="28"/>
  <c r="AB12" i="28"/>
  <c r="AC12" i="28"/>
  <c r="I14" i="28"/>
  <c r="J14" i="28"/>
  <c r="K14" i="28"/>
  <c r="L14" i="28"/>
  <c r="M14" i="28"/>
  <c r="N14" i="28"/>
  <c r="O14" i="28"/>
  <c r="P14" i="28"/>
  <c r="Q14" i="28"/>
  <c r="R14" i="28"/>
  <c r="S14" i="28"/>
  <c r="T14" i="28"/>
  <c r="U14" i="28"/>
  <c r="V14" i="28"/>
  <c r="W14" i="28"/>
  <c r="X14" i="28"/>
  <c r="Y14" i="28"/>
  <c r="Z14" i="28"/>
  <c r="AA14" i="28"/>
  <c r="AB14" i="28"/>
  <c r="AC14" i="28"/>
  <c r="I18" i="28"/>
  <c r="J18" i="28"/>
  <c r="K18" i="28"/>
  <c r="L18" i="28"/>
  <c r="M18" i="28"/>
  <c r="N18" i="28"/>
  <c r="O18" i="28"/>
  <c r="P18" i="28"/>
  <c r="Q18" i="28"/>
  <c r="R18" i="28"/>
  <c r="S18" i="28"/>
  <c r="T18" i="28"/>
  <c r="U18" i="28"/>
  <c r="V18" i="28"/>
  <c r="W18" i="28"/>
  <c r="X18" i="28"/>
  <c r="Y18" i="28"/>
  <c r="Z18" i="28"/>
  <c r="AA18" i="28"/>
  <c r="AB18" i="28"/>
  <c r="AC18" i="28"/>
  <c r="I20" i="28"/>
  <c r="J20" i="28"/>
  <c r="K20" i="28"/>
  <c r="L20" i="28"/>
  <c r="M20" i="28"/>
  <c r="N20" i="28"/>
  <c r="O20" i="28"/>
  <c r="P20" i="28"/>
  <c r="Q20" i="28"/>
  <c r="R20" i="28"/>
  <c r="S20" i="28"/>
  <c r="T20" i="28"/>
  <c r="U20" i="28"/>
  <c r="V20" i="28"/>
  <c r="W20" i="28"/>
  <c r="X20" i="28"/>
  <c r="Y20" i="28"/>
  <c r="Z20" i="28"/>
  <c r="AA20" i="28"/>
  <c r="AB20" i="28"/>
  <c r="AC20" i="28"/>
  <c r="I24" i="28"/>
  <c r="J24" i="28"/>
  <c r="K24" i="28"/>
  <c r="L24" i="28"/>
  <c r="M24" i="28"/>
  <c r="N24" i="28"/>
  <c r="O24" i="28"/>
  <c r="P24" i="28"/>
  <c r="Q24" i="28"/>
  <c r="R24" i="28"/>
  <c r="S24" i="28"/>
  <c r="T24" i="28"/>
  <c r="U24" i="28"/>
  <c r="V24" i="28"/>
  <c r="W24" i="28"/>
  <c r="X24" i="28"/>
  <c r="Y24" i="28"/>
  <c r="Z24" i="28"/>
  <c r="AA24" i="28"/>
  <c r="AB24" i="28"/>
  <c r="AC24" i="28"/>
  <c r="I26" i="28"/>
  <c r="J26" i="28"/>
  <c r="K26" i="28"/>
  <c r="L26" i="28"/>
  <c r="M26" i="28"/>
  <c r="N26" i="28"/>
  <c r="O26" i="28"/>
  <c r="P26" i="28"/>
  <c r="Q26" i="28"/>
  <c r="R26" i="28"/>
  <c r="S26" i="28"/>
  <c r="T26" i="28"/>
  <c r="U26" i="28"/>
  <c r="V26" i="28"/>
  <c r="W26" i="28"/>
  <c r="X26" i="28"/>
  <c r="Y26" i="28"/>
  <c r="Z26" i="28"/>
  <c r="AA26" i="28"/>
  <c r="AB26" i="28"/>
  <c r="AC26" i="28"/>
  <c r="I30" i="28"/>
  <c r="J30" i="28"/>
  <c r="K30" i="28"/>
  <c r="L30" i="28"/>
  <c r="M30" i="28"/>
  <c r="N30" i="28"/>
  <c r="O30" i="28"/>
  <c r="P30" i="28"/>
  <c r="Q30" i="28"/>
  <c r="R30" i="28"/>
  <c r="S30" i="28"/>
  <c r="T30" i="28"/>
  <c r="U30" i="28"/>
  <c r="V30" i="28"/>
  <c r="W30" i="28"/>
  <c r="X30" i="28"/>
  <c r="Y30" i="28"/>
  <c r="Z30" i="28"/>
  <c r="AA30" i="28"/>
  <c r="AB30" i="28"/>
  <c r="AC30" i="28"/>
  <c r="I32" i="28"/>
  <c r="J32" i="28"/>
  <c r="K32" i="28"/>
  <c r="L32" i="28"/>
  <c r="M32" i="28"/>
  <c r="N32" i="28"/>
  <c r="O32" i="28"/>
  <c r="P32" i="28"/>
  <c r="Q32" i="28"/>
  <c r="R32" i="28"/>
  <c r="S32" i="28"/>
  <c r="T32" i="28"/>
  <c r="U32" i="28"/>
  <c r="V32" i="28"/>
  <c r="W32" i="28"/>
  <c r="X32" i="28"/>
  <c r="Y32" i="28"/>
  <c r="Z32" i="28"/>
  <c r="AA32" i="28"/>
  <c r="AB32" i="28"/>
  <c r="AC32" i="28"/>
  <c r="I43" i="28"/>
  <c r="J43" i="28"/>
  <c r="K43" i="28"/>
  <c r="L43" i="28"/>
  <c r="M43" i="28"/>
  <c r="N43" i="28"/>
  <c r="O43" i="28"/>
  <c r="P43" i="28"/>
  <c r="Q43" i="28"/>
  <c r="R43" i="28"/>
  <c r="S43" i="28"/>
  <c r="T43" i="28"/>
  <c r="U43" i="28"/>
  <c r="V43" i="28"/>
  <c r="W43" i="28"/>
  <c r="X43" i="28"/>
  <c r="Y43" i="28"/>
  <c r="Z43" i="28"/>
  <c r="AA43" i="28"/>
  <c r="AB43" i="28"/>
  <c r="AC43" i="28"/>
  <c r="AD42" i="28"/>
  <c r="AD32" i="28"/>
  <c r="AD30" i="28"/>
  <c r="AD26" i="28"/>
  <c r="AD24" i="28"/>
  <c r="AD19" i="28"/>
  <c r="AD17" i="28"/>
  <c r="AD13" i="28"/>
  <c r="AF7" i="28"/>
  <c r="G9" i="28"/>
  <c r="G17" i="28"/>
  <c r="G19" i="28"/>
  <c r="G30" i="28"/>
  <c r="G43" i="28"/>
  <c r="G56" i="28"/>
  <c r="G60" i="28"/>
  <c r="G54" i="28"/>
  <c r="G64" i="28"/>
  <c r="G16" i="28"/>
  <c r="G27" i="28"/>
  <c r="G32" i="28"/>
  <c r="G46" i="28"/>
  <c r="G45" i="28"/>
  <c r="G58" i="28"/>
  <c r="G62" i="28"/>
  <c r="G73" i="28"/>
  <c r="G18" i="28"/>
  <c r="G24" i="28"/>
  <c r="G28" i="28"/>
  <c r="G23" i="28"/>
  <c r="G47" i="28"/>
  <c r="G55" i="28"/>
  <c r="G59" i="28"/>
  <c r="G63" i="28"/>
  <c r="G48" i="28"/>
  <c r="G20" i="28"/>
  <c r="G26" i="28"/>
  <c r="G31" i="28"/>
  <c r="G42" i="28"/>
  <c r="G49" i="28"/>
  <c r="G57" i="28"/>
  <c r="G61" i="28"/>
  <c r="G65" i="28"/>
  <c r="G72" i="28"/>
  <c r="AF70" i="28" l="1"/>
  <c r="I6" i="28"/>
  <c r="AD6" i="28"/>
  <c r="AB6" i="28"/>
  <c r="Z6" i="28"/>
  <c r="X6" i="28"/>
  <c r="V6" i="28"/>
  <c r="T6" i="28"/>
  <c r="R6" i="28"/>
  <c r="P6" i="28"/>
  <c r="N6" i="28"/>
  <c r="L6" i="28"/>
  <c r="J6" i="28"/>
  <c r="AF45" i="28"/>
  <c r="AF46" i="28"/>
  <c r="AF47" i="28"/>
  <c r="AF48" i="28"/>
  <c r="AF49" i="28"/>
  <c r="AF50" i="28"/>
  <c r="AF51" i="28"/>
  <c r="AF52" i="28"/>
  <c r="AF53" i="28"/>
  <c r="AF54" i="28"/>
  <c r="AF55" i="28"/>
  <c r="AF56" i="28"/>
  <c r="AF57" i="28"/>
  <c r="AF58" i="28"/>
  <c r="AF59" i="28"/>
  <c r="AF60" i="28"/>
  <c r="AF61" i="28"/>
  <c r="AF62" i="28"/>
  <c r="AF63" i="28"/>
  <c r="AF64" i="28"/>
  <c r="AF65" i="28"/>
  <c r="AF66" i="28"/>
  <c r="AF67" i="28"/>
  <c r="AF68" i="28"/>
  <c r="AF69" i="28"/>
  <c r="AF71" i="28"/>
  <c r="AF72" i="28"/>
  <c r="AF44" i="28"/>
  <c r="AF73" i="28"/>
  <c r="AF74" i="28"/>
  <c r="AC6" i="28"/>
  <c r="AA6" i="28"/>
  <c r="Y6" i="28"/>
  <c r="W6" i="28"/>
  <c r="U6" i="28"/>
  <c r="S6" i="28"/>
  <c r="Q6" i="28"/>
  <c r="O6" i="28"/>
  <c r="M6" i="28"/>
  <c r="K6" i="28"/>
  <c r="AE6" i="28"/>
  <c r="AF34" i="28"/>
  <c r="AF38" i="28"/>
  <c r="AF35" i="28"/>
  <c r="AF39" i="28"/>
  <c r="AF36" i="28"/>
  <c r="AF40" i="28"/>
  <c r="AF37" i="28"/>
  <c r="AF11" i="28"/>
  <c r="AF25" i="28"/>
  <c r="AF33" i="28"/>
  <c r="AF21" i="28"/>
  <c r="AF10" i="28"/>
  <c r="AF12" i="28"/>
  <c r="AF13" i="28"/>
  <c r="AF14" i="28"/>
  <c r="AF15" i="28"/>
  <c r="AF16" i="28"/>
  <c r="AF17" i="28"/>
  <c r="AF18" i="28"/>
  <c r="AF19" i="28"/>
  <c r="AF20" i="28"/>
  <c r="AF22" i="28"/>
  <c r="AF23" i="28"/>
  <c r="AF24" i="28"/>
  <c r="AF26" i="28"/>
  <c r="AF27" i="28"/>
  <c r="AF28" i="28"/>
  <c r="AF29" i="28"/>
  <c r="AF30" i="28"/>
  <c r="AF31" i="28"/>
  <c r="AF32" i="28"/>
  <c r="AF41" i="28"/>
  <c r="AF42" i="28"/>
  <c r="AF43" i="28"/>
  <c r="AF9" i="28"/>
  <c r="AF8" i="28"/>
  <c r="AG7" i="28"/>
  <c r="AG70" i="28" l="1"/>
  <c r="AG45" i="28"/>
  <c r="AG46" i="28"/>
  <c r="AG47" i="28"/>
  <c r="AG48" i="28"/>
  <c r="AG49" i="28"/>
  <c r="AG50" i="28"/>
  <c r="AG51" i="28"/>
  <c r="AG52" i="28"/>
  <c r="AG53" i="28"/>
  <c r="AG54" i="28"/>
  <c r="AG55" i="28"/>
  <c r="AG56" i="28"/>
  <c r="AG57" i="28"/>
  <c r="AG58" i="28"/>
  <c r="AG59" i="28"/>
  <c r="AG60" i="28"/>
  <c r="AG61" i="28"/>
  <c r="AG62" i="28"/>
  <c r="AG63" i="28"/>
  <c r="AG64" i="28"/>
  <c r="AG65" i="28"/>
  <c r="AG66" i="28"/>
  <c r="AG67" i="28"/>
  <c r="AG44" i="28"/>
  <c r="AG68" i="28"/>
  <c r="AG69" i="28"/>
  <c r="AG71" i="28"/>
  <c r="AG72" i="28"/>
  <c r="AG73" i="28"/>
  <c r="AG74" i="28"/>
  <c r="AF6" i="28"/>
  <c r="AG34" i="28"/>
  <c r="AG37" i="28"/>
  <c r="AG36" i="28"/>
  <c r="AG40" i="28"/>
  <c r="AG35" i="28"/>
  <c r="AG39" i="28"/>
  <c r="AG38" i="28"/>
  <c r="AG11" i="28"/>
  <c r="AG25" i="28"/>
  <c r="AG33" i="28"/>
  <c r="AG21" i="28"/>
  <c r="AG10" i="28"/>
  <c r="AG12" i="28"/>
  <c r="AG13" i="28"/>
  <c r="AG14" i="28"/>
  <c r="AG15" i="28"/>
  <c r="AG16" i="28"/>
  <c r="AG17" i="28"/>
  <c r="AG18" i="28"/>
  <c r="AG19" i="28"/>
  <c r="AG20" i="28"/>
  <c r="AG22" i="28"/>
  <c r="AG23" i="28"/>
  <c r="AG24" i="28"/>
  <c r="AG26" i="28"/>
  <c r="AG27" i="28"/>
  <c r="AG28" i="28"/>
  <c r="AG29" i="28"/>
  <c r="AG30" i="28"/>
  <c r="AG31" i="28"/>
  <c r="AG32" i="28"/>
  <c r="AG41" i="28"/>
  <c r="AG42" i="28"/>
  <c r="AG43" i="28"/>
  <c r="AG8" i="28"/>
  <c r="AG9" i="28"/>
  <c r="AG6" i="28" l="1"/>
  <c r="I3" i="19"/>
  <c r="K22" i="19"/>
  <c r="K21" i="19"/>
  <c r="C5" i="19" l="1"/>
  <c r="D5" i="19"/>
  <c r="E5" i="19"/>
  <c r="F5" i="19"/>
  <c r="F19" i="19" s="1"/>
  <c r="G5" i="19"/>
  <c r="B5" i="19"/>
  <c r="A2" i="18"/>
  <c r="A3" i="24"/>
  <c r="W254" i="9" l="1"/>
  <c r="W109" i="9"/>
  <c r="N56" i="9"/>
  <c r="N126" i="9"/>
  <c r="E128" i="9"/>
  <c r="N118" i="9"/>
  <c r="W118" i="9"/>
  <c r="W123" i="9"/>
  <c r="E118" i="9"/>
  <c r="N127" i="9"/>
  <c r="A4" i="24"/>
  <c r="V109" i="9" l="1"/>
  <c r="Y109" i="9"/>
  <c r="X109" i="9"/>
  <c r="Z109" i="9" s="1"/>
  <c r="N57" i="9"/>
  <c r="M57" i="9" s="1"/>
  <c r="W255" i="9"/>
  <c r="X254" i="9"/>
  <c r="V254" i="9"/>
  <c r="Y254" i="9"/>
  <c r="M56" i="9"/>
  <c r="O56" i="9"/>
  <c r="P56" i="9"/>
  <c r="R56" i="9" s="1"/>
  <c r="W124" i="9"/>
  <c r="V124" i="9" s="1"/>
  <c r="E119" i="9"/>
  <c r="F119" i="9" s="1"/>
  <c r="F128" i="9"/>
  <c r="G128" i="9"/>
  <c r="N119" i="9"/>
  <c r="M119" i="9" s="1"/>
  <c r="E129" i="9"/>
  <c r="D118" i="9"/>
  <c r="G118" i="9"/>
  <c r="F118" i="9"/>
  <c r="X118" i="9"/>
  <c r="Y118" i="9"/>
  <c r="V118" i="9"/>
  <c r="D128" i="9"/>
  <c r="Y123" i="9"/>
  <c r="V123" i="9"/>
  <c r="X123" i="9"/>
  <c r="O118" i="9"/>
  <c r="M118" i="9"/>
  <c r="P118" i="9"/>
  <c r="M126" i="9"/>
  <c r="P126" i="9"/>
  <c r="O126" i="9"/>
  <c r="Q126" i="9" s="1"/>
  <c r="N128" i="9"/>
  <c r="O127" i="9"/>
  <c r="P127" i="9"/>
  <c r="M127" i="9"/>
  <c r="A5" i="24"/>
  <c r="AA116" i="9" l="1"/>
  <c r="O8" i="16" s="1"/>
  <c r="AA106" i="9"/>
  <c r="C27" i="16" s="1"/>
  <c r="AA254" i="9"/>
  <c r="Z254" i="9"/>
  <c r="AA109" i="9"/>
  <c r="P57" i="9"/>
  <c r="O57" i="9"/>
  <c r="W125" i="9"/>
  <c r="Y125" i="9" s="1"/>
  <c r="W256" i="9"/>
  <c r="V255" i="9"/>
  <c r="X255" i="9"/>
  <c r="Y255" i="9"/>
  <c r="AA255" i="9" s="1"/>
  <c r="Q56" i="9"/>
  <c r="Y124" i="9"/>
  <c r="AA124" i="9" s="1"/>
  <c r="G119" i="9"/>
  <c r="X124" i="9"/>
  <c r="Z124" i="9" s="1"/>
  <c r="E120" i="9"/>
  <c r="G120" i="9" s="1"/>
  <c r="N58" i="9"/>
  <c r="O58" i="9" s="1"/>
  <c r="O119" i="9"/>
  <c r="Q119" i="9" s="1"/>
  <c r="N120" i="9"/>
  <c r="M120" i="9" s="1"/>
  <c r="D129" i="9"/>
  <c r="G129" i="9"/>
  <c r="F129" i="9"/>
  <c r="H129" i="9" s="1"/>
  <c r="P119" i="9"/>
  <c r="Z123" i="9"/>
  <c r="AA123" i="9"/>
  <c r="I118" i="9"/>
  <c r="R126" i="9"/>
  <c r="R118" i="9"/>
  <c r="I128" i="9"/>
  <c r="E130" i="9"/>
  <c r="D130" i="9" s="1"/>
  <c r="Z118" i="9"/>
  <c r="Z119" i="9" s="1"/>
  <c r="P8" i="16" s="1"/>
  <c r="Q118" i="9"/>
  <c r="H128" i="9"/>
  <c r="AA118" i="9"/>
  <c r="AA119" i="9" s="1"/>
  <c r="Q8" i="16" s="1"/>
  <c r="R8" i="16" s="1"/>
  <c r="R119" i="9"/>
  <c r="R127" i="9"/>
  <c r="Q127" i="9"/>
  <c r="E131" i="9"/>
  <c r="G131" i="9" s="1"/>
  <c r="X125" i="9"/>
  <c r="P128" i="9"/>
  <c r="M128" i="9"/>
  <c r="R124" i="9" s="1"/>
  <c r="O128" i="9"/>
  <c r="A6" i="24"/>
  <c r="W257" i="9" s="1"/>
  <c r="O11" i="16" l="1"/>
  <c r="Z255" i="9"/>
  <c r="V125" i="9"/>
  <c r="X257" i="9"/>
  <c r="Y257" i="9"/>
  <c r="V257" i="9"/>
  <c r="X256" i="9"/>
  <c r="V256" i="9"/>
  <c r="Y256" i="9"/>
  <c r="F120" i="9"/>
  <c r="P120" i="9"/>
  <c r="R120" i="9" s="1"/>
  <c r="M58" i="9"/>
  <c r="N121" i="9"/>
  <c r="O121" i="9" s="1"/>
  <c r="P58" i="9"/>
  <c r="O120" i="9"/>
  <c r="Q120" i="9" s="1"/>
  <c r="E121" i="9"/>
  <c r="G121" i="9" s="1"/>
  <c r="I129" i="9"/>
  <c r="F130" i="9"/>
  <c r="H130" i="9" s="1"/>
  <c r="G130" i="9"/>
  <c r="I130" i="9" s="1"/>
  <c r="Q128" i="9"/>
  <c r="Q129" i="9" s="1"/>
  <c r="P11" i="16" s="1"/>
  <c r="R128" i="9"/>
  <c r="R129" i="9" s="1"/>
  <c r="Q11" i="16" s="1"/>
  <c r="R11" i="16" s="1"/>
  <c r="F131" i="9"/>
  <c r="D131" i="9"/>
  <c r="I126" i="9" s="1"/>
  <c r="A7" i="24"/>
  <c r="W258" i="9" s="1"/>
  <c r="A2" i="22"/>
  <c r="K14" i="22"/>
  <c r="N14" i="22" s="1"/>
  <c r="AA121" i="9" l="1"/>
  <c r="O12" i="16" s="1"/>
  <c r="R54" i="9"/>
  <c r="I12" i="16" s="1"/>
  <c r="O9" i="16"/>
  <c r="AA125" i="9"/>
  <c r="AA126" i="9" s="1"/>
  <c r="Z125" i="9"/>
  <c r="Z126" i="9" s="1"/>
  <c r="P12" i="16" s="1"/>
  <c r="AA256" i="9"/>
  <c r="Z256" i="9"/>
  <c r="AA257" i="9"/>
  <c r="Z257" i="9"/>
  <c r="P121" i="9"/>
  <c r="V258" i="9"/>
  <c r="Y258" i="9"/>
  <c r="X258" i="9"/>
  <c r="Z258" i="9" s="1"/>
  <c r="M121" i="9"/>
  <c r="E122" i="9"/>
  <c r="F122" i="9" s="1"/>
  <c r="F121" i="9"/>
  <c r="H131" i="9"/>
  <c r="H132" i="9" s="1"/>
  <c r="P9" i="16" s="1"/>
  <c r="I131" i="9"/>
  <c r="A8" i="24"/>
  <c r="E123" i="9" s="1"/>
  <c r="L14" i="22"/>
  <c r="M14" i="22"/>
  <c r="O30" i="22"/>
  <c r="P15" i="22"/>
  <c r="Q15" i="22"/>
  <c r="R15" i="22"/>
  <c r="O15" i="22"/>
  <c r="AA258" i="9" l="1"/>
  <c r="R116" i="9"/>
  <c r="O10" i="16" s="1"/>
  <c r="A9" i="24"/>
  <c r="W259" i="9"/>
  <c r="R121" i="9"/>
  <c r="R122" i="9" s="1"/>
  <c r="G122" i="9"/>
  <c r="Q121" i="9"/>
  <c r="Q122" i="9" s="1"/>
  <c r="P10" i="16" s="1"/>
  <c r="G123" i="9"/>
  <c r="F123" i="9"/>
  <c r="Q30" i="22"/>
  <c r="S15" i="22"/>
  <c r="C9" i="22"/>
  <c r="C8" i="22"/>
  <c r="D8" i="22" s="1"/>
  <c r="C7" i="22"/>
  <c r="F7" i="22" s="1"/>
  <c r="C6" i="22"/>
  <c r="E6" i="22" s="1"/>
  <c r="C5" i="22"/>
  <c r="D5" i="22" s="1"/>
  <c r="K13" i="22"/>
  <c r="X259" i="9" l="1"/>
  <c r="Y259" i="9"/>
  <c r="V259" i="9"/>
  <c r="A10" i="24"/>
  <c r="W260" i="9"/>
  <c r="E9" i="22"/>
  <c r="D9" i="22"/>
  <c r="F9" i="22"/>
  <c r="D6" i="22"/>
  <c r="F8" i="22"/>
  <c r="E5" i="22"/>
  <c r="F5" i="22"/>
  <c r="F6" i="22"/>
  <c r="D7" i="22"/>
  <c r="E8" i="22"/>
  <c r="E7" i="22"/>
  <c r="K26" i="22"/>
  <c r="AA259" i="9" l="1"/>
  <c r="Z259" i="9"/>
  <c r="A11" i="24"/>
  <c r="W261" i="9"/>
  <c r="V260" i="9"/>
  <c r="Y260" i="9"/>
  <c r="X260" i="9"/>
  <c r="Z260" i="9" s="1"/>
  <c r="G17" i="22"/>
  <c r="G14" i="22"/>
  <c r="G15" i="22"/>
  <c r="K27" i="22"/>
  <c r="N26" i="22"/>
  <c r="K25" i="22"/>
  <c r="N25" i="22" s="1"/>
  <c r="N24" i="22"/>
  <c r="AA260" i="9" l="1"/>
  <c r="X261" i="9"/>
  <c r="Y261" i="9"/>
  <c r="V261" i="9"/>
  <c r="A12" i="24"/>
  <c r="W262" i="9"/>
  <c r="N27" i="22"/>
  <c r="Q33" i="22" s="1"/>
  <c r="L27" i="22"/>
  <c r="L24" i="22"/>
  <c r="M24" i="22"/>
  <c r="L25" i="22"/>
  <c r="M25" i="22"/>
  <c r="L26" i="22"/>
  <c r="M26" i="22"/>
  <c r="M27" i="22"/>
  <c r="M13" i="22"/>
  <c r="K12" i="22"/>
  <c r="M12" i="22" s="1"/>
  <c r="K11" i="22"/>
  <c r="L11" i="22" s="1"/>
  <c r="K10" i="22"/>
  <c r="N10" i="22" s="1"/>
  <c r="K9" i="22"/>
  <c r="M9" i="22" s="1"/>
  <c r="K8" i="22"/>
  <c r="M8" i="22" s="1"/>
  <c r="K7" i="22"/>
  <c r="L7" i="22" s="1"/>
  <c r="K6" i="22"/>
  <c r="N6" i="22" s="1"/>
  <c r="M5" i="22"/>
  <c r="Z261" i="9" l="1"/>
  <c r="AA261" i="9"/>
  <c r="A13" i="24"/>
  <c r="W263" i="9"/>
  <c r="Y262" i="9"/>
  <c r="X262" i="9"/>
  <c r="V262" i="9"/>
  <c r="P33" i="22"/>
  <c r="O33" i="22"/>
  <c r="P31" i="22"/>
  <c r="O31" i="22"/>
  <c r="O32" i="22"/>
  <c r="P32" i="22"/>
  <c r="N9" i="22"/>
  <c r="L10" i="22"/>
  <c r="N13" i="22"/>
  <c r="L6" i="22"/>
  <c r="N11" i="22"/>
  <c r="N5" i="22"/>
  <c r="L8" i="22"/>
  <c r="L12" i="22"/>
  <c r="M6" i="22"/>
  <c r="M10" i="22"/>
  <c r="L5" i="22"/>
  <c r="L9" i="22"/>
  <c r="L13" i="22"/>
  <c r="M7" i="22"/>
  <c r="M11" i="22"/>
  <c r="N8" i="22"/>
  <c r="N12" i="22"/>
  <c r="N7" i="22"/>
  <c r="Z262" i="9" l="1"/>
  <c r="AA262" i="9"/>
  <c r="X263" i="9"/>
  <c r="Y263" i="9"/>
  <c r="V263" i="9"/>
  <c r="A14" i="24"/>
  <c r="W264" i="9"/>
  <c r="Q32" i="22"/>
  <c r="S24" i="22" s="1"/>
  <c r="Q31" i="22"/>
  <c r="O16" i="22"/>
  <c r="O17" i="22"/>
  <c r="R16" i="22"/>
  <c r="Q16" i="22"/>
  <c r="P16" i="22"/>
  <c r="S18" i="22"/>
  <c r="R18" i="22"/>
  <c r="Q18" i="22"/>
  <c r="P18" i="22"/>
  <c r="O18" i="22"/>
  <c r="R17" i="22"/>
  <c r="Q17" i="22"/>
  <c r="P17" i="22"/>
  <c r="D5" i="18"/>
  <c r="AA263" i="9" l="1"/>
  <c r="Z263" i="9"/>
  <c r="A15" i="24"/>
  <c r="W265" i="9"/>
  <c r="Y264" i="9"/>
  <c r="X264" i="9"/>
  <c r="V264" i="9"/>
  <c r="S17" i="22"/>
  <c r="S16" i="22"/>
  <c r="B5" i="18"/>
  <c r="C5" i="18"/>
  <c r="Z264" i="9" l="1"/>
  <c r="AA264" i="9"/>
  <c r="Y265" i="9"/>
  <c r="V265" i="9"/>
  <c r="X265" i="9"/>
  <c r="A16" i="24"/>
  <c r="W266" i="9"/>
  <c r="S23" i="22"/>
  <c r="D2" i="19"/>
  <c r="Z265" i="9" l="1"/>
  <c r="AA265" i="9"/>
  <c r="X266" i="9"/>
  <c r="V266" i="9"/>
  <c r="Y266" i="9"/>
  <c r="A17" i="24"/>
  <c r="W267" i="9"/>
  <c r="G3" i="20"/>
  <c r="G19" i="19"/>
  <c r="G18" i="19"/>
  <c r="G22" i="20"/>
  <c r="G18" i="20"/>
  <c r="G14" i="20"/>
  <c r="G10" i="20"/>
  <c r="G6" i="20"/>
  <c r="G21" i="20"/>
  <c r="G17" i="20"/>
  <c r="G13" i="20"/>
  <c r="G9" i="20"/>
  <c r="G5" i="20"/>
  <c r="G20" i="20"/>
  <c r="G16" i="20"/>
  <c r="G12" i="20"/>
  <c r="G8" i="20"/>
  <c r="G4" i="20"/>
  <c r="G23" i="20"/>
  <c r="G19" i="20"/>
  <c r="G15" i="20"/>
  <c r="G11" i="20"/>
  <c r="G7" i="20"/>
  <c r="AA266" i="9" l="1"/>
  <c r="Z266" i="9"/>
  <c r="A18" i="24"/>
  <c r="W268" i="9"/>
  <c r="Y267" i="9"/>
  <c r="V267" i="9"/>
  <c r="X267" i="9"/>
  <c r="M8" i="19"/>
  <c r="L8" i="19"/>
  <c r="J7" i="19"/>
  <c r="J6" i="19"/>
  <c r="J5" i="19"/>
  <c r="B14" i="19"/>
  <c r="B18" i="19" s="1"/>
  <c r="Z267" i="9" l="1"/>
  <c r="AA267" i="9"/>
  <c r="X268" i="9"/>
  <c r="V268" i="9"/>
  <c r="Y268" i="9"/>
  <c r="A19" i="24"/>
  <c r="W269" i="9"/>
  <c r="B24" i="19"/>
  <c r="L7" i="19"/>
  <c r="K7" i="19"/>
  <c r="B23" i="19"/>
  <c r="B22" i="19"/>
  <c r="B20" i="19"/>
  <c r="B21" i="19"/>
  <c r="B19" i="19"/>
  <c r="B179" i="9"/>
  <c r="AA268" i="9" l="1"/>
  <c r="Z268" i="9"/>
  <c r="A20" i="24"/>
  <c r="W270" i="9"/>
  <c r="V269" i="9"/>
  <c r="X269" i="9"/>
  <c r="Y269" i="9"/>
  <c r="AA269" i="9" s="1"/>
  <c r="B25" i="19"/>
  <c r="K5" i="19" s="1"/>
  <c r="Z269" i="9" l="1"/>
  <c r="X270" i="9"/>
  <c r="V270" i="9"/>
  <c r="Y270" i="9"/>
  <c r="A21" i="24"/>
  <c r="W271" i="9"/>
  <c r="C14" i="19"/>
  <c r="C19" i="19" s="1"/>
  <c r="E20" i="19"/>
  <c r="E24" i="19"/>
  <c r="E21" i="19"/>
  <c r="E18" i="19"/>
  <c r="E22" i="19"/>
  <c r="E14" i="19"/>
  <c r="E19" i="19"/>
  <c r="E23" i="19"/>
  <c r="D14" i="19"/>
  <c r="D18" i="19" s="1"/>
  <c r="G22" i="19"/>
  <c r="G14" i="19"/>
  <c r="G23" i="19"/>
  <c r="G20" i="19"/>
  <c r="G24" i="19"/>
  <c r="G21" i="19"/>
  <c r="F14" i="19"/>
  <c r="F23" i="19"/>
  <c r="F18" i="19"/>
  <c r="F20" i="19"/>
  <c r="F24" i="19"/>
  <c r="F21" i="19"/>
  <c r="F22" i="19"/>
  <c r="D7" i="18"/>
  <c r="D8" i="18"/>
  <c r="D9" i="18"/>
  <c r="D10" i="18"/>
  <c r="D11" i="18"/>
  <c r="D12" i="18"/>
  <c r="D13" i="18"/>
  <c r="D14" i="18"/>
  <c r="D15" i="18"/>
  <c r="D16" i="18"/>
  <c r="D6" i="18"/>
  <c r="C6" i="18"/>
  <c r="C7" i="18"/>
  <c r="C8" i="18"/>
  <c r="C9" i="18"/>
  <c r="C10" i="18"/>
  <c r="C11" i="18"/>
  <c r="C12" i="18"/>
  <c r="C13" i="18"/>
  <c r="C14" i="18"/>
  <c r="C15" i="18"/>
  <c r="C16" i="18"/>
  <c r="B16" i="18"/>
  <c r="B15" i="18"/>
  <c r="B7" i="18"/>
  <c r="B8" i="18"/>
  <c r="B9" i="18"/>
  <c r="B10" i="18"/>
  <c r="B11" i="18"/>
  <c r="B12" i="18"/>
  <c r="B13" i="18"/>
  <c r="B14" i="18"/>
  <c r="AA270" i="9" l="1"/>
  <c r="Z270" i="9"/>
  <c r="A22" i="24"/>
  <c r="W272" i="9"/>
  <c r="V271" i="9"/>
  <c r="X271" i="9"/>
  <c r="Y271" i="9"/>
  <c r="AA271" i="9" s="1"/>
  <c r="B18" i="18"/>
  <c r="B19" i="18" s="1"/>
  <c r="C18" i="18"/>
  <c r="C19" i="18" s="1"/>
  <c r="C23" i="19"/>
  <c r="D19" i="19"/>
  <c r="C24" i="19"/>
  <c r="D24" i="19"/>
  <c r="D20" i="19"/>
  <c r="D22" i="19"/>
  <c r="D23" i="19"/>
  <c r="D21" i="19"/>
  <c r="C22" i="19"/>
  <c r="C21" i="19"/>
  <c r="C20" i="19"/>
  <c r="G25" i="19"/>
  <c r="M6" i="19" s="1"/>
  <c r="E25" i="19"/>
  <c r="K6" i="19" s="1"/>
  <c r="K9" i="19" s="1"/>
  <c r="C18" i="19"/>
  <c r="F25" i="19"/>
  <c r="L6" i="19" s="1"/>
  <c r="D18" i="18"/>
  <c r="D19" i="18" s="1"/>
  <c r="Z271" i="9" l="1"/>
  <c r="X272" i="9"/>
  <c r="V272" i="9"/>
  <c r="Y272" i="9"/>
  <c r="A23" i="24"/>
  <c r="W273" i="9"/>
  <c r="D25" i="19"/>
  <c r="M5" i="19" s="1"/>
  <c r="M9" i="19" s="1"/>
  <c r="C25" i="19"/>
  <c r="L5" i="19" s="1"/>
  <c r="L9" i="19" s="1"/>
  <c r="AA272" i="9" l="1"/>
  <c r="Z272" i="9"/>
  <c r="X273" i="9"/>
  <c r="Z273" i="9" s="1"/>
  <c r="Y273" i="9"/>
  <c r="AA273" i="9" s="1"/>
  <c r="V273" i="9"/>
  <c r="A24" i="24"/>
  <c r="W274" i="9"/>
  <c r="A2" i="16"/>
  <c r="V274" i="9" l="1"/>
  <c r="Y274" i="9"/>
  <c r="AA274" i="9" s="1"/>
  <c r="X274" i="9"/>
  <c r="Z274" i="9" s="1"/>
  <c r="A25" i="24"/>
  <c r="W275" i="9"/>
  <c r="BH5" i="2"/>
  <c r="BF5" i="2"/>
  <c r="AE5" i="2"/>
  <c r="O5" i="2"/>
  <c r="P5" i="2"/>
  <c r="S5" i="2"/>
  <c r="V5" i="2"/>
  <c r="X5" i="2"/>
  <c r="N5" i="2"/>
  <c r="I5" i="2"/>
  <c r="J5" i="2"/>
  <c r="K5" i="2"/>
  <c r="L5" i="2"/>
  <c r="H5" i="2"/>
  <c r="C5" i="2"/>
  <c r="D5" i="2"/>
  <c r="E5" i="2"/>
  <c r="F5" i="2"/>
  <c r="G5" i="2"/>
  <c r="A26" i="24" l="1"/>
  <c r="W276" i="9"/>
  <c r="X275" i="9"/>
  <c r="Z275" i="9" s="1"/>
  <c r="Y275" i="9"/>
  <c r="AA275" i="9" s="1"/>
  <c r="V275" i="9"/>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X52" i="2"/>
  <c r="X53" i="2"/>
  <c r="X54" i="2"/>
  <c r="X55" i="2"/>
  <c r="X56" i="2"/>
  <c r="X57" i="2"/>
  <c r="X58" i="2"/>
  <c r="X59" i="2"/>
  <c r="X60" i="2"/>
  <c r="X61" i="2"/>
  <c r="X62" i="2"/>
  <c r="X63" i="2"/>
  <c r="X64" i="2"/>
  <c r="X65" i="2"/>
  <c r="X66" i="2"/>
  <c r="X67" i="2"/>
  <c r="X68" i="2"/>
  <c r="X69" i="2"/>
  <c r="X70" i="2"/>
  <c r="X71" i="2"/>
  <c r="X72" i="2"/>
  <c r="X73" i="2"/>
  <c r="X74" i="2"/>
  <c r="X75" i="2"/>
  <c r="X76" i="2"/>
  <c r="X77" i="2"/>
  <c r="X78" i="2"/>
  <c r="X79" i="2"/>
  <c r="X80" i="2"/>
  <c r="X81" i="2"/>
  <c r="X82" i="2"/>
  <c r="X83" i="2"/>
  <c r="X84" i="2"/>
  <c r="X85" i="2"/>
  <c r="X86" i="2"/>
  <c r="X87" i="2"/>
  <c r="X88"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S58" i="2"/>
  <c r="S59" i="2"/>
  <c r="S60" i="2"/>
  <c r="S61" i="2"/>
  <c r="S62" i="2"/>
  <c r="S63" i="2"/>
  <c r="S64" i="2"/>
  <c r="S65" i="2"/>
  <c r="S66" i="2"/>
  <c r="S67" i="2"/>
  <c r="S68" i="2"/>
  <c r="S69" i="2"/>
  <c r="S70" i="2"/>
  <c r="S71" i="2"/>
  <c r="S72" i="2"/>
  <c r="S73" i="2"/>
  <c r="S74" i="2"/>
  <c r="S75" i="2"/>
  <c r="S76" i="2"/>
  <c r="S77" i="2"/>
  <c r="S78" i="2"/>
  <c r="S79" i="2"/>
  <c r="S80" i="2"/>
  <c r="S81" i="2"/>
  <c r="S82" i="2"/>
  <c r="S83" i="2"/>
  <c r="S84" i="2"/>
  <c r="S85" i="2"/>
  <c r="S86" i="2"/>
  <c r="S87" i="2"/>
  <c r="S88"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Y58" i="2"/>
  <c r="Y59" i="2"/>
  <c r="Y60" i="2"/>
  <c r="Y61" i="2"/>
  <c r="Y62" i="2"/>
  <c r="Y63" i="2"/>
  <c r="Y64" i="2"/>
  <c r="Y65" i="2"/>
  <c r="Y66" i="2"/>
  <c r="Y67" i="2"/>
  <c r="Y68" i="2"/>
  <c r="Y69" i="2"/>
  <c r="Y70" i="2"/>
  <c r="Y71" i="2"/>
  <c r="Y72" i="2"/>
  <c r="Y73" i="2"/>
  <c r="Y74" i="2"/>
  <c r="Y75" i="2"/>
  <c r="Y76" i="2"/>
  <c r="Y77" i="2"/>
  <c r="Y78" i="2"/>
  <c r="Y79" i="2"/>
  <c r="Y80" i="2"/>
  <c r="Y81" i="2"/>
  <c r="Y82" i="2"/>
  <c r="Y83" i="2"/>
  <c r="Y84" i="2"/>
  <c r="Y85" i="2"/>
  <c r="Y86" i="2"/>
  <c r="Y87" i="2"/>
  <c r="Y88" i="2"/>
  <c r="P62" i="2"/>
  <c r="P63" i="2"/>
  <c r="P64" i="2"/>
  <c r="P65" i="2"/>
  <c r="P66" i="2"/>
  <c r="P67" i="2"/>
  <c r="P68" i="2"/>
  <c r="P69" i="2"/>
  <c r="P70" i="2"/>
  <c r="P71" i="2"/>
  <c r="P72" i="2"/>
  <c r="P73" i="2"/>
  <c r="P74" i="2"/>
  <c r="P75" i="2"/>
  <c r="P76" i="2"/>
  <c r="P77" i="2"/>
  <c r="P78" i="2"/>
  <c r="P79" i="2"/>
  <c r="P80" i="2"/>
  <c r="P81" i="2"/>
  <c r="P82" i="2"/>
  <c r="P83" i="2"/>
  <c r="P84" i="2"/>
  <c r="P85" i="2"/>
  <c r="P86" i="2"/>
  <c r="P87" i="2"/>
  <c r="P88" i="2"/>
  <c r="O62" i="2"/>
  <c r="O63" i="2"/>
  <c r="O64" i="2"/>
  <c r="O65" i="2"/>
  <c r="O66" i="2"/>
  <c r="O67" i="2"/>
  <c r="O68" i="2"/>
  <c r="O69" i="2"/>
  <c r="O70" i="2"/>
  <c r="O71" i="2"/>
  <c r="O72" i="2"/>
  <c r="O73" i="2"/>
  <c r="O74" i="2"/>
  <c r="O75" i="2"/>
  <c r="O76" i="2"/>
  <c r="O77" i="2"/>
  <c r="O78" i="2"/>
  <c r="O79" i="2"/>
  <c r="O80" i="2"/>
  <c r="O81" i="2"/>
  <c r="O82" i="2"/>
  <c r="O83" i="2"/>
  <c r="O84" i="2"/>
  <c r="O85" i="2"/>
  <c r="O86" i="2"/>
  <c r="O87" i="2"/>
  <c r="O88" i="2"/>
  <c r="AE55" i="2"/>
  <c r="AE56" i="2"/>
  <c r="AE57" i="2"/>
  <c r="AE58" i="2"/>
  <c r="AE59" i="2"/>
  <c r="AE60" i="2"/>
  <c r="AE61" i="2"/>
  <c r="AE62" i="2"/>
  <c r="AE63" i="2"/>
  <c r="AE64" i="2"/>
  <c r="AE65" i="2"/>
  <c r="AE66" i="2"/>
  <c r="AE67" i="2"/>
  <c r="AE68" i="2"/>
  <c r="AE69" i="2"/>
  <c r="AE70" i="2"/>
  <c r="AE71" i="2"/>
  <c r="AE72" i="2"/>
  <c r="AE73" i="2"/>
  <c r="AE74" i="2"/>
  <c r="AE75" i="2"/>
  <c r="AE76" i="2"/>
  <c r="AE77" i="2"/>
  <c r="AE78" i="2"/>
  <c r="AE79" i="2"/>
  <c r="AE80" i="2"/>
  <c r="AE81" i="2"/>
  <c r="AE82" i="2"/>
  <c r="AE83" i="2"/>
  <c r="AE84" i="2"/>
  <c r="AE85" i="2"/>
  <c r="AE86" i="2"/>
  <c r="AE87" i="2"/>
  <c r="AE88" i="2"/>
  <c r="BH3" i="2"/>
  <c r="BF3" i="2"/>
  <c r="AE3" i="2"/>
  <c r="O3" i="2"/>
  <c r="P3" i="2"/>
  <c r="S3" i="2"/>
  <c r="U3" i="2"/>
  <c r="V3" i="2"/>
  <c r="X3" i="2"/>
  <c r="N3" i="2"/>
  <c r="I3" i="2"/>
  <c r="J3" i="2"/>
  <c r="K3" i="2"/>
  <c r="H3" i="2"/>
  <c r="C3" i="2"/>
  <c r="D3" i="2"/>
  <c r="E3" i="2"/>
  <c r="F3" i="2"/>
  <c r="G3" i="2"/>
  <c r="B3" i="2"/>
  <c r="G29" i="12" l="1"/>
  <c r="V276" i="9"/>
  <c r="Y276" i="9"/>
  <c r="AA276" i="9" s="1"/>
  <c r="X276" i="9"/>
  <c r="Z276" i="9" s="1"/>
  <c r="A27" i="24"/>
  <c r="W277" i="9"/>
  <c r="E29" i="12"/>
  <c r="C29" i="12"/>
  <c r="C18" i="12"/>
  <c r="B254" i="9"/>
  <c r="B255" i="9"/>
  <c r="B256" i="9"/>
  <c r="B257" i="9"/>
  <c r="B258" i="9"/>
  <c r="B259" i="9"/>
  <c r="B260" i="9"/>
  <c r="B261" i="9"/>
  <c r="B262"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53" i="9"/>
  <c r="K229" i="9"/>
  <c r="K240" i="9"/>
  <c r="B240" i="9"/>
  <c r="B229" i="9"/>
  <c r="B190" i="9"/>
  <c r="T197" i="9"/>
  <c r="T179" i="9"/>
  <c r="K189" i="9"/>
  <c r="K179" i="9"/>
  <c r="T187" i="9"/>
  <c r="T156" i="9"/>
  <c r="K166" i="9"/>
  <c r="B167" i="9"/>
  <c r="K156" i="9"/>
  <c r="B156" i="9"/>
  <c r="B139" i="9"/>
  <c r="K139" i="9"/>
  <c r="T92" i="9"/>
  <c r="K100" i="9"/>
  <c r="K87" i="9"/>
  <c r="B98" i="9"/>
  <c r="B71" i="9"/>
  <c r="B72" i="9"/>
  <c r="B73" i="9"/>
  <c r="B75" i="9"/>
  <c r="B76" i="9"/>
  <c r="B77" i="9"/>
  <c r="B78" i="9"/>
  <c r="B79" i="9"/>
  <c r="B80" i="9"/>
  <c r="B70" i="9"/>
  <c r="C71" i="9" s="1"/>
  <c r="K42" i="9"/>
  <c r="B42" i="9"/>
  <c r="B56" i="9"/>
  <c r="T42" i="9"/>
  <c r="T55" i="9"/>
  <c r="K23" i="9"/>
  <c r="K7" i="9"/>
  <c r="T23" i="9"/>
  <c r="B23" i="9"/>
  <c r="T7" i="9"/>
  <c r="B7" i="9"/>
  <c r="B46" i="2"/>
  <c r="C46" i="2"/>
  <c r="D46" i="2"/>
  <c r="E46" i="2"/>
  <c r="F46" i="2"/>
  <c r="G46" i="2"/>
  <c r="H46" i="2"/>
  <c r="I46" i="2"/>
  <c r="N59" i="12" s="1"/>
  <c r="J46" i="2"/>
  <c r="K46" i="2"/>
  <c r="L46" i="2"/>
  <c r="N46" i="2"/>
  <c r="O46" i="2"/>
  <c r="P46" i="2"/>
  <c r="Y46" i="2"/>
  <c r="Z46" i="2"/>
  <c r="S46" i="2"/>
  <c r="U46" i="2"/>
  <c r="V46" i="2"/>
  <c r="AE46" i="2"/>
  <c r="AG46" i="2"/>
  <c r="AH46" i="2"/>
  <c r="AI46" i="2"/>
  <c r="AJ46" i="2"/>
  <c r="AJ4" i="2" s="1"/>
  <c r="AO46" i="2"/>
  <c r="AP46" i="2"/>
  <c r="AQ46" i="2"/>
  <c r="AR46" i="2"/>
  <c r="AS46" i="2"/>
  <c r="AT46" i="2"/>
  <c r="AU46" i="2"/>
  <c r="AV46" i="2"/>
  <c r="AW46" i="2"/>
  <c r="AX46" i="2"/>
  <c r="AX4" i="2" s="1"/>
  <c r="AY46" i="2"/>
  <c r="AZ46" i="2"/>
  <c r="BB46" i="2"/>
  <c r="BF46" i="2"/>
  <c r="G251" i="9" l="1"/>
  <c r="L140" i="9"/>
  <c r="L141" i="9" s="1"/>
  <c r="L142" i="9" s="1"/>
  <c r="L143" i="9" s="1"/>
  <c r="L144" i="9" s="1"/>
  <c r="P137" i="9"/>
  <c r="Q137" i="9" s="1"/>
  <c r="N48" i="12"/>
  <c r="N50" i="12"/>
  <c r="N52" i="12"/>
  <c r="N54" i="12"/>
  <c r="N56" i="12"/>
  <c r="N58" i="12"/>
  <c r="N49" i="12"/>
  <c r="N51" i="12"/>
  <c r="N53" i="12"/>
  <c r="N55" i="12"/>
  <c r="N57" i="12"/>
  <c r="V241" i="9" s="1"/>
  <c r="A28" i="24"/>
  <c r="W278" i="9"/>
  <c r="X277" i="9"/>
  <c r="Z277" i="9" s="1"/>
  <c r="Y277" i="9"/>
  <c r="AA277" i="9" s="1"/>
  <c r="V277" i="9"/>
  <c r="I20" i="29"/>
  <c r="H59" i="12"/>
  <c r="I59" i="12" s="1"/>
  <c r="B59" i="12"/>
  <c r="C59" i="12" s="1"/>
  <c r="J59" i="12"/>
  <c r="K59" i="12" s="1"/>
  <c r="D59" i="12"/>
  <c r="E59" i="12" s="1"/>
  <c r="L59" i="12"/>
  <c r="F59" i="12"/>
  <c r="G59" i="12" s="1"/>
  <c r="J3" i="12"/>
  <c r="H4" i="12"/>
  <c r="H44" i="12"/>
  <c r="I44" i="12" s="1"/>
  <c r="P44" i="12"/>
  <c r="Q44" i="12" s="1"/>
  <c r="B44" i="12"/>
  <c r="C44" i="12" s="1"/>
  <c r="J44" i="12"/>
  <c r="K44" i="12" s="1"/>
  <c r="R44" i="12"/>
  <c r="S44" i="12" s="1"/>
  <c r="D44" i="12"/>
  <c r="E44" i="12" s="1"/>
  <c r="L44" i="12"/>
  <c r="M44" i="12" s="1"/>
  <c r="T44" i="12"/>
  <c r="U44" i="12" s="1"/>
  <c r="F44" i="12"/>
  <c r="G44" i="12" s="1"/>
  <c r="N44" i="12"/>
  <c r="O44" i="12" s="1"/>
  <c r="H14" i="12"/>
  <c r="I14" i="12" s="1"/>
  <c r="F14" i="12"/>
  <c r="G14" i="12" s="1"/>
  <c r="D14" i="12"/>
  <c r="E14" i="12" s="1"/>
  <c r="B14" i="12"/>
  <c r="C14" i="12" s="1"/>
  <c r="J14" i="12"/>
  <c r="K14" i="12" s="1"/>
  <c r="I2" i="29"/>
  <c r="F33" i="12"/>
  <c r="G33" i="12" s="1"/>
  <c r="C72" i="9"/>
  <c r="C73" i="9" s="1"/>
  <c r="C74" i="9" s="1"/>
  <c r="C75" i="9" s="1"/>
  <c r="C76" i="9" s="1"/>
  <c r="C77" i="9" s="1"/>
  <c r="C78" i="9" s="1"/>
  <c r="C79" i="9" s="1"/>
  <c r="C80" i="9" s="1"/>
  <c r="K3" i="12"/>
  <c r="J7" i="12"/>
  <c r="K7" i="12" s="1"/>
  <c r="J11" i="12"/>
  <c r="K11" i="12" s="1"/>
  <c r="I4" i="12"/>
  <c r="H8" i="12"/>
  <c r="I8" i="12" s="1"/>
  <c r="H12" i="12"/>
  <c r="I12" i="12" s="1"/>
  <c r="F5" i="12"/>
  <c r="G5" i="12" s="1"/>
  <c r="F9" i="12"/>
  <c r="G9" i="12" s="1"/>
  <c r="F13" i="12"/>
  <c r="J4" i="12"/>
  <c r="K4" i="12" s="1"/>
  <c r="J8" i="12"/>
  <c r="K8" i="12" s="1"/>
  <c r="J12" i="12"/>
  <c r="H5" i="12"/>
  <c r="I5" i="12" s="1"/>
  <c r="H9" i="12"/>
  <c r="H13" i="12"/>
  <c r="F6" i="12"/>
  <c r="F10" i="12"/>
  <c r="G10" i="12" s="1"/>
  <c r="J5" i="12"/>
  <c r="J9" i="12"/>
  <c r="J13" i="12"/>
  <c r="H6" i="12"/>
  <c r="H10" i="12"/>
  <c r="F3" i="12"/>
  <c r="G3" i="12" s="1"/>
  <c r="F7" i="12"/>
  <c r="F11" i="12"/>
  <c r="J6" i="12"/>
  <c r="J10" i="12"/>
  <c r="H3" i="12"/>
  <c r="I3" i="12" s="1"/>
  <c r="H7" i="12"/>
  <c r="H11" i="12"/>
  <c r="F4" i="12"/>
  <c r="G4" i="12" s="1"/>
  <c r="F8" i="12"/>
  <c r="F12" i="12"/>
  <c r="D3" i="12"/>
  <c r="D7" i="12"/>
  <c r="E7" i="12" s="1"/>
  <c r="D11" i="12"/>
  <c r="E11" i="12" s="1"/>
  <c r="D4" i="12"/>
  <c r="E4" i="12" s="1"/>
  <c r="D8" i="12"/>
  <c r="E8" i="12" s="1"/>
  <c r="D12" i="12"/>
  <c r="E12" i="12" s="1"/>
  <c r="D10" i="12"/>
  <c r="E10" i="12" s="1"/>
  <c r="D5" i="12"/>
  <c r="D9" i="12"/>
  <c r="D13" i="12"/>
  <c r="P14" i="12" s="1"/>
  <c r="D6" i="12"/>
  <c r="E6" i="12" s="1"/>
  <c r="B3" i="12"/>
  <c r="C3" i="12" s="1"/>
  <c r="T33" i="12"/>
  <c r="U33" i="12" s="1"/>
  <c r="T37" i="12"/>
  <c r="U37" i="12" s="1"/>
  <c r="T41" i="12"/>
  <c r="U41" i="12" s="1"/>
  <c r="R34" i="12"/>
  <c r="S34" i="12" s="1"/>
  <c r="R38" i="12"/>
  <c r="S38" i="12" s="1"/>
  <c r="R42" i="12"/>
  <c r="S42" i="12" s="1"/>
  <c r="P35" i="12"/>
  <c r="Q35" i="12" s="1"/>
  <c r="P39" i="12"/>
  <c r="Q39" i="12" s="1"/>
  <c r="P43" i="12"/>
  <c r="N36" i="12"/>
  <c r="O36" i="12" s="1"/>
  <c r="N40" i="12"/>
  <c r="O40" i="12" s="1"/>
  <c r="L33" i="12"/>
  <c r="M33" i="12" s="1"/>
  <c r="L37" i="12"/>
  <c r="M37" i="12" s="1"/>
  <c r="L41" i="12"/>
  <c r="M41" i="12" s="1"/>
  <c r="J34" i="12"/>
  <c r="K34" i="12" s="1"/>
  <c r="J38" i="12"/>
  <c r="K38" i="12" s="1"/>
  <c r="J42" i="12"/>
  <c r="K42" i="12" s="1"/>
  <c r="H35" i="12"/>
  <c r="I35" i="12" s="1"/>
  <c r="H39" i="12"/>
  <c r="I39" i="12" s="1"/>
  <c r="H43" i="12"/>
  <c r="I43" i="12" s="1"/>
  <c r="F36" i="12"/>
  <c r="G36" i="12" s="1"/>
  <c r="F40" i="12"/>
  <c r="G40" i="12" s="1"/>
  <c r="D33" i="12"/>
  <c r="E33" i="12" s="1"/>
  <c r="D37" i="12"/>
  <c r="E37" i="12" s="1"/>
  <c r="D41" i="12"/>
  <c r="E41" i="12" s="1"/>
  <c r="T34" i="12"/>
  <c r="U34" i="12" s="1"/>
  <c r="T38" i="12"/>
  <c r="U38" i="12" s="1"/>
  <c r="T42" i="12"/>
  <c r="R35" i="12"/>
  <c r="S35" i="12" s="1"/>
  <c r="R39" i="12"/>
  <c r="S39" i="12" s="1"/>
  <c r="R43" i="12"/>
  <c r="P36" i="12"/>
  <c r="Q36" i="12" s="1"/>
  <c r="P40" i="12"/>
  <c r="Q40" i="12" s="1"/>
  <c r="N33" i="12"/>
  <c r="O33" i="12" s="1"/>
  <c r="N37" i="12"/>
  <c r="O37" i="12" s="1"/>
  <c r="N41" i="12"/>
  <c r="O41" i="12" s="1"/>
  <c r="L34" i="12"/>
  <c r="M34" i="12" s="1"/>
  <c r="L38" i="12"/>
  <c r="M38" i="12" s="1"/>
  <c r="L42" i="12"/>
  <c r="M42" i="12" s="1"/>
  <c r="J35" i="12"/>
  <c r="K35" i="12" s="1"/>
  <c r="J39" i="12"/>
  <c r="K39" i="12" s="1"/>
  <c r="J43" i="12"/>
  <c r="K43" i="12" s="1"/>
  <c r="H36" i="12"/>
  <c r="I36" i="12" s="1"/>
  <c r="H40" i="12"/>
  <c r="I40" i="12" s="1"/>
  <c r="F37" i="12"/>
  <c r="G37" i="12" s="1"/>
  <c r="F41" i="12"/>
  <c r="G41" i="12" s="1"/>
  <c r="D34" i="12"/>
  <c r="E34" i="12" s="1"/>
  <c r="D38" i="12"/>
  <c r="E38" i="12" s="1"/>
  <c r="D42" i="12"/>
  <c r="E42" i="12" s="1"/>
  <c r="T40" i="12"/>
  <c r="U40" i="12" s="1"/>
  <c r="R37" i="12"/>
  <c r="S37" i="12" s="1"/>
  <c r="P34" i="12"/>
  <c r="Q34" i="12" s="1"/>
  <c r="N35" i="12"/>
  <c r="O35" i="12" s="1"/>
  <c r="N43" i="12"/>
  <c r="L40" i="12"/>
  <c r="M40" i="12" s="1"/>
  <c r="J33" i="12"/>
  <c r="K33" i="12" s="1"/>
  <c r="J41" i="12"/>
  <c r="K41" i="12" s="1"/>
  <c r="H38" i="12"/>
  <c r="I38" i="12" s="1"/>
  <c r="F35" i="12"/>
  <c r="G35" i="12" s="1"/>
  <c r="D36" i="12"/>
  <c r="E36" i="12" s="1"/>
  <c r="T35" i="12"/>
  <c r="U35" i="12" s="1"/>
  <c r="T39" i="12"/>
  <c r="U39" i="12" s="1"/>
  <c r="T43" i="12"/>
  <c r="R36" i="12"/>
  <c r="S36" i="12" s="1"/>
  <c r="R40" i="12"/>
  <c r="S40" i="12" s="1"/>
  <c r="P33" i="12"/>
  <c r="Q33" i="12" s="1"/>
  <c r="P37" i="12"/>
  <c r="Q37" i="12" s="1"/>
  <c r="P41" i="12"/>
  <c r="Q41" i="12" s="1"/>
  <c r="N34" i="12"/>
  <c r="O34" i="12" s="1"/>
  <c r="N38" i="12"/>
  <c r="O38" i="12" s="1"/>
  <c r="N42" i="12"/>
  <c r="O42" i="12" s="1"/>
  <c r="L35" i="12"/>
  <c r="M35" i="12" s="1"/>
  <c r="L39" i="12"/>
  <c r="M39" i="12" s="1"/>
  <c r="L43" i="12"/>
  <c r="M43" i="12" s="1"/>
  <c r="J36" i="12"/>
  <c r="K36" i="12" s="1"/>
  <c r="J40" i="12"/>
  <c r="K40" i="12" s="1"/>
  <c r="H33" i="12"/>
  <c r="I33" i="12" s="1"/>
  <c r="H37" i="12"/>
  <c r="I37" i="12" s="1"/>
  <c r="H41" i="12"/>
  <c r="I41" i="12" s="1"/>
  <c r="F34" i="12"/>
  <c r="G34" i="12" s="1"/>
  <c r="F38" i="12"/>
  <c r="G38" i="12" s="1"/>
  <c r="F42" i="12"/>
  <c r="G42" i="12" s="1"/>
  <c r="D35" i="12"/>
  <c r="E35" i="12" s="1"/>
  <c r="D39" i="12"/>
  <c r="D43" i="12"/>
  <c r="E43" i="12" s="1"/>
  <c r="T36" i="12"/>
  <c r="U36" i="12" s="1"/>
  <c r="R33" i="12"/>
  <c r="S33" i="12" s="1"/>
  <c r="R41" i="12"/>
  <c r="S41" i="12" s="1"/>
  <c r="P38" i="12"/>
  <c r="Q38" i="12" s="1"/>
  <c r="P42" i="12"/>
  <c r="Q42" i="12" s="1"/>
  <c r="N39" i="12"/>
  <c r="O39" i="12" s="1"/>
  <c r="L36" i="12"/>
  <c r="J37" i="12"/>
  <c r="K37" i="12" s="1"/>
  <c r="H34" i="12"/>
  <c r="I34" i="12" s="1"/>
  <c r="H42" i="12"/>
  <c r="I42" i="12" s="1"/>
  <c r="F39" i="12"/>
  <c r="G39" i="12" s="1"/>
  <c r="F43" i="12"/>
  <c r="G43" i="12" s="1"/>
  <c r="D40" i="12"/>
  <c r="E40" i="12" s="1"/>
  <c r="B7" i="12"/>
  <c r="C7" i="12" s="1"/>
  <c r="B11" i="12"/>
  <c r="C11" i="12" s="1"/>
  <c r="B10" i="12"/>
  <c r="C10" i="12" s="1"/>
  <c r="B4" i="12"/>
  <c r="C4" i="12" s="1"/>
  <c r="B8" i="12"/>
  <c r="B12" i="12"/>
  <c r="B5" i="12"/>
  <c r="C5" i="12" s="1"/>
  <c r="B9" i="12"/>
  <c r="C9" i="12" s="1"/>
  <c r="B13" i="12"/>
  <c r="B6" i="12"/>
  <c r="C6" i="12" s="1"/>
  <c r="I21" i="22"/>
  <c r="L49" i="12"/>
  <c r="L53" i="12"/>
  <c r="L57" i="12"/>
  <c r="J51" i="12"/>
  <c r="K51" i="12" s="1"/>
  <c r="J55" i="12"/>
  <c r="K55" i="12" s="1"/>
  <c r="H49" i="12"/>
  <c r="I49" i="12" s="1"/>
  <c r="H53" i="12"/>
  <c r="I53" i="12" s="1"/>
  <c r="H57" i="12"/>
  <c r="I57" i="12" s="1"/>
  <c r="F51" i="12"/>
  <c r="G51" i="12" s="1"/>
  <c r="F55" i="12"/>
  <c r="G55" i="12" s="1"/>
  <c r="D49" i="12"/>
  <c r="E49" i="12" s="1"/>
  <c r="D53" i="12"/>
  <c r="E53" i="12" s="1"/>
  <c r="D57" i="12"/>
  <c r="E57" i="12" s="1"/>
  <c r="B51" i="12"/>
  <c r="C51" i="12" s="1"/>
  <c r="B55" i="12"/>
  <c r="C55" i="12" s="1"/>
  <c r="L50" i="12"/>
  <c r="L54" i="12"/>
  <c r="L58" i="12"/>
  <c r="J48" i="12"/>
  <c r="J52" i="12"/>
  <c r="J56" i="12"/>
  <c r="H50" i="12"/>
  <c r="H54" i="12"/>
  <c r="H58" i="12"/>
  <c r="F48" i="12"/>
  <c r="F52" i="12"/>
  <c r="F56" i="12"/>
  <c r="D50" i="12"/>
  <c r="E50" i="12" s="1"/>
  <c r="D54" i="12"/>
  <c r="D58" i="12"/>
  <c r="T59" i="12" s="1"/>
  <c r="B48" i="12"/>
  <c r="B52" i="12"/>
  <c r="C52" i="12" s="1"/>
  <c r="B56" i="12"/>
  <c r="C56" i="12" s="1"/>
  <c r="J54" i="12"/>
  <c r="K54" i="12" s="1"/>
  <c r="H52" i="12"/>
  <c r="I52" i="12" s="1"/>
  <c r="F50" i="12"/>
  <c r="G50" i="12" s="1"/>
  <c r="F58" i="12"/>
  <c r="D52" i="12"/>
  <c r="E52" i="12" s="1"/>
  <c r="B54" i="12"/>
  <c r="C54" i="12" s="1"/>
  <c r="L51" i="12"/>
  <c r="L55" i="12"/>
  <c r="J49" i="12"/>
  <c r="K49" i="12" s="1"/>
  <c r="J53" i="12"/>
  <c r="J57" i="12"/>
  <c r="H51" i="12"/>
  <c r="I51" i="12" s="1"/>
  <c r="H55" i="12"/>
  <c r="I55" i="12" s="1"/>
  <c r="F49" i="12"/>
  <c r="F53" i="12"/>
  <c r="G53" i="12" s="1"/>
  <c r="F57" i="12"/>
  <c r="G57" i="12" s="1"/>
  <c r="D51" i="12"/>
  <c r="D55" i="12"/>
  <c r="B49" i="12"/>
  <c r="C49" i="12" s="1"/>
  <c r="B53" i="12"/>
  <c r="B57" i="12"/>
  <c r="L48" i="12"/>
  <c r="L52" i="12"/>
  <c r="L56" i="12"/>
  <c r="J50" i="12"/>
  <c r="J58" i="12"/>
  <c r="Z59" i="12" s="1"/>
  <c r="H48" i="12"/>
  <c r="H56" i="12"/>
  <c r="I56" i="12" s="1"/>
  <c r="F54" i="12"/>
  <c r="D48" i="12"/>
  <c r="D56" i="12"/>
  <c r="E56" i="12" s="1"/>
  <c r="B50" i="12"/>
  <c r="B58" i="12"/>
  <c r="R59" i="12" s="1"/>
  <c r="B33" i="12"/>
  <c r="C33" i="12" s="1"/>
  <c r="B37" i="12"/>
  <c r="C37" i="12" s="1"/>
  <c r="B41" i="12"/>
  <c r="C41" i="12" s="1"/>
  <c r="B34" i="12"/>
  <c r="C34" i="12" s="1"/>
  <c r="B38" i="12"/>
  <c r="C38" i="12" s="1"/>
  <c r="B42" i="12"/>
  <c r="C42" i="12" s="1"/>
  <c r="B40" i="12"/>
  <c r="C40" i="12" s="1"/>
  <c r="B35" i="12"/>
  <c r="C35" i="12" s="1"/>
  <c r="B39" i="12"/>
  <c r="C39" i="12" s="1"/>
  <c r="B43" i="12"/>
  <c r="C43" i="12" s="1"/>
  <c r="B36" i="12"/>
  <c r="C36" i="12" s="1"/>
  <c r="I2" i="22"/>
  <c r="C254" i="9"/>
  <c r="C255" i="9" s="1"/>
  <c r="C256" i="9" s="1"/>
  <c r="C257" i="9" s="1"/>
  <c r="C258" i="9" s="1"/>
  <c r="C259" i="9" s="1"/>
  <c r="C260" i="9" s="1"/>
  <c r="C261" i="9" s="1"/>
  <c r="C262" i="9" s="1"/>
  <c r="C263" i="9" s="1"/>
  <c r="C264" i="9" s="1"/>
  <c r="C265" i="9" s="1"/>
  <c r="C266" i="9" s="1"/>
  <c r="C267" i="9" s="1"/>
  <c r="C268" i="9" s="1"/>
  <c r="C269" i="9" s="1"/>
  <c r="C270" i="9" s="1"/>
  <c r="C271" i="9" s="1"/>
  <c r="C272" i="9" s="1"/>
  <c r="C273" i="9" s="1"/>
  <c r="C274" i="9" s="1"/>
  <c r="C275" i="9" s="1"/>
  <c r="C276" i="9" s="1"/>
  <c r="C277" i="9" s="1"/>
  <c r="C278" i="9" s="1"/>
  <c r="C279" i="9" s="1"/>
  <c r="C280" i="9" s="1"/>
  <c r="C281" i="9" s="1"/>
  <c r="C282" i="9" s="1"/>
  <c r="C283" i="9" s="1"/>
  <c r="C284" i="9" s="1"/>
  <c r="C285" i="9" s="1"/>
  <c r="C286" i="9" s="1"/>
  <c r="C287" i="9" s="1"/>
  <c r="C288" i="9" s="1"/>
  <c r="C289" i="9" s="1"/>
  <c r="C290" i="9" s="1"/>
  <c r="C291" i="9" s="1"/>
  <c r="C292" i="9" s="1"/>
  <c r="AZ4" i="2"/>
  <c r="AR4" i="2"/>
  <c r="AG4" i="2"/>
  <c r="V4" i="2"/>
  <c r="L4" i="2"/>
  <c r="L49" i="2" s="1"/>
  <c r="L50" i="2" s="1"/>
  <c r="L51" i="2" s="1"/>
  <c r="L52" i="2" s="1"/>
  <c r="D4" i="2"/>
  <c r="D49" i="2" s="1"/>
  <c r="AY4" i="2"/>
  <c r="AQ4" i="2"/>
  <c r="P4" i="2"/>
  <c r="P49" i="2" s="1"/>
  <c r="G4" i="2"/>
  <c r="G49" i="2" s="1"/>
  <c r="BB4" i="2"/>
  <c r="AT4" i="2"/>
  <c r="AP4" i="2"/>
  <c r="AI4" i="2"/>
  <c r="AE4" i="2"/>
  <c r="AE49" i="2" s="1"/>
  <c r="S4" i="2"/>
  <c r="S49" i="2" s="1"/>
  <c r="O4" i="2"/>
  <c r="O49" i="2" s="1"/>
  <c r="J4" i="2"/>
  <c r="J49" i="2" s="1"/>
  <c r="F4" i="2"/>
  <c r="F49" i="2" s="1"/>
  <c r="B4" i="2"/>
  <c r="B49" i="2" s="1"/>
  <c r="BH4" i="2"/>
  <c r="BH49" i="2" s="1"/>
  <c r="AV4" i="2"/>
  <c r="AK4" i="2"/>
  <c r="Y4" i="2"/>
  <c r="Y49" i="2" s="1"/>
  <c r="H4" i="2"/>
  <c r="BF4" i="2"/>
  <c r="BF49" i="2" s="1"/>
  <c r="AU4" i="2"/>
  <c r="U4" i="2"/>
  <c r="U49" i="2" s="1"/>
  <c r="K4" i="2"/>
  <c r="C4" i="2"/>
  <c r="C49" i="2" s="1"/>
  <c r="AW4" i="2"/>
  <c r="AS4" i="2"/>
  <c r="AO4" i="2"/>
  <c r="AH4" i="2"/>
  <c r="X4" i="2"/>
  <c r="X49" i="2" s="1"/>
  <c r="Z4" i="2"/>
  <c r="Z49" i="2" s="1"/>
  <c r="N4" i="2"/>
  <c r="N49" i="2" s="1"/>
  <c r="I4" i="2"/>
  <c r="E4" i="2"/>
  <c r="E49" i="2" s="1"/>
  <c r="AW5" i="2" l="1"/>
  <c r="O57" i="12"/>
  <c r="AD57" i="12"/>
  <c r="O53" i="12"/>
  <c r="AD53" i="12"/>
  <c r="O49" i="12"/>
  <c r="AD49" i="12"/>
  <c r="O56" i="12"/>
  <c r="AD56" i="12"/>
  <c r="O52" i="12"/>
  <c r="AD52" i="12"/>
  <c r="O48" i="12"/>
  <c r="AE48" i="12" s="1"/>
  <c r="AD48" i="12"/>
  <c r="O59" i="12"/>
  <c r="AD59" i="12"/>
  <c r="Y241" i="9"/>
  <c r="O55" i="12"/>
  <c r="AD55" i="12"/>
  <c r="O51" i="12"/>
  <c r="AD51" i="12"/>
  <c r="O58" i="12"/>
  <c r="AD58" i="12"/>
  <c r="O54" i="12"/>
  <c r="AD54" i="12"/>
  <c r="O50" i="12"/>
  <c r="AE51" i="12" s="1"/>
  <c r="AD50" i="12"/>
  <c r="AB48" i="12"/>
  <c r="M54" i="12"/>
  <c r="M57" i="12"/>
  <c r="M49" i="12"/>
  <c r="M59" i="12"/>
  <c r="AB59" i="12"/>
  <c r="M53" i="12"/>
  <c r="Y36" i="12"/>
  <c r="Y42" i="12"/>
  <c r="Y38" i="12"/>
  <c r="Y33" i="12"/>
  <c r="M36" i="12"/>
  <c r="AI36" i="12" s="1"/>
  <c r="E39" i="12"/>
  <c r="AA39" i="12" s="1"/>
  <c r="X59" i="12"/>
  <c r="V59" i="12"/>
  <c r="Y278" i="9"/>
  <c r="AA278" i="9" s="1"/>
  <c r="X278" i="9"/>
  <c r="Z278" i="9" s="1"/>
  <c r="V278" i="9"/>
  <c r="A29" i="24"/>
  <c r="W279" i="9"/>
  <c r="AE42" i="12"/>
  <c r="M197" i="9"/>
  <c r="P197" i="9" s="1"/>
  <c r="K58" i="12"/>
  <c r="AA59" i="12" s="1"/>
  <c r="G58" i="12"/>
  <c r="W59" i="12" s="1"/>
  <c r="AI44" i="12"/>
  <c r="AH44" i="12"/>
  <c r="O43" i="12"/>
  <c r="AK44" i="12" s="1"/>
  <c r="AJ44" i="12"/>
  <c r="AF44" i="12"/>
  <c r="AE44" i="12"/>
  <c r="AD44" i="12"/>
  <c r="X44" i="12"/>
  <c r="M58" i="12"/>
  <c r="AC44" i="12"/>
  <c r="AB44" i="12"/>
  <c r="AA44" i="12"/>
  <c r="Z44" i="12"/>
  <c r="U43" i="12"/>
  <c r="AQ44" i="12" s="1"/>
  <c r="AP44" i="12"/>
  <c r="S43" i="12"/>
  <c r="AO44" i="12" s="1"/>
  <c r="AN44" i="12"/>
  <c r="Q43" i="12"/>
  <c r="AM44" i="12" s="1"/>
  <c r="AL44" i="12"/>
  <c r="AE37" i="12"/>
  <c r="AI35" i="12"/>
  <c r="AK38" i="12"/>
  <c r="AO36" i="12"/>
  <c r="AQ39" i="12"/>
  <c r="C13" i="12"/>
  <c r="O14" i="12" s="1"/>
  <c r="N14" i="12"/>
  <c r="K13" i="12"/>
  <c r="W14" i="12" s="1"/>
  <c r="V14" i="12"/>
  <c r="I13" i="12"/>
  <c r="U14" i="12" s="1"/>
  <c r="T14" i="12"/>
  <c r="G13" i="12"/>
  <c r="S14" i="12" s="1"/>
  <c r="R14" i="12"/>
  <c r="AI39" i="12"/>
  <c r="AK42" i="12"/>
  <c r="AM37" i="12"/>
  <c r="AQ35" i="12"/>
  <c r="AC42" i="12"/>
  <c r="AC38" i="12"/>
  <c r="U42" i="12"/>
  <c r="AQ42" i="12" s="1"/>
  <c r="V204" i="9"/>
  <c r="Y204" i="9" s="1"/>
  <c r="AO40" i="12"/>
  <c r="W195" i="9"/>
  <c r="U197" i="9" s="1"/>
  <c r="U198" i="9" s="1"/>
  <c r="U199" i="9" s="1"/>
  <c r="K49" i="2"/>
  <c r="K50" i="2" s="1"/>
  <c r="K51" i="2" s="1"/>
  <c r="K52" i="2" s="1"/>
  <c r="K53" i="2" s="1"/>
  <c r="K54" i="2" s="1"/>
  <c r="K55" i="2" s="1"/>
  <c r="K56" i="2" s="1"/>
  <c r="K57" i="2" s="1"/>
  <c r="C28" i="12"/>
  <c r="K29" i="12" s="1"/>
  <c r="J28" i="12"/>
  <c r="C24" i="12"/>
  <c r="J24" i="12"/>
  <c r="C20" i="12"/>
  <c r="J20" i="12"/>
  <c r="E26" i="12"/>
  <c r="L26" i="12"/>
  <c r="E22" i="12"/>
  <c r="L22" i="12"/>
  <c r="G28" i="12"/>
  <c r="O29" i="12" s="1"/>
  <c r="N28" i="12"/>
  <c r="G24" i="12"/>
  <c r="N24" i="12"/>
  <c r="G20" i="12"/>
  <c r="N20" i="12"/>
  <c r="C27" i="12"/>
  <c r="J27" i="12"/>
  <c r="C23" i="12"/>
  <c r="J23" i="12"/>
  <c r="C19" i="12"/>
  <c r="J19" i="12"/>
  <c r="E27" i="12"/>
  <c r="M27" i="12" s="1"/>
  <c r="L27" i="12"/>
  <c r="E23" i="12"/>
  <c r="M23" i="12" s="1"/>
  <c r="L23" i="12"/>
  <c r="E19" i="12"/>
  <c r="L19" i="12"/>
  <c r="G27" i="12"/>
  <c r="N27" i="12"/>
  <c r="G23" i="12"/>
  <c r="N23" i="12"/>
  <c r="G19" i="12"/>
  <c r="N19" i="12"/>
  <c r="C26" i="12"/>
  <c r="J26" i="12"/>
  <c r="C22" i="12"/>
  <c r="J22" i="12"/>
  <c r="E28" i="12"/>
  <c r="M29" i="12" s="1"/>
  <c r="L28" i="12"/>
  <c r="E24" i="12"/>
  <c r="L24" i="12"/>
  <c r="E20" i="12"/>
  <c r="M20" i="12" s="1"/>
  <c r="L20" i="12"/>
  <c r="G26" i="12"/>
  <c r="N26" i="12"/>
  <c r="G22" i="12"/>
  <c r="N22" i="12"/>
  <c r="J18" i="12"/>
  <c r="C25" i="12"/>
  <c r="J25" i="12"/>
  <c r="C21" i="12"/>
  <c r="J21" i="12"/>
  <c r="E18" i="12"/>
  <c r="M18" i="12" s="1"/>
  <c r="L18" i="12"/>
  <c r="E25" i="12"/>
  <c r="L25" i="12"/>
  <c r="E21" i="12"/>
  <c r="L21" i="12"/>
  <c r="G18" i="12"/>
  <c r="O18" i="12" s="1"/>
  <c r="N18" i="12"/>
  <c r="G25" i="12"/>
  <c r="N25" i="12"/>
  <c r="G21" i="12"/>
  <c r="N21" i="12"/>
  <c r="J11" i="29"/>
  <c r="J13" i="29"/>
  <c r="J7" i="29"/>
  <c r="J6" i="29"/>
  <c r="J10" i="29"/>
  <c r="AM41" i="12"/>
  <c r="J12" i="29"/>
  <c r="AE41" i="12"/>
  <c r="AB36" i="12"/>
  <c r="AF42" i="12"/>
  <c r="Z39" i="12"/>
  <c r="AH35" i="12"/>
  <c r="AM42" i="12"/>
  <c r="W8" i="12"/>
  <c r="AN41" i="12"/>
  <c r="AF43" i="12"/>
  <c r="Q12" i="12"/>
  <c r="AA35" i="12"/>
  <c r="S10" i="12"/>
  <c r="U5" i="12"/>
  <c r="AQ36" i="12"/>
  <c r="AC41" i="12"/>
  <c r="AE36" i="12"/>
  <c r="AI42" i="12"/>
  <c r="AK37" i="12"/>
  <c r="AQ38" i="12"/>
  <c r="O6" i="12"/>
  <c r="Q11" i="12"/>
  <c r="R8" i="12"/>
  <c r="G8" i="12"/>
  <c r="R7" i="12"/>
  <c r="G7" i="12"/>
  <c r="R6" i="12"/>
  <c r="G6" i="12"/>
  <c r="S6" i="12" s="1"/>
  <c r="V12" i="12"/>
  <c r="K12" i="12"/>
  <c r="W12" i="12" s="1"/>
  <c r="O5" i="12"/>
  <c r="O10" i="12"/>
  <c r="P13" i="12"/>
  <c r="E13" i="12"/>
  <c r="Q7" i="12"/>
  <c r="V10" i="12"/>
  <c r="K10" i="12"/>
  <c r="V9" i="12"/>
  <c r="K9" i="12"/>
  <c r="S5" i="12"/>
  <c r="N12" i="12"/>
  <c r="C12" i="12"/>
  <c r="O12" i="12" s="1"/>
  <c r="O11" i="12"/>
  <c r="P9" i="12"/>
  <c r="E9" i="12"/>
  <c r="Q9" i="12" s="1"/>
  <c r="Q8" i="12"/>
  <c r="P3" i="12"/>
  <c r="E3" i="12"/>
  <c r="T11" i="12"/>
  <c r="I11" i="12"/>
  <c r="V6" i="12"/>
  <c r="K6" i="12"/>
  <c r="W7" i="12" s="1"/>
  <c r="T10" i="12"/>
  <c r="I10" i="12"/>
  <c r="V5" i="12"/>
  <c r="K5" i="12"/>
  <c r="W5" i="12" s="1"/>
  <c r="T9" i="12"/>
  <c r="I9" i="12"/>
  <c r="N8" i="12"/>
  <c r="C8" i="12"/>
  <c r="O8" i="12" s="1"/>
  <c r="O7" i="12"/>
  <c r="P5" i="12"/>
  <c r="E5" i="12"/>
  <c r="Q5" i="12" s="1"/>
  <c r="R12" i="12"/>
  <c r="G12" i="12"/>
  <c r="T7" i="12"/>
  <c r="I7" i="12"/>
  <c r="U8" i="12" s="1"/>
  <c r="R11" i="12"/>
  <c r="G11" i="12"/>
  <c r="T6" i="12"/>
  <c r="I6" i="12"/>
  <c r="U6" i="12" s="1"/>
  <c r="AJ35" i="12"/>
  <c r="AD38" i="12"/>
  <c r="Z43" i="12"/>
  <c r="AO41" i="12"/>
  <c r="AP35" i="12"/>
  <c r="AH43" i="12"/>
  <c r="AL34" i="12"/>
  <c r="AB39" i="12"/>
  <c r="V8" i="12"/>
  <c r="T13" i="12"/>
  <c r="R5" i="12"/>
  <c r="V11" i="12"/>
  <c r="V13" i="12"/>
  <c r="R9" i="12"/>
  <c r="T12" i="12"/>
  <c r="V7" i="12"/>
  <c r="R10" i="12"/>
  <c r="T5" i="12"/>
  <c r="R13" i="12"/>
  <c r="T8" i="12"/>
  <c r="P8" i="12"/>
  <c r="P4" i="12"/>
  <c r="P12" i="12"/>
  <c r="P6" i="12"/>
  <c r="P10" i="12"/>
  <c r="P11" i="12"/>
  <c r="P7" i="12"/>
  <c r="AK39" i="12"/>
  <c r="AE40" i="12"/>
  <c r="AK41" i="12"/>
  <c r="AM36" i="12"/>
  <c r="AA42" i="12"/>
  <c r="AC37" i="12"/>
  <c r="AI38" i="12"/>
  <c r="AO39" i="12"/>
  <c r="AJ43" i="12"/>
  <c r="AP40" i="12"/>
  <c r="AD34" i="12"/>
  <c r="AP36" i="12"/>
  <c r="Z40" i="12"/>
  <c r="AD37" i="12"/>
  <c r="AC35" i="12"/>
  <c r="AI40" i="12"/>
  <c r="AO37" i="12"/>
  <c r="AA37" i="12"/>
  <c r="AM39" i="12"/>
  <c r="AO34" i="12"/>
  <c r="AN37" i="12"/>
  <c r="AJ39" i="12"/>
  <c r="AF38" i="12"/>
  <c r="AE34" i="12"/>
  <c r="E199" i="9"/>
  <c r="C201" i="9" s="1"/>
  <c r="C202" i="9" s="1"/>
  <c r="C203" i="9" s="1"/>
  <c r="C204" i="9" s="1"/>
  <c r="C205" i="9" s="1"/>
  <c r="C206" i="9" s="1"/>
  <c r="C207" i="9" s="1"/>
  <c r="AR5" i="2"/>
  <c r="AR49" i="2" s="1"/>
  <c r="AE38" i="12"/>
  <c r="AQ40" i="12"/>
  <c r="J13" i="22"/>
  <c r="AE39" i="12"/>
  <c r="AK40" i="12"/>
  <c r="AM35" i="12"/>
  <c r="AQ41" i="12"/>
  <c r="AA34" i="12"/>
  <c r="AP5" i="2"/>
  <c r="AP49" i="2" s="1"/>
  <c r="AP50" i="2" s="1"/>
  <c r="AP51" i="2" s="1"/>
  <c r="AP52" i="2" s="1"/>
  <c r="AP53" i="2" s="1"/>
  <c r="AP54" i="2" s="1"/>
  <c r="AP55" i="2" s="1"/>
  <c r="E188" i="9"/>
  <c r="C190" i="9" s="1"/>
  <c r="C191" i="9" s="1"/>
  <c r="C192" i="9" s="1"/>
  <c r="C193" i="9" s="1"/>
  <c r="C194" i="9" s="1"/>
  <c r="C195" i="9" s="1"/>
  <c r="C196" i="9" s="1"/>
  <c r="AM38" i="12"/>
  <c r="J6" i="22"/>
  <c r="AK34" i="12"/>
  <c r="N187" i="9"/>
  <c r="L189" i="9" s="1"/>
  <c r="L190" i="9" s="1"/>
  <c r="L191" i="9" s="1"/>
  <c r="L192" i="9" s="1"/>
  <c r="L193" i="9" s="1"/>
  <c r="L194" i="9" s="1"/>
  <c r="AU5" i="2"/>
  <c r="AK35" i="12"/>
  <c r="AQ34" i="12"/>
  <c r="AC40" i="12"/>
  <c r="AE35" i="12"/>
  <c r="AI41" i="12"/>
  <c r="AK36" i="12"/>
  <c r="AO42" i="12"/>
  <c r="AQ37" i="12"/>
  <c r="AF39" i="12"/>
  <c r="AD41" i="12"/>
  <c r="AC34" i="12"/>
  <c r="N197" i="9"/>
  <c r="L199" i="9" s="1"/>
  <c r="L200" i="9" s="1"/>
  <c r="L201" i="9" s="1"/>
  <c r="L202" i="9" s="1"/>
  <c r="L203" i="9" s="1"/>
  <c r="L204" i="9" s="1"/>
  <c r="L205" i="9" s="1"/>
  <c r="AQ5" i="2"/>
  <c r="AA36" i="12"/>
  <c r="AM34" i="12"/>
  <c r="W177" i="9"/>
  <c r="U179" i="9" s="1"/>
  <c r="U180" i="9" s="1"/>
  <c r="U181" i="9" s="1"/>
  <c r="U182" i="9" s="1"/>
  <c r="AV5" i="2"/>
  <c r="AA38" i="12"/>
  <c r="AI34" i="12"/>
  <c r="N177" i="9"/>
  <c r="L179" i="9" s="1"/>
  <c r="L180" i="9" s="1"/>
  <c r="L181" i="9" s="1"/>
  <c r="L182" i="9" s="1"/>
  <c r="L183" i="9" s="1"/>
  <c r="L184" i="9" s="1"/>
  <c r="AT5" i="2"/>
  <c r="AT49" i="2" s="1"/>
  <c r="AM40" i="12"/>
  <c r="AO35" i="12"/>
  <c r="AA41" i="12"/>
  <c r="AC36" i="12"/>
  <c r="J12" i="22"/>
  <c r="AO38" i="12"/>
  <c r="S52" i="12"/>
  <c r="U50" i="12"/>
  <c r="N6" i="12"/>
  <c r="N11" i="12"/>
  <c r="N9" i="12"/>
  <c r="N5" i="12"/>
  <c r="N10" i="12"/>
  <c r="N13" i="12"/>
  <c r="D154" i="9"/>
  <c r="G154" i="9" s="1"/>
  <c r="N7" i="12"/>
  <c r="T48" i="12"/>
  <c r="E48" i="12"/>
  <c r="U48" i="12" s="1"/>
  <c r="M48" i="12"/>
  <c r="AC48" i="12" s="1"/>
  <c r="T55" i="12"/>
  <c r="E55" i="12"/>
  <c r="V49" i="12"/>
  <c r="G49" i="12"/>
  <c r="W50" i="12" s="1"/>
  <c r="Z53" i="12"/>
  <c r="K53" i="12"/>
  <c r="AA54" i="12" s="1"/>
  <c r="Y52" i="12"/>
  <c r="R48" i="12"/>
  <c r="C48" i="12"/>
  <c r="S48" i="12" s="1"/>
  <c r="V56" i="12"/>
  <c r="G56" i="12"/>
  <c r="X54" i="12"/>
  <c r="I54" i="12"/>
  <c r="Y54" i="12" s="1"/>
  <c r="Z48" i="12"/>
  <c r="K48" i="12"/>
  <c r="AA48" i="12" s="1"/>
  <c r="S55" i="12"/>
  <c r="Y53" i="12"/>
  <c r="R58" i="12"/>
  <c r="C58" i="12"/>
  <c r="S59" i="12" s="1"/>
  <c r="V54" i="12"/>
  <c r="G54" i="12"/>
  <c r="W54" i="12" s="1"/>
  <c r="Z50" i="12"/>
  <c r="K50" i="12"/>
  <c r="AA50" i="12" s="1"/>
  <c r="R57" i="12"/>
  <c r="C57" i="12"/>
  <c r="S57" i="12" s="1"/>
  <c r="T51" i="12"/>
  <c r="E51" i="12"/>
  <c r="U51" i="12" s="1"/>
  <c r="T58" i="12"/>
  <c r="E58" i="12"/>
  <c r="U59" i="12" s="1"/>
  <c r="V52" i="12"/>
  <c r="G52" i="12"/>
  <c r="W52" i="12" s="1"/>
  <c r="X50" i="12"/>
  <c r="I50" i="12"/>
  <c r="Y50" i="12" s="1"/>
  <c r="R50" i="12"/>
  <c r="C50" i="12"/>
  <c r="S50" i="12" s="1"/>
  <c r="Y56" i="12"/>
  <c r="AB56" i="12"/>
  <c r="M56" i="12"/>
  <c r="R53" i="12"/>
  <c r="C53" i="12"/>
  <c r="S53" i="12" s="1"/>
  <c r="AB55" i="12"/>
  <c r="M55" i="12"/>
  <c r="S56" i="12"/>
  <c r="T54" i="12"/>
  <c r="E54" i="12"/>
  <c r="U54" i="12" s="1"/>
  <c r="V48" i="12"/>
  <c r="G48" i="12"/>
  <c r="W48" i="12" s="1"/>
  <c r="Z56" i="12"/>
  <c r="K56" i="12"/>
  <c r="U57" i="12"/>
  <c r="W51" i="12"/>
  <c r="AA55" i="12"/>
  <c r="X48" i="12"/>
  <c r="I48" i="12"/>
  <c r="Y48" i="12" s="1"/>
  <c r="AB52" i="12"/>
  <c r="M52" i="12"/>
  <c r="Z57" i="12"/>
  <c r="K57" i="12"/>
  <c r="AB51" i="12"/>
  <c r="M51" i="12"/>
  <c r="X58" i="12"/>
  <c r="I58" i="12"/>
  <c r="Y59" i="12" s="1"/>
  <c r="Z52" i="12"/>
  <c r="K52" i="12"/>
  <c r="AA52" i="12" s="1"/>
  <c r="AB50" i="12"/>
  <c r="M50" i="12"/>
  <c r="U53" i="12"/>
  <c r="Y57" i="12"/>
  <c r="Z49" i="12"/>
  <c r="X56" i="12"/>
  <c r="V57" i="12"/>
  <c r="X51" i="12"/>
  <c r="R56" i="12"/>
  <c r="AB54" i="12"/>
  <c r="X55" i="12"/>
  <c r="Z54" i="12"/>
  <c r="T56" i="12"/>
  <c r="R49" i="12"/>
  <c r="V53" i="12"/>
  <c r="R52" i="12"/>
  <c r="T50" i="12"/>
  <c r="Z58" i="12"/>
  <c r="V227" i="9"/>
  <c r="Y227" i="9" s="1"/>
  <c r="R54" i="12"/>
  <c r="X52" i="12"/>
  <c r="R55" i="12"/>
  <c r="T49" i="12"/>
  <c r="X53" i="12"/>
  <c r="AB57" i="12"/>
  <c r="T52" i="12"/>
  <c r="AB58" i="12"/>
  <c r="V234" i="9"/>
  <c r="Y234" i="9" s="1"/>
  <c r="R51" i="12"/>
  <c r="V55" i="12"/>
  <c r="X49" i="12"/>
  <c r="AB53" i="12"/>
  <c r="V58" i="12"/>
  <c r="T57" i="12"/>
  <c r="V51" i="12"/>
  <c r="Z55" i="12"/>
  <c r="AB49" i="12"/>
  <c r="V50" i="12"/>
  <c r="T53" i="12"/>
  <c r="X57" i="12"/>
  <c r="Z51" i="12"/>
  <c r="Z41" i="12"/>
  <c r="AH38" i="12"/>
  <c r="AN40" i="12"/>
  <c r="AF36" i="12"/>
  <c r="AF40" i="12"/>
  <c r="AP43" i="12"/>
  <c r="AJ38" i="12"/>
  <c r="AH40" i="12"/>
  <c r="AF35" i="12"/>
  <c r="AB41" i="12"/>
  <c r="Z36" i="12"/>
  <c r="Z34" i="12"/>
  <c r="AD39" i="12"/>
  <c r="AD43" i="12"/>
  <c r="Z37" i="12"/>
  <c r="AH34" i="12"/>
  <c r="AD40" i="12"/>
  <c r="AB35" i="12"/>
  <c r="AH41" i="12"/>
  <c r="AB42" i="12"/>
  <c r="AD35" i="12"/>
  <c r="AF41" i="12"/>
  <c r="AD36" i="12"/>
  <c r="Z42" i="12"/>
  <c r="AP39" i="12"/>
  <c r="AJ34" i="12"/>
  <c r="AH36" i="12"/>
  <c r="AD42" i="12"/>
  <c r="AB37" i="12"/>
  <c r="AB34" i="12"/>
  <c r="AH39" i="12"/>
  <c r="AF34" i="12"/>
  <c r="AB40" i="12"/>
  <c r="Z35" i="12"/>
  <c r="AH37" i="12"/>
  <c r="AB38" i="12"/>
  <c r="AH42" i="12"/>
  <c r="AF37" i="12"/>
  <c r="AB43" i="12"/>
  <c r="Z38" i="12"/>
  <c r="AN38" i="12"/>
  <c r="AJ41" i="12"/>
  <c r="AL36" i="12"/>
  <c r="AP37" i="12"/>
  <c r="AJ37" i="12"/>
  <c r="AN34" i="12"/>
  <c r="AN35" i="12"/>
  <c r="AP41" i="12"/>
  <c r="AJ40" i="12"/>
  <c r="AN43" i="12"/>
  <c r="AP38" i="12"/>
  <c r="AP42" i="12"/>
  <c r="AN42" i="12"/>
  <c r="AN36" i="12"/>
  <c r="AJ42" i="12"/>
  <c r="AJ36" i="12"/>
  <c r="AN39" i="12"/>
  <c r="AP34" i="12"/>
  <c r="AL35" i="12"/>
  <c r="AL37" i="12"/>
  <c r="H49" i="2"/>
  <c r="H50" i="2" s="1"/>
  <c r="H51" i="2" s="1"/>
  <c r="H52" i="2" s="1"/>
  <c r="H53" i="2" s="1"/>
  <c r="H54" i="2" s="1"/>
  <c r="H55" i="2" s="1"/>
  <c r="H56" i="2" s="1"/>
  <c r="H57" i="2" s="1"/>
  <c r="H58" i="2" s="1"/>
  <c r="X39" i="12"/>
  <c r="V49" i="2"/>
  <c r="V50" i="2" s="1"/>
  <c r="V51" i="2" s="1"/>
  <c r="V52" i="2" s="1"/>
  <c r="I49" i="2"/>
  <c r="I50" i="2" s="1"/>
  <c r="I51" i="2" s="1"/>
  <c r="I52" i="2" s="1"/>
  <c r="I53" i="2" s="1"/>
  <c r="I54" i="2" s="1"/>
  <c r="I55" i="2" s="1"/>
  <c r="S50" i="2"/>
  <c r="S51" i="2" s="1"/>
  <c r="S52" i="2" s="1"/>
  <c r="S53" i="2" s="1"/>
  <c r="S54" i="2" s="1"/>
  <c r="S55" i="2" s="1"/>
  <c r="S56" i="2" s="1"/>
  <c r="S57" i="2" s="1"/>
  <c r="Z50" i="2"/>
  <c r="Z51" i="2" s="1"/>
  <c r="Z52" i="2" s="1"/>
  <c r="Z53" i="2" s="1"/>
  <c r="Z54" i="2" s="1"/>
  <c r="Z55" i="2" s="1"/>
  <c r="Z56" i="2" s="1"/>
  <c r="P50" i="2"/>
  <c r="P51" i="2" s="1"/>
  <c r="P52" i="2" s="1"/>
  <c r="P53" i="2" s="1"/>
  <c r="P54" i="2" s="1"/>
  <c r="P55" i="2" s="1"/>
  <c r="P56" i="2" s="1"/>
  <c r="P57" i="2" s="1"/>
  <c r="P58" i="2" s="1"/>
  <c r="P59" i="2" s="1"/>
  <c r="P60" i="2" s="1"/>
  <c r="P61" i="2" s="1"/>
  <c r="N50" i="2"/>
  <c r="N51" i="2" s="1"/>
  <c r="N52" i="2" s="1"/>
  <c r="N53" i="2" s="1"/>
  <c r="BF50" i="2"/>
  <c r="BF51" i="2" s="1"/>
  <c r="BF52" i="2" s="1"/>
  <c r="BF53" i="2" s="1"/>
  <c r="BF54" i="2" s="1"/>
  <c r="BF55" i="2" s="1"/>
  <c r="BF56" i="2" s="1"/>
  <c r="BF57" i="2" s="1"/>
  <c r="BF58" i="2" s="1"/>
  <c r="BF59" i="2" s="1"/>
  <c r="BF60" i="2" s="1"/>
  <c r="BF61" i="2" s="1"/>
  <c r="BF62" i="2" s="1"/>
  <c r="BF63" i="2" s="1"/>
  <c r="BF64" i="2" s="1"/>
  <c r="BF65" i="2" s="1"/>
  <c r="BF66" i="2" s="1"/>
  <c r="BF67" i="2" s="1"/>
  <c r="BF68" i="2" s="1"/>
  <c r="BF69" i="2" s="1"/>
  <c r="BF70" i="2" s="1"/>
  <c r="BF71" i="2" s="1"/>
  <c r="BF72" i="2" s="1"/>
  <c r="BF73" i="2" s="1"/>
  <c r="BF74" i="2" s="1"/>
  <c r="BF75" i="2" s="1"/>
  <c r="BF76" i="2" s="1"/>
  <c r="BF77" i="2" s="1"/>
  <c r="BF78" i="2" s="1"/>
  <c r="BF79" i="2" s="1"/>
  <c r="BF80" i="2" s="1"/>
  <c r="BF81" i="2" s="1"/>
  <c r="BF82" i="2" s="1"/>
  <c r="BF83" i="2" s="1"/>
  <c r="BF84" i="2" s="1"/>
  <c r="BF85" i="2" s="1"/>
  <c r="BF86" i="2" s="1"/>
  <c r="BF87" i="2" s="1"/>
  <c r="BF88" i="2" s="1"/>
  <c r="AE50" i="2"/>
  <c r="AE51" i="2" s="1"/>
  <c r="AE52" i="2" s="1"/>
  <c r="AE53" i="2" s="1"/>
  <c r="AE54" i="2" s="1"/>
  <c r="U50" i="2"/>
  <c r="U51" i="2" s="1"/>
  <c r="U52" i="2" s="1"/>
  <c r="U53" i="2" s="1"/>
  <c r="U54" i="2" s="1"/>
  <c r="U55" i="2" s="1"/>
  <c r="U56" i="2" s="1"/>
  <c r="Y50" i="2"/>
  <c r="Y51" i="2" s="1"/>
  <c r="Y52" i="2" s="1"/>
  <c r="Y53" i="2" s="1"/>
  <c r="Y54" i="2" s="1"/>
  <c r="Y55" i="2" s="1"/>
  <c r="Y56" i="2" s="1"/>
  <c r="Y57" i="2" s="1"/>
  <c r="O50" i="2"/>
  <c r="O51" i="2" s="1"/>
  <c r="O52" i="2" s="1"/>
  <c r="O53" i="2" s="1"/>
  <c r="O54" i="2" s="1"/>
  <c r="O55" i="2" s="1"/>
  <c r="O56" i="2" s="1"/>
  <c r="O57" i="2" s="1"/>
  <c r="O58" i="2" s="1"/>
  <c r="O59" i="2" s="1"/>
  <c r="O60" i="2" s="1"/>
  <c r="O61" i="2" s="1"/>
  <c r="J50" i="2"/>
  <c r="J51" i="2" s="1"/>
  <c r="J52" i="2" s="1"/>
  <c r="J53" i="2" s="1"/>
  <c r="J54" i="2" s="1"/>
  <c r="J55" i="2" s="1"/>
  <c r="J56" i="2" s="1"/>
  <c r="J57" i="2" s="1"/>
  <c r="J58" i="2" s="1"/>
  <c r="L53" i="2"/>
  <c r="E50" i="2"/>
  <c r="E51" i="2" s="1"/>
  <c r="E52" i="2" s="1"/>
  <c r="E53" i="2" s="1"/>
  <c r="E54" i="2" s="1"/>
  <c r="E55" i="2" s="1"/>
  <c r="E56" i="2" s="1"/>
  <c r="E57" i="2" s="1"/>
  <c r="E58" i="2" s="1"/>
  <c r="E59" i="2" s="1"/>
  <c r="E60" i="2" s="1"/>
  <c r="C50" i="2"/>
  <c r="C51" i="2" s="1"/>
  <c r="C52" i="2" s="1"/>
  <c r="C53" i="2" s="1"/>
  <c r="C54" i="2" s="1"/>
  <c r="C55" i="2" s="1"/>
  <c r="C56" i="2" s="1"/>
  <c r="C57" i="2" s="1"/>
  <c r="C58" i="2" s="1"/>
  <c r="C59" i="2" s="1"/>
  <c r="C60" i="2" s="1"/>
  <c r="B50" i="2"/>
  <c r="B51" i="2" s="1"/>
  <c r="B52" i="2" s="1"/>
  <c r="B53" i="2" s="1"/>
  <c r="B54" i="2" s="1"/>
  <c r="B55" i="2" s="1"/>
  <c r="B56" i="2" s="1"/>
  <c r="B57" i="2" s="1"/>
  <c r="B58" i="2" s="1"/>
  <c r="B59" i="2" s="1"/>
  <c r="B60" i="2" s="1"/>
  <c r="F50" i="2"/>
  <c r="F51" i="2" s="1"/>
  <c r="F52" i="2" s="1"/>
  <c r="F53" i="2" s="1"/>
  <c r="F54" i="2" s="1"/>
  <c r="F55" i="2" s="1"/>
  <c r="F56" i="2" s="1"/>
  <c r="F57" i="2" s="1"/>
  <c r="F58" i="2" s="1"/>
  <c r="F59" i="2" s="1"/>
  <c r="F60" i="2" s="1"/>
  <c r="G50" i="2"/>
  <c r="G51" i="2" s="1"/>
  <c r="G52" i="2" s="1"/>
  <c r="G53" i="2" s="1"/>
  <c r="G54" i="2" s="1"/>
  <c r="D50" i="2"/>
  <c r="D51" i="2" s="1"/>
  <c r="D52" i="2" s="1"/>
  <c r="D53" i="2" s="1"/>
  <c r="D54" i="2" s="1"/>
  <c r="X50" i="2"/>
  <c r="BH50" i="2"/>
  <c r="BH51" i="2" s="1"/>
  <c r="BH52" i="2" s="1"/>
  <c r="BH53" i="2" s="1"/>
  <c r="BH54" i="2" s="1"/>
  <c r="BH55" i="2" s="1"/>
  <c r="BH56" i="2" s="1"/>
  <c r="BH57" i="2" s="1"/>
  <c r="BH58" i="2" s="1"/>
  <c r="BH59" i="2" s="1"/>
  <c r="BH60" i="2" s="1"/>
  <c r="BH61" i="2" s="1"/>
  <c r="BH62" i="2" s="1"/>
  <c r="BH63" i="2" s="1"/>
  <c r="BH64" i="2" s="1"/>
  <c r="BH65" i="2" s="1"/>
  <c r="BH66" i="2" s="1"/>
  <c r="BH67" i="2" s="1"/>
  <c r="BH68" i="2" s="1"/>
  <c r="BH69" i="2" s="1"/>
  <c r="BH70" i="2" s="1"/>
  <c r="BH71" i="2" s="1"/>
  <c r="BH72" i="2" s="1"/>
  <c r="BH73" i="2" s="1"/>
  <c r="BH74" i="2" s="1"/>
  <c r="BH75" i="2" s="1"/>
  <c r="BH76" i="2" s="1"/>
  <c r="BH77" i="2" s="1"/>
  <c r="BH78" i="2" s="1"/>
  <c r="BH79" i="2" s="1"/>
  <c r="BH80" i="2" s="1"/>
  <c r="BH81" i="2" s="1"/>
  <c r="BH82" i="2" s="1"/>
  <c r="BH83" i="2" s="1"/>
  <c r="BH84" i="2" s="1"/>
  <c r="BH85" i="2" s="1"/>
  <c r="BH86" i="2" s="1"/>
  <c r="BH87" i="2" s="1"/>
  <c r="BH88" i="2" s="1"/>
  <c r="C4" i="8"/>
  <c r="AC54" i="12" l="1"/>
  <c r="AE52" i="12"/>
  <c r="AE49" i="12"/>
  <c r="AE53" i="12"/>
  <c r="AE57" i="12"/>
  <c r="AC59" i="12"/>
  <c r="AE58" i="12"/>
  <c r="AE55" i="12"/>
  <c r="Z241" i="9"/>
  <c r="T13" i="16" s="1"/>
  <c r="W241" i="9"/>
  <c r="U243" i="9" s="1"/>
  <c r="BE5" i="2"/>
  <c r="BE49" i="2" s="1"/>
  <c r="AE56" i="12"/>
  <c r="Z227" i="9"/>
  <c r="Z234" i="9"/>
  <c r="H154" i="9"/>
  <c r="Z204" i="9"/>
  <c r="Q197" i="9"/>
  <c r="AC50" i="12"/>
  <c r="AE59" i="12"/>
  <c r="AE54" i="12"/>
  <c r="AE50" i="12"/>
  <c r="AG5" i="2"/>
  <c r="AC55" i="12"/>
  <c r="U56" i="12"/>
  <c r="AI37" i="12"/>
  <c r="Y44" i="12"/>
  <c r="Y34" i="12"/>
  <c r="AG44" i="12"/>
  <c r="E177" i="9"/>
  <c r="C179" i="9" s="1"/>
  <c r="C180" i="9" s="1"/>
  <c r="C181" i="9" s="1"/>
  <c r="C182" i="9" s="1"/>
  <c r="C183" i="9" s="1"/>
  <c r="C184" i="9" s="1"/>
  <c r="C185" i="9" s="1"/>
  <c r="Y37" i="12"/>
  <c r="Y40" i="12"/>
  <c r="Y39" i="12"/>
  <c r="AO5" i="2"/>
  <c r="AO71" i="2" s="1"/>
  <c r="Y41" i="12"/>
  <c r="Y35" i="12"/>
  <c r="AA40" i="12"/>
  <c r="A30" i="24"/>
  <c r="W280" i="9"/>
  <c r="X279" i="9"/>
  <c r="Z279" i="9" s="1"/>
  <c r="Y279" i="9"/>
  <c r="AA279" i="9" s="1"/>
  <c r="V279" i="9"/>
  <c r="AO43" i="12"/>
  <c r="W11" i="12"/>
  <c r="AK5" i="2"/>
  <c r="AK49" i="2" s="1"/>
  <c r="AE43" i="12"/>
  <c r="AK43" i="12"/>
  <c r="J10" i="22"/>
  <c r="Y43" i="12"/>
  <c r="AC58" i="12"/>
  <c r="J7" i="22"/>
  <c r="J11" i="22"/>
  <c r="AI43" i="12"/>
  <c r="J5" i="22"/>
  <c r="S13" i="12"/>
  <c r="U13" i="12"/>
  <c r="J9" i="29"/>
  <c r="J5" i="29"/>
  <c r="AC43" i="12"/>
  <c r="W58" i="12"/>
  <c r="AM43" i="12"/>
  <c r="AA43" i="12"/>
  <c r="J26" i="29"/>
  <c r="AX5" i="2"/>
  <c r="AX62" i="2" s="1"/>
  <c r="W204" i="9"/>
  <c r="U206" i="9" s="1"/>
  <c r="U207" i="9" s="1"/>
  <c r="U208" i="9" s="1"/>
  <c r="U209" i="9" s="1"/>
  <c r="U210" i="9" s="1"/>
  <c r="W154" i="9"/>
  <c r="U156" i="9" s="1"/>
  <c r="U157" i="9" s="1"/>
  <c r="U158" i="9" s="1"/>
  <c r="U159" i="9" s="1"/>
  <c r="U160" i="9" s="1"/>
  <c r="Q13" i="12"/>
  <c r="Q14" i="12"/>
  <c r="AC39" i="12"/>
  <c r="B29" i="29"/>
  <c r="B27" i="29"/>
  <c r="J8" i="22"/>
  <c r="J8" i="29"/>
  <c r="AQ43" i="12"/>
  <c r="J14" i="29"/>
  <c r="J14" i="22"/>
  <c r="U200" i="9"/>
  <c r="U201" i="9" s="1"/>
  <c r="N216" i="9"/>
  <c r="N220" i="9" s="1"/>
  <c r="E216" i="9"/>
  <c r="C218" i="9" s="1"/>
  <c r="C219" i="9" s="1"/>
  <c r="C220" i="9" s="1"/>
  <c r="C221" i="9" s="1"/>
  <c r="B28" i="29"/>
  <c r="B12" i="22"/>
  <c r="B10" i="22"/>
  <c r="B9" i="22"/>
  <c r="M28" i="12"/>
  <c r="B11" i="22"/>
  <c r="AM5" i="2"/>
  <c r="W216" i="9"/>
  <c r="AL5" i="2"/>
  <c r="W9" i="12"/>
  <c r="K25" i="12"/>
  <c r="O21" i="12"/>
  <c r="O25" i="12"/>
  <c r="M21" i="12"/>
  <c r="M25" i="12"/>
  <c r="K21" i="12"/>
  <c r="K18" i="12"/>
  <c r="U9" i="12"/>
  <c r="AJ5" i="2"/>
  <c r="AJ72" i="2" s="1"/>
  <c r="M24" i="12"/>
  <c r="O24" i="12"/>
  <c r="AN5" i="2"/>
  <c r="K24" i="12"/>
  <c r="O22" i="12"/>
  <c r="O26" i="12"/>
  <c r="K22" i="12"/>
  <c r="K26" i="12"/>
  <c r="O19" i="12"/>
  <c r="O23" i="12"/>
  <c r="O27" i="12"/>
  <c r="M19" i="12"/>
  <c r="K19" i="12"/>
  <c r="K23" i="12"/>
  <c r="K27" i="12"/>
  <c r="O20" i="12"/>
  <c r="O28" i="12"/>
  <c r="M22" i="12"/>
  <c r="M26" i="12"/>
  <c r="K20" i="12"/>
  <c r="K28" i="12"/>
  <c r="J27" i="29"/>
  <c r="J23" i="29"/>
  <c r="B22" i="29"/>
  <c r="B23" i="29"/>
  <c r="J24" i="29"/>
  <c r="B26" i="29"/>
  <c r="AC57" i="12"/>
  <c r="J28" i="29"/>
  <c r="W57" i="12"/>
  <c r="J25" i="29"/>
  <c r="U12" i="12"/>
  <c r="B25" i="29"/>
  <c r="S11" i="12"/>
  <c r="B24" i="29"/>
  <c r="B5" i="22"/>
  <c r="T4" i="22" s="1"/>
  <c r="B6" i="22"/>
  <c r="B7" i="22"/>
  <c r="B8" i="22"/>
  <c r="J29" i="22"/>
  <c r="J28" i="22"/>
  <c r="E165" i="9"/>
  <c r="C167" i="9" s="1"/>
  <c r="C168" i="9" s="1"/>
  <c r="C169" i="9" s="1"/>
  <c r="C170" i="9" s="1"/>
  <c r="C171" i="9" s="1"/>
  <c r="N164" i="9"/>
  <c r="AI5" i="2"/>
  <c r="AI58" i="2" s="1"/>
  <c r="U49" i="12"/>
  <c r="J26" i="22"/>
  <c r="AR50" i="2"/>
  <c r="AR51" i="2" s="1"/>
  <c r="AR52" i="2" s="1"/>
  <c r="AR53" i="2" s="1"/>
  <c r="AR54" i="2" s="1"/>
  <c r="AR55" i="2" s="1"/>
  <c r="O13" i="12"/>
  <c r="U7" i="12"/>
  <c r="W13" i="12"/>
  <c r="Q10" i="12"/>
  <c r="U10" i="12"/>
  <c r="U11" i="12"/>
  <c r="S7" i="12"/>
  <c r="S8" i="12"/>
  <c r="Q6" i="12"/>
  <c r="S12" i="12"/>
  <c r="S9" i="12"/>
  <c r="O9" i="12"/>
  <c r="W6" i="12"/>
  <c r="W10" i="12"/>
  <c r="N227" i="9"/>
  <c r="L229" i="9" s="1"/>
  <c r="L230" i="9" s="1"/>
  <c r="L231" i="9" s="1"/>
  <c r="L232" i="9" s="1"/>
  <c r="L233" i="9" s="1"/>
  <c r="AY5" i="2"/>
  <c r="AY49" i="2" s="1"/>
  <c r="AY50" i="2" s="1"/>
  <c r="AY51" i="2" s="1"/>
  <c r="AY52" i="2" s="1"/>
  <c r="AY53" i="2" s="1"/>
  <c r="AY54" i="2" s="1"/>
  <c r="AY55" i="2" s="1"/>
  <c r="AZ5" i="2"/>
  <c r="AZ49" i="2" s="1"/>
  <c r="AZ50" i="2" s="1"/>
  <c r="AZ51" i="2" s="1"/>
  <c r="AZ52" i="2" s="1"/>
  <c r="AZ53" i="2" s="1"/>
  <c r="AZ54" i="2" s="1"/>
  <c r="AA51" i="12"/>
  <c r="BB5" i="2"/>
  <c r="BB56" i="2" s="1"/>
  <c r="E238" i="9"/>
  <c r="C240" i="9" s="1"/>
  <c r="C241" i="9" s="1"/>
  <c r="C242" i="9" s="1"/>
  <c r="C243" i="9" s="1"/>
  <c r="C244" i="9" s="1"/>
  <c r="C245" i="9" s="1"/>
  <c r="E227" i="9"/>
  <c r="C229" i="9" s="1"/>
  <c r="C230" i="9" s="1"/>
  <c r="C231" i="9" s="1"/>
  <c r="C232" i="9" s="1"/>
  <c r="C233" i="9" s="1"/>
  <c r="C234" i="9" s="1"/>
  <c r="C235" i="9" s="1"/>
  <c r="AT50" i="2"/>
  <c r="AT51" i="2" s="1"/>
  <c r="AT52" i="2" s="1"/>
  <c r="AT53" i="2" s="1"/>
  <c r="AT54" i="2" s="1"/>
  <c r="AT55" i="2" s="1"/>
  <c r="W53" i="12"/>
  <c r="AC49" i="12"/>
  <c r="AU49" i="2"/>
  <c r="AU50" i="2" s="1"/>
  <c r="AU51" i="2" s="1"/>
  <c r="AU52" i="2" s="1"/>
  <c r="AU53" i="2" s="1"/>
  <c r="AU54" i="2" s="1"/>
  <c r="AU55" i="2" s="1"/>
  <c r="AW57" i="2"/>
  <c r="AW61" i="2"/>
  <c r="AW65" i="2"/>
  <c r="AW69" i="2"/>
  <c r="AW73" i="2"/>
  <c r="AW77" i="2"/>
  <c r="AW81" i="2"/>
  <c r="AW85" i="2"/>
  <c r="AW64" i="2"/>
  <c r="AW58" i="2"/>
  <c r="AW62" i="2"/>
  <c r="AW66" i="2"/>
  <c r="AW70" i="2"/>
  <c r="AW74" i="2"/>
  <c r="AW78" i="2"/>
  <c r="AW82" i="2"/>
  <c r="AW86" i="2"/>
  <c r="AW56" i="2"/>
  <c r="AW68" i="2"/>
  <c r="AW59" i="2"/>
  <c r="AW63" i="2"/>
  <c r="AW67" i="2"/>
  <c r="AW71" i="2"/>
  <c r="AW75" i="2"/>
  <c r="AW79" i="2"/>
  <c r="AW83" i="2"/>
  <c r="AW87" i="2"/>
  <c r="AW60" i="2"/>
  <c r="AW72" i="2"/>
  <c r="AW88" i="2"/>
  <c r="AW76" i="2"/>
  <c r="AW80" i="2"/>
  <c r="AW84" i="2"/>
  <c r="AT58" i="2"/>
  <c r="AT62" i="2"/>
  <c r="AT66" i="2"/>
  <c r="AT70" i="2"/>
  <c r="AT74" i="2"/>
  <c r="AT78" i="2"/>
  <c r="AT82" i="2"/>
  <c r="AT86" i="2"/>
  <c r="AT59" i="2"/>
  <c r="AT63" i="2"/>
  <c r="AT67" i="2"/>
  <c r="AT71" i="2"/>
  <c r="AT75" i="2"/>
  <c r="AT79" i="2"/>
  <c r="AT83" i="2"/>
  <c r="AT87" i="2"/>
  <c r="AT56" i="2"/>
  <c r="AT60" i="2"/>
  <c r="AT64" i="2"/>
  <c r="AT68" i="2"/>
  <c r="AT72" i="2"/>
  <c r="AT76" i="2"/>
  <c r="AT80" i="2"/>
  <c r="AT84" i="2"/>
  <c r="AT88" i="2"/>
  <c r="AT69" i="2"/>
  <c r="AT85" i="2"/>
  <c r="AT57" i="2"/>
  <c r="AT81" i="2"/>
  <c r="AT73" i="2"/>
  <c r="AT65" i="2"/>
  <c r="AT61" i="2"/>
  <c r="AT77" i="2"/>
  <c r="AV56" i="2"/>
  <c r="AV60" i="2"/>
  <c r="AV64" i="2"/>
  <c r="AV68" i="2"/>
  <c r="AV72" i="2"/>
  <c r="AV76" i="2"/>
  <c r="AV80" i="2"/>
  <c r="AV84" i="2"/>
  <c r="AV88" i="2"/>
  <c r="AV57" i="2"/>
  <c r="AV61" i="2"/>
  <c r="AV65" i="2"/>
  <c r="AV69" i="2"/>
  <c r="AV73" i="2"/>
  <c r="AV77" i="2"/>
  <c r="AV81" i="2"/>
  <c r="AV85" i="2"/>
  <c r="AV58" i="2"/>
  <c r="AV62" i="2"/>
  <c r="AV66" i="2"/>
  <c r="AV70" i="2"/>
  <c r="AV74" i="2"/>
  <c r="AV78" i="2"/>
  <c r="AV82" i="2"/>
  <c r="AV86" i="2"/>
  <c r="AV71" i="2"/>
  <c r="AV87" i="2"/>
  <c r="AV67" i="2"/>
  <c r="AV59" i="2"/>
  <c r="AV75" i="2"/>
  <c r="AV83" i="2"/>
  <c r="AV63" i="2"/>
  <c r="AV79" i="2"/>
  <c r="AQ56" i="2"/>
  <c r="AQ60" i="2"/>
  <c r="AQ64" i="2"/>
  <c r="AQ68" i="2"/>
  <c r="AQ72" i="2"/>
  <c r="AQ76" i="2"/>
  <c r="AQ80" i="2"/>
  <c r="AQ84" i="2"/>
  <c r="AQ88" i="2"/>
  <c r="AQ57" i="2"/>
  <c r="AQ61" i="2"/>
  <c r="AQ65" i="2"/>
  <c r="AQ69" i="2"/>
  <c r="AQ73" i="2"/>
  <c r="AQ77" i="2"/>
  <c r="AQ81" i="2"/>
  <c r="AQ85" i="2"/>
  <c r="AQ58" i="2"/>
  <c r="AQ62" i="2"/>
  <c r="AQ66" i="2"/>
  <c r="AQ70" i="2"/>
  <c r="AQ74" i="2"/>
  <c r="AQ78" i="2"/>
  <c r="AQ82" i="2"/>
  <c r="AQ86" i="2"/>
  <c r="AQ67" i="2"/>
  <c r="AQ83" i="2"/>
  <c r="AQ87" i="2"/>
  <c r="AQ79" i="2"/>
  <c r="AQ71" i="2"/>
  <c r="AQ59" i="2"/>
  <c r="AQ75" i="2"/>
  <c r="AQ63" i="2"/>
  <c r="AW49" i="2"/>
  <c r="AW50" i="2" s="1"/>
  <c r="AW51" i="2" s="1"/>
  <c r="AW52" i="2" s="1"/>
  <c r="AW53" i="2" s="1"/>
  <c r="AW54" i="2" s="1"/>
  <c r="AW55" i="2" s="1"/>
  <c r="AP59" i="2"/>
  <c r="AP63" i="2"/>
  <c r="AP67" i="2"/>
  <c r="AP71" i="2"/>
  <c r="AP75" i="2"/>
  <c r="AP79" i="2"/>
  <c r="AP83" i="2"/>
  <c r="AP87" i="2"/>
  <c r="AP64" i="2"/>
  <c r="AP72" i="2"/>
  <c r="AP76" i="2"/>
  <c r="AP84" i="2"/>
  <c r="AP56" i="2"/>
  <c r="AP60" i="2"/>
  <c r="AP68" i="2"/>
  <c r="AP80" i="2"/>
  <c r="AP88" i="2"/>
  <c r="AP57" i="2"/>
  <c r="AP61" i="2"/>
  <c r="AP65" i="2"/>
  <c r="AP69" i="2"/>
  <c r="AP73" i="2"/>
  <c r="AP77" i="2"/>
  <c r="AP81" i="2"/>
  <c r="AP85" i="2"/>
  <c r="AP66" i="2"/>
  <c r="AP82" i="2"/>
  <c r="AP70" i="2"/>
  <c r="AP86" i="2"/>
  <c r="AP78" i="2"/>
  <c r="AP58" i="2"/>
  <c r="AP74" i="2"/>
  <c r="AP62" i="2"/>
  <c r="AQ49" i="2"/>
  <c r="AQ50" i="2" s="1"/>
  <c r="AQ51" i="2" s="1"/>
  <c r="AQ52" i="2" s="1"/>
  <c r="AQ53" i="2" s="1"/>
  <c r="AQ54" i="2" s="1"/>
  <c r="AQ55" i="2" s="1"/>
  <c r="AU59" i="2"/>
  <c r="AU63" i="2"/>
  <c r="AU67" i="2"/>
  <c r="AU71" i="2"/>
  <c r="AU75" i="2"/>
  <c r="AU79" i="2"/>
  <c r="AU83" i="2"/>
  <c r="AU87" i="2"/>
  <c r="AU56" i="2"/>
  <c r="AU60" i="2"/>
  <c r="AU64" i="2"/>
  <c r="AU68" i="2"/>
  <c r="AU72" i="2"/>
  <c r="AU76" i="2"/>
  <c r="AU80" i="2"/>
  <c r="AU84" i="2"/>
  <c r="AU88" i="2"/>
  <c r="AU57" i="2"/>
  <c r="AU61" i="2"/>
  <c r="AU65" i="2"/>
  <c r="AU69" i="2"/>
  <c r="AU73" i="2"/>
  <c r="AU77" i="2"/>
  <c r="AU81" i="2"/>
  <c r="AU85" i="2"/>
  <c r="AU70" i="2"/>
  <c r="AU86" i="2"/>
  <c r="AU66" i="2"/>
  <c r="AU58" i="2"/>
  <c r="AU74" i="2"/>
  <c r="AU62" i="2"/>
  <c r="AU78" i="2"/>
  <c r="AU82" i="2"/>
  <c r="AV49" i="2"/>
  <c r="AV50" i="2" s="1"/>
  <c r="AV51" i="2" s="1"/>
  <c r="AV52" i="2" s="1"/>
  <c r="AV53" i="2" s="1"/>
  <c r="AV54" i="2" s="1"/>
  <c r="AV55" i="2" s="1"/>
  <c r="AR57" i="2"/>
  <c r="AR61" i="2"/>
  <c r="AR65" i="2"/>
  <c r="AR69" i="2"/>
  <c r="AR73" i="2"/>
  <c r="AR77" i="2"/>
  <c r="AR81" i="2"/>
  <c r="AR85" i="2"/>
  <c r="AR58" i="2"/>
  <c r="AR62" i="2"/>
  <c r="AR66" i="2"/>
  <c r="AR70" i="2"/>
  <c r="AR74" i="2"/>
  <c r="AR78" i="2"/>
  <c r="AR82" i="2"/>
  <c r="AR86" i="2"/>
  <c r="AR59" i="2"/>
  <c r="AR63" i="2"/>
  <c r="AR67" i="2"/>
  <c r="AR71" i="2"/>
  <c r="AR75" i="2"/>
  <c r="AR79" i="2"/>
  <c r="AR83" i="2"/>
  <c r="AR87" i="2"/>
  <c r="AR68" i="2"/>
  <c r="AR84" i="2"/>
  <c r="AR56" i="2"/>
  <c r="AR88" i="2"/>
  <c r="AR72" i="2"/>
  <c r="AR80" i="2"/>
  <c r="AR60" i="2"/>
  <c r="AR76" i="2"/>
  <c r="AR64" i="2"/>
  <c r="S49" i="12"/>
  <c r="Y51" i="12"/>
  <c r="W55" i="12"/>
  <c r="AA57" i="12"/>
  <c r="AA49" i="12"/>
  <c r="AC51" i="12"/>
  <c r="U58" i="12"/>
  <c r="J25" i="22"/>
  <c r="W56" i="12"/>
  <c r="N238" i="9"/>
  <c r="BA5" i="2"/>
  <c r="W49" i="12"/>
  <c r="Y58" i="12"/>
  <c r="J27" i="22"/>
  <c r="AA56" i="12"/>
  <c r="W227" i="9"/>
  <c r="W231" i="9" s="1"/>
  <c r="BC5" i="2"/>
  <c r="S51" i="12"/>
  <c r="Y55" i="12"/>
  <c r="S54" i="12"/>
  <c r="AC52" i="12"/>
  <c r="AC56" i="12"/>
  <c r="W234" i="9"/>
  <c r="U244" i="9" s="1"/>
  <c r="U245" i="9" s="1"/>
  <c r="BD5" i="2"/>
  <c r="AC53" i="12"/>
  <c r="S58" i="12"/>
  <c r="J24" i="22"/>
  <c r="AA53" i="12"/>
  <c r="U55" i="12"/>
  <c r="Y49" i="12"/>
  <c r="U52" i="12"/>
  <c r="AA58" i="12"/>
  <c r="T12" i="16"/>
  <c r="AL43" i="12"/>
  <c r="AL41" i="12"/>
  <c r="AL38" i="12"/>
  <c r="X36" i="12"/>
  <c r="X42" i="12"/>
  <c r="X34" i="12"/>
  <c r="X40" i="12"/>
  <c r="X35" i="12"/>
  <c r="X43" i="12"/>
  <c r="X38" i="12"/>
  <c r="X41" i="12"/>
  <c r="X37" i="12"/>
  <c r="N154" i="9"/>
  <c r="AH5" i="2"/>
  <c r="E154" i="9"/>
  <c r="N54" i="2"/>
  <c r="N55" i="2" s="1"/>
  <c r="X51" i="2"/>
  <c r="X89" i="2" s="1"/>
  <c r="V89" i="2"/>
  <c r="L89" i="2"/>
  <c r="D89" i="2"/>
  <c r="P89" i="2"/>
  <c r="G89" i="2"/>
  <c r="AE89" i="2"/>
  <c r="S89" i="2"/>
  <c r="O89" i="2"/>
  <c r="J89" i="2"/>
  <c r="F89" i="2"/>
  <c r="B89" i="2"/>
  <c r="BH89" i="2"/>
  <c r="Y89" i="2"/>
  <c r="H89" i="2"/>
  <c r="BF89" i="2"/>
  <c r="U89" i="2"/>
  <c r="K89" i="2"/>
  <c r="C89" i="2"/>
  <c r="Z89" i="2"/>
  <c r="I89" i="2"/>
  <c r="E89" i="2"/>
  <c r="D5" i="9"/>
  <c r="G5" i="9" s="1"/>
  <c r="W243" i="9" l="1"/>
  <c r="W245" i="9"/>
  <c r="X245" i="9" s="1"/>
  <c r="W244" i="9"/>
  <c r="V244" i="9" s="1"/>
  <c r="W236" i="9"/>
  <c r="X244" i="9"/>
  <c r="X243" i="9"/>
  <c r="Y243" i="9"/>
  <c r="V243" i="9"/>
  <c r="V245" i="9"/>
  <c r="BE82" i="2"/>
  <c r="BE66" i="2"/>
  <c r="BE88" i="2"/>
  <c r="BE72" i="2"/>
  <c r="BE56" i="2"/>
  <c r="BE83" i="2"/>
  <c r="BE75" i="2"/>
  <c r="BE67" i="2"/>
  <c r="BE59" i="2"/>
  <c r="BE78" i="2"/>
  <c r="BE62" i="2"/>
  <c r="BE84" i="2"/>
  <c r="BE68" i="2"/>
  <c r="BE50" i="2"/>
  <c r="BE51" i="2" s="1"/>
  <c r="BE81" i="2"/>
  <c r="BE73" i="2"/>
  <c r="BE65" i="2"/>
  <c r="BE57" i="2"/>
  <c r="BE52" i="2"/>
  <c r="BE74" i="2"/>
  <c r="BE58" i="2"/>
  <c r="BE80" i="2"/>
  <c r="BE64" i="2"/>
  <c r="BE87" i="2"/>
  <c r="BE79" i="2"/>
  <c r="BE71" i="2"/>
  <c r="BE63" i="2"/>
  <c r="BE55" i="2"/>
  <c r="BE86" i="2"/>
  <c r="BE70" i="2"/>
  <c r="BE54" i="2"/>
  <c r="BE76" i="2"/>
  <c r="BE60" i="2"/>
  <c r="BE85" i="2"/>
  <c r="BE77" i="2"/>
  <c r="BE69" i="2"/>
  <c r="BE61" i="2"/>
  <c r="BE53" i="2"/>
  <c r="L218" i="9"/>
  <c r="L219" i="9" s="1"/>
  <c r="L220" i="9" s="1"/>
  <c r="L221" i="9" s="1"/>
  <c r="AO59" i="2"/>
  <c r="AO49" i="2"/>
  <c r="AO82" i="2"/>
  <c r="AO76" i="2"/>
  <c r="AO58" i="2"/>
  <c r="AO65" i="2"/>
  <c r="AO74" i="2"/>
  <c r="AO75" i="2"/>
  <c r="AO81" i="2"/>
  <c r="AO60" i="2"/>
  <c r="AO62" i="2"/>
  <c r="AO57" i="2"/>
  <c r="AO68" i="2"/>
  <c r="AO83" i="2"/>
  <c r="AO73" i="2"/>
  <c r="AO84" i="2"/>
  <c r="AO78" i="2"/>
  <c r="AO67" i="2"/>
  <c r="AO85" i="2"/>
  <c r="AO69" i="2"/>
  <c r="AO86" i="2"/>
  <c r="AO80" i="2"/>
  <c r="AO64" i="2"/>
  <c r="AO66" i="2"/>
  <c r="AO79" i="2"/>
  <c r="AO63" i="2"/>
  <c r="AO70" i="2"/>
  <c r="AO77" i="2"/>
  <c r="AO61" i="2"/>
  <c r="AO88" i="2"/>
  <c r="AO72" i="2"/>
  <c r="AO56" i="2"/>
  <c r="AO87" i="2"/>
  <c r="Y280" i="9"/>
  <c r="AA280" i="9" s="1"/>
  <c r="X280" i="9"/>
  <c r="Z280" i="9" s="1"/>
  <c r="V280" i="9"/>
  <c r="A31" i="24"/>
  <c r="W281" i="9"/>
  <c r="X231" i="9"/>
  <c r="Y231" i="9"/>
  <c r="AX61" i="2"/>
  <c r="AX71" i="2"/>
  <c r="AX60" i="2"/>
  <c r="AX82" i="2"/>
  <c r="AX76" i="2"/>
  <c r="AX87" i="2"/>
  <c r="AX85" i="2"/>
  <c r="AX66" i="2"/>
  <c r="AX81" i="2"/>
  <c r="AX84" i="2"/>
  <c r="AX68" i="2"/>
  <c r="AX77" i="2"/>
  <c r="AX79" i="2"/>
  <c r="AX63" i="2"/>
  <c r="AX57" i="2"/>
  <c r="AX74" i="2"/>
  <c r="AX58" i="2"/>
  <c r="W206" i="9"/>
  <c r="Y206" i="9" s="1"/>
  <c r="W207" i="9"/>
  <c r="Y207" i="9" s="1"/>
  <c r="W208" i="9"/>
  <c r="Y208" i="9" s="1"/>
  <c r="W209" i="9"/>
  <c r="V209" i="9" s="1"/>
  <c r="W210" i="9"/>
  <c r="X210" i="9" s="1"/>
  <c r="AX49" i="2"/>
  <c r="AX50" i="2" s="1"/>
  <c r="AX51" i="2" s="1"/>
  <c r="AX52" i="2" s="1"/>
  <c r="AX53" i="2" s="1"/>
  <c r="AX54" i="2" s="1"/>
  <c r="AX55" i="2" s="1"/>
  <c r="AX73" i="2"/>
  <c r="AX88" i="2"/>
  <c r="AX80" i="2"/>
  <c r="AX72" i="2"/>
  <c r="AX64" i="2"/>
  <c r="AX56" i="2"/>
  <c r="AX65" i="2"/>
  <c r="AX83" i="2"/>
  <c r="AX75" i="2"/>
  <c r="AX67" i="2"/>
  <c r="AX59" i="2"/>
  <c r="AX69" i="2"/>
  <c r="AX86" i="2"/>
  <c r="AX78" i="2"/>
  <c r="AX70" i="2"/>
  <c r="N218" i="9"/>
  <c r="O218" i="9" s="1"/>
  <c r="E220" i="9"/>
  <c r="G220" i="9" s="1"/>
  <c r="N219" i="9"/>
  <c r="E219" i="9"/>
  <c r="F219" i="9" s="1"/>
  <c r="E221" i="9"/>
  <c r="F221" i="9" s="1"/>
  <c r="E218" i="9"/>
  <c r="N221" i="9"/>
  <c r="M221" i="9" s="1"/>
  <c r="M220" i="9"/>
  <c r="P220" i="9"/>
  <c r="O220" i="9"/>
  <c r="Q220" i="9" s="1"/>
  <c r="U218" i="9"/>
  <c r="U219" i="9" s="1"/>
  <c r="U220" i="9" s="1"/>
  <c r="U221" i="9" s="1"/>
  <c r="W218" i="9"/>
  <c r="W221" i="9"/>
  <c r="W220" i="9"/>
  <c r="W219" i="9"/>
  <c r="L156" i="9"/>
  <c r="L157" i="9" s="1"/>
  <c r="L158" i="9" s="1"/>
  <c r="L159" i="9" s="1"/>
  <c r="L160" i="9" s="1"/>
  <c r="L161" i="9" s="1"/>
  <c r="L166" i="9"/>
  <c r="L167" i="9" s="1"/>
  <c r="L168" i="9" s="1"/>
  <c r="C156" i="9"/>
  <c r="C157" i="9" s="1"/>
  <c r="C158" i="9" s="1"/>
  <c r="C159" i="9" s="1"/>
  <c r="C160" i="9" s="1"/>
  <c r="C161" i="9" s="1"/>
  <c r="C162" i="9" s="1"/>
  <c r="AL78" i="2"/>
  <c r="AL88" i="2"/>
  <c r="AL54" i="2"/>
  <c r="AL56" i="2"/>
  <c r="AL59" i="2"/>
  <c r="AL62" i="2"/>
  <c r="AL61" i="2"/>
  <c r="AL72" i="2"/>
  <c r="AL81" i="2"/>
  <c r="AL71" i="2"/>
  <c r="AL49" i="2"/>
  <c r="AL50" i="2" s="1"/>
  <c r="AL51" i="2" s="1"/>
  <c r="AL52" i="2" s="1"/>
  <c r="AL58" i="2"/>
  <c r="AL70" i="2"/>
  <c r="AL86" i="2"/>
  <c r="AL77" i="2"/>
  <c r="AL64" i="2"/>
  <c r="AL80" i="2"/>
  <c r="AL65" i="2"/>
  <c r="AL75" i="2"/>
  <c r="AL87" i="2"/>
  <c r="AL55" i="2"/>
  <c r="AL66" i="2"/>
  <c r="AL74" i="2"/>
  <c r="AL82" i="2"/>
  <c r="AL53" i="2"/>
  <c r="AL69" i="2"/>
  <c r="AL85" i="2"/>
  <c r="AL60" i="2"/>
  <c r="AL68" i="2"/>
  <c r="AL76" i="2"/>
  <c r="AL84" i="2"/>
  <c r="AL57" i="2"/>
  <c r="AL73" i="2"/>
  <c r="AL83" i="2"/>
  <c r="AL67" i="2"/>
  <c r="AL79" i="2"/>
  <c r="AL63" i="2"/>
  <c r="AO50" i="2"/>
  <c r="AO51" i="2" s="1"/>
  <c r="AO52" i="2" s="1"/>
  <c r="AO53" i="2" s="1"/>
  <c r="AO54" i="2" s="1"/>
  <c r="AO55" i="2" s="1"/>
  <c r="AN53" i="2"/>
  <c r="AN55" i="2"/>
  <c r="AN57" i="2"/>
  <c r="AN59" i="2"/>
  <c r="AN61" i="2"/>
  <c r="AN65" i="2"/>
  <c r="AN67" i="2"/>
  <c r="AN71" i="2"/>
  <c r="AN75" i="2"/>
  <c r="AN79" i="2"/>
  <c r="AN85" i="2"/>
  <c r="AN54" i="2"/>
  <c r="AN56" i="2"/>
  <c r="AN58" i="2"/>
  <c r="AN60" i="2"/>
  <c r="AN62" i="2"/>
  <c r="AN64" i="2"/>
  <c r="AN66" i="2"/>
  <c r="AN68" i="2"/>
  <c r="AN70" i="2"/>
  <c r="AN72" i="2"/>
  <c r="AN74" i="2"/>
  <c r="AN76" i="2"/>
  <c r="AN78" i="2"/>
  <c r="AN80" i="2"/>
  <c r="AN82" i="2"/>
  <c r="AN84" i="2"/>
  <c r="AN86" i="2"/>
  <c r="AN88" i="2"/>
  <c r="AN63" i="2"/>
  <c r="AN69" i="2"/>
  <c r="AN73" i="2"/>
  <c r="AN77" i="2"/>
  <c r="AN81" i="2"/>
  <c r="AN83" i="2"/>
  <c r="AN87" i="2"/>
  <c r="AN49" i="2"/>
  <c r="AN50" i="2" s="1"/>
  <c r="AN51" i="2" s="1"/>
  <c r="AN52" i="2" s="1"/>
  <c r="AM55" i="2"/>
  <c r="AM59" i="2"/>
  <c r="AM63" i="2"/>
  <c r="AM67" i="2"/>
  <c r="AM73" i="2"/>
  <c r="AM77" i="2"/>
  <c r="AM83" i="2"/>
  <c r="AM87" i="2"/>
  <c r="AM54" i="2"/>
  <c r="AM56" i="2"/>
  <c r="AM58" i="2"/>
  <c r="AM60" i="2"/>
  <c r="AM62" i="2"/>
  <c r="AM64" i="2"/>
  <c r="AM66" i="2"/>
  <c r="AM68" i="2"/>
  <c r="AM70" i="2"/>
  <c r="AM72" i="2"/>
  <c r="AM74" i="2"/>
  <c r="AM76" i="2"/>
  <c r="AM78" i="2"/>
  <c r="AM80" i="2"/>
  <c r="AM82" i="2"/>
  <c r="AM84" i="2"/>
  <c r="AM86" i="2"/>
  <c r="AM88" i="2"/>
  <c r="AM53" i="2"/>
  <c r="AM57" i="2"/>
  <c r="AM61" i="2"/>
  <c r="AM65" i="2"/>
  <c r="AM69" i="2"/>
  <c r="AM71" i="2"/>
  <c r="AM75" i="2"/>
  <c r="AM79" i="2"/>
  <c r="AM81" i="2"/>
  <c r="AM85" i="2"/>
  <c r="AM49" i="2"/>
  <c r="AM50" i="2" s="1"/>
  <c r="AM51" i="2" s="1"/>
  <c r="AM52" i="2" s="1"/>
  <c r="L240" i="9"/>
  <c r="L241" i="9" s="1"/>
  <c r="L242" i="9" s="1"/>
  <c r="L243" i="9" s="1"/>
  <c r="L244" i="9" s="1"/>
  <c r="AK63" i="2"/>
  <c r="W230" i="9"/>
  <c r="Y230" i="9" s="1"/>
  <c r="U229" i="9"/>
  <c r="U230" i="9" s="1"/>
  <c r="U231" i="9" s="1"/>
  <c r="V231" i="9" s="1"/>
  <c r="W238" i="9"/>
  <c r="U236" i="9"/>
  <c r="U237" i="9" s="1"/>
  <c r="U238" i="9" s="1"/>
  <c r="AK86" i="2"/>
  <c r="AK57" i="2"/>
  <c r="AK54" i="2"/>
  <c r="AK60" i="2"/>
  <c r="AK70" i="2"/>
  <c r="AK73" i="2"/>
  <c r="AK76" i="2"/>
  <c r="AK79" i="2"/>
  <c r="AK78" i="2"/>
  <c r="AK62" i="2"/>
  <c r="AK81" i="2"/>
  <c r="AK65" i="2"/>
  <c r="AK84" i="2"/>
  <c r="AK68" i="2"/>
  <c r="AK87" i="2"/>
  <c r="AK71" i="2"/>
  <c r="AK55" i="2"/>
  <c r="AK82" i="2"/>
  <c r="AK74" i="2"/>
  <c r="AK66" i="2"/>
  <c r="AK58" i="2"/>
  <c r="AK85" i="2"/>
  <c r="AK77" i="2"/>
  <c r="AK69" i="2"/>
  <c r="AK61" i="2"/>
  <c r="AK88" i="2"/>
  <c r="AK80" i="2"/>
  <c r="AK72" i="2"/>
  <c r="AK64" i="2"/>
  <c r="AK56" i="2"/>
  <c r="AK83" i="2"/>
  <c r="AK75" i="2"/>
  <c r="AK67" i="2"/>
  <c r="AK59" i="2"/>
  <c r="AK50" i="2"/>
  <c r="AK51" i="2" s="1"/>
  <c r="AK52" i="2" s="1"/>
  <c r="AK53" i="2" s="1"/>
  <c r="AZ55" i="2"/>
  <c r="AI81" i="2"/>
  <c r="AI61" i="2"/>
  <c r="AI72" i="2"/>
  <c r="AI87" i="2"/>
  <c r="AI67" i="2"/>
  <c r="AI78" i="2"/>
  <c r="AI77" i="2"/>
  <c r="AI88" i="2"/>
  <c r="AI68" i="2"/>
  <c r="AI83" i="2"/>
  <c r="AI59" i="2"/>
  <c r="AI74" i="2"/>
  <c r="AI49" i="2"/>
  <c r="AI50" i="2" s="1"/>
  <c r="AI51" i="2" s="1"/>
  <c r="AI52" i="2" s="1"/>
  <c r="AI53" i="2" s="1"/>
  <c r="AI54" i="2" s="1"/>
  <c r="AI85" i="2"/>
  <c r="AI65" i="2"/>
  <c r="AI80" i="2"/>
  <c r="AI56" i="2"/>
  <c r="AI71" i="2"/>
  <c r="AI86" i="2"/>
  <c r="AI62" i="2"/>
  <c r="AI69" i="2"/>
  <c r="AI84" i="2"/>
  <c r="AI64" i="2"/>
  <c r="AI75" i="2"/>
  <c r="AI55" i="2"/>
  <c r="AI70" i="2"/>
  <c r="AJ79" i="2"/>
  <c r="AJ85" i="2"/>
  <c r="AJ63" i="2"/>
  <c r="AJ69" i="2"/>
  <c r="AJ56" i="2"/>
  <c r="AJ82" i="2"/>
  <c r="AJ88" i="2"/>
  <c r="AJ66" i="2"/>
  <c r="AI73" i="2"/>
  <c r="AI57" i="2"/>
  <c r="AI76" i="2"/>
  <c r="AI60" i="2"/>
  <c r="AI79" i="2"/>
  <c r="AI63" i="2"/>
  <c r="AI82" i="2"/>
  <c r="AI66" i="2"/>
  <c r="AJ49" i="2"/>
  <c r="AJ50" i="2" s="1"/>
  <c r="AJ51" i="2" s="1"/>
  <c r="AJ75" i="2"/>
  <c r="AJ59" i="2"/>
  <c r="AJ78" i="2"/>
  <c r="AJ62" i="2"/>
  <c r="AJ81" i="2"/>
  <c r="AJ65" i="2"/>
  <c r="AJ84" i="2"/>
  <c r="AJ68" i="2"/>
  <c r="AJ87" i="2"/>
  <c r="AJ71" i="2"/>
  <c r="AJ55" i="2"/>
  <c r="AJ74" i="2"/>
  <c r="AJ58" i="2"/>
  <c r="AJ77" i="2"/>
  <c r="AJ61" i="2"/>
  <c r="AJ80" i="2"/>
  <c r="AJ64" i="2"/>
  <c r="AJ83" i="2"/>
  <c r="AJ67" i="2"/>
  <c r="AJ86" i="2"/>
  <c r="AJ70" i="2"/>
  <c r="AJ54" i="2"/>
  <c r="AJ73" i="2"/>
  <c r="AJ57" i="2"/>
  <c r="AJ76" i="2"/>
  <c r="AJ60" i="2"/>
  <c r="AZ81" i="2"/>
  <c r="AZ84" i="2"/>
  <c r="AZ58" i="2"/>
  <c r="AZ87" i="2"/>
  <c r="AZ69" i="2"/>
  <c r="AZ72" i="2"/>
  <c r="AZ75" i="2"/>
  <c r="AZ78" i="2"/>
  <c r="AZ65" i="2"/>
  <c r="AZ68" i="2"/>
  <c r="AZ71" i="2"/>
  <c r="AZ74" i="2"/>
  <c r="AZ85" i="2"/>
  <c r="AZ88" i="2"/>
  <c r="AZ56" i="2"/>
  <c r="AZ59" i="2"/>
  <c r="AZ62" i="2"/>
  <c r="AY76" i="2"/>
  <c r="AY78" i="2"/>
  <c r="AY85" i="2"/>
  <c r="AY69" i="2"/>
  <c r="AY88" i="2"/>
  <c r="AY72" i="2"/>
  <c r="AY56" i="2"/>
  <c r="AY75" i="2"/>
  <c r="AY59" i="2"/>
  <c r="AY74" i="2"/>
  <c r="AY58" i="2"/>
  <c r="AY73" i="2"/>
  <c r="AY60" i="2"/>
  <c r="AY63" i="2"/>
  <c r="AY81" i="2"/>
  <c r="AY65" i="2"/>
  <c r="AY84" i="2"/>
  <c r="AY68" i="2"/>
  <c r="AY87" i="2"/>
  <c r="AY71" i="2"/>
  <c r="AY86" i="2"/>
  <c r="AY70" i="2"/>
  <c r="AY57" i="2"/>
  <c r="AY79" i="2"/>
  <c r="AY62" i="2"/>
  <c r="AY77" i="2"/>
  <c r="AY61" i="2"/>
  <c r="AY80" i="2"/>
  <c r="AY64" i="2"/>
  <c r="AY83" i="2"/>
  <c r="AY67" i="2"/>
  <c r="AY82" i="2"/>
  <c r="AY66" i="2"/>
  <c r="AZ77" i="2"/>
  <c r="AZ61" i="2"/>
  <c r="AZ80" i="2"/>
  <c r="AZ64" i="2"/>
  <c r="AZ83" i="2"/>
  <c r="AZ67" i="2"/>
  <c r="AZ86" i="2"/>
  <c r="AZ70" i="2"/>
  <c r="AZ73" i="2"/>
  <c r="AZ57" i="2"/>
  <c r="AZ76" i="2"/>
  <c r="AZ60" i="2"/>
  <c r="AZ79" i="2"/>
  <c r="AZ63" i="2"/>
  <c r="AZ82" i="2"/>
  <c r="AZ66" i="2"/>
  <c r="BB77" i="2"/>
  <c r="W237" i="9"/>
  <c r="V237" i="9" s="1"/>
  <c r="BB49" i="2"/>
  <c r="BB50" i="2" s="1"/>
  <c r="BB51" i="2" s="1"/>
  <c r="BB52" i="2" s="1"/>
  <c r="BB53" i="2" s="1"/>
  <c r="BB54" i="2" s="1"/>
  <c r="BB68" i="2"/>
  <c r="BB55" i="2"/>
  <c r="BB82" i="2"/>
  <c r="BB73" i="2"/>
  <c r="BB64" i="2"/>
  <c r="BB75" i="2"/>
  <c r="BB66" i="2"/>
  <c r="BB57" i="2"/>
  <c r="BB71" i="2"/>
  <c r="BB62" i="2"/>
  <c r="BB84" i="2"/>
  <c r="BB87" i="2"/>
  <c r="BB63" i="2"/>
  <c r="BB78" i="2"/>
  <c r="BB58" i="2"/>
  <c r="BB65" i="2"/>
  <c r="BB80" i="2"/>
  <c r="BB60" i="2"/>
  <c r="BB79" i="2"/>
  <c r="BB59" i="2"/>
  <c r="BB74" i="2"/>
  <c r="BB81" i="2"/>
  <c r="BB61" i="2"/>
  <c r="BB76" i="2"/>
  <c r="BB83" i="2"/>
  <c r="BB67" i="2"/>
  <c r="BB86" i="2"/>
  <c r="BB70" i="2"/>
  <c r="BB85" i="2"/>
  <c r="BB69" i="2"/>
  <c r="BB88" i="2"/>
  <c r="BB72" i="2"/>
  <c r="AP89" i="2"/>
  <c r="AR89" i="2"/>
  <c r="AU89" i="2"/>
  <c r="AV89" i="2"/>
  <c r="AT89" i="2"/>
  <c r="AW89" i="2"/>
  <c r="AQ89" i="2"/>
  <c r="BA87" i="2"/>
  <c r="BA58" i="2"/>
  <c r="BA66" i="2"/>
  <c r="BA74" i="2"/>
  <c r="BA82" i="2"/>
  <c r="BA55" i="2"/>
  <c r="BA63" i="2"/>
  <c r="BA71" i="2"/>
  <c r="BA79" i="2"/>
  <c r="BA81" i="2"/>
  <c r="BA64" i="2"/>
  <c r="BA61" i="2"/>
  <c r="BA85" i="2"/>
  <c r="BA60" i="2"/>
  <c r="BA68" i="2"/>
  <c r="BA76" i="2"/>
  <c r="BA84" i="2"/>
  <c r="BA57" i="2"/>
  <c r="BA65" i="2"/>
  <c r="BA73" i="2"/>
  <c r="BA80" i="2"/>
  <c r="BA69" i="2"/>
  <c r="BA62" i="2"/>
  <c r="BA70" i="2"/>
  <c r="BA78" i="2"/>
  <c r="BA86" i="2"/>
  <c r="BA59" i="2"/>
  <c r="BA67" i="2"/>
  <c r="BA75" i="2"/>
  <c r="BA83" i="2"/>
  <c r="BA56" i="2"/>
  <c r="BA72" i="2"/>
  <c r="BA88" i="2"/>
  <c r="BA77" i="2"/>
  <c r="BA49" i="2"/>
  <c r="BA50" i="2" s="1"/>
  <c r="BA51" i="2" s="1"/>
  <c r="BA52" i="2" s="1"/>
  <c r="BA53" i="2" s="1"/>
  <c r="BA54" i="2" s="1"/>
  <c r="BD87" i="2"/>
  <c r="BD62" i="2"/>
  <c r="BD70" i="2"/>
  <c r="BD78" i="2"/>
  <c r="BD86" i="2"/>
  <c r="BD59" i="2"/>
  <c r="BD67" i="2"/>
  <c r="BD75" i="2"/>
  <c r="BD83" i="2"/>
  <c r="BD68" i="2"/>
  <c r="BD57" i="2"/>
  <c r="BD81" i="2"/>
  <c r="BD56" i="2"/>
  <c r="BD64" i="2"/>
  <c r="BD72" i="2"/>
  <c r="BD80" i="2"/>
  <c r="BD88" i="2"/>
  <c r="BD61" i="2"/>
  <c r="BD69" i="2"/>
  <c r="BD77" i="2"/>
  <c r="BD85" i="2"/>
  <c r="BD76" i="2"/>
  <c r="BD73" i="2"/>
  <c r="BD58" i="2"/>
  <c r="BD66" i="2"/>
  <c r="BD74" i="2"/>
  <c r="BD82" i="2"/>
  <c r="BD55" i="2"/>
  <c r="BD63" i="2"/>
  <c r="BD71" i="2"/>
  <c r="BD79" i="2"/>
  <c r="BD60" i="2"/>
  <c r="BD84" i="2"/>
  <c r="BD65" i="2"/>
  <c r="BD49" i="2"/>
  <c r="BD50" i="2" s="1"/>
  <c r="BD51" i="2" s="1"/>
  <c r="BD52" i="2" s="1"/>
  <c r="BD53" i="2" s="1"/>
  <c r="BD54" i="2" s="1"/>
  <c r="BC61" i="2"/>
  <c r="BC77" i="2"/>
  <c r="BC62" i="2"/>
  <c r="BC78" i="2"/>
  <c r="BC59" i="2"/>
  <c r="BC75" i="2"/>
  <c r="BC56" i="2"/>
  <c r="BC72" i="2"/>
  <c r="BC88" i="2"/>
  <c r="BC80" i="2"/>
  <c r="BC73" i="2"/>
  <c r="BC55" i="2"/>
  <c r="BC68" i="2"/>
  <c r="BC65" i="2"/>
  <c r="BC81" i="2"/>
  <c r="BC66" i="2"/>
  <c r="BC82" i="2"/>
  <c r="BC63" i="2"/>
  <c r="BC79" i="2"/>
  <c r="BC60" i="2"/>
  <c r="BC76" i="2"/>
  <c r="BC86" i="2"/>
  <c r="BC57" i="2"/>
  <c r="BC58" i="2"/>
  <c r="BC71" i="2"/>
  <c r="BC84" i="2"/>
  <c r="BC49" i="2"/>
  <c r="BC69" i="2"/>
  <c r="BC85" i="2"/>
  <c r="BC70" i="2"/>
  <c r="BC67" i="2"/>
  <c r="BC83" i="2"/>
  <c r="BC64" i="2"/>
  <c r="BC74" i="2"/>
  <c r="BC87" i="2"/>
  <c r="T11" i="16"/>
  <c r="AL42" i="12"/>
  <c r="AL39" i="12"/>
  <c r="AL40" i="12"/>
  <c r="AJ52" i="2"/>
  <c r="AG60" i="2"/>
  <c r="AG64" i="2"/>
  <c r="AG68" i="2"/>
  <c r="AG72" i="2"/>
  <c r="AG76" i="2"/>
  <c r="AG80" i="2"/>
  <c r="AG84" i="2"/>
  <c r="AG88" i="2"/>
  <c r="AG59" i="2"/>
  <c r="AG71" i="2"/>
  <c r="AG79" i="2"/>
  <c r="AG61" i="2"/>
  <c r="AG65" i="2"/>
  <c r="AG69" i="2"/>
  <c r="AG73" i="2"/>
  <c r="AG77" i="2"/>
  <c r="AG81" i="2"/>
  <c r="AG85" i="2"/>
  <c r="AG63" i="2"/>
  <c r="AG83" i="2"/>
  <c r="AG58" i="2"/>
  <c r="AG62" i="2"/>
  <c r="AG66" i="2"/>
  <c r="AG70" i="2"/>
  <c r="AG74" i="2"/>
  <c r="AG78" i="2"/>
  <c r="AG82" i="2"/>
  <c r="AG86" i="2"/>
  <c r="AG67" i="2"/>
  <c r="AG75" i="2"/>
  <c r="AG87" i="2"/>
  <c r="AG49" i="2"/>
  <c r="AG50" i="2" s="1"/>
  <c r="AG51" i="2" s="1"/>
  <c r="AG52" i="2" s="1"/>
  <c r="AG53" i="2" s="1"/>
  <c r="AG54" i="2" s="1"/>
  <c r="AG55" i="2" s="1"/>
  <c r="AG56" i="2" s="1"/>
  <c r="AG57" i="2" s="1"/>
  <c r="AH55" i="2"/>
  <c r="AH59" i="2"/>
  <c r="AH63" i="2"/>
  <c r="AH67" i="2"/>
  <c r="AH71" i="2"/>
  <c r="AH75" i="2"/>
  <c r="AH79" i="2"/>
  <c r="AH83" i="2"/>
  <c r="AH87" i="2"/>
  <c r="AH58" i="2"/>
  <c r="AH70" i="2"/>
  <c r="AH82" i="2"/>
  <c r="AH56" i="2"/>
  <c r="AH60" i="2"/>
  <c r="AH64" i="2"/>
  <c r="AH68" i="2"/>
  <c r="AH72" i="2"/>
  <c r="AH76" i="2"/>
  <c r="AH80" i="2"/>
  <c r="AH84" i="2"/>
  <c r="AH88" i="2"/>
  <c r="AH66" i="2"/>
  <c r="AH78" i="2"/>
  <c r="AH57" i="2"/>
  <c r="AH61" i="2"/>
  <c r="AH65" i="2"/>
  <c r="AH69" i="2"/>
  <c r="AH73" i="2"/>
  <c r="AH77" i="2"/>
  <c r="AH81" i="2"/>
  <c r="AH85" i="2"/>
  <c r="AH62" i="2"/>
  <c r="AH74" i="2"/>
  <c r="AH86" i="2"/>
  <c r="AH49" i="2"/>
  <c r="AH50" i="2" s="1"/>
  <c r="AH51" i="2" s="1"/>
  <c r="AH52" i="2" s="1"/>
  <c r="AH53" i="2" s="1"/>
  <c r="AH54" i="2" s="1"/>
  <c r="H5" i="9"/>
  <c r="N56" i="2"/>
  <c r="N57" i="2" s="1"/>
  <c r="N58" i="2" s="1"/>
  <c r="N59" i="2" s="1"/>
  <c r="X33" i="12"/>
  <c r="Z33" i="12"/>
  <c r="AA33" i="12"/>
  <c r="AB33" i="12"/>
  <c r="AC33" i="12"/>
  <c r="AD33" i="12"/>
  <c r="AE33" i="12"/>
  <c r="AF33" i="12"/>
  <c r="AH33" i="12"/>
  <c r="AI33" i="12"/>
  <c r="AJ33" i="12"/>
  <c r="AK33" i="12"/>
  <c r="AL33" i="12"/>
  <c r="AM33" i="12"/>
  <c r="AN33" i="12"/>
  <c r="AO33" i="12"/>
  <c r="AP33" i="12"/>
  <c r="AQ33" i="12"/>
  <c r="Y245" i="9" l="1"/>
  <c r="Y244" i="9"/>
  <c r="AA241" i="9"/>
  <c r="U13" i="16" s="1"/>
  <c r="V236" i="9"/>
  <c r="Y238" i="9"/>
  <c r="V238" i="9"/>
  <c r="BE89" i="2"/>
  <c r="Z245" i="9"/>
  <c r="AA245" i="9"/>
  <c r="Z243" i="9"/>
  <c r="AA243" i="9"/>
  <c r="Z244" i="9"/>
  <c r="AA244" i="9"/>
  <c r="M219" i="9"/>
  <c r="R220" i="9"/>
  <c r="V206" i="9"/>
  <c r="X207" i="9"/>
  <c r="A32" i="24"/>
  <c r="W282" i="9"/>
  <c r="Y281" i="9"/>
  <c r="AA281" i="9" s="1"/>
  <c r="V281" i="9"/>
  <c r="X281" i="9"/>
  <c r="Z281" i="9" s="1"/>
  <c r="AA231" i="9"/>
  <c r="Z231" i="9"/>
  <c r="X206" i="9"/>
  <c r="V207" i="9"/>
  <c r="AA207" i="9" s="1"/>
  <c r="V208" i="9"/>
  <c r="AA208" i="9" s="1"/>
  <c r="X208" i="9"/>
  <c r="Y210" i="9"/>
  <c r="V210" i="9"/>
  <c r="Y209" i="9"/>
  <c r="AA209" i="9" s="1"/>
  <c r="X209" i="9"/>
  <c r="Z209" i="9" s="1"/>
  <c r="Z210" i="9"/>
  <c r="AX89" i="2"/>
  <c r="F220" i="9"/>
  <c r="M218" i="9"/>
  <c r="D220" i="9"/>
  <c r="P219" i="9"/>
  <c r="R219" i="9" s="1"/>
  <c r="P218" i="9"/>
  <c r="D218" i="9"/>
  <c r="G218" i="9"/>
  <c r="D221" i="9"/>
  <c r="G221" i="9"/>
  <c r="O219" i="9"/>
  <c r="Q219" i="9" s="1"/>
  <c r="D219" i="9"/>
  <c r="G219" i="9"/>
  <c r="F218" i="9"/>
  <c r="P221" i="9"/>
  <c r="R221" i="9" s="1"/>
  <c r="O221" i="9"/>
  <c r="Q221" i="9" s="1"/>
  <c r="X230" i="9"/>
  <c r="V220" i="9"/>
  <c r="Y220" i="9"/>
  <c r="X220" i="9"/>
  <c r="V218" i="9"/>
  <c r="X218" i="9"/>
  <c r="Y218" i="9"/>
  <c r="AA218" i="9" s="1"/>
  <c r="V219" i="9"/>
  <c r="X219" i="9"/>
  <c r="Y219" i="9"/>
  <c r="V221" i="9"/>
  <c r="X221" i="9"/>
  <c r="Y221" i="9"/>
  <c r="AL89" i="2"/>
  <c r="AO89" i="2"/>
  <c r="AM89" i="2"/>
  <c r="AN89" i="2"/>
  <c r="AA238" i="9"/>
  <c r="X238" i="9"/>
  <c r="AK89" i="2"/>
  <c r="X237" i="9"/>
  <c r="AI89" i="2"/>
  <c r="AY89" i="2"/>
  <c r="Y237" i="9"/>
  <c r="AZ89" i="2"/>
  <c r="AJ53" i="2"/>
  <c r="AJ89" i="2" s="1"/>
  <c r="BB89" i="2"/>
  <c r="BD89" i="2"/>
  <c r="BC50" i="2"/>
  <c r="BA89" i="2"/>
  <c r="AH89" i="2"/>
  <c r="AG89" i="2"/>
  <c r="N89" i="2"/>
  <c r="AA234" i="9" l="1"/>
  <c r="Q218" i="9"/>
  <c r="R216" i="9"/>
  <c r="AA206" i="9"/>
  <c r="AA204" i="9"/>
  <c r="AA216" i="9"/>
  <c r="I216" i="9"/>
  <c r="AA246" i="9"/>
  <c r="W13" i="16" s="1"/>
  <c r="X13" i="16" s="1"/>
  <c r="Z246" i="9"/>
  <c r="V13" i="16" s="1"/>
  <c r="R218" i="9"/>
  <c r="AA210" i="9"/>
  <c r="Z238" i="9"/>
  <c r="Z206" i="9"/>
  <c r="X282" i="9"/>
  <c r="Z282" i="9" s="1"/>
  <c r="V282" i="9"/>
  <c r="Y282" i="9"/>
  <c r="AA282" i="9" s="1"/>
  <c r="A33" i="24"/>
  <c r="W283" i="9"/>
  <c r="BC51" i="2"/>
  <c r="BC52" i="2" s="1"/>
  <c r="BC53" i="2" s="1"/>
  <c r="BC54" i="2" s="1"/>
  <c r="Z207" i="9"/>
  <c r="Z208" i="9"/>
  <c r="AA211" i="9"/>
  <c r="U19" i="16"/>
  <c r="H218" i="9"/>
  <c r="I218" i="9"/>
  <c r="U17" i="16"/>
  <c r="Z218" i="9"/>
  <c r="U18" i="16"/>
  <c r="D137" i="9"/>
  <c r="G137" i="9" s="1"/>
  <c r="D54" i="9"/>
  <c r="G54" i="9" s="1"/>
  <c r="W53" i="9"/>
  <c r="U55" i="9" s="1"/>
  <c r="N40" i="9"/>
  <c r="V53" i="9"/>
  <c r="Y53" i="9" s="1"/>
  <c r="M40" i="9"/>
  <c r="P40" i="9" s="1"/>
  <c r="W40" i="9"/>
  <c r="U42" i="9" s="1"/>
  <c r="U43" i="9" s="1"/>
  <c r="U44" i="9" s="1"/>
  <c r="U45" i="9" s="1"/>
  <c r="U46" i="9" s="1"/>
  <c r="U47" i="9" s="1"/>
  <c r="U48" i="9" s="1"/>
  <c r="U49" i="9" s="1"/>
  <c r="U50" i="9" s="1"/>
  <c r="E40" i="9"/>
  <c r="C42" i="9" s="1"/>
  <c r="C43" i="9" s="1"/>
  <c r="C44" i="9" s="1"/>
  <c r="C45" i="9" s="1"/>
  <c r="C46" i="9" s="1"/>
  <c r="C47" i="9" s="1"/>
  <c r="C48" i="9" s="1"/>
  <c r="C49" i="9" s="1"/>
  <c r="C50" i="9" s="1"/>
  <c r="C51" i="9" s="1"/>
  <c r="E137" i="9"/>
  <c r="C139" i="9" s="1"/>
  <c r="C140" i="9" s="1"/>
  <c r="C141" i="9" s="1"/>
  <c r="C142" i="9" s="1"/>
  <c r="C143" i="9" s="1"/>
  <c r="C144" i="9" s="1"/>
  <c r="C145" i="9" s="1"/>
  <c r="C146" i="9" s="1"/>
  <c r="C147" i="9" s="1"/>
  <c r="C148" i="9" s="1"/>
  <c r="C149" i="9" s="1"/>
  <c r="E54" i="9"/>
  <c r="V40" i="9"/>
  <c r="Y40" i="9" s="1"/>
  <c r="D40" i="9"/>
  <c r="G40" i="9" s="1"/>
  <c r="W4" i="12"/>
  <c r="V4" i="12"/>
  <c r="W3" i="12"/>
  <c r="V3" i="12"/>
  <c r="Z53" i="9" l="1"/>
  <c r="Z40" i="9"/>
  <c r="H40" i="9"/>
  <c r="Q40" i="9"/>
  <c r="H54" i="9"/>
  <c r="H137" i="9"/>
  <c r="N48" i="9"/>
  <c r="A34" i="24"/>
  <c r="W284" i="9"/>
  <c r="Y283" i="9"/>
  <c r="AA283" i="9" s="1"/>
  <c r="V283" i="9"/>
  <c r="X283" i="9"/>
  <c r="Z283" i="9" s="1"/>
  <c r="E149" i="9"/>
  <c r="W50" i="9"/>
  <c r="BC89" i="2"/>
  <c r="Z211" i="9"/>
  <c r="U20" i="16"/>
  <c r="C56" i="9"/>
  <c r="C57" i="9" s="1"/>
  <c r="C58" i="9" s="1"/>
  <c r="C59" i="9" s="1"/>
  <c r="C60" i="9" s="1"/>
  <c r="L42" i="9"/>
  <c r="L43" i="9" s="1"/>
  <c r="L44" i="9" s="1"/>
  <c r="L45" i="9" s="1"/>
  <c r="L46" i="9" s="1"/>
  <c r="L47" i="9" s="1"/>
  <c r="L48" i="9" s="1"/>
  <c r="E145" i="9"/>
  <c r="E140" i="9"/>
  <c r="E141" i="9"/>
  <c r="E142" i="9"/>
  <c r="E143" i="9"/>
  <c r="E144" i="9"/>
  <c r="E146" i="9"/>
  <c r="E147" i="9"/>
  <c r="E148" i="9"/>
  <c r="N144" i="9"/>
  <c r="N143" i="9"/>
  <c r="N142" i="9"/>
  <c r="N141" i="9"/>
  <c r="N140" i="9"/>
  <c r="W43" i="9"/>
  <c r="W44" i="9"/>
  <c r="W45" i="9"/>
  <c r="W48" i="9"/>
  <c r="W49" i="9"/>
  <c r="W46" i="9"/>
  <c r="W47" i="9"/>
  <c r="E57" i="9"/>
  <c r="E58" i="9"/>
  <c r="E59" i="9"/>
  <c r="E60" i="9"/>
  <c r="W56" i="9"/>
  <c r="W57" i="9"/>
  <c r="W58" i="9"/>
  <c r="W59" i="9"/>
  <c r="W60" i="9"/>
  <c r="W61" i="9"/>
  <c r="W62" i="9"/>
  <c r="N43" i="9"/>
  <c r="N44" i="9"/>
  <c r="N45" i="9"/>
  <c r="N46" i="9"/>
  <c r="N47" i="9"/>
  <c r="E44" i="9"/>
  <c r="E45" i="9"/>
  <c r="E46" i="9"/>
  <c r="E47" i="9"/>
  <c r="E48" i="9"/>
  <c r="E49" i="9"/>
  <c r="E50" i="9"/>
  <c r="E51" i="9"/>
  <c r="E43" i="9"/>
  <c r="M48" i="9" l="1"/>
  <c r="P48" i="9"/>
  <c r="O48" i="9"/>
  <c r="X284" i="9"/>
  <c r="Z284" i="9" s="1"/>
  <c r="V284" i="9"/>
  <c r="Y284" i="9"/>
  <c r="AA284" i="9" s="1"/>
  <c r="A35" i="24"/>
  <c r="W285" i="9"/>
  <c r="G149" i="9"/>
  <c r="F149" i="9"/>
  <c r="V50" i="9"/>
  <c r="Y50" i="9"/>
  <c r="X50" i="9"/>
  <c r="Z50" i="9" s="1"/>
  <c r="Q58" i="9"/>
  <c r="R58" i="9"/>
  <c r="Q57" i="9"/>
  <c r="R57" i="9"/>
  <c r="F148" i="9"/>
  <c r="G148" i="9"/>
  <c r="F143" i="9"/>
  <c r="G143" i="9"/>
  <c r="F141" i="9"/>
  <c r="G141" i="9"/>
  <c r="F146" i="9"/>
  <c r="G146" i="9"/>
  <c r="F147" i="9"/>
  <c r="G147" i="9"/>
  <c r="F144" i="9"/>
  <c r="G144" i="9"/>
  <c r="F142" i="9"/>
  <c r="G142" i="9"/>
  <c r="F140" i="9"/>
  <c r="F145" i="9"/>
  <c r="G145" i="9"/>
  <c r="O143" i="9"/>
  <c r="P143" i="9"/>
  <c r="P141" i="9"/>
  <c r="O141" i="9"/>
  <c r="P140" i="9"/>
  <c r="O140" i="9"/>
  <c r="P144" i="9"/>
  <c r="O144" i="9"/>
  <c r="O142" i="9"/>
  <c r="P142" i="9"/>
  <c r="X47" i="9"/>
  <c r="Y47" i="9"/>
  <c r="X45" i="9"/>
  <c r="Y45" i="9"/>
  <c r="X46" i="9"/>
  <c r="Y46" i="9"/>
  <c r="X49" i="9"/>
  <c r="Y49" i="9"/>
  <c r="X44" i="9"/>
  <c r="Y44" i="9"/>
  <c r="X48" i="9"/>
  <c r="Y48" i="9"/>
  <c r="X43" i="9"/>
  <c r="Y43" i="9"/>
  <c r="F60" i="9"/>
  <c r="G60" i="9"/>
  <c r="F58" i="9"/>
  <c r="G58" i="9"/>
  <c r="F59" i="9"/>
  <c r="G59" i="9"/>
  <c r="G57" i="9"/>
  <c r="F57" i="9"/>
  <c r="X62" i="9"/>
  <c r="Y62" i="9"/>
  <c r="X58" i="9"/>
  <c r="Y58" i="9"/>
  <c r="X56" i="9"/>
  <c r="Y56" i="9"/>
  <c r="X61" i="9"/>
  <c r="Y61" i="9"/>
  <c r="X57" i="9"/>
  <c r="Y57" i="9"/>
  <c r="X60" i="9"/>
  <c r="Y60" i="9"/>
  <c r="X59" i="9"/>
  <c r="Y59" i="9"/>
  <c r="O47" i="9"/>
  <c r="P47" i="9"/>
  <c r="O46" i="9"/>
  <c r="P46" i="9"/>
  <c r="O43" i="9"/>
  <c r="P43" i="9"/>
  <c r="O45" i="9"/>
  <c r="P45" i="9"/>
  <c r="O44" i="9"/>
  <c r="P44" i="9"/>
  <c r="F48" i="9"/>
  <c r="G48" i="9"/>
  <c r="G51" i="9"/>
  <c r="F51" i="9"/>
  <c r="F47" i="9"/>
  <c r="G47" i="9"/>
  <c r="F44" i="9"/>
  <c r="G44" i="9"/>
  <c r="F43" i="9"/>
  <c r="G43" i="9"/>
  <c r="F50" i="9"/>
  <c r="G50" i="9"/>
  <c r="F46" i="9"/>
  <c r="G46" i="9"/>
  <c r="F45" i="9"/>
  <c r="G45" i="9"/>
  <c r="G49" i="9"/>
  <c r="F49" i="9"/>
  <c r="W229" i="9"/>
  <c r="H10" i="16"/>
  <c r="N3" i="12"/>
  <c r="O3" i="12"/>
  <c r="Q3" i="12"/>
  <c r="R3" i="12"/>
  <c r="S3" i="12"/>
  <c r="T3" i="12"/>
  <c r="U3" i="12"/>
  <c r="N4" i="12"/>
  <c r="O4" i="12"/>
  <c r="Q4" i="12"/>
  <c r="R4" i="12"/>
  <c r="S4" i="12"/>
  <c r="T4" i="12"/>
  <c r="U4" i="12"/>
  <c r="AA50" i="9" l="1"/>
  <c r="A36" i="24"/>
  <c r="W286" i="9"/>
  <c r="V285" i="9"/>
  <c r="X285" i="9"/>
  <c r="Z285" i="9" s="1"/>
  <c r="Y285" i="9"/>
  <c r="AA285" i="9" s="1"/>
  <c r="R59" i="9"/>
  <c r="K12" i="16" s="1"/>
  <c r="L12" i="16" s="1"/>
  <c r="Q59" i="9"/>
  <c r="J12" i="16" s="1"/>
  <c r="X236" i="9"/>
  <c r="Y236" i="9"/>
  <c r="Y229" i="9"/>
  <c r="X229" i="9"/>
  <c r="F66" i="8"/>
  <c r="G140" i="9" s="1"/>
  <c r="X286" i="9" l="1"/>
  <c r="Z286" i="9" s="1"/>
  <c r="V286" i="9"/>
  <c r="Y286" i="9"/>
  <c r="AA286" i="9" s="1"/>
  <c r="A37" i="24"/>
  <c r="W287" i="9"/>
  <c r="V154" i="9"/>
  <c r="Y154" i="9" s="1"/>
  <c r="N251" i="9"/>
  <c r="M251" i="9"/>
  <c r="P251" i="9" s="1"/>
  <c r="Q251" i="9" s="1"/>
  <c r="M227" i="9"/>
  <c r="P227" i="9" s="1"/>
  <c r="Q227" i="9" s="1"/>
  <c r="M238" i="9"/>
  <c r="P238" i="9" s="1"/>
  <c r="D238" i="9"/>
  <c r="G238" i="9" s="1"/>
  <c r="D227" i="9"/>
  <c r="G227" i="9" s="1"/>
  <c r="H227" i="9" s="1"/>
  <c r="V195" i="9"/>
  <c r="Y195" i="9" s="1"/>
  <c r="V177" i="9"/>
  <c r="Y177" i="9" s="1"/>
  <c r="M187" i="9"/>
  <c r="P187" i="9" s="1"/>
  <c r="M177" i="9"/>
  <c r="P177" i="9" s="1"/>
  <c r="D199" i="9"/>
  <c r="G199" i="9" s="1"/>
  <c r="V185" i="9"/>
  <c r="Y185" i="9" s="1"/>
  <c r="D188" i="9"/>
  <c r="G188" i="9" s="1"/>
  <c r="D177" i="9"/>
  <c r="G177" i="9" s="1"/>
  <c r="D165" i="9"/>
  <c r="G165" i="9" s="1"/>
  <c r="M164" i="9"/>
  <c r="P164" i="9" s="1"/>
  <c r="M154" i="9"/>
  <c r="P154" i="9" s="1"/>
  <c r="W98" i="9"/>
  <c r="U100" i="9" s="1"/>
  <c r="U101" i="9" s="1"/>
  <c r="U102" i="9" s="1"/>
  <c r="U103" i="9" s="1"/>
  <c r="V98" i="9"/>
  <c r="Y98" i="9" s="1"/>
  <c r="W90" i="9"/>
  <c r="U92" i="9" s="1"/>
  <c r="U93" i="9" s="1"/>
  <c r="U94" i="9" s="1"/>
  <c r="U95" i="9" s="1"/>
  <c r="V90" i="9"/>
  <c r="Y90" i="9" s="1"/>
  <c r="N98" i="9"/>
  <c r="L100" i="9" s="1"/>
  <c r="L101" i="9" s="1"/>
  <c r="L102" i="9" s="1"/>
  <c r="L103" i="9" s="1"/>
  <c r="L104" i="9" s="1"/>
  <c r="L105" i="9" s="1"/>
  <c r="L106" i="9" s="1"/>
  <c r="L107" i="9" s="1"/>
  <c r="M98" i="9"/>
  <c r="P98" i="9" s="1"/>
  <c r="N5" i="9"/>
  <c r="N85" i="9"/>
  <c r="L87" i="9" s="1"/>
  <c r="L88" i="9" s="1"/>
  <c r="L89" i="9" s="1"/>
  <c r="L90" i="9" s="1"/>
  <c r="L91" i="9" s="1"/>
  <c r="L92" i="9" s="1"/>
  <c r="L93" i="9" s="1"/>
  <c r="L94" i="9" s="1"/>
  <c r="L95" i="9" s="1"/>
  <c r="M85" i="9"/>
  <c r="P85" i="9" s="1"/>
  <c r="V68" i="9"/>
  <c r="Y68" i="9" s="1"/>
  <c r="W68" i="9"/>
  <c r="U70" i="9" s="1"/>
  <c r="U71" i="9" s="1"/>
  <c r="U72" i="9" s="1"/>
  <c r="U73" i="9" s="1"/>
  <c r="U74" i="9" s="1"/>
  <c r="U75" i="9" s="1"/>
  <c r="U76" i="9" s="1"/>
  <c r="U77" i="9" s="1"/>
  <c r="W21" i="9"/>
  <c r="U23" i="9" s="1"/>
  <c r="U24" i="9" s="1"/>
  <c r="U25" i="9" s="1"/>
  <c r="U26" i="9" s="1"/>
  <c r="U27" i="9" s="1"/>
  <c r="U28" i="9" s="1"/>
  <c r="E83" i="9"/>
  <c r="C85" i="9" s="1"/>
  <c r="C86" i="9" s="1"/>
  <c r="C87" i="9" s="1"/>
  <c r="C88" i="9" s="1"/>
  <c r="C89" i="9" s="1"/>
  <c r="C90" i="9" s="1"/>
  <c r="C91" i="9" s="1"/>
  <c r="C92" i="9" s="1"/>
  <c r="C93" i="9" s="1"/>
  <c r="D83" i="9"/>
  <c r="G83" i="9" s="1"/>
  <c r="N68" i="9"/>
  <c r="M68" i="9"/>
  <c r="P68" i="9" s="1"/>
  <c r="D96" i="9"/>
  <c r="G96" i="9" s="1"/>
  <c r="E96" i="9"/>
  <c r="C98" i="9" s="1"/>
  <c r="C99" i="9" s="1"/>
  <c r="C100" i="9" s="1"/>
  <c r="C101" i="9" s="1"/>
  <c r="C102" i="9" s="1"/>
  <c r="C103" i="9" s="1"/>
  <c r="C104" i="9" s="1"/>
  <c r="C105" i="9" s="1"/>
  <c r="C106" i="9" s="1"/>
  <c r="C107" i="9" s="1"/>
  <c r="C108" i="9" s="1"/>
  <c r="C109" i="9" s="1"/>
  <c r="C110" i="9" s="1"/>
  <c r="D68" i="9"/>
  <c r="G68" i="9" s="1"/>
  <c r="D21" i="9"/>
  <c r="G21" i="9" s="1"/>
  <c r="E21" i="9"/>
  <c r="C23" i="9" s="1"/>
  <c r="C24" i="9" s="1"/>
  <c r="C25" i="9" s="1"/>
  <c r="C26" i="9" s="1"/>
  <c r="C27" i="9" s="1"/>
  <c r="C28" i="9" s="1"/>
  <c r="C29" i="9" s="1"/>
  <c r="C30" i="9" s="1"/>
  <c r="C31" i="9" s="1"/>
  <c r="C32" i="9" s="1"/>
  <c r="C33" i="9" s="1"/>
  <c r="C34" i="9" s="1"/>
  <c r="V21" i="9"/>
  <c r="Y21" i="9" s="1"/>
  <c r="M5" i="9"/>
  <c r="P5" i="9" s="1"/>
  <c r="N21" i="9"/>
  <c r="L23" i="9" s="1"/>
  <c r="L24" i="9" s="1"/>
  <c r="L25" i="9" s="1"/>
  <c r="L26" i="9" s="1"/>
  <c r="L27" i="9" s="1"/>
  <c r="L28" i="9" s="1"/>
  <c r="L29" i="9" s="1"/>
  <c r="L30" i="9" s="1"/>
  <c r="L31" i="9" s="1"/>
  <c r="L32" i="9" s="1"/>
  <c r="L33" i="9" s="1"/>
  <c r="L34" i="9" s="1"/>
  <c r="M21" i="9"/>
  <c r="P21" i="9" s="1"/>
  <c r="Z21" i="9" l="1"/>
  <c r="Q68" i="9"/>
  <c r="H83" i="9"/>
  <c r="Z68" i="9"/>
  <c r="Q98" i="9"/>
  <c r="Z90" i="9"/>
  <c r="Z98" i="9"/>
  <c r="Q154" i="9"/>
  <c r="H165" i="9"/>
  <c r="H188" i="9"/>
  <c r="H199" i="9"/>
  <c r="Q187" i="9"/>
  <c r="Z195" i="9"/>
  <c r="H238" i="9"/>
  <c r="Q21" i="9"/>
  <c r="H68" i="9"/>
  <c r="H96" i="9"/>
  <c r="Q85" i="9"/>
  <c r="Q164" i="9"/>
  <c r="H177" i="9"/>
  <c r="Z185" i="9"/>
  <c r="Q177" i="9"/>
  <c r="Z177" i="9"/>
  <c r="Q238" i="9"/>
  <c r="N244" i="9"/>
  <c r="Z154" i="9"/>
  <c r="E245" i="9"/>
  <c r="N205" i="9"/>
  <c r="E93" i="9"/>
  <c r="E235" i="9"/>
  <c r="A38" i="24"/>
  <c r="W288" i="9"/>
  <c r="V287" i="9"/>
  <c r="X287" i="9"/>
  <c r="Z287" i="9" s="1"/>
  <c r="Y287" i="9"/>
  <c r="AA287" i="9" s="1"/>
  <c r="N95" i="9"/>
  <c r="O95" i="9" s="1"/>
  <c r="N34" i="9"/>
  <c r="E34" i="9"/>
  <c r="E162" i="9"/>
  <c r="W201" i="9"/>
  <c r="Y201" i="9" s="1"/>
  <c r="W200" i="9"/>
  <c r="Y200" i="9" s="1"/>
  <c r="AA219" i="9"/>
  <c r="AA221" i="9"/>
  <c r="Z221" i="9"/>
  <c r="Z220" i="9"/>
  <c r="AA220" i="9"/>
  <c r="Z219" i="9"/>
  <c r="E110" i="9"/>
  <c r="E109" i="9"/>
  <c r="E98" i="9"/>
  <c r="E207" i="9"/>
  <c r="F207" i="9" s="1"/>
  <c r="N17" i="9"/>
  <c r="N18" i="9"/>
  <c r="N230" i="9"/>
  <c r="N231" i="9"/>
  <c r="N232" i="9"/>
  <c r="N233" i="9"/>
  <c r="N241" i="9"/>
  <c r="N242" i="9"/>
  <c r="N243" i="9"/>
  <c r="E241" i="9"/>
  <c r="E242" i="9"/>
  <c r="E243" i="9"/>
  <c r="E244" i="9"/>
  <c r="E230" i="9"/>
  <c r="N184" i="9"/>
  <c r="N183" i="9"/>
  <c r="N182" i="9"/>
  <c r="N181" i="9"/>
  <c r="N180" i="9"/>
  <c r="N194" i="9"/>
  <c r="N193" i="9"/>
  <c r="N192" i="9"/>
  <c r="N191" i="9"/>
  <c r="N190" i="9"/>
  <c r="W182" i="9"/>
  <c r="W181" i="9"/>
  <c r="W180" i="9"/>
  <c r="W199" i="9"/>
  <c r="W198" i="9"/>
  <c r="E206" i="9"/>
  <c r="E205" i="9"/>
  <c r="E204" i="9"/>
  <c r="E203" i="9"/>
  <c r="E202" i="9"/>
  <c r="N201" i="9"/>
  <c r="N204" i="9"/>
  <c r="N200" i="9"/>
  <c r="N202" i="9"/>
  <c r="N203" i="9"/>
  <c r="E193" i="9"/>
  <c r="E191" i="9"/>
  <c r="E192" i="9"/>
  <c r="E194" i="9"/>
  <c r="E195" i="9"/>
  <c r="E196" i="9"/>
  <c r="E180" i="9"/>
  <c r="E181" i="9"/>
  <c r="E182" i="9"/>
  <c r="E183" i="9"/>
  <c r="E184" i="9"/>
  <c r="E185" i="9"/>
  <c r="E168" i="9"/>
  <c r="E169" i="9"/>
  <c r="E170" i="9"/>
  <c r="E171" i="9"/>
  <c r="W158" i="9"/>
  <c r="W159" i="9"/>
  <c r="W160" i="9"/>
  <c r="W157" i="9"/>
  <c r="N157" i="9"/>
  <c r="N158" i="9"/>
  <c r="N159" i="9"/>
  <c r="N160" i="9"/>
  <c r="N161" i="9"/>
  <c r="N167" i="9"/>
  <c r="N168" i="9"/>
  <c r="E158" i="9"/>
  <c r="E159" i="9"/>
  <c r="E160" i="9"/>
  <c r="E161" i="9"/>
  <c r="E157" i="9"/>
  <c r="W93" i="9"/>
  <c r="W94" i="9"/>
  <c r="W95" i="9"/>
  <c r="N103" i="9"/>
  <c r="N104" i="9"/>
  <c r="N102" i="9"/>
  <c r="N105" i="9"/>
  <c r="N107" i="9"/>
  <c r="N101" i="9"/>
  <c r="N106" i="9"/>
  <c r="N88" i="9"/>
  <c r="N89" i="9"/>
  <c r="N90" i="9"/>
  <c r="N91" i="9"/>
  <c r="N92" i="9"/>
  <c r="N93" i="9"/>
  <c r="N94" i="9"/>
  <c r="W71" i="9"/>
  <c r="W72" i="9"/>
  <c r="W73" i="9"/>
  <c r="W74" i="9"/>
  <c r="W75" i="9"/>
  <c r="W76" i="9"/>
  <c r="W77" i="9"/>
  <c r="E86" i="9"/>
  <c r="E87" i="9"/>
  <c r="E88" i="9"/>
  <c r="E89" i="9"/>
  <c r="E90" i="9"/>
  <c r="E91" i="9"/>
  <c r="E92" i="9"/>
  <c r="N71" i="9"/>
  <c r="N72" i="9"/>
  <c r="N73" i="9"/>
  <c r="N77" i="9"/>
  <c r="N82" i="9"/>
  <c r="N74" i="9"/>
  <c r="N75" i="9"/>
  <c r="N76" i="9"/>
  <c r="N78" i="9"/>
  <c r="N79" i="9"/>
  <c r="N80" i="9"/>
  <c r="N81" i="9"/>
  <c r="E99" i="9"/>
  <c r="E100" i="9"/>
  <c r="E101" i="9"/>
  <c r="E102" i="9"/>
  <c r="E103" i="9"/>
  <c r="E104" i="9"/>
  <c r="E105" i="9"/>
  <c r="E106" i="9"/>
  <c r="E107" i="9"/>
  <c r="F107" i="9" s="1"/>
  <c r="E108" i="9"/>
  <c r="N24" i="9"/>
  <c r="N25" i="9"/>
  <c r="N26" i="9"/>
  <c r="N27" i="9"/>
  <c r="N28" i="9"/>
  <c r="N29" i="9"/>
  <c r="N30" i="9"/>
  <c r="N31" i="9"/>
  <c r="N32" i="9"/>
  <c r="N33" i="9"/>
  <c r="N8" i="9"/>
  <c r="N9" i="9"/>
  <c r="N10" i="9"/>
  <c r="N11" i="9"/>
  <c r="N12" i="9"/>
  <c r="N13" i="9"/>
  <c r="N14" i="9"/>
  <c r="N15" i="9"/>
  <c r="N16" i="9"/>
  <c r="W24" i="9"/>
  <c r="W25" i="9"/>
  <c r="W26" i="9"/>
  <c r="W27" i="9"/>
  <c r="W28" i="9"/>
  <c r="E24" i="9"/>
  <c r="E25" i="9"/>
  <c r="E26" i="9"/>
  <c r="E27" i="9"/>
  <c r="E28" i="9"/>
  <c r="E29" i="9"/>
  <c r="E30" i="9"/>
  <c r="E31" i="9"/>
  <c r="E32" i="9"/>
  <c r="E33" i="9"/>
  <c r="L70" i="9"/>
  <c r="L71" i="9" s="1"/>
  <c r="L72" i="9" s="1"/>
  <c r="L73" i="9" s="1"/>
  <c r="L74" i="9" s="1"/>
  <c r="L75" i="9" s="1"/>
  <c r="L76" i="9" s="1"/>
  <c r="L77" i="9" s="1"/>
  <c r="L78" i="9" s="1"/>
  <c r="L79" i="9" s="1"/>
  <c r="L80" i="9" s="1"/>
  <c r="L81" i="9" s="1"/>
  <c r="L82" i="9" s="1"/>
  <c r="H21" i="9"/>
  <c r="Q5" i="9"/>
  <c r="V229" i="9"/>
  <c r="L253" i="9"/>
  <c r="L254" i="9" s="1"/>
  <c r="L255" i="9" s="1"/>
  <c r="L256" i="9" s="1"/>
  <c r="L257" i="9" s="1"/>
  <c r="L258" i="9" s="1"/>
  <c r="L259" i="9" s="1"/>
  <c r="L260" i="9" s="1"/>
  <c r="L261" i="9" s="1"/>
  <c r="L262" i="9" s="1"/>
  <c r="L263" i="9" s="1"/>
  <c r="L264" i="9" s="1"/>
  <c r="L265" i="9" s="1"/>
  <c r="L266" i="9" s="1"/>
  <c r="L267" i="9" s="1"/>
  <c r="L268" i="9" s="1"/>
  <c r="L269" i="9" s="1"/>
  <c r="L270" i="9" s="1"/>
  <c r="L271" i="9" s="1"/>
  <c r="L272" i="9" s="1"/>
  <c r="L273" i="9" s="1"/>
  <c r="L274" i="9" s="1"/>
  <c r="L275" i="9" s="1"/>
  <c r="L276" i="9" s="1"/>
  <c r="L277" i="9" s="1"/>
  <c r="L278" i="9" s="1"/>
  <c r="L279" i="9" s="1"/>
  <c r="L280" i="9" s="1"/>
  <c r="L281" i="9" s="1"/>
  <c r="L282" i="9" s="1"/>
  <c r="L283" i="9" s="1"/>
  <c r="L284" i="9" s="1"/>
  <c r="L285" i="9" s="1"/>
  <c r="L286" i="9" s="1"/>
  <c r="L287" i="9" s="1"/>
  <c r="L288" i="9" s="1"/>
  <c r="L289" i="9" s="1"/>
  <c r="L290" i="9" s="1"/>
  <c r="L291" i="9" s="1"/>
  <c r="L292" i="9" s="1"/>
  <c r="H251" i="9"/>
  <c r="W156" i="9"/>
  <c r="N253" i="9"/>
  <c r="N229" i="9"/>
  <c r="T10" i="16"/>
  <c r="N240" i="9"/>
  <c r="L7" i="9"/>
  <c r="L8" i="9" s="1"/>
  <c r="L9" i="9" s="1"/>
  <c r="L10" i="9" s="1"/>
  <c r="L11" i="9" s="1"/>
  <c r="L12" i="9" s="1"/>
  <c r="L13" i="9" s="1"/>
  <c r="L14" i="9" s="1"/>
  <c r="L15" i="9" s="1"/>
  <c r="L16" i="9" s="1"/>
  <c r="L17" i="9" s="1"/>
  <c r="L18" i="9" s="1"/>
  <c r="D149" i="9"/>
  <c r="W92" i="9"/>
  <c r="M244" i="9" l="1"/>
  <c r="P244" i="9"/>
  <c r="R244" i="9" s="1"/>
  <c r="O244" i="9"/>
  <c r="Q244" i="9" s="1"/>
  <c r="D245" i="9"/>
  <c r="G245" i="9"/>
  <c r="I245" i="9" s="1"/>
  <c r="F245" i="9"/>
  <c r="H245" i="9" s="1"/>
  <c r="M205" i="9"/>
  <c r="P205" i="9"/>
  <c r="R205" i="9" s="1"/>
  <c r="O205" i="9"/>
  <c r="Q205" i="9" s="1"/>
  <c r="G93" i="9"/>
  <c r="I93" i="9" s="1"/>
  <c r="D93" i="9"/>
  <c r="F93" i="9"/>
  <c r="H93" i="9" s="1"/>
  <c r="R48" i="9"/>
  <c r="Q48" i="9"/>
  <c r="E234" i="9"/>
  <c r="F234" i="9" s="1"/>
  <c r="E232" i="9"/>
  <c r="F232" i="9" s="1"/>
  <c r="E233" i="9"/>
  <c r="F233" i="9" s="1"/>
  <c r="E231" i="9"/>
  <c r="G231" i="9" s="1"/>
  <c r="F235" i="9"/>
  <c r="G235" i="9"/>
  <c r="D235" i="9"/>
  <c r="X288" i="9"/>
  <c r="Z288" i="9" s="1"/>
  <c r="V288" i="9"/>
  <c r="Y288" i="9"/>
  <c r="AA288" i="9" s="1"/>
  <c r="A39" i="24"/>
  <c r="W289" i="9"/>
  <c r="M95" i="9"/>
  <c r="P95" i="9"/>
  <c r="R95" i="9" s="1"/>
  <c r="Q95" i="9"/>
  <c r="I149" i="9"/>
  <c r="H149" i="9"/>
  <c r="D34" i="9"/>
  <c r="G34" i="9"/>
  <c r="F34" i="9"/>
  <c r="H34" i="9" s="1"/>
  <c r="M34" i="9"/>
  <c r="P34" i="9"/>
  <c r="R34" i="9" s="1"/>
  <c r="O34" i="9"/>
  <c r="Q34" i="9" s="1"/>
  <c r="Z253" i="9"/>
  <c r="AA253" i="9"/>
  <c r="I235" i="9"/>
  <c r="D162" i="9"/>
  <c r="G162" i="9"/>
  <c r="F162" i="9"/>
  <c r="H162" i="9" s="1"/>
  <c r="V201" i="9"/>
  <c r="X200" i="9"/>
  <c r="V200" i="9"/>
  <c r="Q222" i="9"/>
  <c r="V19" i="16" s="1"/>
  <c r="R222" i="9"/>
  <c r="W19" i="16" s="1"/>
  <c r="X19" i="16" s="1"/>
  <c r="H219" i="9"/>
  <c r="I219" i="9"/>
  <c r="H220" i="9"/>
  <c r="I220" i="9"/>
  <c r="H221" i="9"/>
  <c r="I221" i="9"/>
  <c r="AA237" i="9"/>
  <c r="Z237" i="9"/>
  <c r="F98" i="9"/>
  <c r="G109" i="9"/>
  <c r="F109" i="9"/>
  <c r="D109" i="9"/>
  <c r="G207" i="9"/>
  <c r="P17" i="9"/>
  <c r="M17" i="9"/>
  <c r="O17" i="9"/>
  <c r="O18" i="9"/>
  <c r="P18" i="9"/>
  <c r="M18" i="9"/>
  <c r="D147" i="9"/>
  <c r="D146" i="9"/>
  <c r="D148" i="9"/>
  <c r="M144" i="9"/>
  <c r="M142" i="9"/>
  <c r="M143" i="9"/>
  <c r="M141" i="9"/>
  <c r="M140" i="9"/>
  <c r="D144" i="9"/>
  <c r="D143" i="9"/>
  <c r="D145" i="9"/>
  <c r="Z229" i="9"/>
  <c r="V230" i="9"/>
  <c r="AA227" i="9" s="1"/>
  <c r="O233" i="9"/>
  <c r="M233" i="9"/>
  <c r="P233" i="9"/>
  <c r="O231" i="9"/>
  <c r="P231" i="9"/>
  <c r="M231" i="9"/>
  <c r="O232" i="9"/>
  <c r="M232" i="9"/>
  <c r="P232" i="9"/>
  <c r="O230" i="9"/>
  <c r="P230" i="9"/>
  <c r="M230" i="9"/>
  <c r="O242" i="9"/>
  <c r="P242" i="9"/>
  <c r="M242" i="9"/>
  <c r="O241" i="9"/>
  <c r="P241" i="9"/>
  <c r="M241" i="9"/>
  <c r="O243" i="9"/>
  <c r="M243" i="9"/>
  <c r="P243" i="9"/>
  <c r="F244" i="9"/>
  <c r="G244" i="9"/>
  <c r="F242" i="9"/>
  <c r="G242" i="9"/>
  <c r="F243" i="9"/>
  <c r="G243" i="9"/>
  <c r="G241" i="9"/>
  <c r="F241" i="9"/>
  <c r="F231" i="9"/>
  <c r="G233" i="9"/>
  <c r="G234" i="9"/>
  <c r="F230" i="9"/>
  <c r="G230" i="9"/>
  <c r="M181" i="9"/>
  <c r="P181" i="9"/>
  <c r="O181" i="9"/>
  <c r="M183" i="9"/>
  <c r="P183" i="9"/>
  <c r="O183" i="9"/>
  <c r="M180" i="9"/>
  <c r="P180" i="9"/>
  <c r="O180" i="9"/>
  <c r="M182" i="9"/>
  <c r="P182" i="9"/>
  <c r="O182" i="9"/>
  <c r="M184" i="9"/>
  <c r="P184" i="9"/>
  <c r="O184" i="9"/>
  <c r="M191" i="9"/>
  <c r="P191" i="9"/>
  <c r="O191" i="9"/>
  <c r="M193" i="9"/>
  <c r="P193" i="9"/>
  <c r="O193" i="9"/>
  <c r="M190" i="9"/>
  <c r="P190" i="9"/>
  <c r="O190" i="9"/>
  <c r="M192" i="9"/>
  <c r="P192" i="9"/>
  <c r="O192" i="9"/>
  <c r="M194" i="9"/>
  <c r="P194" i="9"/>
  <c r="O194" i="9"/>
  <c r="V180" i="9"/>
  <c r="Y180" i="9"/>
  <c r="X180" i="9"/>
  <c r="V182" i="9"/>
  <c r="Y182" i="9"/>
  <c r="X182" i="9"/>
  <c r="V181" i="9"/>
  <c r="Y181" i="9"/>
  <c r="X181" i="9"/>
  <c r="X199" i="9"/>
  <c r="V199" i="9"/>
  <c r="Y199" i="9"/>
  <c r="X198" i="9"/>
  <c r="V198" i="9"/>
  <c r="Y198" i="9"/>
  <c r="X201" i="9"/>
  <c r="F203" i="9"/>
  <c r="G203" i="9"/>
  <c r="F205" i="9"/>
  <c r="G205" i="9"/>
  <c r="F202" i="9"/>
  <c r="G202" i="9"/>
  <c r="F204" i="9"/>
  <c r="G204" i="9"/>
  <c r="G206" i="9"/>
  <c r="F206" i="9"/>
  <c r="O202" i="9"/>
  <c r="P202" i="9"/>
  <c r="O204" i="9"/>
  <c r="P204" i="9"/>
  <c r="O200" i="9"/>
  <c r="P200" i="9"/>
  <c r="O203" i="9"/>
  <c r="P203" i="9"/>
  <c r="O201" i="9"/>
  <c r="P201" i="9"/>
  <c r="F195" i="9"/>
  <c r="G195" i="9"/>
  <c r="F192" i="9"/>
  <c r="G192" i="9"/>
  <c r="F196" i="9"/>
  <c r="G196" i="9"/>
  <c r="F194" i="9"/>
  <c r="G194" i="9"/>
  <c r="F191" i="9"/>
  <c r="G191" i="9"/>
  <c r="F193" i="9"/>
  <c r="G193" i="9"/>
  <c r="F184" i="9"/>
  <c r="G184" i="9"/>
  <c r="G182" i="9"/>
  <c r="F182" i="9"/>
  <c r="F180" i="9"/>
  <c r="G180" i="9"/>
  <c r="F185" i="9"/>
  <c r="G185" i="9"/>
  <c r="G183" i="9"/>
  <c r="F183" i="9"/>
  <c r="F181" i="9"/>
  <c r="G181" i="9"/>
  <c r="F171" i="9"/>
  <c r="G171" i="9"/>
  <c r="G169" i="9"/>
  <c r="F169" i="9"/>
  <c r="F170" i="9"/>
  <c r="G170" i="9"/>
  <c r="F168" i="9"/>
  <c r="G168" i="9"/>
  <c r="X160" i="9"/>
  <c r="Y160" i="9"/>
  <c r="V160" i="9"/>
  <c r="X159" i="9"/>
  <c r="Y159" i="9"/>
  <c r="V159" i="9"/>
  <c r="X157" i="9"/>
  <c r="Y157" i="9"/>
  <c r="V157" i="9"/>
  <c r="X158" i="9"/>
  <c r="Y158" i="9"/>
  <c r="V158" i="9"/>
  <c r="O160" i="9"/>
  <c r="P160" i="9"/>
  <c r="O158" i="9"/>
  <c r="P158" i="9"/>
  <c r="O159" i="9"/>
  <c r="P159" i="9"/>
  <c r="O157" i="9"/>
  <c r="P157" i="9"/>
  <c r="O161" i="9"/>
  <c r="P161" i="9"/>
  <c r="O167" i="9"/>
  <c r="P167" i="9"/>
  <c r="M167" i="9"/>
  <c r="O168" i="9"/>
  <c r="P168" i="9"/>
  <c r="M168" i="9"/>
  <c r="F160" i="9"/>
  <c r="G160" i="9"/>
  <c r="F157" i="9"/>
  <c r="G157" i="9"/>
  <c r="F159" i="9"/>
  <c r="G159" i="9"/>
  <c r="F161" i="9"/>
  <c r="G161" i="9"/>
  <c r="F158" i="9"/>
  <c r="G158" i="9"/>
  <c r="D141" i="9"/>
  <c r="D142" i="9"/>
  <c r="D140" i="9"/>
  <c r="X93" i="9"/>
  <c r="Y93" i="9"/>
  <c r="V93" i="9"/>
  <c r="X94" i="9"/>
  <c r="Y94" i="9"/>
  <c r="V94" i="9"/>
  <c r="X95" i="9"/>
  <c r="Y95" i="9"/>
  <c r="V95" i="9"/>
  <c r="O106" i="9"/>
  <c r="P106" i="9"/>
  <c r="M106" i="9"/>
  <c r="O101" i="9"/>
  <c r="P101" i="9"/>
  <c r="M101" i="9"/>
  <c r="O107" i="9"/>
  <c r="P107" i="9"/>
  <c r="M107" i="9"/>
  <c r="O104" i="9"/>
  <c r="P104" i="9"/>
  <c r="M104" i="9"/>
  <c r="O105" i="9"/>
  <c r="P105" i="9"/>
  <c r="M105" i="9"/>
  <c r="O102" i="9"/>
  <c r="P102" i="9"/>
  <c r="M102" i="9"/>
  <c r="O103" i="9"/>
  <c r="P103" i="9"/>
  <c r="M103" i="9"/>
  <c r="O93" i="9"/>
  <c r="P93" i="9"/>
  <c r="M93" i="9"/>
  <c r="O91" i="9"/>
  <c r="P91" i="9"/>
  <c r="M91" i="9"/>
  <c r="O89" i="9"/>
  <c r="P89" i="9"/>
  <c r="M89" i="9"/>
  <c r="O94" i="9"/>
  <c r="P94" i="9"/>
  <c r="M94" i="9"/>
  <c r="O92" i="9"/>
  <c r="P92" i="9"/>
  <c r="M92" i="9"/>
  <c r="O90" i="9"/>
  <c r="P90" i="9"/>
  <c r="M90" i="9"/>
  <c r="O88" i="9"/>
  <c r="P88" i="9"/>
  <c r="M88" i="9"/>
  <c r="X71" i="9"/>
  <c r="Y71" i="9"/>
  <c r="X77" i="9"/>
  <c r="Y77" i="9"/>
  <c r="X75" i="9"/>
  <c r="Y75" i="9"/>
  <c r="X76" i="9"/>
  <c r="Y76" i="9"/>
  <c r="X74" i="9"/>
  <c r="Y74" i="9"/>
  <c r="X72" i="9"/>
  <c r="Y72" i="9"/>
  <c r="X73" i="9"/>
  <c r="Y73" i="9"/>
  <c r="F88" i="9"/>
  <c r="G88" i="9"/>
  <c r="F86" i="9"/>
  <c r="G86" i="9"/>
  <c r="F90" i="9"/>
  <c r="G90" i="9"/>
  <c r="F91" i="9"/>
  <c r="G91" i="9"/>
  <c r="F87" i="9"/>
  <c r="G87" i="9"/>
  <c r="F92" i="9"/>
  <c r="G92" i="9"/>
  <c r="F89" i="9"/>
  <c r="G89" i="9"/>
  <c r="O74" i="9"/>
  <c r="P74" i="9"/>
  <c r="M74" i="9"/>
  <c r="O81" i="9"/>
  <c r="P81" i="9"/>
  <c r="M81" i="9"/>
  <c r="O77" i="9"/>
  <c r="P77" i="9"/>
  <c r="M77" i="9"/>
  <c r="O73" i="9"/>
  <c r="P73" i="9"/>
  <c r="M73" i="9"/>
  <c r="O78" i="9"/>
  <c r="M78" i="9"/>
  <c r="P78" i="9"/>
  <c r="O80" i="9"/>
  <c r="P80" i="9"/>
  <c r="M80" i="9"/>
  <c r="O76" i="9"/>
  <c r="P76" i="9"/>
  <c r="M76" i="9"/>
  <c r="O72" i="9"/>
  <c r="M72" i="9"/>
  <c r="O82" i="9"/>
  <c r="P82" i="9"/>
  <c r="M82" i="9"/>
  <c r="O79" i="9"/>
  <c r="P79" i="9"/>
  <c r="M79" i="9"/>
  <c r="O75" i="9"/>
  <c r="P75" i="9"/>
  <c r="M75" i="9"/>
  <c r="O71" i="9"/>
  <c r="M71" i="9"/>
  <c r="G107" i="9"/>
  <c r="D107" i="9"/>
  <c r="F103" i="9"/>
  <c r="G103" i="9"/>
  <c r="D103" i="9"/>
  <c r="F101" i="9"/>
  <c r="G101" i="9"/>
  <c r="D101" i="9"/>
  <c r="F99" i="9"/>
  <c r="D99" i="9"/>
  <c r="F110" i="9"/>
  <c r="G110" i="9"/>
  <c r="D110" i="9"/>
  <c r="F108" i="9"/>
  <c r="G108" i="9"/>
  <c r="D108" i="9"/>
  <c r="F106" i="9"/>
  <c r="G106" i="9"/>
  <c r="D106" i="9"/>
  <c r="F102" i="9"/>
  <c r="G102" i="9"/>
  <c r="D102" i="9"/>
  <c r="F100" i="9"/>
  <c r="D100" i="9"/>
  <c r="F105" i="9"/>
  <c r="G105" i="9"/>
  <c r="D105" i="9"/>
  <c r="F104" i="9"/>
  <c r="G104" i="9"/>
  <c r="D104" i="9"/>
  <c r="O32" i="9"/>
  <c r="P32" i="9"/>
  <c r="M32" i="9"/>
  <c r="O30" i="9"/>
  <c r="P30" i="9"/>
  <c r="M30" i="9"/>
  <c r="O28" i="9"/>
  <c r="M28" i="9"/>
  <c r="P28" i="9"/>
  <c r="O26" i="9"/>
  <c r="P26" i="9"/>
  <c r="M26" i="9"/>
  <c r="O24" i="9"/>
  <c r="M24" i="9"/>
  <c r="O33" i="9"/>
  <c r="P33" i="9"/>
  <c r="M33" i="9"/>
  <c r="O31" i="9"/>
  <c r="M31" i="9"/>
  <c r="P31" i="9"/>
  <c r="O29" i="9"/>
  <c r="P29" i="9"/>
  <c r="M29" i="9"/>
  <c r="O27" i="9"/>
  <c r="P27" i="9"/>
  <c r="M27" i="9"/>
  <c r="O25" i="9"/>
  <c r="P25" i="9"/>
  <c r="M25" i="9"/>
  <c r="O16" i="9"/>
  <c r="P16" i="9"/>
  <c r="M16" i="9"/>
  <c r="O14" i="9"/>
  <c r="P14" i="9"/>
  <c r="M14" i="9"/>
  <c r="O12" i="9"/>
  <c r="P12" i="9"/>
  <c r="M12" i="9"/>
  <c r="O10" i="9"/>
  <c r="P10" i="9"/>
  <c r="M10" i="9"/>
  <c r="O8" i="9"/>
  <c r="M8" i="9"/>
  <c r="O15" i="9"/>
  <c r="P15" i="9"/>
  <c r="M15" i="9"/>
  <c r="O13" i="9"/>
  <c r="P13" i="9"/>
  <c r="M13" i="9"/>
  <c r="O11" i="9"/>
  <c r="P11" i="9"/>
  <c r="M11" i="9"/>
  <c r="O9" i="9"/>
  <c r="M9" i="9"/>
  <c r="X25" i="9"/>
  <c r="Y25" i="9"/>
  <c r="Y27" i="9"/>
  <c r="X27" i="9"/>
  <c r="X26" i="9"/>
  <c r="Y26" i="9"/>
  <c r="X24" i="9"/>
  <c r="Y24" i="9"/>
  <c r="X28" i="9"/>
  <c r="Y28" i="9"/>
  <c r="F30" i="9"/>
  <c r="G30" i="9"/>
  <c r="F28" i="9"/>
  <c r="G28" i="9"/>
  <c r="F26" i="9"/>
  <c r="G26" i="9"/>
  <c r="F24" i="9"/>
  <c r="F32" i="9"/>
  <c r="G32" i="9"/>
  <c r="F33" i="9"/>
  <c r="G33" i="9"/>
  <c r="F31" i="9"/>
  <c r="G31" i="9"/>
  <c r="F29" i="9"/>
  <c r="G29" i="9"/>
  <c r="F27" i="9"/>
  <c r="G27" i="9"/>
  <c r="F25" i="9"/>
  <c r="G25" i="9"/>
  <c r="M253" i="9"/>
  <c r="Q10" i="16"/>
  <c r="R10" i="16" s="1"/>
  <c r="Q12" i="16"/>
  <c r="I132" i="9"/>
  <c r="Q9" i="16" s="1"/>
  <c r="R9" i="16" s="1"/>
  <c r="V156" i="9"/>
  <c r="H11" i="16"/>
  <c r="B11" i="16"/>
  <c r="N18" i="16"/>
  <c r="B8" i="16"/>
  <c r="H20" i="16"/>
  <c r="H22" i="16"/>
  <c r="B25" i="16"/>
  <c r="N20" i="16"/>
  <c r="B24" i="16"/>
  <c r="H21" i="16"/>
  <c r="B19" i="16"/>
  <c r="B17" i="16"/>
  <c r="B18" i="16"/>
  <c r="H8" i="16"/>
  <c r="B22" i="16"/>
  <c r="B20" i="16"/>
  <c r="H17" i="16"/>
  <c r="T8" i="16"/>
  <c r="N25" i="16"/>
  <c r="T7" i="16"/>
  <c r="T24" i="16"/>
  <c r="N17" i="16"/>
  <c r="B21" i="16"/>
  <c r="H18" i="16"/>
  <c r="T9" i="16"/>
  <c r="T23" i="16"/>
  <c r="H23" i="16"/>
  <c r="H25" i="16"/>
  <c r="H7" i="16"/>
  <c r="B12" i="16"/>
  <c r="N19" i="16"/>
  <c r="H9" i="16"/>
  <c r="N26" i="16"/>
  <c r="B10" i="16"/>
  <c r="H19" i="16"/>
  <c r="H24" i="16"/>
  <c r="H26" i="16"/>
  <c r="N21" i="16"/>
  <c r="Y156" i="9"/>
  <c r="X156" i="9"/>
  <c r="O253" i="9"/>
  <c r="P253" i="9"/>
  <c r="M229" i="9"/>
  <c r="R227" i="9" s="1"/>
  <c r="O229" i="9"/>
  <c r="P229" i="9"/>
  <c r="M240" i="9"/>
  <c r="P240" i="9"/>
  <c r="O240" i="9"/>
  <c r="V92" i="9"/>
  <c r="AA90" i="9" s="1"/>
  <c r="Y92" i="9"/>
  <c r="X92" i="9"/>
  <c r="M13" i="10"/>
  <c r="L13" i="10"/>
  <c r="K13" i="10"/>
  <c r="J13" i="10"/>
  <c r="L12" i="10"/>
  <c r="K12" i="10"/>
  <c r="J12" i="10"/>
  <c r="M11" i="10"/>
  <c r="L11" i="10"/>
  <c r="K11" i="10"/>
  <c r="J11" i="10"/>
  <c r="M10" i="10"/>
  <c r="L10" i="10"/>
  <c r="K10" i="10"/>
  <c r="J10" i="10"/>
  <c r="M9" i="10"/>
  <c r="L9" i="10"/>
  <c r="K9" i="10"/>
  <c r="J9" i="10"/>
  <c r="M8" i="10"/>
  <c r="L8" i="10"/>
  <c r="K8" i="10"/>
  <c r="J8" i="10"/>
  <c r="M7" i="10"/>
  <c r="L7" i="10"/>
  <c r="K7" i="10"/>
  <c r="J7" i="10"/>
  <c r="M6" i="10"/>
  <c r="L6" i="10"/>
  <c r="K6" i="10"/>
  <c r="J6" i="10"/>
  <c r="M5" i="10"/>
  <c r="L5" i="10"/>
  <c r="K5" i="10"/>
  <c r="J5" i="10"/>
  <c r="M4" i="10"/>
  <c r="L4" i="10"/>
  <c r="K4" i="10"/>
  <c r="J4" i="10"/>
  <c r="M3" i="10"/>
  <c r="L3" i="10"/>
  <c r="K3" i="10"/>
  <c r="J3" i="10"/>
  <c r="W5" i="9"/>
  <c r="U7" i="9" s="1"/>
  <c r="U8" i="9" s="1"/>
  <c r="U9" i="9" s="1"/>
  <c r="U10" i="9" s="1"/>
  <c r="U11" i="9" s="1"/>
  <c r="U12" i="9" s="1"/>
  <c r="V5" i="9"/>
  <c r="Y5" i="9" s="1"/>
  <c r="E5" i="9"/>
  <c r="E18" i="9" s="1"/>
  <c r="R238" i="9" l="1"/>
  <c r="AA154" i="9"/>
  <c r="G232" i="9"/>
  <c r="T14" i="16"/>
  <c r="Z5" i="9"/>
  <c r="H235" i="9"/>
  <c r="I34" i="9"/>
  <c r="A40" i="24"/>
  <c r="W290" i="9"/>
  <c r="X289" i="9"/>
  <c r="Z289" i="9" s="1"/>
  <c r="Y289" i="9"/>
  <c r="AA289" i="9" s="1"/>
  <c r="V289" i="9"/>
  <c r="AA108" i="9"/>
  <c r="Z108" i="9"/>
  <c r="T26" i="16"/>
  <c r="I162" i="9"/>
  <c r="Z200" i="9"/>
  <c r="AA200" i="9"/>
  <c r="H13" i="16"/>
  <c r="H222" i="9"/>
  <c r="V17" i="16" s="1"/>
  <c r="I222" i="9"/>
  <c r="W17" i="16" s="1"/>
  <c r="X17" i="16" s="1"/>
  <c r="AA222" i="9"/>
  <c r="W18" i="16" s="1"/>
  <c r="Z222" i="9"/>
  <c r="V18" i="16" s="1"/>
  <c r="H109" i="9"/>
  <c r="I109" i="9"/>
  <c r="AA236" i="9"/>
  <c r="AA239" i="9" s="1"/>
  <c r="Z236" i="9"/>
  <c r="Z239" i="9" s="1"/>
  <c r="Q183" i="9"/>
  <c r="Q194" i="9"/>
  <c r="R18" i="9"/>
  <c r="R17" i="9"/>
  <c r="Q18" i="9"/>
  <c r="Q17" i="9"/>
  <c r="Q191" i="9"/>
  <c r="F18" i="9"/>
  <c r="G18" i="9"/>
  <c r="H27" i="16"/>
  <c r="N22" i="16"/>
  <c r="R94" i="9"/>
  <c r="R33" i="9"/>
  <c r="R103" i="9"/>
  <c r="AA94" i="9"/>
  <c r="Q94" i="9"/>
  <c r="Z94" i="9"/>
  <c r="Q103" i="9"/>
  <c r="Q107" i="9"/>
  <c r="H110" i="9"/>
  <c r="H107" i="9"/>
  <c r="Q82" i="9"/>
  <c r="I107" i="9"/>
  <c r="R13" i="9"/>
  <c r="R241" i="9"/>
  <c r="R232" i="9"/>
  <c r="R231" i="9"/>
  <c r="Q233" i="9"/>
  <c r="Q231" i="9"/>
  <c r="R233" i="9"/>
  <c r="Q241" i="9"/>
  <c r="R243" i="9"/>
  <c r="R81" i="9"/>
  <c r="AA95" i="9"/>
  <c r="I104" i="9"/>
  <c r="R75" i="9"/>
  <c r="R76" i="9"/>
  <c r="R77" i="9"/>
  <c r="Q81" i="9"/>
  <c r="R90" i="9"/>
  <c r="R91" i="9"/>
  <c r="R105" i="9"/>
  <c r="R106" i="9"/>
  <c r="Z95" i="9"/>
  <c r="AA160" i="9"/>
  <c r="Q243" i="9"/>
  <c r="R230" i="9"/>
  <c r="Q232" i="9"/>
  <c r="Z160" i="9"/>
  <c r="R107" i="9"/>
  <c r="I106" i="9"/>
  <c r="Q33" i="9"/>
  <c r="AA198" i="9"/>
  <c r="R194" i="9"/>
  <c r="R191" i="9"/>
  <c r="R183" i="9"/>
  <c r="Z201" i="9"/>
  <c r="Z182" i="9"/>
  <c r="Q190" i="9"/>
  <c r="Q182" i="9"/>
  <c r="AA201" i="9"/>
  <c r="Z198" i="9"/>
  <c r="AA182" i="9"/>
  <c r="R190" i="9"/>
  <c r="R182" i="9"/>
  <c r="I105" i="9"/>
  <c r="I108" i="9"/>
  <c r="R79" i="9"/>
  <c r="R80" i="9"/>
  <c r="Q78" i="9"/>
  <c r="R92" i="9"/>
  <c r="R93" i="9"/>
  <c r="R104" i="9"/>
  <c r="Z230" i="9"/>
  <c r="Z232" i="9" s="1"/>
  <c r="AA230" i="9"/>
  <c r="H105" i="9"/>
  <c r="H108" i="9"/>
  <c r="H103" i="9"/>
  <c r="Q79" i="9"/>
  <c r="Q80" i="9"/>
  <c r="Q92" i="9"/>
  <c r="Q93" i="9"/>
  <c r="Q104" i="9"/>
  <c r="Z158" i="9"/>
  <c r="Z181" i="9"/>
  <c r="Q192" i="9"/>
  <c r="Q184" i="9"/>
  <c r="Q181" i="9"/>
  <c r="R78" i="9"/>
  <c r="R181" i="9"/>
  <c r="AA199" i="9"/>
  <c r="AA181" i="9"/>
  <c r="R192" i="9"/>
  <c r="R184" i="9"/>
  <c r="Z180" i="9"/>
  <c r="Q193" i="9"/>
  <c r="Q180" i="9"/>
  <c r="Z199" i="9"/>
  <c r="AA180" i="9"/>
  <c r="R193" i="9"/>
  <c r="R180" i="9"/>
  <c r="R242" i="9"/>
  <c r="Q230" i="9"/>
  <c r="Q242" i="9"/>
  <c r="AA159" i="9"/>
  <c r="R168" i="9"/>
  <c r="AA157" i="9"/>
  <c r="Z159" i="9"/>
  <c r="Q168" i="9"/>
  <c r="AA158" i="9"/>
  <c r="Z157" i="9"/>
  <c r="R167" i="9"/>
  <c r="Q167" i="9"/>
  <c r="H104" i="9"/>
  <c r="H106" i="9"/>
  <c r="H101" i="9"/>
  <c r="Q75" i="9"/>
  <c r="Q77" i="9"/>
  <c r="Q90" i="9"/>
  <c r="Q91" i="9"/>
  <c r="R102" i="9"/>
  <c r="Q105" i="9"/>
  <c r="R101" i="9"/>
  <c r="Q106" i="9"/>
  <c r="AA93" i="9"/>
  <c r="H148" i="9"/>
  <c r="I148" i="9"/>
  <c r="R144" i="9"/>
  <c r="Q144" i="9"/>
  <c r="I110" i="9"/>
  <c r="R82" i="9"/>
  <c r="Q102" i="9"/>
  <c r="Q101" i="9"/>
  <c r="Z93" i="9"/>
  <c r="Q143" i="9"/>
  <c r="R143" i="9"/>
  <c r="H146" i="9"/>
  <c r="I146" i="9"/>
  <c r="R142" i="9"/>
  <c r="Q142" i="9"/>
  <c r="I147" i="9"/>
  <c r="H147" i="9"/>
  <c r="R30" i="9"/>
  <c r="Q13" i="9"/>
  <c r="Q76" i="9"/>
  <c r="I101" i="9"/>
  <c r="R27" i="9"/>
  <c r="R32" i="9"/>
  <c r="I102" i="9"/>
  <c r="R73" i="9"/>
  <c r="R88" i="9"/>
  <c r="R89" i="9"/>
  <c r="Q15" i="9"/>
  <c r="Q12" i="9"/>
  <c r="Q27" i="9"/>
  <c r="Q32" i="9"/>
  <c r="Q88" i="9"/>
  <c r="Q89" i="9"/>
  <c r="R11" i="9"/>
  <c r="R16" i="9"/>
  <c r="Q25" i="9"/>
  <c r="Q30" i="9"/>
  <c r="I103" i="9"/>
  <c r="E13" i="9"/>
  <c r="E11" i="9"/>
  <c r="E16" i="9"/>
  <c r="E14" i="9"/>
  <c r="E15" i="9"/>
  <c r="E8" i="9"/>
  <c r="E12" i="9"/>
  <c r="E17" i="9"/>
  <c r="E9" i="9"/>
  <c r="E10" i="9"/>
  <c r="Q11" i="9"/>
  <c r="Q8" i="9"/>
  <c r="R14" i="9"/>
  <c r="Q16" i="9"/>
  <c r="R29" i="9"/>
  <c r="Q31" i="9"/>
  <c r="H102" i="9"/>
  <c r="Q73" i="9"/>
  <c r="R74" i="9"/>
  <c r="I143" i="9"/>
  <c r="H143" i="9"/>
  <c r="H145" i="9"/>
  <c r="I145" i="9"/>
  <c r="Q9" i="9"/>
  <c r="R15" i="9"/>
  <c r="R12" i="9"/>
  <c r="Q14" i="9"/>
  <c r="Q29" i="9"/>
  <c r="Q74" i="9"/>
  <c r="I144" i="9"/>
  <c r="H144" i="9"/>
  <c r="R140" i="9"/>
  <c r="Q140" i="9"/>
  <c r="R31" i="9"/>
  <c r="Q141" i="9"/>
  <c r="R141" i="9"/>
  <c r="H140" i="9"/>
  <c r="I140" i="9"/>
  <c r="I142" i="9"/>
  <c r="H142" i="9"/>
  <c r="I141" i="9"/>
  <c r="H141" i="9"/>
  <c r="Q71" i="9"/>
  <c r="Q72" i="9"/>
  <c r="H99" i="9"/>
  <c r="H100" i="9"/>
  <c r="R26" i="9"/>
  <c r="Q28" i="9"/>
  <c r="Q26" i="9"/>
  <c r="R25" i="9"/>
  <c r="Q24" i="9"/>
  <c r="R28" i="9"/>
  <c r="R10" i="9"/>
  <c r="Q10" i="9"/>
  <c r="W8" i="9"/>
  <c r="W9" i="9"/>
  <c r="W10" i="9"/>
  <c r="W11" i="9"/>
  <c r="W12" i="9"/>
  <c r="R12" i="16"/>
  <c r="U11" i="16"/>
  <c r="AA229" i="9"/>
  <c r="N27" i="16"/>
  <c r="Z156" i="9"/>
  <c r="R253" i="9"/>
  <c r="Q253" i="9"/>
  <c r="AA156" i="9"/>
  <c r="R229" i="9"/>
  <c r="Q229" i="9"/>
  <c r="Q240" i="9"/>
  <c r="R240" i="9"/>
  <c r="R245" i="9" s="1"/>
  <c r="AA92" i="9"/>
  <c r="Z92" i="9"/>
  <c r="W7" i="9"/>
  <c r="U56" i="9"/>
  <c r="C7" i="9"/>
  <c r="C8" i="9" s="1"/>
  <c r="C9" i="9" s="1"/>
  <c r="C10" i="9" s="1"/>
  <c r="C11" i="9" s="1"/>
  <c r="C12" i="9" s="1"/>
  <c r="C13" i="9" s="1"/>
  <c r="C14" i="9" s="1"/>
  <c r="C15" i="9" s="1"/>
  <c r="C16" i="9" s="1"/>
  <c r="C17" i="9" s="1"/>
  <c r="C18" i="9" s="1"/>
  <c r="D18" i="9" s="1"/>
  <c r="Q245" i="9" l="1"/>
  <c r="V290" i="9"/>
  <c r="Y290" i="9"/>
  <c r="AA290" i="9" s="1"/>
  <c r="X290" i="9"/>
  <c r="Z290" i="9" s="1"/>
  <c r="A41" i="24"/>
  <c r="W291" i="9"/>
  <c r="V20" i="16"/>
  <c r="W20" i="16"/>
  <c r="X20" i="16" s="1"/>
  <c r="X18" i="16"/>
  <c r="I18" i="9"/>
  <c r="H18" i="9"/>
  <c r="AA232" i="9"/>
  <c r="W11" i="16" s="1"/>
  <c r="D191" i="9"/>
  <c r="D157" i="9"/>
  <c r="M200" i="9"/>
  <c r="D180" i="9"/>
  <c r="D168" i="9"/>
  <c r="D230" i="9"/>
  <c r="M157" i="9"/>
  <c r="D202" i="9"/>
  <c r="D241" i="9"/>
  <c r="V24" i="9"/>
  <c r="M43" i="9"/>
  <c r="D12" i="9"/>
  <c r="F12" i="9"/>
  <c r="G12" i="9"/>
  <c r="D16" i="9"/>
  <c r="G16" i="9"/>
  <c r="F16" i="9"/>
  <c r="D43" i="9"/>
  <c r="D17" i="9"/>
  <c r="F17" i="9"/>
  <c r="G17" i="9"/>
  <c r="D57" i="9"/>
  <c r="D24" i="9"/>
  <c r="V43" i="9"/>
  <c r="D10" i="9"/>
  <c r="F10" i="9"/>
  <c r="G10" i="9"/>
  <c r="F8" i="9"/>
  <c r="D8" i="9"/>
  <c r="D11" i="9"/>
  <c r="G11" i="9"/>
  <c r="F11" i="9"/>
  <c r="D14" i="9"/>
  <c r="F14" i="9"/>
  <c r="G14" i="9"/>
  <c r="U57" i="9"/>
  <c r="V56" i="9"/>
  <c r="V71" i="9"/>
  <c r="D86" i="9"/>
  <c r="F9" i="9"/>
  <c r="D9" i="9"/>
  <c r="F15" i="9"/>
  <c r="D15" i="9"/>
  <c r="G15" i="9"/>
  <c r="D13" i="9"/>
  <c r="F13" i="9"/>
  <c r="G13" i="9"/>
  <c r="X10" i="9"/>
  <c r="V10" i="9"/>
  <c r="Y10" i="9"/>
  <c r="X11" i="9"/>
  <c r="Y11" i="9"/>
  <c r="V11" i="9"/>
  <c r="X9" i="9"/>
  <c r="V9" i="9"/>
  <c r="Y9" i="9"/>
  <c r="X12" i="9"/>
  <c r="Y12" i="9"/>
  <c r="V12" i="9"/>
  <c r="X8" i="9"/>
  <c r="V8" i="9"/>
  <c r="Y8" i="9"/>
  <c r="V11" i="16"/>
  <c r="U12" i="16"/>
  <c r="H118" i="9"/>
  <c r="D119" i="9"/>
  <c r="B9" i="16"/>
  <c r="B7" i="16"/>
  <c r="V7" i="9"/>
  <c r="AA5" i="9" s="1"/>
  <c r="I38" i="8"/>
  <c r="P72" i="9" s="1"/>
  <c r="R72" i="9" s="1"/>
  <c r="I37" i="8"/>
  <c r="P71" i="9" s="1"/>
  <c r="R71" i="9" s="1"/>
  <c r="I36" i="8"/>
  <c r="F38" i="8"/>
  <c r="G100" i="9" s="1"/>
  <c r="I100" i="9" s="1"/>
  <c r="F37" i="8"/>
  <c r="G99" i="9" s="1"/>
  <c r="I99" i="9" s="1"/>
  <c r="F36" i="8"/>
  <c r="G98" i="9" s="1"/>
  <c r="H119" i="9" l="1"/>
  <c r="A42" i="24"/>
  <c r="W292" i="9"/>
  <c r="X291" i="9"/>
  <c r="Z291" i="9" s="1"/>
  <c r="Y291" i="9"/>
  <c r="AA291" i="9" s="1"/>
  <c r="V291" i="9"/>
  <c r="Z110" i="9"/>
  <c r="D27" i="16" s="1"/>
  <c r="AA110" i="9"/>
  <c r="E27" i="16" s="1"/>
  <c r="F27" i="16" s="1"/>
  <c r="B13" i="16"/>
  <c r="Z12" i="9"/>
  <c r="H17" i="9"/>
  <c r="H12" i="9"/>
  <c r="AA12" i="9"/>
  <c r="D158" i="9"/>
  <c r="I158" i="9" s="1"/>
  <c r="R157" i="9"/>
  <c r="Q157" i="9"/>
  <c r="I168" i="9"/>
  <c r="H168" i="9"/>
  <c r="AA9" i="9"/>
  <c r="D242" i="9"/>
  <c r="M158" i="9"/>
  <c r="D169" i="9"/>
  <c r="H157" i="9"/>
  <c r="I157" i="9"/>
  <c r="I202" i="9"/>
  <c r="H202" i="9"/>
  <c r="I230" i="9"/>
  <c r="H230" i="9"/>
  <c r="H180" i="9"/>
  <c r="I180" i="9"/>
  <c r="Q200" i="9"/>
  <c r="R200" i="9"/>
  <c r="I191" i="9"/>
  <c r="H191" i="9"/>
  <c r="I241" i="9"/>
  <c r="H241" i="9"/>
  <c r="Z9" i="9"/>
  <c r="D203" i="9"/>
  <c r="D231" i="9"/>
  <c r="D181" i="9"/>
  <c r="M201" i="9"/>
  <c r="D192" i="9"/>
  <c r="R43" i="9"/>
  <c r="Q43" i="9"/>
  <c r="Z10" i="9"/>
  <c r="M44" i="9"/>
  <c r="Z11" i="9"/>
  <c r="I13" i="9"/>
  <c r="D58" i="9"/>
  <c r="AA24" i="9"/>
  <c r="Z24" i="9"/>
  <c r="Z8" i="9"/>
  <c r="AA11" i="9"/>
  <c r="AA8" i="9"/>
  <c r="AA10" i="9"/>
  <c r="I17" i="9"/>
  <c r="V25" i="9"/>
  <c r="H14" i="9"/>
  <c r="H9" i="9"/>
  <c r="I10" i="9"/>
  <c r="I12" i="9"/>
  <c r="D159" i="9"/>
  <c r="H13" i="9"/>
  <c r="H10" i="9"/>
  <c r="H8" i="9"/>
  <c r="H15" i="9"/>
  <c r="H86" i="9"/>
  <c r="I86" i="9"/>
  <c r="AA56" i="9"/>
  <c r="Z56" i="9"/>
  <c r="H24" i="9"/>
  <c r="D44" i="9"/>
  <c r="V44" i="9"/>
  <c r="I43" i="9"/>
  <c r="H43" i="9"/>
  <c r="D87" i="9"/>
  <c r="U58" i="9"/>
  <c r="V57" i="9"/>
  <c r="H11" i="9"/>
  <c r="D25" i="9"/>
  <c r="H16" i="9"/>
  <c r="V72" i="9"/>
  <c r="I15" i="9"/>
  <c r="Z71" i="9"/>
  <c r="AA71" i="9"/>
  <c r="I14" i="9"/>
  <c r="I11" i="9"/>
  <c r="AA43" i="9"/>
  <c r="Z43" i="9"/>
  <c r="H57" i="9"/>
  <c r="I57" i="9"/>
  <c r="I16" i="9"/>
  <c r="V12" i="16"/>
  <c r="W12" i="16"/>
  <c r="X12" i="16" s="1"/>
  <c r="X11" i="16"/>
  <c r="I119" i="9"/>
  <c r="D120" i="9"/>
  <c r="H120" i="9" s="1"/>
  <c r="Y7" i="9"/>
  <c r="AA7" i="9" s="1"/>
  <c r="X7" i="9"/>
  <c r="Z7" i="9" s="1"/>
  <c r="V292" i="9" l="1"/>
  <c r="AA251" i="9" s="1"/>
  <c r="U25" i="16" s="1"/>
  <c r="Y292" i="9"/>
  <c r="AA292" i="9" s="1"/>
  <c r="AA293" i="9" s="1"/>
  <c r="W25" i="16" s="1"/>
  <c r="X25" i="16" s="1"/>
  <c r="X292" i="9"/>
  <c r="Z292" i="9" s="1"/>
  <c r="Z293" i="9" s="1"/>
  <c r="V25" i="16" s="1"/>
  <c r="H158" i="9"/>
  <c r="H192" i="9"/>
  <c r="I192" i="9"/>
  <c r="I181" i="9"/>
  <c r="H181" i="9"/>
  <c r="I203" i="9"/>
  <c r="H203" i="9"/>
  <c r="M159" i="9"/>
  <c r="D193" i="9"/>
  <c r="D182" i="9"/>
  <c r="D204" i="9"/>
  <c r="H169" i="9"/>
  <c r="I169" i="9"/>
  <c r="I242" i="9"/>
  <c r="H242" i="9"/>
  <c r="R201" i="9"/>
  <c r="Q201" i="9"/>
  <c r="H231" i="9"/>
  <c r="I231" i="9"/>
  <c r="D171" i="9"/>
  <c r="D170" i="9"/>
  <c r="D244" i="9"/>
  <c r="D243" i="9"/>
  <c r="D161" i="9"/>
  <c r="D160" i="9"/>
  <c r="M202" i="9"/>
  <c r="D232" i="9"/>
  <c r="Q158" i="9"/>
  <c r="R158" i="9"/>
  <c r="D60" i="9"/>
  <c r="D59" i="9"/>
  <c r="M45" i="9"/>
  <c r="Z25" i="9"/>
  <c r="AA25" i="9"/>
  <c r="V26" i="9"/>
  <c r="I58" i="9"/>
  <c r="H58" i="9"/>
  <c r="Q44" i="9"/>
  <c r="R44" i="9"/>
  <c r="H159" i="9"/>
  <c r="I159" i="9"/>
  <c r="AA72" i="9"/>
  <c r="Z72" i="9"/>
  <c r="D26" i="9"/>
  <c r="I87" i="9"/>
  <c r="H87" i="9"/>
  <c r="Z44" i="9"/>
  <c r="AA44" i="9"/>
  <c r="I25" i="9"/>
  <c r="H25" i="9"/>
  <c r="D45" i="9"/>
  <c r="V73" i="9"/>
  <c r="D88" i="9"/>
  <c r="V45" i="9"/>
  <c r="U59" i="9"/>
  <c r="V58" i="9"/>
  <c r="Z57" i="9"/>
  <c r="AA57" i="9"/>
  <c r="I44" i="9"/>
  <c r="H44" i="9"/>
  <c r="I120" i="9"/>
  <c r="D121" i="9"/>
  <c r="I243" i="9" l="1"/>
  <c r="H243" i="9"/>
  <c r="I193" i="9"/>
  <c r="H193" i="9"/>
  <c r="M204" i="9"/>
  <c r="M203" i="9"/>
  <c r="I244" i="9"/>
  <c r="H244" i="9"/>
  <c r="D205" i="9"/>
  <c r="D194" i="9"/>
  <c r="H232" i="9"/>
  <c r="I232" i="9"/>
  <c r="I160" i="9"/>
  <c r="H160" i="9"/>
  <c r="I170" i="9"/>
  <c r="H170" i="9"/>
  <c r="H182" i="9"/>
  <c r="I182" i="9"/>
  <c r="R159" i="9"/>
  <c r="Q159" i="9"/>
  <c r="Q202" i="9"/>
  <c r="R202" i="9"/>
  <c r="H204" i="9"/>
  <c r="I204" i="9"/>
  <c r="D234" i="9"/>
  <c r="D233" i="9"/>
  <c r="H161" i="9"/>
  <c r="I161" i="9"/>
  <c r="I171" i="9"/>
  <c r="H171" i="9"/>
  <c r="D183" i="9"/>
  <c r="M161" i="9"/>
  <c r="M160" i="9"/>
  <c r="R45" i="9"/>
  <c r="Q45" i="9"/>
  <c r="V46" i="9"/>
  <c r="V74" i="9"/>
  <c r="V28" i="9"/>
  <c r="V27" i="9"/>
  <c r="M47" i="9"/>
  <c r="M46" i="9"/>
  <c r="Z26" i="9"/>
  <c r="AA26" i="9"/>
  <c r="I59" i="9"/>
  <c r="H59" i="9"/>
  <c r="D89" i="9"/>
  <c r="I60" i="9"/>
  <c r="H60" i="9"/>
  <c r="H88" i="9"/>
  <c r="I88" i="9"/>
  <c r="I26" i="9"/>
  <c r="H26" i="9"/>
  <c r="D46" i="9"/>
  <c r="D27" i="9"/>
  <c r="AA58" i="9"/>
  <c r="Z58" i="9"/>
  <c r="U60" i="9"/>
  <c r="V59" i="9"/>
  <c r="Z45" i="9"/>
  <c r="AA45" i="9"/>
  <c r="AA73" i="9"/>
  <c r="Z73" i="9"/>
  <c r="I45" i="9"/>
  <c r="H45" i="9"/>
  <c r="H121" i="9"/>
  <c r="I121" i="9"/>
  <c r="D122" i="9"/>
  <c r="N254" i="9"/>
  <c r="W179" i="9"/>
  <c r="N179" i="9"/>
  <c r="E201" i="9"/>
  <c r="E190" i="9"/>
  <c r="E23" i="9"/>
  <c r="E156" i="9"/>
  <c r="E167" i="9"/>
  <c r="E42" i="9"/>
  <c r="E240" i="9"/>
  <c r="N7" i="9"/>
  <c r="W70" i="9"/>
  <c r="N42" i="9"/>
  <c r="E85" i="9"/>
  <c r="G85" i="9" s="1"/>
  <c r="E139" i="9"/>
  <c r="W42" i="9"/>
  <c r="V42" i="9" s="1"/>
  <c r="W23" i="9"/>
  <c r="E253" i="9"/>
  <c r="D253" i="9" s="1"/>
  <c r="W197" i="9"/>
  <c r="N189" i="9"/>
  <c r="N156" i="9"/>
  <c r="N87" i="9"/>
  <c r="W55" i="9"/>
  <c r="D98" i="9"/>
  <c r="I96" i="9" s="1"/>
  <c r="N139" i="9"/>
  <c r="E70" i="9"/>
  <c r="F70" i="9" s="1"/>
  <c r="N166" i="9"/>
  <c r="M166" i="9" s="1"/>
  <c r="R164" i="9" s="1"/>
  <c r="E56" i="9"/>
  <c r="N100" i="9"/>
  <c r="E229" i="9"/>
  <c r="N199" i="9"/>
  <c r="E179" i="9"/>
  <c r="N23" i="9"/>
  <c r="N70" i="9"/>
  <c r="E7" i="9"/>
  <c r="H98" i="9" l="1"/>
  <c r="H111" i="9" s="1"/>
  <c r="D206" i="9"/>
  <c r="H206" i="9" s="1"/>
  <c r="D207" i="9"/>
  <c r="R160" i="9"/>
  <c r="Q160" i="9"/>
  <c r="H233" i="9"/>
  <c r="I233" i="9"/>
  <c r="I194" i="9"/>
  <c r="H194" i="9"/>
  <c r="R161" i="9"/>
  <c r="Q161" i="9"/>
  <c r="I234" i="9"/>
  <c r="H234" i="9"/>
  <c r="D196" i="9"/>
  <c r="D195" i="9"/>
  <c r="I183" i="9"/>
  <c r="H183" i="9"/>
  <c r="I205" i="9"/>
  <c r="H205" i="9"/>
  <c r="R203" i="9"/>
  <c r="Q203" i="9"/>
  <c r="D185" i="9"/>
  <c r="D184" i="9"/>
  <c r="R204" i="9"/>
  <c r="Q204" i="9"/>
  <c r="H89" i="9"/>
  <c r="I89" i="9"/>
  <c r="D90" i="9"/>
  <c r="AA28" i="9"/>
  <c r="Z28" i="9"/>
  <c r="V47" i="9"/>
  <c r="Z46" i="9"/>
  <c r="AA46" i="9"/>
  <c r="R46" i="9"/>
  <c r="Q46" i="9"/>
  <c r="AA74" i="9"/>
  <c r="Z74" i="9"/>
  <c r="Z27" i="9"/>
  <c r="AA27" i="9"/>
  <c r="Q47" i="9"/>
  <c r="R47" i="9"/>
  <c r="V75" i="9"/>
  <c r="AA59" i="9"/>
  <c r="Z59" i="9"/>
  <c r="U61" i="9"/>
  <c r="V60" i="9"/>
  <c r="D28" i="9"/>
  <c r="H46" i="9"/>
  <c r="I46" i="9"/>
  <c r="H27" i="9"/>
  <c r="I27" i="9"/>
  <c r="D47" i="9"/>
  <c r="H122" i="9"/>
  <c r="I122" i="9"/>
  <c r="D123" i="9"/>
  <c r="N255" i="9"/>
  <c r="E71" i="9"/>
  <c r="F71" i="9" s="1"/>
  <c r="E254" i="9"/>
  <c r="M23" i="9"/>
  <c r="R21" i="9" s="1"/>
  <c r="O23" i="9"/>
  <c r="F240" i="9"/>
  <c r="G240" i="9"/>
  <c r="D240" i="9"/>
  <c r="I238" i="9" s="1"/>
  <c r="O70" i="9"/>
  <c r="P70" i="9"/>
  <c r="M70" i="9"/>
  <c r="R68" i="9" s="1"/>
  <c r="F179" i="9"/>
  <c r="G179" i="9"/>
  <c r="D179" i="9"/>
  <c r="G229" i="9"/>
  <c r="F229" i="9"/>
  <c r="D229" i="9"/>
  <c r="I227" i="9" s="1"/>
  <c r="O100" i="9"/>
  <c r="M100" i="9"/>
  <c r="R98" i="9" s="1"/>
  <c r="P100" i="9"/>
  <c r="F56" i="9"/>
  <c r="G56" i="9"/>
  <c r="D56" i="9"/>
  <c r="I54" i="9" s="1"/>
  <c r="O199" i="9"/>
  <c r="P199" i="9"/>
  <c r="M199" i="9"/>
  <c r="R197" i="9" s="1"/>
  <c r="O166" i="9"/>
  <c r="P166" i="9"/>
  <c r="M87" i="9"/>
  <c r="R85" i="9" s="1"/>
  <c r="P87" i="9"/>
  <c r="O87" i="9"/>
  <c r="F253" i="9"/>
  <c r="H253" i="9" s="1"/>
  <c r="G253" i="9"/>
  <c r="X23" i="9"/>
  <c r="Y23" i="9"/>
  <c r="V23" i="9"/>
  <c r="AA21" i="9" s="1"/>
  <c r="F85" i="9"/>
  <c r="D85" i="9"/>
  <c r="O42" i="9"/>
  <c r="P42" i="9"/>
  <c r="M42" i="9"/>
  <c r="R40" i="9" s="1"/>
  <c r="M7" i="9"/>
  <c r="R5" i="9" s="1"/>
  <c r="O7" i="9"/>
  <c r="F42" i="9"/>
  <c r="G42" i="9"/>
  <c r="D42" i="9"/>
  <c r="G156" i="9"/>
  <c r="F156" i="9"/>
  <c r="D156" i="9"/>
  <c r="I154" i="9" s="1"/>
  <c r="F23" i="9"/>
  <c r="D23" i="9"/>
  <c r="O179" i="9"/>
  <c r="P179" i="9"/>
  <c r="M179" i="9"/>
  <c r="R177" i="9" s="1"/>
  <c r="P254" i="9"/>
  <c r="O254" i="9"/>
  <c r="M254" i="9"/>
  <c r="P156" i="9"/>
  <c r="O156" i="9"/>
  <c r="M156" i="9"/>
  <c r="R154" i="9" s="1"/>
  <c r="P189" i="9"/>
  <c r="O189" i="9"/>
  <c r="M189" i="9"/>
  <c r="R187" i="9" s="1"/>
  <c r="Y70" i="9"/>
  <c r="X70" i="9"/>
  <c r="V70" i="9"/>
  <c r="G167" i="9"/>
  <c r="F167" i="9"/>
  <c r="D167" i="9"/>
  <c r="I165" i="9" s="1"/>
  <c r="Y179" i="9"/>
  <c r="V179" i="9"/>
  <c r="AA177" i="9" s="1"/>
  <c r="X179" i="9"/>
  <c r="O139" i="9"/>
  <c r="M139" i="9"/>
  <c r="R137" i="9" s="1"/>
  <c r="P139" i="9"/>
  <c r="X55" i="9"/>
  <c r="V55" i="9"/>
  <c r="Y197" i="9"/>
  <c r="V197" i="9"/>
  <c r="AA195" i="9" s="1"/>
  <c r="X197" i="9"/>
  <c r="F139" i="9"/>
  <c r="D139" i="9"/>
  <c r="I137" i="9" s="1"/>
  <c r="G139" i="9"/>
  <c r="G201" i="9"/>
  <c r="F201" i="9"/>
  <c r="D201" i="9"/>
  <c r="F7" i="9"/>
  <c r="D7" i="9"/>
  <c r="I5" i="9" s="1"/>
  <c r="G70" i="9"/>
  <c r="D70" i="9"/>
  <c r="X42" i="9"/>
  <c r="F190" i="9"/>
  <c r="G190" i="9"/>
  <c r="D190" i="9"/>
  <c r="I188" i="9" l="1"/>
  <c r="I199" i="9"/>
  <c r="I177" i="9"/>
  <c r="I123" i="9"/>
  <c r="I116" i="9"/>
  <c r="O7" i="16" s="1"/>
  <c r="O13" i="16" s="1"/>
  <c r="H139" i="9"/>
  <c r="H150" i="9" s="1"/>
  <c r="P26" i="16" s="1"/>
  <c r="H207" i="9"/>
  <c r="I207" i="9"/>
  <c r="I206" i="9"/>
  <c r="H196" i="9"/>
  <c r="I196" i="9"/>
  <c r="H184" i="9"/>
  <c r="I184" i="9"/>
  <c r="I195" i="9"/>
  <c r="H195" i="9"/>
  <c r="H185" i="9"/>
  <c r="I185" i="9"/>
  <c r="H90" i="9"/>
  <c r="I90" i="9"/>
  <c r="U62" i="9"/>
  <c r="V62" i="9" s="1"/>
  <c r="V61" i="9"/>
  <c r="V77" i="9"/>
  <c r="V76" i="9"/>
  <c r="V49" i="9"/>
  <c r="V48" i="9"/>
  <c r="D92" i="9"/>
  <c r="D91" i="9"/>
  <c r="Z75" i="9"/>
  <c r="AA75" i="9"/>
  <c r="Z47" i="9"/>
  <c r="AA47" i="9"/>
  <c r="D48" i="9"/>
  <c r="I47" i="9"/>
  <c r="H47" i="9"/>
  <c r="AA60" i="9"/>
  <c r="Z60" i="9"/>
  <c r="H28" i="9"/>
  <c r="I28" i="9"/>
  <c r="D29" i="9"/>
  <c r="H123" i="9"/>
  <c r="H124" i="9" s="1"/>
  <c r="P7" i="16" s="1"/>
  <c r="P13" i="16" s="1"/>
  <c r="I124" i="9"/>
  <c r="Q7" i="16" s="1"/>
  <c r="Q13" i="16" s="1"/>
  <c r="D254" i="9"/>
  <c r="F254" i="9"/>
  <c r="D71" i="9"/>
  <c r="H71" i="9" s="1"/>
  <c r="G71" i="9"/>
  <c r="E255" i="9"/>
  <c r="E72" i="9"/>
  <c r="N256" i="9"/>
  <c r="G254" i="9"/>
  <c r="O21" i="16"/>
  <c r="M255" i="9"/>
  <c r="O255" i="9"/>
  <c r="P255" i="9"/>
  <c r="R139" i="9"/>
  <c r="I201" i="9"/>
  <c r="R156" i="9"/>
  <c r="Q254" i="9"/>
  <c r="AA23" i="9"/>
  <c r="Z161" i="9"/>
  <c r="Q100" i="9"/>
  <c r="R70" i="9"/>
  <c r="I240" i="9"/>
  <c r="I246" i="9" s="1"/>
  <c r="Q199" i="9"/>
  <c r="Q206" i="9" s="1"/>
  <c r="Z179" i="9"/>
  <c r="R254" i="9"/>
  <c r="H23" i="9"/>
  <c r="R87" i="9"/>
  <c r="R96" i="9" s="1"/>
  <c r="H229" i="9"/>
  <c r="H240" i="9"/>
  <c r="H246" i="9" s="1"/>
  <c r="Q23" i="9"/>
  <c r="I42" i="9"/>
  <c r="AA161" i="9"/>
  <c r="R166" i="9"/>
  <c r="H190" i="9"/>
  <c r="I190" i="9"/>
  <c r="R100" i="9"/>
  <c r="AA179" i="9"/>
  <c r="Q156" i="9"/>
  <c r="H70" i="9"/>
  <c r="I139" i="9"/>
  <c r="I150" i="9" s="1"/>
  <c r="Z70" i="9"/>
  <c r="I85" i="9"/>
  <c r="H7" i="9"/>
  <c r="H19" i="9" s="1"/>
  <c r="H85" i="9"/>
  <c r="AA70" i="9"/>
  <c r="Q7" i="9"/>
  <c r="Q19" i="9" s="1"/>
  <c r="H167" i="9"/>
  <c r="Q189" i="9"/>
  <c r="R42" i="9"/>
  <c r="R49" i="9" s="1"/>
  <c r="I56" i="9"/>
  <c r="I179" i="9"/>
  <c r="Q139" i="9"/>
  <c r="I167" i="9"/>
  <c r="R189" i="9"/>
  <c r="R179" i="9"/>
  <c r="I156" i="9"/>
  <c r="I163" i="9" s="1"/>
  <c r="Z23" i="9"/>
  <c r="I98" i="9"/>
  <c r="I111" i="9" s="1"/>
  <c r="H56" i="9"/>
  <c r="H179" i="9"/>
  <c r="Q42" i="9"/>
  <c r="Q49" i="9" s="1"/>
  <c r="AA197" i="9"/>
  <c r="AA202" i="9" s="1"/>
  <c r="Z42" i="9"/>
  <c r="I70" i="9"/>
  <c r="H201" i="9"/>
  <c r="Z197" i="9"/>
  <c r="Z202" i="9" s="1"/>
  <c r="Z55" i="9"/>
  <c r="Q179" i="9"/>
  <c r="H156" i="9"/>
  <c r="H163" i="9" s="1"/>
  <c r="H42" i="9"/>
  <c r="I253" i="9"/>
  <c r="Q87" i="9"/>
  <c r="Q96" i="9" s="1"/>
  <c r="Q166" i="9"/>
  <c r="R199" i="9"/>
  <c r="R206" i="9" s="1"/>
  <c r="I229" i="9"/>
  <c r="Q70" i="9"/>
  <c r="Q83" i="9" s="1"/>
  <c r="L21" i="8"/>
  <c r="Y42" i="9" s="1"/>
  <c r="AA42" i="9" s="1"/>
  <c r="I21" i="8"/>
  <c r="Y55" i="9" s="1"/>
  <c r="AA55" i="9" s="1"/>
  <c r="O6" i="8"/>
  <c r="P9" i="9" s="1"/>
  <c r="R9" i="9" s="1"/>
  <c r="C6" i="8"/>
  <c r="G9" i="9" s="1"/>
  <c r="I9" i="9" s="1"/>
  <c r="R5" i="8"/>
  <c r="P24" i="9" s="1"/>
  <c r="R24" i="9" s="1"/>
  <c r="I5" i="8"/>
  <c r="G24" i="9" s="1"/>
  <c r="I24" i="9" s="1"/>
  <c r="O5" i="8"/>
  <c r="P8" i="9" s="1"/>
  <c r="R8" i="9" s="1"/>
  <c r="C5" i="8"/>
  <c r="G8" i="9" s="1"/>
  <c r="I8" i="9" s="1"/>
  <c r="R4" i="8"/>
  <c r="P23" i="9" s="1"/>
  <c r="R23" i="9" s="1"/>
  <c r="I4" i="8"/>
  <c r="G23" i="9" s="1"/>
  <c r="I23" i="9" s="1"/>
  <c r="O4" i="8"/>
  <c r="P7" i="9" s="1"/>
  <c r="R7" i="9" s="1"/>
  <c r="G7" i="9"/>
  <c r="I7" i="9" s="1"/>
  <c r="AA40" i="9" l="1"/>
  <c r="I83" i="9"/>
  <c r="AA68" i="9"/>
  <c r="AA53" i="9"/>
  <c r="H208" i="9"/>
  <c r="I208" i="9"/>
  <c r="R19" i="9"/>
  <c r="E8" i="16" s="1"/>
  <c r="I19" i="9"/>
  <c r="Z61" i="9"/>
  <c r="AA61" i="9"/>
  <c r="Z49" i="9"/>
  <c r="AA49" i="9"/>
  <c r="Z62" i="9"/>
  <c r="AA62" i="9"/>
  <c r="H91" i="9"/>
  <c r="I91" i="9"/>
  <c r="Z76" i="9"/>
  <c r="AA76" i="9"/>
  <c r="AA48" i="9"/>
  <c r="Z48" i="9"/>
  <c r="I92" i="9"/>
  <c r="H92" i="9"/>
  <c r="AA77" i="9"/>
  <c r="Z77" i="9"/>
  <c r="I29" i="9"/>
  <c r="H29" i="9"/>
  <c r="H48" i="9"/>
  <c r="I48" i="9"/>
  <c r="D30" i="9"/>
  <c r="D49" i="9"/>
  <c r="Q169" i="9"/>
  <c r="R169" i="9"/>
  <c r="R7" i="16"/>
  <c r="H254" i="9"/>
  <c r="I254" i="9"/>
  <c r="F255" i="9"/>
  <c r="G255" i="9"/>
  <c r="E256" i="9"/>
  <c r="E73" i="9"/>
  <c r="F73" i="9" s="1"/>
  <c r="I71" i="9"/>
  <c r="N257" i="9"/>
  <c r="Q21" i="16"/>
  <c r="R21" i="16" s="1"/>
  <c r="P21" i="16"/>
  <c r="O20" i="16"/>
  <c r="Q255" i="9"/>
  <c r="R255" i="9"/>
  <c r="D255" i="9"/>
  <c r="F72" i="9"/>
  <c r="G72" i="9"/>
  <c r="D72" i="9"/>
  <c r="O256" i="9"/>
  <c r="P256" i="9"/>
  <c r="M256" i="9"/>
  <c r="H94" i="9" l="1"/>
  <c r="I94" i="9"/>
  <c r="Z63" i="9"/>
  <c r="D51" i="9"/>
  <c r="D50" i="9"/>
  <c r="H30" i="9"/>
  <c r="I30" i="9"/>
  <c r="I49" i="9"/>
  <c r="H49" i="9"/>
  <c r="D31" i="9"/>
  <c r="F256" i="9"/>
  <c r="G256" i="9"/>
  <c r="I255" i="9"/>
  <c r="H255" i="9"/>
  <c r="Q195" i="9"/>
  <c r="R195" i="9"/>
  <c r="E257" i="9"/>
  <c r="E74" i="9"/>
  <c r="E75" i="9"/>
  <c r="N258" i="9"/>
  <c r="E258" i="9"/>
  <c r="P20" i="16"/>
  <c r="U9" i="16"/>
  <c r="Q20" i="16"/>
  <c r="R20" i="16" s="1"/>
  <c r="I25" i="16"/>
  <c r="I8" i="16"/>
  <c r="I24" i="16"/>
  <c r="C25" i="16"/>
  <c r="I26" i="16"/>
  <c r="D256" i="9"/>
  <c r="Z183" i="9"/>
  <c r="AA96" i="9"/>
  <c r="Z96" i="9"/>
  <c r="R256" i="9"/>
  <c r="AA183" i="9"/>
  <c r="Q256" i="9"/>
  <c r="D73" i="9"/>
  <c r="H73" i="9" s="1"/>
  <c r="G73" i="9"/>
  <c r="I72" i="9"/>
  <c r="H72" i="9"/>
  <c r="P257" i="9"/>
  <c r="M257" i="9"/>
  <c r="O257" i="9"/>
  <c r="I40" i="9" l="1"/>
  <c r="I50" i="9"/>
  <c r="H50" i="9"/>
  <c r="I51" i="9"/>
  <c r="H51" i="9"/>
  <c r="I31" i="9"/>
  <c r="H31" i="9"/>
  <c r="D33" i="9"/>
  <c r="D32" i="9"/>
  <c r="Q145" i="9"/>
  <c r="F257" i="9"/>
  <c r="G257" i="9"/>
  <c r="F258" i="9"/>
  <c r="G258" i="9"/>
  <c r="I256" i="9"/>
  <c r="H256" i="9"/>
  <c r="N259" i="9"/>
  <c r="E259" i="9"/>
  <c r="E76" i="9"/>
  <c r="K26" i="16"/>
  <c r="L26" i="16" s="1"/>
  <c r="E25" i="16"/>
  <c r="F25" i="16" s="1"/>
  <c r="J24" i="16"/>
  <c r="I11" i="16"/>
  <c r="O19" i="16"/>
  <c r="V9" i="16"/>
  <c r="J25" i="16"/>
  <c r="K25" i="16"/>
  <c r="L25" i="16" s="1"/>
  <c r="J8" i="16"/>
  <c r="K24" i="16"/>
  <c r="L24" i="16" s="1"/>
  <c r="W9" i="16"/>
  <c r="X9" i="16" s="1"/>
  <c r="J26" i="16"/>
  <c r="U10" i="16"/>
  <c r="U8" i="16"/>
  <c r="O25" i="16"/>
  <c r="K8" i="16"/>
  <c r="L8" i="16" s="1"/>
  <c r="D25" i="16"/>
  <c r="R145" i="9"/>
  <c r="R234" i="9"/>
  <c r="Q234" i="9"/>
  <c r="I61" i="9"/>
  <c r="H61" i="9"/>
  <c r="Q257" i="9"/>
  <c r="H236" i="9"/>
  <c r="V7" i="16" s="1"/>
  <c r="R257" i="9"/>
  <c r="I172" i="9"/>
  <c r="H172" i="9"/>
  <c r="I73" i="9"/>
  <c r="G74" i="9"/>
  <c r="F74" i="9"/>
  <c r="D74" i="9"/>
  <c r="D257" i="9"/>
  <c r="P258" i="9"/>
  <c r="M258" i="9"/>
  <c r="O258" i="9"/>
  <c r="I236" i="9"/>
  <c r="D258" i="9"/>
  <c r="I21" i="9" l="1"/>
  <c r="I33" i="9"/>
  <c r="H33" i="9"/>
  <c r="I32" i="9"/>
  <c r="H32" i="9"/>
  <c r="R185" i="9"/>
  <c r="Q185" i="9"/>
  <c r="W10" i="16"/>
  <c r="X10" i="16" s="1"/>
  <c r="F259" i="9"/>
  <c r="G259" i="9"/>
  <c r="I258" i="9"/>
  <c r="H258" i="9"/>
  <c r="I257" i="9"/>
  <c r="H257" i="9"/>
  <c r="E77" i="9"/>
  <c r="E260" i="9"/>
  <c r="N260" i="9"/>
  <c r="P25" i="16"/>
  <c r="V8" i="16"/>
  <c r="I22" i="16"/>
  <c r="U7" i="16"/>
  <c r="U14" i="16" s="1"/>
  <c r="C9" i="16"/>
  <c r="I20" i="16"/>
  <c r="K19" i="16"/>
  <c r="L19" i="16" s="1"/>
  <c r="J11" i="16"/>
  <c r="C12" i="16"/>
  <c r="O18" i="16"/>
  <c r="I18" i="16"/>
  <c r="I23" i="16"/>
  <c r="W7" i="16"/>
  <c r="Q19" i="16"/>
  <c r="R19" i="16" s="1"/>
  <c r="K11" i="16"/>
  <c r="L11" i="16" s="1"/>
  <c r="Q25" i="16"/>
  <c r="R25" i="16" s="1"/>
  <c r="I17" i="16"/>
  <c r="O17" i="16"/>
  <c r="I19" i="16"/>
  <c r="P19" i="16"/>
  <c r="W8" i="16"/>
  <c r="X8" i="16" s="1"/>
  <c r="V10" i="16"/>
  <c r="R162" i="9"/>
  <c r="Q162" i="9"/>
  <c r="H197" i="9"/>
  <c r="R258" i="9"/>
  <c r="AA13" i="9"/>
  <c r="I186" i="9"/>
  <c r="AA29" i="9"/>
  <c r="Z13" i="9"/>
  <c r="Z29" i="9"/>
  <c r="I197" i="9"/>
  <c r="H186" i="9"/>
  <c r="Q258" i="9"/>
  <c r="I74" i="9"/>
  <c r="M259" i="9"/>
  <c r="O259" i="9"/>
  <c r="P259" i="9"/>
  <c r="G76" i="9"/>
  <c r="F76" i="9"/>
  <c r="D76" i="9"/>
  <c r="D259" i="9"/>
  <c r="F75" i="9"/>
  <c r="G75" i="9"/>
  <c r="D75" i="9"/>
  <c r="H74" i="9"/>
  <c r="V14" i="16" l="1"/>
  <c r="W14" i="16"/>
  <c r="F260" i="9"/>
  <c r="G260" i="9"/>
  <c r="I259" i="9"/>
  <c r="H259" i="9"/>
  <c r="X7" i="16"/>
  <c r="O22" i="16"/>
  <c r="E261" i="9"/>
  <c r="N261" i="9"/>
  <c r="E78" i="9"/>
  <c r="J23" i="16"/>
  <c r="D12" i="16"/>
  <c r="K17" i="16"/>
  <c r="L17" i="16" s="1"/>
  <c r="J22" i="16"/>
  <c r="P17" i="16"/>
  <c r="J17" i="16"/>
  <c r="P18" i="16"/>
  <c r="K18" i="16"/>
  <c r="L18" i="16" s="1"/>
  <c r="D9" i="16"/>
  <c r="J19" i="16"/>
  <c r="K23" i="16"/>
  <c r="L23" i="16" s="1"/>
  <c r="C24" i="16"/>
  <c r="C20" i="16"/>
  <c r="Q17" i="16"/>
  <c r="R17" i="16" s="1"/>
  <c r="J20" i="16"/>
  <c r="E9" i="16"/>
  <c r="F9" i="16" s="1"/>
  <c r="C22" i="16"/>
  <c r="K22" i="16"/>
  <c r="L22" i="16" s="1"/>
  <c r="K20" i="16"/>
  <c r="L20" i="16" s="1"/>
  <c r="E12" i="16"/>
  <c r="F12" i="16" s="1"/>
  <c r="J18" i="16"/>
  <c r="Q18" i="16"/>
  <c r="R18" i="16" s="1"/>
  <c r="Q108" i="9"/>
  <c r="Q259" i="9"/>
  <c r="R259" i="9"/>
  <c r="R108" i="9"/>
  <c r="H76" i="9"/>
  <c r="I76" i="9"/>
  <c r="D260" i="9"/>
  <c r="G77" i="9"/>
  <c r="F77" i="9"/>
  <c r="D77" i="9"/>
  <c r="M260" i="9"/>
  <c r="O260" i="9"/>
  <c r="P260" i="9"/>
  <c r="I75" i="9"/>
  <c r="H75" i="9"/>
  <c r="X14" i="16" l="1"/>
  <c r="F261" i="9"/>
  <c r="G261" i="9"/>
  <c r="I260" i="9"/>
  <c r="H260" i="9"/>
  <c r="E262" i="9"/>
  <c r="N262" i="9"/>
  <c r="E79" i="9"/>
  <c r="E24" i="16"/>
  <c r="F24" i="16" s="1"/>
  <c r="D20" i="16"/>
  <c r="E22" i="16"/>
  <c r="F22" i="16" s="1"/>
  <c r="C21" i="16"/>
  <c r="D22" i="16"/>
  <c r="P22" i="16"/>
  <c r="I10" i="16"/>
  <c r="E20" i="16"/>
  <c r="F20" i="16" s="1"/>
  <c r="I9" i="16"/>
  <c r="D24" i="16"/>
  <c r="Q22" i="16"/>
  <c r="Z51" i="9"/>
  <c r="Q260" i="9"/>
  <c r="AA51" i="9"/>
  <c r="Z78" i="9"/>
  <c r="I77" i="9"/>
  <c r="AA78" i="9"/>
  <c r="AA63" i="9"/>
  <c r="H77" i="9"/>
  <c r="R260" i="9"/>
  <c r="D261" i="9"/>
  <c r="O261" i="9"/>
  <c r="M261" i="9"/>
  <c r="P261" i="9"/>
  <c r="F78" i="9"/>
  <c r="D78" i="9"/>
  <c r="G78" i="9"/>
  <c r="F262" i="9" l="1"/>
  <c r="G262" i="9"/>
  <c r="I261" i="9"/>
  <c r="H261" i="9"/>
  <c r="R22" i="16"/>
  <c r="N263" i="9"/>
  <c r="E263" i="9"/>
  <c r="E80" i="9"/>
  <c r="J9" i="16"/>
  <c r="J10" i="16"/>
  <c r="K9" i="16"/>
  <c r="L9" i="16" s="1"/>
  <c r="D21" i="16"/>
  <c r="E21" i="16"/>
  <c r="F21" i="16" s="1"/>
  <c r="K10" i="16"/>
  <c r="L10" i="16" s="1"/>
  <c r="H78" i="9"/>
  <c r="R83" i="9"/>
  <c r="R261" i="9"/>
  <c r="Q261" i="9"/>
  <c r="I78" i="9"/>
  <c r="D262" i="9"/>
  <c r="M262" i="9"/>
  <c r="O262" i="9"/>
  <c r="P262" i="9"/>
  <c r="G79" i="9"/>
  <c r="F79" i="9"/>
  <c r="D79" i="9"/>
  <c r="F263" i="9" l="1"/>
  <c r="G263" i="9"/>
  <c r="I262" i="9"/>
  <c r="H262" i="9"/>
  <c r="E264" i="9"/>
  <c r="N264" i="9"/>
  <c r="O26" i="16"/>
  <c r="O27" i="16" s="1"/>
  <c r="I52" i="9"/>
  <c r="I79" i="9"/>
  <c r="Q262" i="9"/>
  <c r="H79" i="9"/>
  <c r="R262" i="9"/>
  <c r="D263" i="9"/>
  <c r="O263" i="9"/>
  <c r="M263" i="9"/>
  <c r="P263" i="9"/>
  <c r="F80" i="9"/>
  <c r="G80" i="9"/>
  <c r="D80" i="9"/>
  <c r="I68" i="9" s="1"/>
  <c r="H52" i="9" l="1"/>
  <c r="F264" i="9"/>
  <c r="G264" i="9"/>
  <c r="I263" i="9"/>
  <c r="H263" i="9"/>
  <c r="C11" i="16"/>
  <c r="N265" i="9"/>
  <c r="E265" i="9"/>
  <c r="C17" i="16"/>
  <c r="C19" i="16"/>
  <c r="I7" i="16"/>
  <c r="I13" i="16" s="1"/>
  <c r="P27" i="16"/>
  <c r="K7" i="16"/>
  <c r="K13" i="16" s="1"/>
  <c r="Q26" i="16"/>
  <c r="R26" i="16" s="1"/>
  <c r="I80" i="9"/>
  <c r="I81" i="9" s="1"/>
  <c r="H80" i="9"/>
  <c r="Q263" i="9"/>
  <c r="R263" i="9"/>
  <c r="O264" i="9"/>
  <c r="M264" i="9"/>
  <c r="P264" i="9"/>
  <c r="D264" i="9"/>
  <c r="L13" i="16" l="1"/>
  <c r="Q35" i="9"/>
  <c r="R35" i="9"/>
  <c r="H35" i="9"/>
  <c r="D10" i="16" s="1"/>
  <c r="H81" i="9"/>
  <c r="D17" i="16" s="1"/>
  <c r="F265" i="9"/>
  <c r="G265" i="9"/>
  <c r="I264" i="9"/>
  <c r="H264" i="9"/>
  <c r="L7" i="16"/>
  <c r="N266" i="9"/>
  <c r="E266" i="9"/>
  <c r="C10" i="16"/>
  <c r="E17" i="16"/>
  <c r="C18" i="16"/>
  <c r="J7" i="16"/>
  <c r="J13" i="16" s="1"/>
  <c r="C8" i="16"/>
  <c r="D19" i="16"/>
  <c r="Q27" i="16"/>
  <c r="R27" i="16" s="1"/>
  <c r="C7" i="16"/>
  <c r="E19" i="16"/>
  <c r="F19" i="16" s="1"/>
  <c r="R264" i="9"/>
  <c r="Q264" i="9"/>
  <c r="I35" i="9"/>
  <c r="M265" i="9"/>
  <c r="O265" i="9"/>
  <c r="P265" i="9"/>
  <c r="D265" i="9"/>
  <c r="F17" i="16" l="1"/>
  <c r="F266" i="9"/>
  <c r="G266" i="9"/>
  <c r="I265" i="9"/>
  <c r="H265" i="9"/>
  <c r="E267" i="9"/>
  <c r="N267" i="9"/>
  <c r="D11" i="16"/>
  <c r="E10" i="16"/>
  <c r="F10" i="16" s="1"/>
  <c r="E7" i="16"/>
  <c r="E18" i="16"/>
  <c r="F18" i="16" s="1"/>
  <c r="C13" i="16"/>
  <c r="D7" i="16"/>
  <c r="E11" i="16"/>
  <c r="F11" i="16" s="1"/>
  <c r="D18" i="16"/>
  <c r="D8" i="16"/>
  <c r="F8" i="16"/>
  <c r="R265" i="9"/>
  <c r="Q265" i="9"/>
  <c r="O266" i="9"/>
  <c r="P266" i="9"/>
  <c r="M266" i="9"/>
  <c r="D266" i="9"/>
  <c r="F7" i="16" l="1"/>
  <c r="E13" i="16"/>
  <c r="D13" i="16"/>
  <c r="F267" i="9"/>
  <c r="G267" i="9"/>
  <c r="I266" i="9"/>
  <c r="H266" i="9"/>
  <c r="N268" i="9"/>
  <c r="E268" i="9"/>
  <c r="R266" i="9"/>
  <c r="Q266" i="9"/>
  <c r="M267" i="9"/>
  <c r="O267" i="9"/>
  <c r="P267" i="9"/>
  <c r="D267" i="9"/>
  <c r="F13" i="16" l="1"/>
  <c r="F268" i="9"/>
  <c r="G268" i="9"/>
  <c r="I267" i="9"/>
  <c r="H267" i="9"/>
  <c r="E269" i="9"/>
  <c r="N269" i="9"/>
  <c r="R267" i="9"/>
  <c r="Q267" i="9"/>
  <c r="D268" i="9"/>
  <c r="M268" i="9"/>
  <c r="O268" i="9"/>
  <c r="P268" i="9"/>
  <c r="F269" i="9" l="1"/>
  <c r="G269" i="9"/>
  <c r="I268" i="9"/>
  <c r="H268" i="9"/>
  <c r="E270" i="9"/>
  <c r="N270" i="9"/>
  <c r="R268" i="9"/>
  <c r="Q268" i="9"/>
  <c r="D269" i="9"/>
  <c r="O269" i="9"/>
  <c r="M269" i="9"/>
  <c r="P269" i="9"/>
  <c r="F270" i="9" l="1"/>
  <c r="G270" i="9"/>
  <c r="I269" i="9"/>
  <c r="H269" i="9"/>
  <c r="E271" i="9"/>
  <c r="N271" i="9"/>
  <c r="R269" i="9"/>
  <c r="Q269" i="9"/>
  <c r="P270" i="9"/>
  <c r="O270" i="9"/>
  <c r="M270" i="9"/>
  <c r="D270" i="9"/>
  <c r="F271" i="9" l="1"/>
  <c r="G271" i="9"/>
  <c r="I270" i="9"/>
  <c r="H270" i="9"/>
  <c r="E272" i="9"/>
  <c r="N272" i="9"/>
  <c r="Q270" i="9"/>
  <c r="R270" i="9"/>
  <c r="D271" i="9"/>
  <c r="O271" i="9"/>
  <c r="P271" i="9"/>
  <c r="M271" i="9"/>
  <c r="F272" i="9" l="1"/>
  <c r="G272" i="9"/>
  <c r="I271" i="9"/>
  <c r="H271" i="9"/>
  <c r="E273" i="9"/>
  <c r="N273" i="9"/>
  <c r="R271" i="9"/>
  <c r="Q271" i="9"/>
  <c r="D272" i="9"/>
  <c r="P272" i="9"/>
  <c r="M272" i="9"/>
  <c r="O272" i="9"/>
  <c r="F273" i="9" l="1"/>
  <c r="G273" i="9"/>
  <c r="I272" i="9"/>
  <c r="H272" i="9"/>
  <c r="N274" i="9"/>
  <c r="E274" i="9"/>
  <c r="R272" i="9"/>
  <c r="Q272" i="9"/>
  <c r="O273" i="9"/>
  <c r="M273" i="9"/>
  <c r="P273" i="9"/>
  <c r="D273" i="9"/>
  <c r="F274" i="9" l="1"/>
  <c r="G274" i="9"/>
  <c r="I273" i="9"/>
  <c r="H273" i="9"/>
  <c r="N275" i="9"/>
  <c r="E275" i="9"/>
  <c r="R273" i="9"/>
  <c r="Q273" i="9"/>
  <c r="D274" i="9"/>
  <c r="O274" i="9"/>
  <c r="P274" i="9"/>
  <c r="M274" i="9"/>
  <c r="F275" i="9" l="1"/>
  <c r="G275" i="9"/>
  <c r="I274" i="9"/>
  <c r="H274" i="9"/>
  <c r="E276" i="9"/>
  <c r="N276" i="9"/>
  <c r="R274" i="9"/>
  <c r="Q274" i="9"/>
  <c r="D275" i="9"/>
  <c r="M275" i="9"/>
  <c r="O275" i="9"/>
  <c r="P275" i="9"/>
  <c r="F276" i="9" l="1"/>
  <c r="G276" i="9"/>
  <c r="I275" i="9"/>
  <c r="H275" i="9"/>
  <c r="E277" i="9"/>
  <c r="N277" i="9"/>
  <c r="R275" i="9"/>
  <c r="Q275" i="9"/>
  <c r="D276" i="9"/>
  <c r="O276" i="9"/>
  <c r="P276" i="9"/>
  <c r="M276" i="9"/>
  <c r="F277" i="9" l="1"/>
  <c r="G277" i="9"/>
  <c r="I276" i="9"/>
  <c r="H276" i="9"/>
  <c r="E278" i="9"/>
  <c r="N278" i="9"/>
  <c r="R276" i="9"/>
  <c r="Q276" i="9"/>
  <c r="D277" i="9"/>
  <c r="M277" i="9"/>
  <c r="O277" i="9"/>
  <c r="P277" i="9"/>
  <c r="F278" i="9" l="1"/>
  <c r="G278" i="9"/>
  <c r="I277" i="9"/>
  <c r="H277" i="9"/>
  <c r="E279" i="9"/>
  <c r="N279" i="9"/>
  <c r="Q277" i="9"/>
  <c r="R277" i="9"/>
  <c r="O278" i="9"/>
  <c r="P278" i="9"/>
  <c r="M278" i="9"/>
  <c r="D278" i="9"/>
  <c r="F279" i="9" l="1"/>
  <c r="G279" i="9"/>
  <c r="I278" i="9"/>
  <c r="H278" i="9"/>
  <c r="E280" i="9"/>
  <c r="N280" i="9"/>
  <c r="R278" i="9"/>
  <c r="Q278" i="9"/>
  <c r="P279" i="9"/>
  <c r="O279" i="9"/>
  <c r="M279" i="9"/>
  <c r="D279" i="9"/>
  <c r="F280" i="9" l="1"/>
  <c r="G280" i="9"/>
  <c r="I279" i="9"/>
  <c r="H279" i="9"/>
  <c r="N281" i="9"/>
  <c r="E281" i="9"/>
  <c r="Q279" i="9"/>
  <c r="R279" i="9"/>
  <c r="D280" i="9"/>
  <c r="O280" i="9"/>
  <c r="P280" i="9"/>
  <c r="M280" i="9"/>
  <c r="F281" i="9" l="1"/>
  <c r="G281" i="9"/>
  <c r="I280" i="9"/>
  <c r="H280" i="9"/>
  <c r="E282" i="9"/>
  <c r="N282" i="9"/>
  <c r="R280" i="9"/>
  <c r="Q280" i="9"/>
  <c r="O281" i="9"/>
  <c r="P281" i="9"/>
  <c r="M281" i="9"/>
  <c r="D281" i="9"/>
  <c r="F282" i="9" l="1"/>
  <c r="G282" i="9"/>
  <c r="I281" i="9"/>
  <c r="H281" i="9"/>
  <c r="E283" i="9"/>
  <c r="G283" i="9" s="1"/>
  <c r="N283" i="9"/>
  <c r="Q281" i="9"/>
  <c r="R281" i="9"/>
  <c r="D282" i="9"/>
  <c r="M282" i="9"/>
  <c r="O282" i="9"/>
  <c r="P282" i="9"/>
  <c r="H282" i="9" l="1"/>
  <c r="I282" i="9"/>
  <c r="N284" i="9"/>
  <c r="E284" i="9"/>
  <c r="R282" i="9"/>
  <c r="Q282" i="9"/>
  <c r="F283" i="9"/>
  <c r="D283" i="9"/>
  <c r="I283" i="9" s="1"/>
  <c r="O283" i="9"/>
  <c r="P283" i="9"/>
  <c r="M283" i="9"/>
  <c r="H283" i="9" l="1"/>
  <c r="E285" i="9"/>
  <c r="N285" i="9"/>
  <c r="Q283" i="9"/>
  <c r="R283" i="9"/>
  <c r="M284" i="9"/>
  <c r="P284" i="9"/>
  <c r="O284" i="9"/>
  <c r="F284" i="9"/>
  <c r="G284" i="9"/>
  <c r="D284" i="9"/>
  <c r="H284" i="9" l="1"/>
  <c r="E286" i="9"/>
  <c r="N286" i="9"/>
  <c r="R284" i="9"/>
  <c r="Q284" i="9"/>
  <c r="I284" i="9"/>
  <c r="G285" i="9"/>
  <c r="F285" i="9"/>
  <c r="D285" i="9"/>
  <c r="O285" i="9"/>
  <c r="M285" i="9"/>
  <c r="P285" i="9"/>
  <c r="H285" i="9" l="1"/>
  <c r="E287" i="9"/>
  <c r="N287" i="9"/>
  <c r="R285" i="9"/>
  <c r="I285" i="9"/>
  <c r="Q285" i="9"/>
  <c r="G286" i="9"/>
  <c r="F286" i="9"/>
  <c r="D286" i="9"/>
  <c r="M286" i="9"/>
  <c r="O286" i="9"/>
  <c r="P286" i="9"/>
  <c r="H286" i="9" l="1"/>
  <c r="E288" i="9"/>
  <c r="N288" i="9"/>
  <c r="Q286" i="9"/>
  <c r="R286" i="9"/>
  <c r="I286" i="9"/>
  <c r="F287" i="9"/>
  <c r="G287" i="9"/>
  <c r="D287" i="9"/>
  <c r="M287" i="9"/>
  <c r="P287" i="9"/>
  <c r="O287" i="9"/>
  <c r="H287" i="9" l="1"/>
  <c r="E289" i="9"/>
  <c r="N289" i="9"/>
  <c r="Q287" i="9"/>
  <c r="R287" i="9"/>
  <c r="I287" i="9"/>
  <c r="M288" i="9"/>
  <c r="O288" i="9"/>
  <c r="P288" i="9"/>
  <c r="G288" i="9"/>
  <c r="F288" i="9"/>
  <c r="D288" i="9"/>
  <c r="H288" i="9" l="1"/>
  <c r="N290" i="9"/>
  <c r="E290" i="9"/>
  <c r="Q288" i="9"/>
  <c r="I288" i="9"/>
  <c r="R288" i="9"/>
  <c r="F289" i="9"/>
  <c r="G289" i="9"/>
  <c r="D289" i="9"/>
  <c r="O289" i="9"/>
  <c r="M289" i="9"/>
  <c r="P289" i="9"/>
  <c r="H289" i="9" l="1"/>
  <c r="N291" i="9"/>
  <c r="E291" i="9"/>
  <c r="I289" i="9"/>
  <c r="R289" i="9"/>
  <c r="Q289" i="9"/>
  <c r="G290" i="9"/>
  <c r="F290" i="9"/>
  <c r="D290" i="9"/>
  <c r="M290" i="9"/>
  <c r="O290" i="9"/>
  <c r="P290" i="9"/>
  <c r="H290" i="9" l="1"/>
  <c r="E292" i="9"/>
  <c r="N292" i="9"/>
  <c r="R290" i="9"/>
  <c r="Q290" i="9"/>
  <c r="I290" i="9"/>
  <c r="P291" i="9"/>
  <c r="O291" i="9"/>
  <c r="M291" i="9"/>
  <c r="F291" i="9"/>
  <c r="G291" i="9"/>
  <c r="D291" i="9"/>
  <c r="H291" i="9" l="1"/>
  <c r="Q291" i="9"/>
  <c r="I291" i="9"/>
  <c r="R291" i="9"/>
  <c r="G292" i="9"/>
  <c r="F292" i="9"/>
  <c r="D292" i="9"/>
  <c r="I251" i="9" s="1"/>
  <c r="P292" i="9"/>
  <c r="M292" i="9"/>
  <c r="R251" i="9" s="1"/>
  <c r="O292" i="9"/>
  <c r="H292" i="9" l="1"/>
  <c r="H293" i="9" s="1"/>
  <c r="U24" i="16"/>
  <c r="U23" i="16"/>
  <c r="R292" i="9"/>
  <c r="R293" i="9" s="1"/>
  <c r="Q292" i="9"/>
  <c r="Q293" i="9" s="1"/>
  <c r="I292" i="9"/>
  <c r="I293" i="9" s="1"/>
  <c r="U26" i="16" l="1"/>
  <c r="V24" i="16"/>
  <c r="W24" i="16"/>
  <c r="X24" i="16" s="1"/>
  <c r="W23" i="16"/>
  <c r="V23" i="16"/>
  <c r="X23" i="16" l="1"/>
  <c r="W26" i="16"/>
  <c r="V26" i="16"/>
  <c r="Z5" i="16" l="1"/>
  <c r="M2" i="16"/>
  <c r="E2" i="18" s="1"/>
  <c r="D20" i="18" s="1"/>
  <c r="Q2" i="16"/>
  <c r="N2" i="9" s="1"/>
  <c r="X26" i="16"/>
  <c r="I2" i="9" l="1"/>
  <c r="R13" i="16" l="1"/>
  <c r="AG33" i="12"/>
  <c r="AG41" i="12"/>
  <c r="AG34" i="12"/>
  <c r="AG42" i="12"/>
  <c r="AG39" i="12"/>
  <c r="AG36" i="12"/>
  <c r="AS5" i="2"/>
  <c r="AS66" i="2" s="1"/>
  <c r="AG40" i="12"/>
  <c r="AG38" i="12"/>
  <c r="AG35" i="12"/>
  <c r="AG43" i="12"/>
  <c r="J9" i="22"/>
  <c r="AG37" i="12"/>
  <c r="W185" i="9"/>
  <c r="W189" i="9" l="1"/>
  <c r="Y189" i="9" s="1"/>
  <c r="U187" i="9"/>
  <c r="U188" i="9" s="1"/>
  <c r="U189" i="9" s="1"/>
  <c r="U190" i="9" s="1"/>
  <c r="U191" i="9" s="1"/>
  <c r="U192" i="9" s="1"/>
  <c r="W192" i="9"/>
  <c r="AS49" i="2"/>
  <c r="AS50" i="2" s="1"/>
  <c r="AS51" i="2" s="1"/>
  <c r="AS52" i="2" s="1"/>
  <c r="AS53" i="2" s="1"/>
  <c r="AS54" i="2" s="1"/>
  <c r="AS88" i="2"/>
  <c r="AS59" i="2"/>
  <c r="AS57" i="2"/>
  <c r="AS87" i="2"/>
  <c r="AS85" i="2"/>
  <c r="AS76" i="2"/>
  <c r="AS78" i="2"/>
  <c r="AS83" i="2"/>
  <c r="AS81" i="2"/>
  <c r="AS72" i="2"/>
  <c r="AS74" i="2"/>
  <c r="AS71" i="2"/>
  <c r="AS69" i="2"/>
  <c r="AS60" i="2"/>
  <c r="AS62" i="2"/>
  <c r="AS67" i="2"/>
  <c r="AS65" i="2"/>
  <c r="W191" i="9"/>
  <c r="W187" i="9"/>
  <c r="W188" i="9"/>
  <c r="W190" i="9"/>
  <c r="AS56" i="2"/>
  <c r="AS58" i="2"/>
  <c r="AS84" i="2"/>
  <c r="AS86" i="2"/>
  <c r="AS79" i="2"/>
  <c r="AS77" i="2"/>
  <c r="AS80" i="2"/>
  <c r="AS82" i="2"/>
  <c r="AS75" i="2"/>
  <c r="AS73" i="2"/>
  <c r="AS68" i="2"/>
  <c r="AS70" i="2"/>
  <c r="AS55" i="2"/>
  <c r="AS63" i="2"/>
  <c r="AS61" i="2"/>
  <c r="AS64" i="2"/>
  <c r="X189" i="9" l="1"/>
  <c r="V189" i="9"/>
  <c r="AA189" i="9" s="1"/>
  <c r="X190" i="9"/>
  <c r="Y190" i="9"/>
  <c r="V190" i="9"/>
  <c r="X188" i="9"/>
  <c r="V188" i="9"/>
  <c r="Y188" i="9"/>
  <c r="X192" i="9"/>
  <c r="V192" i="9"/>
  <c r="Y192" i="9"/>
  <c r="Y187" i="9"/>
  <c r="V187" i="9"/>
  <c r="X187" i="9"/>
  <c r="X191" i="9"/>
  <c r="V191" i="9"/>
  <c r="Y191" i="9"/>
  <c r="AS89" i="2"/>
  <c r="AA185" i="9" l="1"/>
  <c r="Z189" i="9"/>
  <c r="Z190" i="9"/>
  <c r="AA187" i="9"/>
  <c r="AA190" i="9"/>
  <c r="Z187" i="9"/>
  <c r="Z188" i="9"/>
  <c r="AA188" i="9"/>
  <c r="AA192" i="9"/>
  <c r="AA191" i="9"/>
  <c r="I21" i="16"/>
  <c r="I27" i="16" s="1"/>
  <c r="Z192" i="9"/>
  <c r="Z191" i="9"/>
  <c r="AA193" i="9" l="1"/>
  <c r="K21" i="16" s="1"/>
  <c r="K27" i="16" s="1"/>
  <c r="Z193" i="9"/>
  <c r="J21" i="16" s="1"/>
  <c r="J27" i="16" s="1"/>
  <c r="K2" i="16" s="1"/>
  <c r="Z4" i="16" l="1"/>
  <c r="D2" i="18"/>
  <c r="C20" i="18" s="1"/>
  <c r="W2" i="16"/>
  <c r="U2" i="9" s="1"/>
  <c r="L21" i="16"/>
  <c r="L27" i="16"/>
  <c r="AH7" i="28"/>
  <c r="AH70" i="28" l="1"/>
  <c r="AH45" i="28"/>
  <c r="AH46" i="28"/>
  <c r="AH47" i="28"/>
  <c r="AH48" i="28"/>
  <c r="AH49" i="28"/>
  <c r="AH50" i="28"/>
  <c r="AH51" i="28"/>
  <c r="AH52" i="28"/>
  <c r="AH53" i="28"/>
  <c r="AH54" i="28"/>
  <c r="AH55" i="28"/>
  <c r="AH56" i="28"/>
  <c r="AH57" i="28"/>
  <c r="AH58" i="28"/>
  <c r="AH59" i="28"/>
  <c r="AH60" i="28"/>
  <c r="AH61" i="28"/>
  <c r="AH62" i="28"/>
  <c r="AH63" i="28"/>
  <c r="AH64" i="28"/>
  <c r="AH65" i="28"/>
  <c r="AH66" i="28"/>
  <c r="AH67" i="28"/>
  <c r="AH68" i="28"/>
  <c r="AH69" i="28"/>
  <c r="AH71" i="28"/>
  <c r="AH72" i="28"/>
  <c r="AH44" i="28"/>
  <c r="AH73" i="28"/>
  <c r="AH74" i="28"/>
  <c r="AH34" i="28"/>
  <c r="AH36" i="28"/>
  <c r="AH40" i="28"/>
  <c r="AH37" i="28"/>
  <c r="AH38" i="28"/>
  <c r="AH35" i="28"/>
  <c r="AH39" i="28"/>
  <c r="AH11" i="28"/>
  <c r="AH25" i="28"/>
  <c r="AH33" i="28"/>
  <c r="AH21" i="28"/>
  <c r="AH10" i="28"/>
  <c r="AH12" i="28"/>
  <c r="AH13" i="28"/>
  <c r="AH14" i="28"/>
  <c r="AH15" i="28"/>
  <c r="AH16" i="28"/>
  <c r="AH17" i="28"/>
  <c r="AH18" i="28"/>
  <c r="AH19" i="28"/>
  <c r="AH20" i="28"/>
  <c r="AH22" i="28"/>
  <c r="AH23" i="28"/>
  <c r="AH24" i="28"/>
  <c r="AH26" i="28"/>
  <c r="AH27" i="28"/>
  <c r="AH28" i="28"/>
  <c r="AH29" i="28"/>
  <c r="AH30" i="28"/>
  <c r="AH31" i="28"/>
  <c r="AH32" i="28"/>
  <c r="AH41" i="28"/>
  <c r="AH42" i="28"/>
  <c r="AH43" i="28"/>
  <c r="AH8" i="28"/>
  <c r="AH9" i="28"/>
  <c r="F2" i="9"/>
  <c r="AI7" i="28"/>
  <c r="AI70" i="28" l="1"/>
  <c r="AI45" i="28"/>
  <c r="AI46" i="28"/>
  <c r="AI47" i="28"/>
  <c r="AI48" i="28"/>
  <c r="AI49" i="28"/>
  <c r="AI50" i="28"/>
  <c r="AI51" i="28"/>
  <c r="AI52" i="28"/>
  <c r="AI53" i="28"/>
  <c r="AI54" i="28"/>
  <c r="AI55" i="28"/>
  <c r="AI56" i="28"/>
  <c r="AI57" i="28"/>
  <c r="AI58" i="28"/>
  <c r="AI59" i="28"/>
  <c r="AI60" i="28"/>
  <c r="AI61" i="28"/>
  <c r="AI62" i="28"/>
  <c r="AI63" i="28"/>
  <c r="AI64" i="28"/>
  <c r="AI65" i="28"/>
  <c r="AI66" i="28"/>
  <c r="AI67" i="28"/>
  <c r="AI44" i="28"/>
  <c r="AI68" i="28"/>
  <c r="AI69" i="28"/>
  <c r="AI71" i="28"/>
  <c r="AI72" i="28"/>
  <c r="AI73" i="28"/>
  <c r="AI74" i="28"/>
  <c r="AH6" i="28"/>
  <c r="AI34" i="28"/>
  <c r="AI35" i="28"/>
  <c r="AI39" i="28"/>
  <c r="AI38" i="28"/>
  <c r="AI37" i="28"/>
  <c r="AI36" i="28"/>
  <c r="AI40" i="28"/>
  <c r="AI11" i="28"/>
  <c r="AI25" i="28"/>
  <c r="AI33" i="28"/>
  <c r="AI21" i="28"/>
  <c r="AI10" i="28"/>
  <c r="AI12" i="28"/>
  <c r="AI13" i="28"/>
  <c r="AI14" i="28"/>
  <c r="AI15" i="28"/>
  <c r="AI16" i="28"/>
  <c r="AI17" i="28"/>
  <c r="AI18" i="28"/>
  <c r="AI19" i="28"/>
  <c r="AI20" i="28"/>
  <c r="AI22" i="28"/>
  <c r="AI23" i="28"/>
  <c r="AI24" i="28"/>
  <c r="AI26" i="28"/>
  <c r="AI27" i="28"/>
  <c r="AI28" i="28"/>
  <c r="AI29" i="28"/>
  <c r="AI30" i="28"/>
  <c r="AI31" i="28"/>
  <c r="AI32" i="28"/>
  <c r="AI41" i="28"/>
  <c r="AI42" i="28"/>
  <c r="AI43" i="28"/>
  <c r="AI9" i="28"/>
  <c r="AI8" i="28"/>
  <c r="AJ7" i="28"/>
  <c r="AJ70" i="28" l="1"/>
  <c r="AJ45" i="28"/>
  <c r="AJ46" i="28"/>
  <c r="AJ47" i="28"/>
  <c r="AJ48" i="28"/>
  <c r="AJ49" i="28"/>
  <c r="AJ50" i="28"/>
  <c r="AJ51" i="28"/>
  <c r="AJ52" i="28"/>
  <c r="AJ53" i="28"/>
  <c r="AJ54" i="28"/>
  <c r="AJ55" i="28"/>
  <c r="AJ56" i="28"/>
  <c r="AJ57" i="28"/>
  <c r="AJ58" i="28"/>
  <c r="AJ59" i="28"/>
  <c r="AJ60" i="28"/>
  <c r="AJ61" i="28"/>
  <c r="AJ62" i="28"/>
  <c r="AJ63" i="28"/>
  <c r="AJ64" i="28"/>
  <c r="AJ65" i="28"/>
  <c r="AJ66" i="28"/>
  <c r="AJ67" i="28"/>
  <c r="AJ68" i="28"/>
  <c r="AJ69" i="28"/>
  <c r="AJ71" i="28"/>
  <c r="AJ72" i="28"/>
  <c r="AJ44" i="28"/>
  <c r="AJ73" i="28"/>
  <c r="AJ74" i="28"/>
  <c r="AI6" i="28"/>
  <c r="AJ34" i="28"/>
  <c r="AJ38" i="28"/>
  <c r="AJ35" i="28"/>
  <c r="AJ39" i="28"/>
  <c r="AJ36" i="28"/>
  <c r="AJ40" i="28"/>
  <c r="AJ37" i="28"/>
  <c r="AJ11" i="28"/>
  <c r="AJ25" i="28"/>
  <c r="AJ33" i="28"/>
  <c r="AJ21" i="28"/>
  <c r="AJ10" i="28"/>
  <c r="AJ12" i="28"/>
  <c r="AJ13" i="28"/>
  <c r="AJ14" i="28"/>
  <c r="AJ15" i="28"/>
  <c r="AJ16" i="28"/>
  <c r="AJ17" i="28"/>
  <c r="AJ18" i="28"/>
  <c r="AJ19" i="28"/>
  <c r="AJ20" i="28"/>
  <c r="AJ22" i="28"/>
  <c r="AJ23" i="28"/>
  <c r="AJ24" i="28"/>
  <c r="AJ26" i="28"/>
  <c r="AJ27" i="28"/>
  <c r="AJ28" i="28"/>
  <c r="AJ29" i="28"/>
  <c r="AJ30" i="28"/>
  <c r="AJ31" i="28"/>
  <c r="AJ32" i="28"/>
  <c r="AJ41" i="28"/>
  <c r="AJ42" i="28"/>
  <c r="AJ43" i="28"/>
  <c r="AJ9" i="28"/>
  <c r="AJ8" i="28"/>
  <c r="AK7" i="28"/>
  <c r="AK70" i="28" l="1"/>
  <c r="AK45" i="28"/>
  <c r="AK46" i="28"/>
  <c r="AK47" i="28"/>
  <c r="AK48" i="28"/>
  <c r="AK49" i="28"/>
  <c r="AK50" i="28"/>
  <c r="AK51" i="28"/>
  <c r="AK52" i="28"/>
  <c r="AK53" i="28"/>
  <c r="AK54" i="28"/>
  <c r="AK55" i="28"/>
  <c r="AK56" i="28"/>
  <c r="AK57" i="28"/>
  <c r="AK58" i="28"/>
  <c r="AK59" i="28"/>
  <c r="AK60" i="28"/>
  <c r="AK61" i="28"/>
  <c r="AK62" i="28"/>
  <c r="AK63" i="28"/>
  <c r="AK64" i="28"/>
  <c r="AK65" i="28"/>
  <c r="AK66" i="28"/>
  <c r="AK67" i="28"/>
  <c r="AK44" i="28"/>
  <c r="AK68" i="28"/>
  <c r="AK69" i="28"/>
  <c r="AK71" i="28"/>
  <c r="AK72" i="28"/>
  <c r="AK73" i="28"/>
  <c r="AK74" i="28"/>
  <c r="AJ6" i="28"/>
  <c r="AK34" i="28"/>
  <c r="AK37" i="28"/>
  <c r="AK36" i="28"/>
  <c r="AK40" i="28"/>
  <c r="AK35" i="28"/>
  <c r="AK39" i="28"/>
  <c r="AK38" i="28"/>
  <c r="AK11" i="28"/>
  <c r="AK25" i="28"/>
  <c r="AK33" i="28"/>
  <c r="AK21" i="28"/>
  <c r="AK10" i="28"/>
  <c r="AK12" i="28"/>
  <c r="AK13" i="28"/>
  <c r="AK14" i="28"/>
  <c r="AK15" i="28"/>
  <c r="AK16" i="28"/>
  <c r="AK17" i="28"/>
  <c r="AK18" i="28"/>
  <c r="AK19" i="28"/>
  <c r="AK20" i="28"/>
  <c r="AK22" i="28"/>
  <c r="AK23" i="28"/>
  <c r="AK24" i="28"/>
  <c r="AK26" i="28"/>
  <c r="AK27" i="28"/>
  <c r="AK28" i="28"/>
  <c r="AK29" i="28"/>
  <c r="AK30" i="28"/>
  <c r="AK31" i="28"/>
  <c r="AK32" i="28"/>
  <c r="AK41" i="28"/>
  <c r="AK42" i="28"/>
  <c r="AK43" i="28"/>
  <c r="AK9" i="28"/>
  <c r="AK8" i="28"/>
  <c r="AL7" i="28"/>
  <c r="AL70" i="28" l="1"/>
  <c r="AL45" i="28"/>
  <c r="AL46" i="28"/>
  <c r="AL47" i="28"/>
  <c r="AL48" i="28"/>
  <c r="AL49" i="28"/>
  <c r="AL50" i="28"/>
  <c r="AL51" i="28"/>
  <c r="AL52" i="28"/>
  <c r="AL53" i="28"/>
  <c r="AL54" i="28"/>
  <c r="AL55" i="28"/>
  <c r="AL56" i="28"/>
  <c r="AL57" i="28"/>
  <c r="AL58" i="28"/>
  <c r="AL59" i="28"/>
  <c r="AL60" i="28"/>
  <c r="AL61" i="28"/>
  <c r="AL62" i="28"/>
  <c r="AL63" i="28"/>
  <c r="AL64" i="28"/>
  <c r="AL65" i="28"/>
  <c r="AL66" i="28"/>
  <c r="AL67" i="28"/>
  <c r="AL68" i="28"/>
  <c r="AL69" i="28"/>
  <c r="AL71" i="28"/>
  <c r="AL72" i="28"/>
  <c r="AL44" i="28"/>
  <c r="AL73" i="28"/>
  <c r="AL74" i="28"/>
  <c r="AK6" i="28"/>
  <c r="AL34" i="28"/>
  <c r="AL36" i="28"/>
  <c r="AL40" i="28"/>
  <c r="AL37" i="28"/>
  <c r="AL38" i="28"/>
  <c r="AL35" i="28"/>
  <c r="AL39" i="28"/>
  <c r="AL11" i="28"/>
  <c r="AL25" i="28"/>
  <c r="AL33" i="28"/>
  <c r="AL21" i="28"/>
  <c r="AL10" i="28"/>
  <c r="AL12" i="28"/>
  <c r="AL13" i="28"/>
  <c r="AL14" i="28"/>
  <c r="AL15" i="28"/>
  <c r="AL16" i="28"/>
  <c r="AL17" i="28"/>
  <c r="AL18" i="28"/>
  <c r="AL19" i="28"/>
  <c r="AL20" i="28"/>
  <c r="AL22" i="28"/>
  <c r="AL23" i="28"/>
  <c r="AL24" i="28"/>
  <c r="AL26" i="28"/>
  <c r="AL27" i="28"/>
  <c r="AL28" i="28"/>
  <c r="AL29" i="28"/>
  <c r="AL30" i="28"/>
  <c r="AL31" i="28"/>
  <c r="AL32" i="28"/>
  <c r="AL41" i="28"/>
  <c r="AL42" i="28"/>
  <c r="AL43" i="28"/>
  <c r="AL8" i="28"/>
  <c r="AL9" i="28"/>
  <c r="AM7" i="28"/>
  <c r="AM70" i="28" l="1"/>
  <c r="AM45" i="28"/>
  <c r="AM46" i="28"/>
  <c r="AM47" i="28"/>
  <c r="AM48" i="28"/>
  <c r="AM49" i="28"/>
  <c r="AM50" i="28"/>
  <c r="AM51" i="28"/>
  <c r="AM52" i="28"/>
  <c r="AM53" i="28"/>
  <c r="AM54" i="28"/>
  <c r="AM55" i="28"/>
  <c r="AM56" i="28"/>
  <c r="AM57" i="28"/>
  <c r="AM58" i="28"/>
  <c r="AM59" i="28"/>
  <c r="AM60" i="28"/>
  <c r="AM61" i="28"/>
  <c r="AM62" i="28"/>
  <c r="AM63" i="28"/>
  <c r="AM64" i="28"/>
  <c r="AM65" i="28"/>
  <c r="AM66" i="28"/>
  <c r="AM67" i="28"/>
  <c r="AM44" i="28"/>
  <c r="AM68" i="28"/>
  <c r="AM69" i="28"/>
  <c r="AM71" i="28"/>
  <c r="AM72" i="28"/>
  <c r="AM73" i="28"/>
  <c r="AM74" i="28"/>
  <c r="AL6" i="28"/>
  <c r="AM34" i="28"/>
  <c r="AM35" i="28"/>
  <c r="AM39" i="28"/>
  <c r="AM38" i="28"/>
  <c r="AM37" i="28"/>
  <c r="AM36" i="28"/>
  <c r="AM40" i="28"/>
  <c r="AM11" i="28"/>
  <c r="AM25" i="28"/>
  <c r="AM33" i="28"/>
  <c r="AM21" i="28"/>
  <c r="AM10" i="28"/>
  <c r="AM12" i="28"/>
  <c r="AM13" i="28"/>
  <c r="AM14" i="28"/>
  <c r="AM15" i="28"/>
  <c r="AM16" i="28"/>
  <c r="AM17" i="28"/>
  <c r="AM18" i="28"/>
  <c r="AM19" i="28"/>
  <c r="AM20" i="28"/>
  <c r="AM22" i="28"/>
  <c r="AM23" i="28"/>
  <c r="AM24" i="28"/>
  <c r="AM26" i="28"/>
  <c r="AM27" i="28"/>
  <c r="AM28" i="28"/>
  <c r="AM29" i="28"/>
  <c r="AM30" i="28"/>
  <c r="AM31" i="28"/>
  <c r="AM32" i="28"/>
  <c r="AM41" i="28"/>
  <c r="AM42" i="28"/>
  <c r="AM43" i="28"/>
  <c r="AM8" i="28"/>
  <c r="AM9" i="28"/>
  <c r="AN7" i="28"/>
  <c r="AN70" i="28" l="1"/>
  <c r="AN45" i="28"/>
  <c r="AN46" i="28"/>
  <c r="AN47" i="28"/>
  <c r="AN48" i="28"/>
  <c r="AN49" i="28"/>
  <c r="AN50" i="28"/>
  <c r="AN51" i="28"/>
  <c r="AN52" i="28"/>
  <c r="AN53" i="28"/>
  <c r="AN54" i="28"/>
  <c r="AN55" i="28"/>
  <c r="AN56" i="28"/>
  <c r="AN57" i="28"/>
  <c r="AN58" i="28"/>
  <c r="AN59" i="28"/>
  <c r="AN60" i="28"/>
  <c r="AN61" i="28"/>
  <c r="AN62" i="28"/>
  <c r="AN63" i="28"/>
  <c r="AN64" i="28"/>
  <c r="AN65" i="28"/>
  <c r="AN66" i="28"/>
  <c r="AN67" i="28"/>
  <c r="AN68" i="28"/>
  <c r="AN69" i="28"/>
  <c r="AN71" i="28"/>
  <c r="AN72" i="28"/>
  <c r="AN44" i="28"/>
  <c r="AN73" i="28"/>
  <c r="AN74" i="28"/>
  <c r="AM6" i="28"/>
  <c r="AN34" i="28"/>
  <c r="AN38" i="28"/>
  <c r="AN35" i="28"/>
  <c r="AN39" i="28"/>
  <c r="AN36" i="28"/>
  <c r="AN40" i="28"/>
  <c r="AN37" i="28"/>
  <c r="AN11" i="28"/>
  <c r="AN25" i="28"/>
  <c r="AN33" i="28"/>
  <c r="AN21" i="28"/>
  <c r="AN10" i="28"/>
  <c r="AN12" i="28"/>
  <c r="AN13" i="28"/>
  <c r="AN14" i="28"/>
  <c r="AN15" i="28"/>
  <c r="AN16" i="28"/>
  <c r="AN17" i="28"/>
  <c r="AN18" i="28"/>
  <c r="AN19" i="28"/>
  <c r="AN20" i="28"/>
  <c r="AN22" i="28"/>
  <c r="AN23" i="28"/>
  <c r="AN24" i="28"/>
  <c r="AN26" i="28"/>
  <c r="AN27" i="28"/>
  <c r="AN28" i="28"/>
  <c r="AN29" i="28"/>
  <c r="AN30" i="28"/>
  <c r="AN31" i="28"/>
  <c r="AN32" i="28"/>
  <c r="AN41" i="28"/>
  <c r="AN42" i="28"/>
  <c r="AN43" i="28"/>
  <c r="AN9" i="28"/>
  <c r="AN8" i="28"/>
  <c r="AO7" i="28"/>
  <c r="AO70" i="28" l="1"/>
  <c r="AO45" i="28"/>
  <c r="AO46" i="28"/>
  <c r="AO47" i="28"/>
  <c r="AO48" i="28"/>
  <c r="AO49" i="28"/>
  <c r="AO50" i="28"/>
  <c r="AO51" i="28"/>
  <c r="AO52" i="28"/>
  <c r="AO53" i="28"/>
  <c r="AO54" i="28"/>
  <c r="AO55" i="28"/>
  <c r="AO56" i="28"/>
  <c r="AO57" i="28"/>
  <c r="AO58" i="28"/>
  <c r="AO59" i="28"/>
  <c r="AO60" i="28"/>
  <c r="AO61" i="28"/>
  <c r="AO62" i="28"/>
  <c r="AO63" i="28"/>
  <c r="AO64" i="28"/>
  <c r="AO65" i="28"/>
  <c r="AO66" i="28"/>
  <c r="AO67" i="28"/>
  <c r="AO44" i="28"/>
  <c r="AO68" i="28"/>
  <c r="AO69" i="28"/>
  <c r="AO71" i="28"/>
  <c r="AO72" i="28"/>
  <c r="AO73" i="28"/>
  <c r="AO74" i="28"/>
  <c r="AN6" i="28"/>
  <c r="AO34" i="28"/>
  <c r="AO37" i="28"/>
  <c r="AO36" i="28"/>
  <c r="AO40" i="28"/>
  <c r="AO35" i="28"/>
  <c r="AO39" i="28"/>
  <c r="AO38" i="28"/>
  <c r="AO11" i="28"/>
  <c r="AO25" i="28"/>
  <c r="AO33" i="28"/>
  <c r="AO21" i="28"/>
  <c r="AO10" i="28"/>
  <c r="AO12" i="28"/>
  <c r="AO13" i="28"/>
  <c r="AO14" i="28"/>
  <c r="AO15" i="28"/>
  <c r="AO16" i="28"/>
  <c r="AO17" i="28"/>
  <c r="AO18" i="28"/>
  <c r="AO19" i="28"/>
  <c r="AO20" i="28"/>
  <c r="AO22" i="28"/>
  <c r="AO23" i="28"/>
  <c r="AO24" i="28"/>
  <c r="AO26" i="28"/>
  <c r="AO27" i="28"/>
  <c r="AO28" i="28"/>
  <c r="AO29" i="28"/>
  <c r="AO30" i="28"/>
  <c r="AO31" i="28"/>
  <c r="AO32" i="28"/>
  <c r="AO41" i="28"/>
  <c r="AO42" i="28"/>
  <c r="AO43" i="28"/>
  <c r="AO9" i="28"/>
  <c r="AO8" i="28"/>
  <c r="AP7" i="28"/>
  <c r="AP70" i="28" l="1"/>
  <c r="AP45" i="28"/>
  <c r="AP46" i="28"/>
  <c r="AP47" i="28"/>
  <c r="AP48" i="28"/>
  <c r="AP49" i="28"/>
  <c r="AP50" i="28"/>
  <c r="AP51" i="28"/>
  <c r="AP52" i="28"/>
  <c r="AP53" i="28"/>
  <c r="AP54" i="28"/>
  <c r="AP55" i="28"/>
  <c r="AP56" i="28"/>
  <c r="AP57" i="28"/>
  <c r="AP58" i="28"/>
  <c r="AP59" i="28"/>
  <c r="AP60" i="28"/>
  <c r="AP61" i="28"/>
  <c r="AP62" i="28"/>
  <c r="AP63" i="28"/>
  <c r="AP64" i="28"/>
  <c r="AP65" i="28"/>
  <c r="AP66" i="28"/>
  <c r="AP67" i="28"/>
  <c r="AP68" i="28"/>
  <c r="AP69" i="28"/>
  <c r="AP71" i="28"/>
  <c r="AP72" i="28"/>
  <c r="AP44" i="28"/>
  <c r="AP73" i="28"/>
  <c r="AP74" i="28"/>
  <c r="AO6" i="28"/>
  <c r="AP34" i="28"/>
  <c r="AP36" i="28"/>
  <c r="AP40" i="28"/>
  <c r="AP37" i="28"/>
  <c r="AP38" i="28"/>
  <c r="AP35" i="28"/>
  <c r="AP39" i="28"/>
  <c r="AP11" i="28"/>
  <c r="AP25" i="28"/>
  <c r="AP33" i="28"/>
  <c r="AP21" i="28"/>
  <c r="AP10" i="28"/>
  <c r="AP12" i="28"/>
  <c r="AP13" i="28"/>
  <c r="AP14" i="28"/>
  <c r="AP15" i="28"/>
  <c r="AP16" i="28"/>
  <c r="AP17" i="28"/>
  <c r="AP18" i="28"/>
  <c r="AP19" i="28"/>
  <c r="AP20" i="28"/>
  <c r="AP22" i="28"/>
  <c r="AP23" i="28"/>
  <c r="AP24" i="28"/>
  <c r="AP26" i="28"/>
  <c r="AP27" i="28"/>
  <c r="AP28" i="28"/>
  <c r="AP29" i="28"/>
  <c r="AP30" i="28"/>
  <c r="AP31" i="28"/>
  <c r="AP32" i="28"/>
  <c r="AP41" i="28"/>
  <c r="AP42" i="28"/>
  <c r="AP43" i="28"/>
  <c r="AP8" i="28"/>
  <c r="AP9" i="28"/>
  <c r="AQ7" i="28"/>
  <c r="AQ70" i="28" l="1"/>
  <c r="AQ45" i="28"/>
  <c r="AQ46" i="28"/>
  <c r="AQ47" i="28"/>
  <c r="AQ48" i="28"/>
  <c r="AQ49" i="28"/>
  <c r="AQ50" i="28"/>
  <c r="AQ51" i="28"/>
  <c r="AQ52" i="28"/>
  <c r="AQ53" i="28"/>
  <c r="AQ54" i="28"/>
  <c r="AQ55" i="28"/>
  <c r="AQ56" i="28"/>
  <c r="AQ57" i="28"/>
  <c r="AQ58" i="28"/>
  <c r="AQ59" i="28"/>
  <c r="AQ60" i="28"/>
  <c r="AQ61" i="28"/>
  <c r="AQ62" i="28"/>
  <c r="AQ63" i="28"/>
  <c r="AQ64" i="28"/>
  <c r="AQ65" i="28"/>
  <c r="AQ66" i="28"/>
  <c r="AQ67" i="28"/>
  <c r="AQ44" i="28"/>
  <c r="AQ68" i="28"/>
  <c r="AQ69" i="28"/>
  <c r="AQ71" i="28"/>
  <c r="AQ72" i="28"/>
  <c r="AQ73" i="28"/>
  <c r="AQ74" i="28"/>
  <c r="AP6" i="28"/>
  <c r="AQ34" i="28"/>
  <c r="AQ35" i="28"/>
  <c r="AQ39" i="28"/>
  <c r="AQ38" i="28"/>
  <c r="AQ37" i="28"/>
  <c r="AQ36" i="28"/>
  <c r="AQ40" i="28"/>
  <c r="AQ11" i="28"/>
  <c r="AQ25" i="28"/>
  <c r="AQ33" i="28"/>
  <c r="AQ21" i="28"/>
  <c r="AQ10" i="28"/>
  <c r="AQ12" i="28"/>
  <c r="AQ13" i="28"/>
  <c r="AQ14" i="28"/>
  <c r="AQ15" i="28"/>
  <c r="AQ16" i="28"/>
  <c r="AQ17" i="28"/>
  <c r="AQ18" i="28"/>
  <c r="AQ19" i="28"/>
  <c r="AQ20" i="28"/>
  <c r="AQ22" i="28"/>
  <c r="AQ23" i="28"/>
  <c r="AQ24" i="28"/>
  <c r="AQ26" i="28"/>
  <c r="AQ27" i="28"/>
  <c r="AQ28" i="28"/>
  <c r="AQ29" i="28"/>
  <c r="AQ30" i="28"/>
  <c r="AQ31" i="28"/>
  <c r="AQ32" i="28"/>
  <c r="AQ41" i="28"/>
  <c r="AQ42" i="28"/>
  <c r="AQ43" i="28"/>
  <c r="AQ8" i="28"/>
  <c r="AQ9" i="28"/>
  <c r="AR7" i="28"/>
  <c r="AR70" i="28" l="1"/>
  <c r="AR45" i="28"/>
  <c r="AR46" i="28"/>
  <c r="AR47" i="28"/>
  <c r="AR48" i="28"/>
  <c r="AR49" i="28"/>
  <c r="AR50" i="28"/>
  <c r="AR51" i="28"/>
  <c r="AR52" i="28"/>
  <c r="AR53" i="28"/>
  <c r="AR54" i="28"/>
  <c r="AR55" i="28"/>
  <c r="AR56" i="28"/>
  <c r="AR57" i="28"/>
  <c r="AR58" i="28"/>
  <c r="AR59" i="28"/>
  <c r="AR60" i="28"/>
  <c r="AR61" i="28"/>
  <c r="AR62" i="28"/>
  <c r="AR63" i="28"/>
  <c r="AR64" i="28"/>
  <c r="AR65" i="28"/>
  <c r="AR66" i="28"/>
  <c r="AR67" i="28"/>
  <c r="AR68" i="28"/>
  <c r="AR69" i="28"/>
  <c r="AR71" i="28"/>
  <c r="AR72" i="28"/>
  <c r="AR44" i="28"/>
  <c r="AR73" i="28"/>
  <c r="AR74" i="28"/>
  <c r="AQ6" i="28"/>
  <c r="AR34" i="28"/>
  <c r="AR38" i="28"/>
  <c r="AR35" i="28"/>
  <c r="AR39" i="28"/>
  <c r="AR36" i="28"/>
  <c r="AR40" i="28"/>
  <c r="AR37" i="28"/>
  <c r="AR11" i="28"/>
  <c r="AR25" i="28"/>
  <c r="AR33" i="28"/>
  <c r="AR21" i="28"/>
  <c r="AR10" i="28"/>
  <c r="AR12" i="28"/>
  <c r="AR13" i="28"/>
  <c r="AR14" i="28"/>
  <c r="AR15" i="28"/>
  <c r="AR16" i="28"/>
  <c r="AR17" i="28"/>
  <c r="AR18" i="28"/>
  <c r="AR19" i="28"/>
  <c r="AR20" i="28"/>
  <c r="AR22" i="28"/>
  <c r="AR23" i="28"/>
  <c r="AR24" i="28"/>
  <c r="AR26" i="28"/>
  <c r="AR27" i="28"/>
  <c r="AR28" i="28"/>
  <c r="AR29" i="28"/>
  <c r="AR30" i="28"/>
  <c r="AR31" i="28"/>
  <c r="AR32" i="28"/>
  <c r="AR41" i="28"/>
  <c r="AR42" i="28"/>
  <c r="AR43" i="28"/>
  <c r="AR9" i="28"/>
  <c r="AR8" i="28"/>
  <c r="AS7" i="28"/>
  <c r="AS70" i="28" l="1"/>
  <c r="AS45" i="28"/>
  <c r="AS46" i="28"/>
  <c r="AS47" i="28"/>
  <c r="AS48" i="28"/>
  <c r="AS49" i="28"/>
  <c r="AS50" i="28"/>
  <c r="AS51" i="28"/>
  <c r="AS52" i="28"/>
  <c r="AS53" i="28"/>
  <c r="AS54" i="28"/>
  <c r="AS55" i="28"/>
  <c r="AS56" i="28"/>
  <c r="AS57" i="28"/>
  <c r="AS58" i="28"/>
  <c r="AS59" i="28"/>
  <c r="AS60" i="28"/>
  <c r="AS61" i="28"/>
  <c r="AS62" i="28"/>
  <c r="AS63" i="28"/>
  <c r="AS64" i="28"/>
  <c r="AS65" i="28"/>
  <c r="AS66" i="28"/>
  <c r="AS67" i="28"/>
  <c r="AS44" i="28"/>
  <c r="AS68" i="28"/>
  <c r="AS69" i="28"/>
  <c r="AS71" i="28"/>
  <c r="AS72" i="28"/>
  <c r="AS73" i="28"/>
  <c r="AS74" i="28"/>
  <c r="AR6" i="28"/>
  <c r="AS34" i="28"/>
  <c r="AS37" i="28"/>
  <c r="AS36" i="28"/>
  <c r="AS40" i="28"/>
  <c r="AS35" i="28"/>
  <c r="AS39" i="28"/>
  <c r="AS38" i="28"/>
  <c r="AS11" i="28"/>
  <c r="AS25" i="28"/>
  <c r="AS33" i="28"/>
  <c r="AS21" i="28"/>
  <c r="AS10" i="28"/>
  <c r="AS12" i="28"/>
  <c r="AS13" i="28"/>
  <c r="AS14" i="28"/>
  <c r="AS15" i="28"/>
  <c r="AS16" i="28"/>
  <c r="AS17" i="28"/>
  <c r="AS18" i="28"/>
  <c r="AS19" i="28"/>
  <c r="AS20" i="28"/>
  <c r="AS22" i="28"/>
  <c r="AS23" i="28"/>
  <c r="AS24" i="28"/>
  <c r="AS26" i="28"/>
  <c r="AS27" i="28"/>
  <c r="AS28" i="28"/>
  <c r="AS29" i="28"/>
  <c r="AS30" i="28"/>
  <c r="AS31" i="28"/>
  <c r="AS32" i="28"/>
  <c r="AS41" i="28"/>
  <c r="AS42" i="28"/>
  <c r="AS43" i="28"/>
  <c r="AS9" i="28"/>
  <c r="AS8" i="28"/>
  <c r="AT7" i="28"/>
  <c r="AT70" i="28" l="1"/>
  <c r="AT45" i="28"/>
  <c r="AT46" i="28"/>
  <c r="AT47" i="28"/>
  <c r="AT48" i="28"/>
  <c r="AT49" i="28"/>
  <c r="AT50" i="28"/>
  <c r="AT51" i="28"/>
  <c r="AT52" i="28"/>
  <c r="AT53" i="28"/>
  <c r="AT54" i="28"/>
  <c r="AT55" i="28"/>
  <c r="AT56" i="28"/>
  <c r="AT57" i="28"/>
  <c r="AT58" i="28"/>
  <c r="AT59" i="28"/>
  <c r="AT60" i="28"/>
  <c r="AT61" i="28"/>
  <c r="AT62" i="28"/>
  <c r="AT63" i="28"/>
  <c r="AT64" i="28"/>
  <c r="AT65" i="28"/>
  <c r="AT66" i="28"/>
  <c r="AT67" i="28"/>
  <c r="AT68" i="28"/>
  <c r="AT69" i="28"/>
  <c r="AT71" i="28"/>
  <c r="AT72" i="28"/>
  <c r="AT44" i="28"/>
  <c r="AT73" i="28"/>
  <c r="AT74" i="28"/>
  <c r="AS6" i="28"/>
  <c r="AT34" i="28"/>
  <c r="AT36" i="28"/>
  <c r="AT40" i="28"/>
  <c r="AT37" i="28"/>
  <c r="AT38" i="28"/>
  <c r="AT35" i="28"/>
  <c r="AT39" i="28"/>
  <c r="AT11" i="28"/>
  <c r="AT25" i="28"/>
  <c r="AT33" i="28"/>
  <c r="AT21" i="28"/>
  <c r="AT10" i="28"/>
  <c r="AT12" i="28"/>
  <c r="AT13" i="28"/>
  <c r="AT14" i="28"/>
  <c r="AT15" i="28"/>
  <c r="AT16" i="28"/>
  <c r="AT17" i="28"/>
  <c r="AT18" i="28"/>
  <c r="AT19" i="28"/>
  <c r="AT20" i="28"/>
  <c r="AT22" i="28"/>
  <c r="AT23" i="28"/>
  <c r="AT24" i="28"/>
  <c r="AT26" i="28"/>
  <c r="AT27" i="28"/>
  <c r="AT28" i="28"/>
  <c r="AT29" i="28"/>
  <c r="AT30" i="28"/>
  <c r="AT31" i="28"/>
  <c r="AT32" i="28"/>
  <c r="AT41" i="28"/>
  <c r="AT42" i="28"/>
  <c r="AT43" i="28"/>
  <c r="AT8" i="28"/>
  <c r="AT9" i="28"/>
  <c r="AU7" i="28"/>
  <c r="AU70" i="28" l="1"/>
  <c r="AU45" i="28"/>
  <c r="AU46" i="28"/>
  <c r="AU47" i="28"/>
  <c r="AU48" i="28"/>
  <c r="AU49" i="28"/>
  <c r="AU50" i="28"/>
  <c r="AU51" i="28"/>
  <c r="AU52" i="28"/>
  <c r="AU53" i="28"/>
  <c r="AU54" i="28"/>
  <c r="AU55" i="28"/>
  <c r="AU56" i="28"/>
  <c r="AU57" i="28"/>
  <c r="AU58" i="28"/>
  <c r="AU59" i="28"/>
  <c r="AU60" i="28"/>
  <c r="AU61" i="28"/>
  <c r="AU62" i="28"/>
  <c r="AU63" i="28"/>
  <c r="AU64" i="28"/>
  <c r="AU65" i="28"/>
  <c r="AU66" i="28"/>
  <c r="AU67" i="28"/>
  <c r="AU44" i="28"/>
  <c r="AU68" i="28"/>
  <c r="AU69" i="28"/>
  <c r="AU71" i="28"/>
  <c r="AU72" i="28"/>
  <c r="AU73" i="28"/>
  <c r="AU74" i="28"/>
  <c r="AT6" i="28"/>
  <c r="AU34" i="28"/>
  <c r="AU35" i="28"/>
  <c r="AU39" i="28"/>
  <c r="AU38" i="28"/>
  <c r="AU37" i="28"/>
  <c r="AU36" i="28"/>
  <c r="AU40" i="28"/>
  <c r="AU11" i="28"/>
  <c r="AU25" i="28"/>
  <c r="AU33" i="28"/>
  <c r="AU21" i="28"/>
  <c r="AU10" i="28"/>
  <c r="AU12" i="28"/>
  <c r="AU13" i="28"/>
  <c r="AU14" i="28"/>
  <c r="AU15" i="28"/>
  <c r="AU16" i="28"/>
  <c r="AU17" i="28"/>
  <c r="AU18" i="28"/>
  <c r="AU19" i="28"/>
  <c r="AU20" i="28"/>
  <c r="AU22" i="28"/>
  <c r="AU23" i="28"/>
  <c r="AU24" i="28"/>
  <c r="AU26" i="28"/>
  <c r="AU27" i="28"/>
  <c r="AU28" i="28"/>
  <c r="AU29" i="28"/>
  <c r="AU30" i="28"/>
  <c r="AU31" i="28"/>
  <c r="AU32" i="28"/>
  <c r="AU41" i="28"/>
  <c r="AU42" i="28"/>
  <c r="AU43" i="28"/>
  <c r="AU8" i="28"/>
  <c r="AU9" i="28"/>
  <c r="AV7" i="28"/>
  <c r="AV70" i="28" l="1"/>
  <c r="AV45" i="28"/>
  <c r="AV46" i="28"/>
  <c r="AV47" i="28"/>
  <c r="AV48" i="28"/>
  <c r="AV49" i="28"/>
  <c r="AV50" i="28"/>
  <c r="AV51" i="28"/>
  <c r="AV52" i="28"/>
  <c r="AV53" i="28"/>
  <c r="AV54" i="28"/>
  <c r="AV55" i="28"/>
  <c r="AV56" i="28"/>
  <c r="AV57" i="28"/>
  <c r="AV58" i="28"/>
  <c r="AV59" i="28"/>
  <c r="AV60" i="28"/>
  <c r="AV61" i="28"/>
  <c r="AV62" i="28"/>
  <c r="AV63" i="28"/>
  <c r="AV64" i="28"/>
  <c r="AV65" i="28"/>
  <c r="AV66" i="28"/>
  <c r="AV67" i="28"/>
  <c r="AV68" i="28"/>
  <c r="AV69" i="28"/>
  <c r="AV71" i="28"/>
  <c r="AV72" i="28"/>
  <c r="AV44" i="28"/>
  <c r="AV73" i="28"/>
  <c r="AV74" i="28"/>
  <c r="AU6" i="28"/>
  <c r="AV34" i="28"/>
  <c r="AV38" i="28"/>
  <c r="AV35" i="28"/>
  <c r="AV39" i="28"/>
  <c r="AV36" i="28"/>
  <c r="AV40" i="28"/>
  <c r="AV37" i="28"/>
  <c r="AV11" i="28"/>
  <c r="AV25" i="28"/>
  <c r="AV33" i="28"/>
  <c r="AV21" i="28"/>
  <c r="AV10" i="28"/>
  <c r="AV12" i="28"/>
  <c r="AV13" i="28"/>
  <c r="AV14" i="28"/>
  <c r="AV15" i="28"/>
  <c r="AV16" i="28"/>
  <c r="AV17" i="28"/>
  <c r="AV18" i="28"/>
  <c r="AV19" i="28"/>
  <c r="AV20" i="28"/>
  <c r="AV22" i="28"/>
  <c r="AV23" i="28"/>
  <c r="AV24" i="28"/>
  <c r="AV26" i="28"/>
  <c r="AV27" i="28"/>
  <c r="AV28" i="28"/>
  <c r="AV29" i="28"/>
  <c r="AV30" i="28"/>
  <c r="AV31" i="28"/>
  <c r="AV32" i="28"/>
  <c r="AV41" i="28"/>
  <c r="AV42" i="28"/>
  <c r="AV43" i="28"/>
  <c r="AV9" i="28"/>
  <c r="AV8" i="28"/>
  <c r="AW7" i="28"/>
  <c r="AW70" i="28" l="1"/>
  <c r="AW45" i="28"/>
  <c r="AW46" i="28"/>
  <c r="AW47" i="28"/>
  <c r="AW48" i="28"/>
  <c r="AW49" i="28"/>
  <c r="AW50" i="28"/>
  <c r="AW51" i="28"/>
  <c r="AW52" i="28"/>
  <c r="AW53" i="28"/>
  <c r="AW54" i="28"/>
  <c r="AW55" i="28"/>
  <c r="AW56" i="28"/>
  <c r="AW57" i="28"/>
  <c r="AW58" i="28"/>
  <c r="AW59" i="28"/>
  <c r="AW60" i="28"/>
  <c r="AW61" i="28"/>
  <c r="AW62" i="28"/>
  <c r="AW63" i="28"/>
  <c r="AW64" i="28"/>
  <c r="AW65" i="28"/>
  <c r="AW66" i="28"/>
  <c r="AW67" i="28"/>
  <c r="AW44" i="28"/>
  <c r="AW68" i="28"/>
  <c r="AW69" i="28"/>
  <c r="AW71" i="28"/>
  <c r="AW72" i="28"/>
  <c r="AW73" i="28"/>
  <c r="AW74" i="28"/>
  <c r="AV6" i="28"/>
  <c r="AW34" i="28"/>
  <c r="AW37" i="28"/>
  <c r="AW36" i="28"/>
  <c r="AW40" i="28"/>
  <c r="AW35" i="28"/>
  <c r="AW39" i="28"/>
  <c r="AW38" i="28"/>
  <c r="AW11" i="28"/>
  <c r="AW25" i="28"/>
  <c r="AW33" i="28"/>
  <c r="AW21" i="28"/>
  <c r="AW10" i="28"/>
  <c r="AW12" i="28"/>
  <c r="AW13" i="28"/>
  <c r="AW14" i="28"/>
  <c r="AW15" i="28"/>
  <c r="AW16" i="28"/>
  <c r="AW17" i="28"/>
  <c r="AW18" i="28"/>
  <c r="AW19" i="28"/>
  <c r="AW20" i="28"/>
  <c r="AW22" i="28"/>
  <c r="AW23" i="28"/>
  <c r="AW24" i="28"/>
  <c r="AW26" i="28"/>
  <c r="AW27" i="28"/>
  <c r="AW28" i="28"/>
  <c r="AW29" i="28"/>
  <c r="AW30" i="28"/>
  <c r="AW31" i="28"/>
  <c r="AW32" i="28"/>
  <c r="AW41" i="28"/>
  <c r="AW42" i="28"/>
  <c r="AW43" i="28"/>
  <c r="AW9" i="28"/>
  <c r="AW8" i="28"/>
  <c r="AX7" i="28"/>
  <c r="AX70" i="28" l="1"/>
  <c r="AX45" i="28"/>
  <c r="AX46" i="28"/>
  <c r="AX47" i="28"/>
  <c r="AX48" i="28"/>
  <c r="AX49" i="28"/>
  <c r="AX50" i="28"/>
  <c r="AX51" i="28"/>
  <c r="AX52" i="28"/>
  <c r="AX53" i="28"/>
  <c r="AX54" i="28"/>
  <c r="AX55" i="28"/>
  <c r="AX56" i="28"/>
  <c r="AX57" i="28"/>
  <c r="AX58" i="28"/>
  <c r="AX59" i="28"/>
  <c r="AX60" i="28"/>
  <c r="AX61" i="28"/>
  <c r="AX62" i="28"/>
  <c r="AX63" i="28"/>
  <c r="AX64" i="28"/>
  <c r="AX65" i="28"/>
  <c r="AX66" i="28"/>
  <c r="AX67" i="28"/>
  <c r="AX68" i="28"/>
  <c r="AX69" i="28"/>
  <c r="AX71" i="28"/>
  <c r="AX72" i="28"/>
  <c r="AX44" i="28"/>
  <c r="AX73" i="28"/>
  <c r="AX74" i="28"/>
  <c r="AW6" i="28"/>
  <c r="AX34" i="28"/>
  <c r="AX36" i="28"/>
  <c r="AX40" i="28"/>
  <c r="AX37" i="28"/>
  <c r="AX38" i="28"/>
  <c r="AX35" i="28"/>
  <c r="AX39" i="28"/>
  <c r="AX11" i="28"/>
  <c r="AX25" i="28"/>
  <c r="AX33" i="28"/>
  <c r="AX21" i="28"/>
  <c r="AX10" i="28"/>
  <c r="AX12" i="28"/>
  <c r="AX13" i="28"/>
  <c r="AX14" i="28"/>
  <c r="AX15" i="28"/>
  <c r="AX16" i="28"/>
  <c r="AX17" i="28"/>
  <c r="AX18" i="28"/>
  <c r="AX19" i="28"/>
  <c r="AX20" i="28"/>
  <c r="AX22" i="28"/>
  <c r="AX23" i="28"/>
  <c r="AX24" i="28"/>
  <c r="AX26" i="28"/>
  <c r="AX27" i="28"/>
  <c r="AX28" i="28"/>
  <c r="AX29" i="28"/>
  <c r="AX30" i="28"/>
  <c r="AX31" i="28"/>
  <c r="AX32" i="28"/>
  <c r="AX41" i="28"/>
  <c r="AX42" i="28"/>
  <c r="AX43" i="28"/>
  <c r="AX8" i="28"/>
  <c r="AX9" i="28"/>
  <c r="AY7" i="28"/>
  <c r="AY70" i="28" l="1"/>
  <c r="AY45" i="28"/>
  <c r="AY46" i="28"/>
  <c r="AY47" i="28"/>
  <c r="AY48" i="28"/>
  <c r="AY49" i="28"/>
  <c r="AY50" i="28"/>
  <c r="AY51" i="28"/>
  <c r="AY52" i="28"/>
  <c r="AY53" i="28"/>
  <c r="AY54" i="28"/>
  <c r="AY55" i="28"/>
  <c r="AY56" i="28"/>
  <c r="AY57" i="28"/>
  <c r="AY58" i="28"/>
  <c r="AY59" i="28"/>
  <c r="AY60" i="28"/>
  <c r="AY61" i="28"/>
  <c r="AY62" i="28"/>
  <c r="AY63" i="28"/>
  <c r="AY64" i="28"/>
  <c r="AY65" i="28"/>
  <c r="AY66" i="28"/>
  <c r="AY67" i="28"/>
  <c r="AY44" i="28"/>
  <c r="AY68" i="28"/>
  <c r="AY69" i="28"/>
  <c r="AY71" i="28"/>
  <c r="AY72" i="28"/>
  <c r="AY73" i="28"/>
  <c r="AY74" i="28"/>
  <c r="AX6" i="28"/>
  <c r="AY34" i="28"/>
  <c r="AY35" i="28"/>
  <c r="AY39" i="28"/>
  <c r="AY38" i="28"/>
  <c r="AY37" i="28"/>
  <c r="AY36" i="28"/>
  <c r="AY40" i="28"/>
  <c r="AY11" i="28"/>
  <c r="AY25" i="28"/>
  <c r="AY33" i="28"/>
  <c r="AY21" i="28"/>
  <c r="AY10" i="28"/>
  <c r="AY12" i="28"/>
  <c r="AY13" i="28"/>
  <c r="AY14" i="28"/>
  <c r="AY15" i="28"/>
  <c r="AY16" i="28"/>
  <c r="AY17" i="28"/>
  <c r="AY18" i="28"/>
  <c r="AY19" i="28"/>
  <c r="AY20" i="28"/>
  <c r="AY22" i="28"/>
  <c r="AY23" i="28"/>
  <c r="AY24" i="28"/>
  <c r="AY26" i="28"/>
  <c r="AY27" i="28"/>
  <c r="AY28" i="28"/>
  <c r="AY29" i="28"/>
  <c r="AY30" i="28"/>
  <c r="AY31" i="28"/>
  <c r="AY32" i="28"/>
  <c r="AY41" i="28"/>
  <c r="AY42" i="28"/>
  <c r="AY43" i="28"/>
  <c r="AY9" i="28"/>
  <c r="AY8" i="28"/>
  <c r="AZ7" i="28"/>
  <c r="AZ70" i="28" l="1"/>
  <c r="AZ45" i="28"/>
  <c r="AZ46" i="28"/>
  <c r="AZ47" i="28"/>
  <c r="AZ48" i="28"/>
  <c r="AZ49" i="28"/>
  <c r="AZ50" i="28"/>
  <c r="AZ51" i="28"/>
  <c r="AZ52" i="28"/>
  <c r="AZ53" i="28"/>
  <c r="AZ54" i="28"/>
  <c r="AZ55" i="28"/>
  <c r="AZ56" i="28"/>
  <c r="AZ57" i="28"/>
  <c r="AZ58" i="28"/>
  <c r="AZ59" i="28"/>
  <c r="AZ60" i="28"/>
  <c r="AZ61" i="28"/>
  <c r="AZ62" i="28"/>
  <c r="AZ63" i="28"/>
  <c r="AZ64" i="28"/>
  <c r="AZ65" i="28"/>
  <c r="AZ66" i="28"/>
  <c r="AZ67" i="28"/>
  <c r="AZ68" i="28"/>
  <c r="AZ69" i="28"/>
  <c r="AZ71" i="28"/>
  <c r="AZ72" i="28"/>
  <c r="AZ44" i="28"/>
  <c r="AZ73" i="28"/>
  <c r="AZ74" i="28"/>
  <c r="AY6" i="28"/>
  <c r="AZ34" i="28"/>
  <c r="AZ38" i="28"/>
  <c r="AZ35" i="28"/>
  <c r="AZ39" i="28"/>
  <c r="AZ36" i="28"/>
  <c r="AZ40" i="28"/>
  <c r="AZ37" i="28"/>
  <c r="AZ11" i="28"/>
  <c r="AZ25" i="28"/>
  <c r="AZ33" i="28"/>
  <c r="AZ21" i="28"/>
  <c r="AZ10" i="28"/>
  <c r="AZ12" i="28"/>
  <c r="AZ13" i="28"/>
  <c r="AZ14" i="28"/>
  <c r="AZ15" i="28"/>
  <c r="AZ16" i="28"/>
  <c r="AZ17" i="28"/>
  <c r="AZ18" i="28"/>
  <c r="AZ19" i="28"/>
  <c r="AZ20" i="28"/>
  <c r="AZ22" i="28"/>
  <c r="AZ23" i="28"/>
  <c r="AZ24" i="28"/>
  <c r="AZ26" i="28"/>
  <c r="AZ27" i="28"/>
  <c r="AZ28" i="28"/>
  <c r="AZ29" i="28"/>
  <c r="AZ30" i="28"/>
  <c r="AZ31" i="28"/>
  <c r="AZ32" i="28"/>
  <c r="AZ41" i="28"/>
  <c r="AZ42" i="28"/>
  <c r="AZ43" i="28"/>
  <c r="AZ9" i="28"/>
  <c r="AZ8" i="28"/>
  <c r="BA7" i="28"/>
  <c r="BA70" i="28" l="1"/>
  <c r="BA45" i="28"/>
  <c r="BA46" i="28"/>
  <c r="BA47" i="28"/>
  <c r="BA48" i="28"/>
  <c r="BA49" i="28"/>
  <c r="BA50" i="28"/>
  <c r="BA51" i="28"/>
  <c r="BA52" i="28"/>
  <c r="BA53" i="28"/>
  <c r="BA54" i="28"/>
  <c r="BA55" i="28"/>
  <c r="BA56" i="28"/>
  <c r="BA57" i="28"/>
  <c r="BA58" i="28"/>
  <c r="BA59" i="28"/>
  <c r="BA60" i="28"/>
  <c r="BA61" i="28"/>
  <c r="BA62" i="28"/>
  <c r="BA63" i="28"/>
  <c r="BA64" i="28"/>
  <c r="BA65" i="28"/>
  <c r="BA66" i="28"/>
  <c r="BA67" i="28"/>
  <c r="BA44" i="28"/>
  <c r="BA68" i="28"/>
  <c r="BA69" i="28"/>
  <c r="BA71" i="28"/>
  <c r="BA72" i="28"/>
  <c r="BA73" i="28"/>
  <c r="BA74" i="28"/>
  <c r="AZ6" i="28"/>
  <c r="BA34" i="28"/>
  <c r="BA37" i="28"/>
  <c r="BA36" i="28"/>
  <c r="BA40" i="28"/>
  <c r="BA35" i="28"/>
  <c r="BA39" i="28"/>
  <c r="BA38" i="28"/>
  <c r="BA11" i="28"/>
  <c r="BA25" i="28"/>
  <c r="BA33" i="28"/>
  <c r="BA21" i="28"/>
  <c r="BA10" i="28"/>
  <c r="BA12" i="28"/>
  <c r="BA13" i="28"/>
  <c r="BA14" i="28"/>
  <c r="BA15" i="28"/>
  <c r="BA16" i="28"/>
  <c r="BA17" i="28"/>
  <c r="BA18" i="28"/>
  <c r="BA19" i="28"/>
  <c r="BA20" i="28"/>
  <c r="BA22" i="28"/>
  <c r="BA23" i="28"/>
  <c r="BA24" i="28"/>
  <c r="BA26" i="28"/>
  <c r="BA27" i="28"/>
  <c r="BA28" i="28"/>
  <c r="BA29" i="28"/>
  <c r="BA30" i="28"/>
  <c r="BA31" i="28"/>
  <c r="BA32" i="28"/>
  <c r="BA41" i="28"/>
  <c r="BA42" i="28"/>
  <c r="BA43" i="28"/>
  <c r="BA8" i="28"/>
  <c r="BA9" i="28"/>
  <c r="BB7" i="28"/>
  <c r="BB70" i="28" l="1"/>
  <c r="BB45" i="28"/>
  <c r="BB46" i="28"/>
  <c r="BB47" i="28"/>
  <c r="BB48" i="28"/>
  <c r="BB49" i="28"/>
  <c r="BB50" i="28"/>
  <c r="BB51" i="28"/>
  <c r="BB52" i="28"/>
  <c r="BB53" i="28"/>
  <c r="BB54" i="28"/>
  <c r="BB55" i="28"/>
  <c r="BB56" i="28"/>
  <c r="BB57" i="28"/>
  <c r="BB58" i="28"/>
  <c r="BB59" i="28"/>
  <c r="BB60" i="28"/>
  <c r="BB61" i="28"/>
  <c r="BB62" i="28"/>
  <c r="BB63" i="28"/>
  <c r="BB64" i="28"/>
  <c r="BB65" i="28"/>
  <c r="BB66" i="28"/>
  <c r="BB67" i="28"/>
  <c r="BB68" i="28"/>
  <c r="BB69" i="28"/>
  <c r="BB71" i="28"/>
  <c r="BB72" i="28"/>
  <c r="BB44" i="28"/>
  <c r="BB73" i="28"/>
  <c r="BB74" i="28"/>
  <c r="BA6" i="28"/>
  <c r="BB34" i="28"/>
  <c r="BB36" i="28"/>
  <c r="BB40" i="28"/>
  <c r="BB37" i="28"/>
  <c r="BB38" i="28"/>
  <c r="BB35" i="28"/>
  <c r="BB39" i="28"/>
  <c r="BB11" i="28"/>
  <c r="BB25" i="28"/>
  <c r="BB33" i="28"/>
  <c r="BB21" i="28"/>
  <c r="BB10" i="28"/>
  <c r="BB12" i="28"/>
  <c r="BB13" i="28"/>
  <c r="BB14" i="28"/>
  <c r="BB15" i="28"/>
  <c r="BB16" i="28"/>
  <c r="BB17" i="28"/>
  <c r="BB18" i="28"/>
  <c r="BB19" i="28"/>
  <c r="BB20" i="28"/>
  <c r="BB22" i="28"/>
  <c r="BB23" i="28"/>
  <c r="BB24" i="28"/>
  <c r="BB26" i="28"/>
  <c r="BB27" i="28"/>
  <c r="BB28" i="28"/>
  <c r="BB29" i="28"/>
  <c r="BB30" i="28"/>
  <c r="BB31" i="28"/>
  <c r="BB32" i="28"/>
  <c r="BB41" i="28"/>
  <c r="BB42" i="28"/>
  <c r="BB43" i="28"/>
  <c r="BB8" i="28"/>
  <c r="BB9" i="28"/>
  <c r="BC7" i="28"/>
  <c r="BC70" i="28" l="1"/>
  <c r="BC45" i="28"/>
  <c r="BC46" i="28"/>
  <c r="BC47" i="28"/>
  <c r="BC48" i="28"/>
  <c r="BC49" i="28"/>
  <c r="BC50" i="28"/>
  <c r="BC51" i="28"/>
  <c r="BC52" i="28"/>
  <c r="BC53" i="28"/>
  <c r="BC54" i="28"/>
  <c r="BC55" i="28"/>
  <c r="BC56" i="28"/>
  <c r="BC57" i="28"/>
  <c r="BC58" i="28"/>
  <c r="BC59" i="28"/>
  <c r="BC60" i="28"/>
  <c r="BC61" i="28"/>
  <c r="BC62" i="28"/>
  <c r="BC63" i="28"/>
  <c r="BC64" i="28"/>
  <c r="BC65" i="28"/>
  <c r="BC66" i="28"/>
  <c r="BC67" i="28"/>
  <c r="BC44" i="28"/>
  <c r="BC68" i="28"/>
  <c r="BC69" i="28"/>
  <c r="BC71" i="28"/>
  <c r="BC72" i="28"/>
  <c r="BC73" i="28"/>
  <c r="BC74" i="28"/>
  <c r="BB6" i="28"/>
  <c r="BC34" i="28"/>
  <c r="BC35" i="28"/>
  <c r="BC39" i="28"/>
  <c r="BC38" i="28"/>
  <c r="BC37" i="28"/>
  <c r="BC36" i="28"/>
  <c r="BC40" i="28"/>
  <c r="BC11" i="28"/>
  <c r="BC25" i="28"/>
  <c r="BC33" i="28"/>
  <c r="BC21" i="28"/>
  <c r="BC10" i="28"/>
  <c r="BC12" i="28"/>
  <c r="BC13" i="28"/>
  <c r="BC14" i="28"/>
  <c r="BC15" i="28"/>
  <c r="BC16" i="28"/>
  <c r="BC17" i="28"/>
  <c r="BC18" i="28"/>
  <c r="BC19" i="28"/>
  <c r="BC20" i="28"/>
  <c r="BC22" i="28"/>
  <c r="BC23" i="28"/>
  <c r="BC24" i="28"/>
  <c r="BC26" i="28"/>
  <c r="BC27" i="28"/>
  <c r="BC28" i="28"/>
  <c r="BC29" i="28"/>
  <c r="BC30" i="28"/>
  <c r="BC31" i="28"/>
  <c r="BC32" i="28"/>
  <c r="BC41" i="28"/>
  <c r="BC42" i="28"/>
  <c r="BC43" i="28"/>
  <c r="BC9" i="28"/>
  <c r="BC8" i="28"/>
  <c r="BD7" i="28"/>
  <c r="BD70" i="28" l="1"/>
  <c r="BD45" i="28"/>
  <c r="BD46" i="28"/>
  <c r="BD47" i="28"/>
  <c r="BD48" i="28"/>
  <c r="BD49" i="28"/>
  <c r="BD50" i="28"/>
  <c r="BD51" i="28"/>
  <c r="BD52" i="28"/>
  <c r="BD53" i="28"/>
  <c r="BD54" i="28"/>
  <c r="BD55" i="28"/>
  <c r="BD56" i="28"/>
  <c r="BD57" i="28"/>
  <c r="BD58" i="28"/>
  <c r="BD59" i="28"/>
  <c r="BD60" i="28"/>
  <c r="BD61" i="28"/>
  <c r="BD62" i="28"/>
  <c r="BD63" i="28"/>
  <c r="BD64" i="28"/>
  <c r="BD65" i="28"/>
  <c r="BD66" i="28"/>
  <c r="BD67" i="28"/>
  <c r="BD68" i="28"/>
  <c r="BD69" i="28"/>
  <c r="BD71" i="28"/>
  <c r="BD72" i="28"/>
  <c r="BD44" i="28"/>
  <c r="BD73" i="28"/>
  <c r="BD74" i="28"/>
  <c r="BC6" i="28"/>
  <c r="BD34" i="28"/>
  <c r="BD38" i="28"/>
  <c r="BD35" i="28"/>
  <c r="BD39" i="28"/>
  <c r="BD36" i="28"/>
  <c r="BD40" i="28"/>
  <c r="BD37" i="28"/>
  <c r="BD11" i="28"/>
  <c r="BD25" i="28"/>
  <c r="BD33" i="28"/>
  <c r="BD21" i="28"/>
  <c r="BD10" i="28"/>
  <c r="BD12" i="28"/>
  <c r="BD13" i="28"/>
  <c r="BD14" i="28"/>
  <c r="BD15" i="28"/>
  <c r="BD16" i="28"/>
  <c r="BD17" i="28"/>
  <c r="BD18" i="28"/>
  <c r="BD19" i="28"/>
  <c r="BD20" i="28"/>
  <c r="BD22" i="28"/>
  <c r="BD23" i="28"/>
  <c r="BD24" i="28"/>
  <c r="BD26" i="28"/>
  <c r="BD27" i="28"/>
  <c r="BD28" i="28"/>
  <c r="BD29" i="28"/>
  <c r="BD30" i="28"/>
  <c r="BD31" i="28"/>
  <c r="BD32" i="28"/>
  <c r="BD41" i="28"/>
  <c r="BD42" i="28"/>
  <c r="BD43" i="28"/>
  <c r="BD8" i="28"/>
  <c r="BD9" i="28"/>
  <c r="BE7" i="28"/>
  <c r="BE70" i="28" l="1"/>
  <c r="BE45" i="28"/>
  <c r="BE46" i="28"/>
  <c r="BE47" i="28"/>
  <c r="BE48" i="28"/>
  <c r="BE49" i="28"/>
  <c r="BE50" i="28"/>
  <c r="BE51" i="28"/>
  <c r="BE52" i="28"/>
  <c r="BE53" i="28"/>
  <c r="BE54" i="28"/>
  <c r="BE55" i="28"/>
  <c r="BE56" i="28"/>
  <c r="BE57" i="28"/>
  <c r="BE58" i="28"/>
  <c r="BE59" i="28"/>
  <c r="BE60" i="28"/>
  <c r="BE61" i="28"/>
  <c r="BE62" i="28"/>
  <c r="BE63" i="28"/>
  <c r="BE64" i="28"/>
  <c r="BE65" i="28"/>
  <c r="BE66" i="28"/>
  <c r="BE67" i="28"/>
  <c r="BE44" i="28"/>
  <c r="BE68" i="28"/>
  <c r="BE69" i="28"/>
  <c r="BE71" i="28"/>
  <c r="BE72" i="28"/>
  <c r="BE73" i="28"/>
  <c r="BE74" i="28"/>
  <c r="BD6" i="28"/>
  <c r="BE34" i="28"/>
  <c r="BE37" i="28"/>
  <c r="BE36" i="28"/>
  <c r="BE40" i="28"/>
  <c r="BE35" i="28"/>
  <c r="BE39" i="28"/>
  <c r="BE38" i="28"/>
  <c r="BE11" i="28"/>
  <c r="BE25" i="28"/>
  <c r="BE33" i="28"/>
  <c r="BE21" i="28"/>
  <c r="BE10" i="28"/>
  <c r="BE12" i="28"/>
  <c r="BE13" i="28"/>
  <c r="BE14" i="28"/>
  <c r="BE15" i="28"/>
  <c r="BE16" i="28"/>
  <c r="BE17" i="28"/>
  <c r="BE18" i="28"/>
  <c r="BE19" i="28"/>
  <c r="BE20" i="28"/>
  <c r="BE22" i="28"/>
  <c r="BE23" i="28"/>
  <c r="BE24" i="28"/>
  <c r="BE26" i="28"/>
  <c r="BE27" i="28"/>
  <c r="BE28" i="28"/>
  <c r="BE29" i="28"/>
  <c r="BE30" i="28"/>
  <c r="BE31" i="28"/>
  <c r="BE32" i="28"/>
  <c r="BE41" i="28"/>
  <c r="BE42" i="28"/>
  <c r="BE43" i="28"/>
  <c r="BE8" i="28"/>
  <c r="BE9" i="28"/>
  <c r="BF7" i="28"/>
  <c r="BF70" i="28" l="1"/>
  <c r="BF45" i="28"/>
  <c r="BF46" i="28"/>
  <c r="BF47" i="28"/>
  <c r="BF48" i="28"/>
  <c r="BF49" i="28"/>
  <c r="BF50" i="28"/>
  <c r="BF51" i="28"/>
  <c r="BF52" i="28"/>
  <c r="BF53" i="28"/>
  <c r="BF54" i="28"/>
  <c r="BF55" i="28"/>
  <c r="BF56" i="28"/>
  <c r="BF57" i="28"/>
  <c r="BF58" i="28"/>
  <c r="BF59" i="28"/>
  <c r="BF60" i="28"/>
  <c r="BF61" i="28"/>
  <c r="BF62" i="28"/>
  <c r="BF63" i="28"/>
  <c r="BF64" i="28"/>
  <c r="BF65" i="28"/>
  <c r="BF66" i="28"/>
  <c r="BF67" i="28"/>
  <c r="BF68" i="28"/>
  <c r="BF69" i="28"/>
  <c r="BF71" i="28"/>
  <c r="BF72" i="28"/>
  <c r="BF44" i="28"/>
  <c r="BF73" i="28"/>
  <c r="BF74" i="28"/>
  <c r="BE6" i="28"/>
  <c r="BF34" i="28"/>
  <c r="BF36" i="28"/>
  <c r="BF40" i="28"/>
  <c r="BF37" i="28"/>
  <c r="BF38" i="28"/>
  <c r="BF35" i="28"/>
  <c r="BF39" i="28"/>
  <c r="BF11" i="28"/>
  <c r="BF25" i="28"/>
  <c r="BF33" i="28"/>
  <c r="BF21" i="28"/>
  <c r="BF10" i="28"/>
  <c r="BF12" i="28"/>
  <c r="BF13" i="28"/>
  <c r="BF14" i="28"/>
  <c r="BF15" i="28"/>
  <c r="BF16" i="28"/>
  <c r="BF17" i="28"/>
  <c r="BF18" i="28"/>
  <c r="BF19" i="28"/>
  <c r="BF20" i="28"/>
  <c r="BF22" i="28"/>
  <c r="BF23" i="28"/>
  <c r="BF24" i="28"/>
  <c r="BF26" i="28"/>
  <c r="BF27" i="28"/>
  <c r="BF28" i="28"/>
  <c r="BF29" i="28"/>
  <c r="BF30" i="28"/>
  <c r="BF31" i="28"/>
  <c r="BF32" i="28"/>
  <c r="BF41" i="28"/>
  <c r="BF42" i="28"/>
  <c r="BF43" i="28"/>
  <c r="BF9" i="28"/>
  <c r="BF8" i="28"/>
  <c r="BG7" i="28"/>
  <c r="BG70" i="28" l="1"/>
  <c r="BG45" i="28"/>
  <c r="BG46" i="28"/>
  <c r="BG47" i="28"/>
  <c r="BG48" i="28"/>
  <c r="BG49" i="28"/>
  <c r="BG50" i="28"/>
  <c r="BG51" i="28"/>
  <c r="BG52" i="28"/>
  <c r="BG53" i="28"/>
  <c r="BG54" i="28"/>
  <c r="BG55" i="28"/>
  <c r="BG56" i="28"/>
  <c r="BG57" i="28"/>
  <c r="BG58" i="28"/>
  <c r="BG59" i="28"/>
  <c r="BG60" i="28"/>
  <c r="BG61" i="28"/>
  <c r="BG62" i="28"/>
  <c r="BG63" i="28"/>
  <c r="BG64" i="28"/>
  <c r="BG65" i="28"/>
  <c r="BG66" i="28"/>
  <c r="BG67" i="28"/>
  <c r="BG44" i="28"/>
  <c r="BG68" i="28"/>
  <c r="BG69" i="28"/>
  <c r="BG71" i="28"/>
  <c r="BG72" i="28"/>
  <c r="BG73" i="28"/>
  <c r="BG74" i="28"/>
  <c r="BF6" i="28"/>
  <c r="BG34" i="28"/>
  <c r="BG35" i="28"/>
  <c r="BG39" i="28"/>
  <c r="BG38" i="28"/>
  <c r="BG37" i="28"/>
  <c r="BG36" i="28"/>
  <c r="BG40" i="28"/>
  <c r="BG11" i="28"/>
  <c r="BG25" i="28"/>
  <c r="BG33" i="28"/>
  <c r="BG21" i="28"/>
  <c r="BG10" i="28"/>
  <c r="BG12" i="28"/>
  <c r="BG13" i="28"/>
  <c r="BG14" i="28"/>
  <c r="BG15" i="28"/>
  <c r="BG16" i="28"/>
  <c r="BG17" i="28"/>
  <c r="BG18" i="28"/>
  <c r="BG19" i="28"/>
  <c r="BG20" i="28"/>
  <c r="BG22" i="28"/>
  <c r="BG23" i="28"/>
  <c r="BG24" i="28"/>
  <c r="BG26" i="28"/>
  <c r="BG27" i="28"/>
  <c r="BG28" i="28"/>
  <c r="BG29" i="28"/>
  <c r="BG30" i="28"/>
  <c r="BG31" i="28"/>
  <c r="BG32" i="28"/>
  <c r="BG41" i="28"/>
  <c r="BG42" i="28"/>
  <c r="BG43" i="28"/>
  <c r="BG9" i="28"/>
  <c r="BG8" i="28"/>
  <c r="BH7" i="28"/>
  <c r="BH70" i="28" l="1"/>
  <c r="BH45" i="28"/>
  <c r="BH46" i="28"/>
  <c r="BH47" i="28"/>
  <c r="BH48" i="28"/>
  <c r="BH49" i="28"/>
  <c r="BH50" i="28"/>
  <c r="BH51" i="28"/>
  <c r="BH52" i="28"/>
  <c r="BH53" i="28"/>
  <c r="BH54" i="28"/>
  <c r="BH55" i="28"/>
  <c r="BH56" i="28"/>
  <c r="BH57" i="28"/>
  <c r="BH58" i="28"/>
  <c r="BH59" i="28"/>
  <c r="BH60" i="28"/>
  <c r="BH61" i="28"/>
  <c r="BH62" i="28"/>
  <c r="BH63" i="28"/>
  <c r="BH64" i="28"/>
  <c r="BH65" i="28"/>
  <c r="BH66" i="28"/>
  <c r="BH67" i="28"/>
  <c r="BH68" i="28"/>
  <c r="BH69" i="28"/>
  <c r="BH71" i="28"/>
  <c r="BH72" i="28"/>
  <c r="BH44" i="28"/>
  <c r="BH73" i="28"/>
  <c r="BH74" i="28"/>
  <c r="BG6" i="28"/>
  <c r="BH34" i="28"/>
  <c r="BH38" i="28"/>
  <c r="BH35" i="28"/>
  <c r="BH39" i="28"/>
  <c r="BH36" i="28"/>
  <c r="BH40" i="28"/>
  <c r="BH37" i="28"/>
  <c r="BH11" i="28"/>
  <c r="BH25" i="28"/>
  <c r="BH33" i="28"/>
  <c r="BH21" i="28"/>
  <c r="BH10" i="28"/>
  <c r="BH12" i="28"/>
  <c r="BH13" i="28"/>
  <c r="BH14" i="28"/>
  <c r="BH15" i="28"/>
  <c r="BH16" i="28"/>
  <c r="BH17" i="28"/>
  <c r="BH18" i="28"/>
  <c r="BH19" i="28"/>
  <c r="BH20" i="28"/>
  <c r="BH22" i="28"/>
  <c r="BH23" i="28"/>
  <c r="BH24" i="28"/>
  <c r="BH26" i="28"/>
  <c r="BH27" i="28"/>
  <c r="BH28" i="28"/>
  <c r="BH29" i="28"/>
  <c r="BH30" i="28"/>
  <c r="BH31" i="28"/>
  <c r="BH32" i="28"/>
  <c r="BH41" i="28"/>
  <c r="BH42" i="28"/>
  <c r="BH43" i="28"/>
  <c r="BH8" i="28"/>
  <c r="BH9" i="28"/>
  <c r="BI7" i="28"/>
  <c r="BI70" i="28" l="1"/>
  <c r="BI45" i="28"/>
  <c r="BI46" i="28"/>
  <c r="BI47" i="28"/>
  <c r="BI48" i="28"/>
  <c r="BI49" i="28"/>
  <c r="BI50" i="28"/>
  <c r="BI51" i="28"/>
  <c r="BI52" i="28"/>
  <c r="BI53" i="28"/>
  <c r="BI54" i="28"/>
  <c r="BI55" i="28"/>
  <c r="BI56" i="28"/>
  <c r="BI57" i="28"/>
  <c r="BI58" i="28"/>
  <c r="BI59" i="28"/>
  <c r="BI60" i="28"/>
  <c r="BI61" i="28"/>
  <c r="BI62" i="28"/>
  <c r="BI63" i="28"/>
  <c r="BI64" i="28"/>
  <c r="BI65" i="28"/>
  <c r="BI66" i="28"/>
  <c r="BI67" i="28"/>
  <c r="BI44" i="28"/>
  <c r="BI68" i="28"/>
  <c r="BI69" i="28"/>
  <c r="BI71" i="28"/>
  <c r="BI72" i="28"/>
  <c r="BI73" i="28"/>
  <c r="BI74" i="28"/>
  <c r="BH6" i="28"/>
  <c r="BI34" i="28"/>
  <c r="BI37" i="28"/>
  <c r="BI36" i="28"/>
  <c r="BI40" i="28"/>
  <c r="BI35" i="28"/>
  <c r="BI39" i="28"/>
  <c r="BI38" i="28"/>
  <c r="BI11" i="28"/>
  <c r="BI25" i="28"/>
  <c r="BI33" i="28"/>
  <c r="BI21" i="28"/>
  <c r="BI10" i="28"/>
  <c r="BI12" i="28"/>
  <c r="BI13" i="28"/>
  <c r="BI14" i="28"/>
  <c r="BI15" i="28"/>
  <c r="BI16" i="28"/>
  <c r="BI17" i="28"/>
  <c r="BI18" i="28"/>
  <c r="BI19" i="28"/>
  <c r="BI20" i="28"/>
  <c r="BI22" i="28"/>
  <c r="BI23" i="28"/>
  <c r="BI24" i="28"/>
  <c r="BI26" i="28"/>
  <c r="BI27" i="28"/>
  <c r="BI28" i="28"/>
  <c r="BI29" i="28"/>
  <c r="BI30" i="28"/>
  <c r="BI31" i="28"/>
  <c r="BI32" i="28"/>
  <c r="BI41" i="28"/>
  <c r="BI42" i="28"/>
  <c r="BI43" i="28"/>
  <c r="BI8" i="28"/>
  <c r="BI9" i="28"/>
  <c r="BJ7" i="28"/>
  <c r="BJ70" i="28" l="1"/>
  <c r="BJ45" i="28"/>
  <c r="BJ46" i="28"/>
  <c r="BJ47" i="28"/>
  <c r="BJ48" i="28"/>
  <c r="BJ49" i="28"/>
  <c r="BJ50" i="28"/>
  <c r="BJ51" i="28"/>
  <c r="BJ52" i="28"/>
  <c r="BJ53" i="28"/>
  <c r="BJ54" i="28"/>
  <c r="BJ55" i="28"/>
  <c r="BJ56" i="28"/>
  <c r="BJ57" i="28"/>
  <c r="BJ58" i="28"/>
  <c r="BJ59" i="28"/>
  <c r="BJ60" i="28"/>
  <c r="BJ61" i="28"/>
  <c r="BJ62" i="28"/>
  <c r="BJ63" i="28"/>
  <c r="BJ64" i="28"/>
  <c r="BJ65" i="28"/>
  <c r="BJ66" i="28"/>
  <c r="BJ67" i="28"/>
  <c r="BJ68" i="28"/>
  <c r="BJ69" i="28"/>
  <c r="BJ71" i="28"/>
  <c r="BJ72" i="28"/>
  <c r="BJ44" i="28"/>
  <c r="BJ73" i="28"/>
  <c r="BJ74" i="28"/>
  <c r="BI6" i="28"/>
  <c r="BJ34" i="28"/>
  <c r="BJ36" i="28"/>
  <c r="BJ40" i="28"/>
  <c r="BJ37" i="28"/>
  <c r="BJ38" i="28"/>
  <c r="BJ35" i="28"/>
  <c r="BJ39" i="28"/>
  <c r="BJ11" i="28"/>
  <c r="BJ25" i="28"/>
  <c r="BJ33" i="28"/>
  <c r="BJ21" i="28"/>
  <c r="BJ10" i="28"/>
  <c r="BJ12" i="28"/>
  <c r="BJ13" i="28"/>
  <c r="BJ14" i="28"/>
  <c r="BJ15" i="28"/>
  <c r="BJ16" i="28"/>
  <c r="BJ17" i="28"/>
  <c r="BJ18" i="28"/>
  <c r="BJ19" i="28"/>
  <c r="BJ20" i="28"/>
  <c r="BJ22" i="28"/>
  <c r="BJ23" i="28"/>
  <c r="BJ24" i="28"/>
  <c r="BJ26" i="28"/>
  <c r="BJ27" i="28"/>
  <c r="BJ28" i="28"/>
  <c r="BJ29" i="28"/>
  <c r="BJ30" i="28"/>
  <c r="BJ31" i="28"/>
  <c r="BJ32" i="28"/>
  <c r="BJ41" i="28"/>
  <c r="BJ42" i="28"/>
  <c r="BJ43" i="28"/>
  <c r="BJ9" i="28"/>
  <c r="BJ8" i="28"/>
  <c r="BK7" i="28"/>
  <c r="BK70" i="28" l="1"/>
  <c r="BK45" i="28"/>
  <c r="BK46" i="28"/>
  <c r="BK47" i="28"/>
  <c r="BK48" i="28"/>
  <c r="BK49" i="28"/>
  <c r="BK50" i="28"/>
  <c r="BK51" i="28"/>
  <c r="BK52" i="28"/>
  <c r="BK53" i="28"/>
  <c r="BK54" i="28"/>
  <c r="BK55" i="28"/>
  <c r="BK56" i="28"/>
  <c r="BK57" i="28"/>
  <c r="BK58" i="28"/>
  <c r="BK59" i="28"/>
  <c r="BK60" i="28"/>
  <c r="BK61" i="28"/>
  <c r="BK62" i="28"/>
  <c r="BK63" i="28"/>
  <c r="BK64" i="28"/>
  <c r="BK65" i="28"/>
  <c r="BK66" i="28"/>
  <c r="BK67" i="28"/>
  <c r="BK44" i="28"/>
  <c r="BK68" i="28"/>
  <c r="BK69" i="28"/>
  <c r="BK71" i="28"/>
  <c r="BK72" i="28"/>
  <c r="BK73" i="28"/>
  <c r="BK74" i="28"/>
  <c r="BJ6" i="28"/>
  <c r="BK34" i="28"/>
  <c r="BK35" i="28"/>
  <c r="BK39" i="28"/>
  <c r="BK38" i="28"/>
  <c r="BK37" i="28"/>
  <c r="BK36" i="28"/>
  <c r="BK40" i="28"/>
  <c r="BK11" i="28"/>
  <c r="BK25" i="28"/>
  <c r="BK33" i="28"/>
  <c r="BK21" i="28"/>
  <c r="BK10" i="28"/>
  <c r="BK12" i="28"/>
  <c r="BK13" i="28"/>
  <c r="BK14" i="28"/>
  <c r="BK15" i="28"/>
  <c r="BK16" i="28"/>
  <c r="BK17" i="28"/>
  <c r="BK18" i="28"/>
  <c r="BK19" i="28"/>
  <c r="BK20" i="28"/>
  <c r="BK22" i="28"/>
  <c r="BK23" i="28"/>
  <c r="BK24" i="28"/>
  <c r="BK26" i="28"/>
  <c r="BK27" i="28"/>
  <c r="BK28" i="28"/>
  <c r="BK29" i="28"/>
  <c r="BK30" i="28"/>
  <c r="BK31" i="28"/>
  <c r="BK32" i="28"/>
  <c r="BK41" i="28"/>
  <c r="BK42" i="28"/>
  <c r="BK43" i="28"/>
  <c r="BK9" i="28"/>
  <c r="BK8" i="28"/>
  <c r="BL7" i="28"/>
  <c r="BL70" i="28" l="1"/>
  <c r="BL45" i="28"/>
  <c r="BL46" i="28"/>
  <c r="BL47" i="28"/>
  <c r="BL48" i="28"/>
  <c r="BL49" i="28"/>
  <c r="BL50" i="28"/>
  <c r="BL51" i="28"/>
  <c r="BL52" i="28"/>
  <c r="BL53" i="28"/>
  <c r="BL54" i="28"/>
  <c r="BL55" i="28"/>
  <c r="BL56" i="28"/>
  <c r="BL57" i="28"/>
  <c r="BL58" i="28"/>
  <c r="BL59" i="28"/>
  <c r="BL60" i="28"/>
  <c r="BL61" i="28"/>
  <c r="BL62" i="28"/>
  <c r="BL63" i="28"/>
  <c r="BL64" i="28"/>
  <c r="BL65" i="28"/>
  <c r="BL66" i="28"/>
  <c r="BL67" i="28"/>
  <c r="BL68" i="28"/>
  <c r="BL69" i="28"/>
  <c r="BL71" i="28"/>
  <c r="BL72" i="28"/>
  <c r="BL44" i="28"/>
  <c r="BL73" i="28"/>
  <c r="BL74" i="28"/>
  <c r="BK6" i="28"/>
  <c r="BL34" i="28"/>
  <c r="BL38" i="28"/>
  <c r="BL35" i="28"/>
  <c r="BL39" i="28"/>
  <c r="BL36" i="28"/>
  <c r="BL40" i="28"/>
  <c r="BL37" i="28"/>
  <c r="BL11" i="28"/>
  <c r="BL25" i="28"/>
  <c r="BL33" i="28"/>
  <c r="BL21" i="28"/>
  <c r="BL10" i="28"/>
  <c r="BL12" i="28"/>
  <c r="BL13" i="28"/>
  <c r="BL14" i="28"/>
  <c r="BL15" i="28"/>
  <c r="BL16" i="28"/>
  <c r="BL17" i="28"/>
  <c r="BL18" i="28"/>
  <c r="BL19" i="28"/>
  <c r="BL20" i="28"/>
  <c r="BL22" i="28"/>
  <c r="BL23" i="28"/>
  <c r="BL24" i="28"/>
  <c r="BL26" i="28"/>
  <c r="BL27" i="28"/>
  <c r="BL28" i="28"/>
  <c r="BL29" i="28"/>
  <c r="BL30" i="28"/>
  <c r="BL31" i="28"/>
  <c r="BL32" i="28"/>
  <c r="BL41" i="28"/>
  <c r="BL42" i="28"/>
  <c r="BL43" i="28"/>
  <c r="BL8" i="28"/>
  <c r="BL9" i="28"/>
  <c r="BM7" i="28"/>
  <c r="BM70" i="28" l="1"/>
  <c r="BM45" i="28"/>
  <c r="BM46" i="28"/>
  <c r="BM47" i="28"/>
  <c r="BM48" i="28"/>
  <c r="BM49" i="28"/>
  <c r="BM50" i="28"/>
  <c r="BM51" i="28"/>
  <c r="BM52" i="28"/>
  <c r="BM53" i="28"/>
  <c r="BM54" i="28"/>
  <c r="BM55" i="28"/>
  <c r="BM56" i="28"/>
  <c r="BM57" i="28"/>
  <c r="BM58" i="28"/>
  <c r="BM59" i="28"/>
  <c r="BM60" i="28"/>
  <c r="BM61" i="28"/>
  <c r="BM62" i="28"/>
  <c r="BM63" i="28"/>
  <c r="BM64" i="28"/>
  <c r="BM65" i="28"/>
  <c r="BM66" i="28"/>
  <c r="BM67" i="28"/>
  <c r="BM44" i="28"/>
  <c r="BM68" i="28"/>
  <c r="BM69" i="28"/>
  <c r="BM71" i="28"/>
  <c r="BM72" i="28"/>
  <c r="BM73" i="28"/>
  <c r="BM74" i="28"/>
  <c r="BL6" i="28"/>
  <c r="BM34" i="28"/>
  <c r="BM37" i="28"/>
  <c r="BM36" i="28"/>
  <c r="BM40" i="28"/>
  <c r="BM35" i="28"/>
  <c r="BM39" i="28"/>
  <c r="BM38" i="28"/>
  <c r="BM11" i="28"/>
  <c r="BM25" i="28"/>
  <c r="BM33" i="28"/>
  <c r="BM21" i="28"/>
  <c r="BM10" i="28"/>
  <c r="BM12" i="28"/>
  <c r="BM13" i="28"/>
  <c r="BM14" i="28"/>
  <c r="BM15" i="28"/>
  <c r="BM16" i="28"/>
  <c r="BM17" i="28"/>
  <c r="BM18" i="28"/>
  <c r="BM19" i="28"/>
  <c r="BM20" i="28"/>
  <c r="BM22" i="28"/>
  <c r="BM23" i="28"/>
  <c r="BM24" i="28"/>
  <c r="BM26" i="28"/>
  <c r="BM27" i="28"/>
  <c r="BM28" i="28"/>
  <c r="BM29" i="28"/>
  <c r="BM30" i="28"/>
  <c r="BM31" i="28"/>
  <c r="BM32" i="28"/>
  <c r="BM41" i="28"/>
  <c r="BM42" i="28"/>
  <c r="BM43" i="28"/>
  <c r="BM8" i="28"/>
  <c r="BM9" i="28"/>
  <c r="BN7" i="28"/>
  <c r="BN70" i="28" l="1"/>
  <c r="BN45" i="28"/>
  <c r="BN46" i="28"/>
  <c r="BN47" i="28"/>
  <c r="BN48" i="28"/>
  <c r="BN49" i="28"/>
  <c r="BN50" i="28"/>
  <c r="BN51" i="28"/>
  <c r="BN52" i="28"/>
  <c r="BN53" i="28"/>
  <c r="BN54" i="28"/>
  <c r="BN55" i="28"/>
  <c r="BN56" i="28"/>
  <c r="BN57" i="28"/>
  <c r="BN58" i="28"/>
  <c r="BN59" i="28"/>
  <c r="BN60" i="28"/>
  <c r="BN61" i="28"/>
  <c r="BN62" i="28"/>
  <c r="BN63" i="28"/>
  <c r="BN64" i="28"/>
  <c r="BN65" i="28"/>
  <c r="BN66" i="28"/>
  <c r="BN67" i="28"/>
  <c r="BN68" i="28"/>
  <c r="BN69" i="28"/>
  <c r="BN71" i="28"/>
  <c r="BN72" i="28"/>
  <c r="BN44" i="28"/>
  <c r="BN73" i="28"/>
  <c r="BN74" i="28"/>
  <c r="BM6" i="28"/>
  <c r="BN34" i="28"/>
  <c r="BN36" i="28"/>
  <c r="BN40" i="28"/>
  <c r="BN37" i="28"/>
  <c r="BN38" i="28"/>
  <c r="BN35" i="28"/>
  <c r="BN39" i="28"/>
  <c r="BN11" i="28"/>
  <c r="BN25" i="28"/>
  <c r="BN33" i="28"/>
  <c r="BN21" i="28"/>
  <c r="BN10" i="28"/>
  <c r="BN12" i="28"/>
  <c r="BN13" i="28"/>
  <c r="BN14" i="28"/>
  <c r="BN15" i="28"/>
  <c r="BN16" i="28"/>
  <c r="BN17" i="28"/>
  <c r="BN18" i="28"/>
  <c r="BN19" i="28"/>
  <c r="BN20" i="28"/>
  <c r="BN22" i="28"/>
  <c r="BN23" i="28"/>
  <c r="BN24" i="28"/>
  <c r="BN26" i="28"/>
  <c r="BN27" i="28"/>
  <c r="BN28" i="28"/>
  <c r="BN29" i="28"/>
  <c r="BN30" i="28"/>
  <c r="BN31" i="28"/>
  <c r="BN32" i="28"/>
  <c r="BN41" i="28"/>
  <c r="BN42" i="28"/>
  <c r="BN43" i="28"/>
  <c r="BN9" i="28"/>
  <c r="BN8" i="28"/>
  <c r="BO7" i="28"/>
  <c r="BO70" i="28" l="1"/>
  <c r="BO45" i="28"/>
  <c r="BO46" i="28"/>
  <c r="BO47" i="28"/>
  <c r="BO48" i="28"/>
  <c r="BO49" i="28"/>
  <c r="BO50" i="28"/>
  <c r="BO51" i="28"/>
  <c r="BO52" i="28"/>
  <c r="BO53" i="28"/>
  <c r="BO54" i="28"/>
  <c r="BO55" i="28"/>
  <c r="BO56" i="28"/>
  <c r="BO57" i="28"/>
  <c r="BO58" i="28"/>
  <c r="BO59" i="28"/>
  <c r="BO60" i="28"/>
  <c r="BO61" i="28"/>
  <c r="BO62" i="28"/>
  <c r="BO63" i="28"/>
  <c r="BO64" i="28"/>
  <c r="BO65" i="28"/>
  <c r="BO66" i="28"/>
  <c r="BO67" i="28"/>
  <c r="BO44" i="28"/>
  <c r="BO68" i="28"/>
  <c r="BO69" i="28"/>
  <c r="BO71" i="28"/>
  <c r="BO72" i="28"/>
  <c r="BO73" i="28"/>
  <c r="BO74" i="28"/>
  <c r="BN6" i="28"/>
  <c r="BO34" i="28"/>
  <c r="BO36" i="28"/>
  <c r="BO38" i="28"/>
  <c r="BO40" i="28"/>
  <c r="BO35" i="28"/>
  <c r="BO39" i="28"/>
  <c r="BO37" i="28"/>
  <c r="BO11" i="28"/>
  <c r="BO25" i="28"/>
  <c r="BO33" i="28"/>
  <c r="BO21" i="28"/>
  <c r="BO10" i="28"/>
  <c r="BO12" i="28"/>
  <c r="BO13" i="28"/>
  <c r="BO14" i="28"/>
  <c r="BO15" i="28"/>
  <c r="BO16" i="28"/>
  <c r="BO17" i="28"/>
  <c r="BO18" i="28"/>
  <c r="BO19" i="28"/>
  <c r="BO20" i="28"/>
  <c r="BO22" i="28"/>
  <c r="BO23" i="28"/>
  <c r="BO24" i="28"/>
  <c r="BO26" i="28"/>
  <c r="BO27" i="28"/>
  <c r="BO28" i="28"/>
  <c r="BO29" i="28"/>
  <c r="BO30" i="28"/>
  <c r="BO31" i="28"/>
  <c r="BO32" i="28"/>
  <c r="BO41" i="28"/>
  <c r="BO42" i="28"/>
  <c r="BO43" i="28"/>
  <c r="BO9" i="28"/>
  <c r="BO8" i="28"/>
  <c r="BP7" i="28"/>
  <c r="BP70" i="28" l="1"/>
  <c r="BP45" i="28"/>
  <c r="BP46" i="28"/>
  <c r="BP47" i="28"/>
  <c r="BP48" i="28"/>
  <c r="BP49" i="28"/>
  <c r="BP50" i="28"/>
  <c r="BP51" i="28"/>
  <c r="BP52" i="28"/>
  <c r="BP53" i="28"/>
  <c r="BP54" i="28"/>
  <c r="BP55" i="28"/>
  <c r="BP56" i="28"/>
  <c r="BP57" i="28"/>
  <c r="BP58" i="28"/>
  <c r="BP59" i="28"/>
  <c r="BP60" i="28"/>
  <c r="BP61" i="28"/>
  <c r="BP62" i="28"/>
  <c r="BP63" i="28"/>
  <c r="BP64" i="28"/>
  <c r="BP65" i="28"/>
  <c r="BP66" i="28"/>
  <c r="BP67" i="28"/>
  <c r="BP68" i="28"/>
  <c r="BP69" i="28"/>
  <c r="BP71" i="28"/>
  <c r="BP72" i="28"/>
  <c r="BP44" i="28"/>
  <c r="BP73" i="28"/>
  <c r="BP74" i="28"/>
  <c r="BO6" i="28"/>
  <c r="BP34" i="28"/>
  <c r="BP38" i="28"/>
  <c r="BP35" i="28"/>
  <c r="BP37" i="28"/>
  <c r="BP39" i="28"/>
  <c r="BP36" i="28"/>
  <c r="BP40" i="28"/>
  <c r="BP11" i="28"/>
  <c r="BP25" i="28"/>
  <c r="BP33" i="28"/>
  <c r="BP21" i="28"/>
  <c r="BP10" i="28"/>
  <c r="BP12" i="28"/>
  <c r="BP13" i="28"/>
  <c r="BP14" i="28"/>
  <c r="BP15" i="28"/>
  <c r="BP16" i="28"/>
  <c r="BP17" i="28"/>
  <c r="BP18" i="28"/>
  <c r="BP19" i="28"/>
  <c r="BP20" i="28"/>
  <c r="BP22" i="28"/>
  <c r="BP23" i="28"/>
  <c r="BP24" i="28"/>
  <c r="BP26" i="28"/>
  <c r="BP27" i="28"/>
  <c r="BP28" i="28"/>
  <c r="BP29" i="28"/>
  <c r="BP30" i="28"/>
  <c r="BP31" i="28"/>
  <c r="BP32" i="28"/>
  <c r="BP41" i="28"/>
  <c r="BP42" i="28"/>
  <c r="BP43" i="28"/>
  <c r="BP8" i="28"/>
  <c r="BP9" i="28"/>
  <c r="BP6" i="28" l="1"/>
  <c r="W103" i="9" l="1"/>
  <c r="W102" i="9"/>
  <c r="B26" i="16"/>
  <c r="W100" i="9"/>
  <c r="W101" i="9"/>
  <c r="V103" i="9" l="1"/>
  <c r="Y103" i="9"/>
  <c r="AA103" i="9" s="1"/>
  <c r="X103" i="9"/>
  <c r="Z103" i="9" s="1"/>
  <c r="V100" i="9"/>
  <c r="V101" i="9"/>
  <c r="Y101" i="9"/>
  <c r="X101" i="9"/>
  <c r="Z101" i="9" s="1"/>
  <c r="X102" i="9"/>
  <c r="Y102" i="9"/>
  <c r="V102" i="9"/>
  <c r="X100" i="9"/>
  <c r="Y100" i="9"/>
  <c r="AA100" i="9" s="1"/>
  <c r="AA98" i="9" l="1"/>
  <c r="C26" i="16" s="1"/>
  <c r="AA101" i="9"/>
  <c r="Z100" i="9"/>
  <c r="AA102" i="9"/>
  <c r="Z102" i="9"/>
  <c r="Z104" i="9" l="1"/>
  <c r="AA104" i="9"/>
  <c r="E26" i="16" s="1"/>
  <c r="F26" i="16" s="1"/>
  <c r="D26" i="16"/>
  <c r="W83" i="9"/>
  <c r="W84" i="9"/>
  <c r="W85" i="9"/>
  <c r="W86" i="9"/>
  <c r="W87" i="9"/>
  <c r="B23" i="16"/>
  <c r="B28" i="16" s="1"/>
  <c r="W82" i="9"/>
  <c r="V86" i="9" l="1"/>
  <c r="Y86" i="9"/>
  <c r="X86" i="9"/>
  <c r="Z86" i="9" s="1"/>
  <c r="V84" i="9"/>
  <c r="Y84" i="9"/>
  <c r="X84" i="9"/>
  <c r="Z84" i="9" s="1"/>
  <c r="V87" i="9"/>
  <c r="Y87" i="9"/>
  <c r="X87" i="9"/>
  <c r="Z87" i="9" s="1"/>
  <c r="V85" i="9"/>
  <c r="Y85" i="9"/>
  <c r="X85" i="9"/>
  <c r="Z85" i="9" s="1"/>
  <c r="V83" i="9"/>
  <c r="Y83" i="9"/>
  <c r="X83" i="9"/>
  <c r="Z83" i="9" s="1"/>
  <c r="X82" i="9"/>
  <c r="Y82" i="9"/>
  <c r="V82" i="9"/>
  <c r="AA80" i="9" l="1"/>
  <c r="AA82" i="9"/>
  <c r="AA83" i="9"/>
  <c r="AA87" i="9"/>
  <c r="AA86" i="9"/>
  <c r="Z82" i="9"/>
  <c r="Z88" i="9" s="1"/>
  <c r="D23" i="16" s="1"/>
  <c r="D28" i="16" s="1"/>
  <c r="AA85" i="9"/>
  <c r="AA84" i="9"/>
  <c r="C23" i="16"/>
  <c r="C28" i="16" s="1"/>
  <c r="Z3" i="16" l="1"/>
  <c r="H2" i="16"/>
  <c r="AA88" i="9"/>
  <c r="E23" i="16" s="1"/>
  <c r="E28" i="16" s="1"/>
  <c r="F28" i="16" s="1"/>
  <c r="F23" i="16" l="1"/>
  <c r="T2" i="16"/>
  <c r="R2" i="9" s="1"/>
  <c r="Q1" i="16"/>
  <c r="N1" i="9" s="1"/>
  <c r="Z6" i="16"/>
  <c r="O2" i="16" s="1"/>
  <c r="K2" i="9" s="1"/>
  <c r="C2" i="18"/>
  <c r="B20" i="18" s="1"/>
  <c r="C2" i="9"/>
</calcChain>
</file>

<file path=xl/comments1.xml><?xml version="1.0" encoding="utf-8"?>
<comments xmlns="http://schemas.openxmlformats.org/spreadsheetml/2006/main">
  <authors>
    <author>Enigma</author>
  </authors>
  <commentList>
    <comment ref="D2" authorId="0">
      <text>
        <r>
          <rPr>
            <sz val="8"/>
            <color indexed="81"/>
            <rFont val="Tahoma"/>
            <family val="2"/>
          </rPr>
          <t>Prise en compte des murs dans l'affichage du graphique</t>
        </r>
      </text>
    </comment>
    <comment ref="E2" authorId="0">
      <text>
        <r>
          <rPr>
            <sz val="8"/>
            <color indexed="81"/>
            <rFont val="Tahoma"/>
            <family val="2"/>
          </rPr>
          <t>Prise en compte de l'hotel de ville dans l'affichage du graphique</t>
        </r>
      </text>
    </comment>
    <comment ref="F2" authorId="0">
      <text>
        <r>
          <rPr>
            <sz val="8"/>
            <color indexed="81"/>
            <rFont val="Tahoma"/>
            <family val="2"/>
          </rPr>
          <t>Prise en compte des héros dans l'affichage du graphique</t>
        </r>
      </text>
    </comment>
  </commentList>
</comments>
</file>

<file path=xl/sharedStrings.xml><?xml version="1.0" encoding="utf-8"?>
<sst xmlns="http://schemas.openxmlformats.org/spreadsheetml/2006/main" count="3446" uniqueCount="829">
  <si>
    <t>Laboratory</t>
  </si>
  <si>
    <t>Elixir Collector</t>
  </si>
  <si>
    <t>Gold Mine</t>
  </si>
  <si>
    <t>Cannon</t>
  </si>
  <si>
    <t>Wall</t>
  </si>
  <si>
    <t>Mortar</t>
  </si>
  <si>
    <t>Wizard Tower</t>
  </si>
  <si>
    <t>X-Bow</t>
  </si>
  <si>
    <t>Dark Elixir Drill</t>
  </si>
  <si>
    <t>Gold Storage</t>
  </si>
  <si>
    <t>Elixir Storage</t>
  </si>
  <si>
    <t>Dark Elixir Storage</t>
  </si>
  <si>
    <t>Army Camp</t>
  </si>
  <si>
    <t>Spell Factory</t>
  </si>
  <si>
    <t>Inferno Tower</t>
  </si>
  <si>
    <t>LVL Max</t>
  </si>
  <si>
    <t>Clan Castle</t>
  </si>
  <si>
    <t>LVL</t>
  </si>
  <si>
    <t>Cost</t>
  </si>
  <si>
    <t>Time</t>
  </si>
  <si>
    <t>Upgrades</t>
  </si>
  <si>
    <t>LVL Max2</t>
  </si>
  <si>
    <t>LVL Max3</t>
  </si>
  <si>
    <t>LVL Max4</t>
  </si>
  <si>
    <t>LVL Max5</t>
  </si>
  <si>
    <t>LVL Max6</t>
  </si>
  <si>
    <t>LVL Max7</t>
  </si>
  <si>
    <t>LVL Max8</t>
  </si>
  <si>
    <t>LVL Max9</t>
  </si>
  <si>
    <t>NB</t>
  </si>
  <si>
    <t>+</t>
  </si>
  <si>
    <t>Total</t>
  </si>
  <si>
    <t>Elixir</t>
  </si>
  <si>
    <t>Gold</t>
  </si>
  <si>
    <t>Archer Tower</t>
  </si>
  <si>
    <t>Air Defense</t>
  </si>
  <si>
    <t>Hidden Tesla</t>
  </si>
  <si>
    <t>Current</t>
  </si>
  <si>
    <t>Max</t>
  </si>
  <si>
    <t>Max +</t>
  </si>
  <si>
    <t>TO DO</t>
  </si>
  <si>
    <t>Total Time</t>
  </si>
  <si>
    <t>Total Cost</t>
  </si>
  <si>
    <t>Heroes</t>
  </si>
  <si>
    <t>Barbarian King</t>
  </si>
  <si>
    <t>Archer Queen</t>
  </si>
  <si>
    <t>Costs - Heroes</t>
  </si>
  <si>
    <t>Heroes (Available &amp; Max LVL)</t>
  </si>
  <si>
    <t>Heroes (Changes)</t>
  </si>
  <si>
    <t>Barbarian</t>
  </si>
  <si>
    <t>Archer</t>
  </si>
  <si>
    <t>Goblin</t>
  </si>
  <si>
    <t>Giant</t>
  </si>
  <si>
    <t>Wall Breaker</t>
  </si>
  <si>
    <t>Balloon</t>
  </si>
  <si>
    <t>Wizard</t>
  </si>
  <si>
    <t>Healer</t>
  </si>
  <si>
    <t>Dragon</t>
  </si>
  <si>
    <t>P.E.K.K.A</t>
  </si>
  <si>
    <t>Lightning Spell</t>
  </si>
  <si>
    <t>Healing Spell</t>
  </si>
  <si>
    <t>Rage Spell</t>
  </si>
  <si>
    <t>Jump Spell</t>
  </si>
  <si>
    <t>Costs - Spells Upgrades</t>
  </si>
  <si>
    <t>Minion</t>
  </si>
  <si>
    <t>Hog Rider</t>
  </si>
  <si>
    <t>Valkyrie</t>
  </si>
  <si>
    <t>Golem</t>
  </si>
  <si>
    <t>Dark Elixir</t>
  </si>
  <si>
    <t>Building</t>
  </si>
  <si>
    <t>Up.</t>
  </si>
  <si>
    <t>Spell</t>
  </si>
  <si>
    <t>Freeze Spell</t>
  </si>
  <si>
    <t>Traps (Available)</t>
  </si>
  <si>
    <t>Traps (Changes)</t>
  </si>
  <si>
    <t>Other Buildings (Changes)</t>
  </si>
  <si>
    <t>Other Buildings</t>
  </si>
  <si>
    <t>LVL Max10</t>
  </si>
  <si>
    <t>Costs - Other Buildings</t>
  </si>
  <si>
    <t>Hero</t>
  </si>
  <si>
    <t>Builders</t>
  </si>
  <si>
    <t>Normal Troop</t>
  </si>
  <si>
    <t>Dark Troop</t>
  </si>
  <si>
    <t>Costs - Normal Troops Upgrades</t>
  </si>
  <si>
    <t>Costs - Dark Troops Upgrades</t>
  </si>
  <si>
    <t>Resource Buildings</t>
  </si>
  <si>
    <t>Resource Buildings (Changes)</t>
  </si>
  <si>
    <t>Army Buildings (Changes)</t>
  </si>
  <si>
    <t>Defensive Buildings (Changes)</t>
  </si>
  <si>
    <t>Costs - Army Buildings</t>
  </si>
  <si>
    <t>Costs - Defensive Buildings</t>
  </si>
  <si>
    <t>Army Buildings</t>
  </si>
  <si>
    <t>Defensive Buildings</t>
  </si>
  <si>
    <t>Costs - Resource Buildings</t>
  </si>
  <si>
    <t>Version</t>
  </si>
  <si>
    <t>Description</t>
  </si>
  <si>
    <t>Download</t>
  </si>
  <si>
    <t>Name File</t>
  </si>
  <si>
    <t>- Initial version</t>
  </si>
  <si>
    <t>- Fixed Elixir Storage &amp; Gold Storage costs</t>
  </si>
  <si>
    <t>Dark Troops Upgrades</t>
  </si>
  <si>
    <t>Tot.</t>
  </si>
  <si>
    <t>Upgrade not available</t>
  </si>
  <si>
    <t>Error
Total max. reach</t>
  </si>
  <si>
    <t>Normal Troops Upgrades</t>
  </si>
  <si>
    <t>Spells Upgrades</t>
  </si>
  <si>
    <t>Spells Upgrades (Available &amp; Max LVL)</t>
  </si>
  <si>
    <t>Spells Upgrades (Changes)</t>
  </si>
  <si>
    <t>Normal Troops Upgrades (Available &amp; Max LVL)</t>
  </si>
  <si>
    <t>Normal Troops Upgrades (Changes)</t>
  </si>
  <si>
    <t>Dark Troops Upgrades (Available &amp; Max LVL)</t>
  </si>
  <si>
    <t>Dark Troops Upgrades (Changes)</t>
  </si>
  <si>
    <t>Summary Tables</t>
  </si>
  <si>
    <t>ChangeLog</t>
  </si>
  <si>
    <t>d/h/m</t>
  </si>
  <si>
    <t>- Adding the "ChangeLog" tab</t>
  </si>
  <si>
    <t>- Summary graphic changes on "TO DO" tab
- Displaying the time remaining in days rather than hours
- Locking formulas cells</t>
  </si>
  <si>
    <t>- Removing the tab "TO DO - By TH LVL"
- Renaming the tab "TO DO - By Current " to "TO DO"
- Conditional Formatting on "TO DO" tab</t>
  </si>
  <si>
    <t>/</t>
  </si>
  <si>
    <t>Production</t>
  </si>
  <si>
    <t>Capacity</t>
  </si>
  <si>
    <t>Earnings</t>
  </si>
  <si>
    <t>Period</t>
  </si>
  <si>
    <t>Type</t>
  </si>
  <si>
    <t>Time to reach needs</t>
  </si>
  <si>
    <t>Production / hour</t>
  </si>
  <si>
    <t>Production / period</t>
  </si>
  <si>
    <t>%</t>
  </si>
  <si>
    <t>Maximum Gain</t>
  </si>
  <si>
    <t>Trophy</t>
  </si>
  <si>
    <t>Gold Bonus</t>
  </si>
  <si>
    <t>Elixir Bonus</t>
  </si>
  <si>
    <t>Dark Elixir Bonus</t>
  </si>
  <si>
    <t>Rank</t>
  </si>
  <si>
    <t>Trophies</t>
  </si>
  <si>
    <t>Trophy Difference</t>
  </si>
  <si>
    <t>Loot Multiplier</t>
  </si>
  <si>
    <t>Raiding - Total Amount of Ressources</t>
  </si>
  <si>
    <t>Raiding - Available Amount of Ressources</t>
  </si>
  <si>
    <t>Max Stockable</t>
  </si>
  <si>
    <t>v1.01</t>
  </si>
  <si>
    <t>v1.21</t>
  </si>
  <si>
    <t>v1.22</t>
  </si>
  <si>
    <t>v1.23</t>
  </si>
  <si>
    <t>v1.31</t>
  </si>
  <si>
    <t>v1.41</t>
  </si>
  <si>
    <t>1 day</t>
  </si>
  <si>
    <t>Building not available</t>
  </si>
  <si>
    <t>Space</t>
  </si>
  <si>
    <t>Costs - Normal Troops Training</t>
  </si>
  <si>
    <t>Costs - Dark Troops Training</t>
  </si>
  <si>
    <t>Time (s)</t>
  </si>
  <si>
    <t>Current +</t>
  </si>
  <si>
    <t>Orange column:</t>
  </si>
  <si>
    <t>Spells Creation</t>
  </si>
  <si>
    <t>Normal Troops Training</t>
  </si>
  <si>
    <t>Dark Troops Training</t>
  </si>
  <si>
    <t>Total Space</t>
  </si>
  <si>
    <t>Max Space</t>
  </si>
  <si>
    <t>Attack</t>
  </si>
  <si>
    <t>h/m/s</t>
  </si>
  <si>
    <t>Army Camp - Total Capacity</t>
  </si>
  <si>
    <t>Yellow line:</t>
  </si>
  <si>
    <t>Error - Army Camp
Total max. reach</t>
  </si>
  <si>
    <t>Laboratory - NB</t>
  </si>
  <si>
    <t>Date</t>
  </si>
  <si>
    <t>v1.61</t>
  </si>
  <si>
    <t>v1.60</t>
  </si>
  <si>
    <t>v1.50</t>
  </si>
  <si>
    <t>v1.40</t>
  </si>
  <si>
    <t>v1.30</t>
  </si>
  <si>
    <t>v1.20</t>
  </si>
  <si>
    <t>v1.10</t>
  </si>
  <si>
    <t>v1.00</t>
  </si>
  <si>
    <t>Translation</t>
  </si>
  <si>
    <t>Tableaux récapitulatifs</t>
  </si>
  <si>
    <t>Mine d'Or</t>
  </si>
  <si>
    <t>TH LVL</t>
  </si>
  <si>
    <t>Héros</t>
  </si>
  <si>
    <t>Bâtiments Défensifs</t>
  </si>
  <si>
    <t>Bâtiments Autres</t>
  </si>
  <si>
    <t>Bâtiments d'Armée</t>
  </si>
  <si>
    <t>Reine des Archers</t>
  </si>
  <si>
    <t>Serviteur</t>
  </si>
  <si>
    <t>Guérisseuse</t>
  </si>
  <si>
    <t>Sorcier</t>
  </si>
  <si>
    <t>Ballon</t>
  </si>
  <si>
    <t>Sapeur</t>
  </si>
  <si>
    <t>Géant</t>
  </si>
  <si>
    <t>Gobelin</t>
  </si>
  <si>
    <t>Sort de Foudre</t>
  </si>
  <si>
    <t>Sort de Guérison</t>
  </si>
  <si>
    <t>Sort de Rage</t>
  </si>
  <si>
    <t>Sort de Saut</t>
  </si>
  <si>
    <t>Sort de Gel</t>
  </si>
  <si>
    <t>Barbare</t>
  </si>
  <si>
    <t>Roi des Barbares</t>
  </si>
  <si>
    <t>Hôtel de Ville</t>
  </si>
  <si>
    <t>Château de Clan</t>
  </si>
  <si>
    <t>Tour de l'Enfer</t>
  </si>
  <si>
    <t>Arc-X</t>
  </si>
  <si>
    <t>Tesla Camouflée</t>
  </si>
  <si>
    <t>Défense Antiaérienne</t>
  </si>
  <si>
    <t>Mortier</t>
  </si>
  <si>
    <t>Tour d'Archers</t>
  </si>
  <si>
    <t>Canon</t>
  </si>
  <si>
    <t>Rempart</t>
  </si>
  <si>
    <t>Caserne</t>
  </si>
  <si>
    <t>Laboratoire</t>
  </si>
  <si>
    <t>Usine de Sorts</t>
  </si>
  <si>
    <t>Extracteur d'Élixir</t>
  </si>
  <si>
    <t>Foreuse d'Élixir Noir</t>
  </si>
  <si>
    <t>Réserve d'Or</t>
  </si>
  <si>
    <t>seconds</t>
  </si>
  <si>
    <t>minutes</t>
  </si>
  <si>
    <t>secondes</t>
  </si>
  <si>
    <t>hours</t>
  </si>
  <si>
    <t>months</t>
  </si>
  <si>
    <t>heures</t>
  </si>
  <si>
    <t>mois</t>
  </si>
  <si>
    <t>days</t>
  </si>
  <si>
    <t>jours</t>
  </si>
  <si>
    <t>j/h/m</t>
  </si>
  <si>
    <t>hrs</t>
  </si>
  <si>
    <t>mins</t>
  </si>
  <si>
    <t>Time Display</t>
  </si>
  <si>
    <t>Améliorations de Sorts</t>
  </si>
  <si>
    <t>Améliorations de Troupes Noires</t>
  </si>
  <si>
    <t>Affichage Temps</t>
  </si>
  <si>
    <t>Required Resources</t>
  </si>
  <si>
    <t>Ressources Nécessaires</t>
  </si>
  <si>
    <t>Bâtiment</t>
  </si>
  <si>
    <t>Coût Total</t>
  </si>
  <si>
    <t>Temps Total</t>
  </si>
  <si>
    <t>Sort</t>
  </si>
  <si>
    <t>Troupe Normale</t>
  </si>
  <si>
    <t>Troupe Noire</t>
  </si>
  <si>
    <t>Or Total :</t>
  </si>
  <si>
    <t>Total Gold:</t>
  </si>
  <si>
    <t>Total Elixir:</t>
  </si>
  <si>
    <t>Améliorations de Troupes</t>
  </si>
  <si>
    <t>Élixir Total :</t>
  </si>
  <si>
    <t>Total Dark Elixir:</t>
  </si>
  <si>
    <t>Total Time:</t>
  </si>
  <si>
    <t>Temps Total :</t>
  </si>
  <si>
    <t>Chevaucheur de Cochon</t>
  </si>
  <si>
    <t>Or</t>
  </si>
  <si>
    <t>Élixir</t>
  </si>
  <si>
    <t>Élixir Noir</t>
  </si>
  <si>
    <t>Troops/Spells Up.:</t>
  </si>
  <si>
    <t>Champs</t>
  </si>
  <si>
    <t xml:space="preserve">Héros : </t>
  </si>
  <si>
    <t xml:space="preserve">Bâtiments : </t>
  </si>
  <si>
    <t xml:space="preserve">Buildings: </t>
  </si>
  <si>
    <t xml:space="preserve">Heroes: </t>
  </si>
  <si>
    <t>Améliorations de Troupes/Sorts :</t>
  </si>
  <si>
    <t>Actuel</t>
  </si>
  <si>
    <t>Améliorations</t>
  </si>
  <si>
    <t>Coût</t>
  </si>
  <si>
    <t>Temps</t>
  </si>
  <si>
    <t>Élixir Noir Total :</t>
  </si>
  <si>
    <t>Période</t>
  </si>
  <si>
    <t>Production / heure</t>
  </si>
  <si>
    <t>Production / période</t>
  </si>
  <si>
    <t>Temps pour obtenir besoins</t>
  </si>
  <si>
    <t>1 hour</t>
  </si>
  <si>
    <t>2 hours</t>
  </si>
  <si>
    <t>4 hours</t>
  </si>
  <si>
    <t>8 hours</t>
  </si>
  <si>
    <t>16 hours</t>
  </si>
  <si>
    <t>2 days</t>
  </si>
  <si>
    <t>3 days</t>
  </si>
  <si>
    <t>1 week</t>
  </si>
  <si>
    <t>1 month</t>
  </si>
  <si>
    <t>Fields</t>
  </si>
  <si>
    <t>1 heure</t>
  </si>
  <si>
    <t>2 heures</t>
  </si>
  <si>
    <t>4 heures</t>
  </si>
  <si>
    <t>8 heures</t>
  </si>
  <si>
    <t>16 heures</t>
  </si>
  <si>
    <t>1 jour</t>
  </si>
  <si>
    <t>2 jours</t>
  </si>
  <si>
    <t>3 jours</t>
  </si>
  <si>
    <t>1 semaine</t>
  </si>
  <si>
    <t>1 mois</t>
  </si>
  <si>
    <t>Stockage Max</t>
  </si>
  <si>
    <t>Attaque / Défense</t>
  </si>
  <si>
    <t>Attack / Defense</t>
  </si>
  <si>
    <t>Defense</t>
  </si>
  <si>
    <t>Attaque</t>
  </si>
  <si>
    <t>Défense</t>
  </si>
  <si>
    <t>LVL HdV</t>
  </si>
  <si>
    <t>LVL HdV Opposant</t>
  </si>
  <si>
    <t>Différence LVL HdV</t>
  </si>
  <si>
    <t>Trophées</t>
  </si>
  <si>
    <t>Gain Maximum</t>
  </si>
  <si>
    <t>Red cell:</t>
  </si>
  <si>
    <t>Orange Cell:</t>
  </si>
  <si>
    <t>Cellule rouge :</t>
  </si>
  <si>
    <t>Cellule orange :</t>
  </si>
  <si>
    <t>Combat - Nombre Total de Ressources</t>
  </si>
  <si>
    <t>Combat - Nombre de Ressources Disponibles</t>
  </si>
  <si>
    <t>Storages</t>
  </si>
  <si>
    <t>Mines/Collectors/Drills</t>
  </si>
  <si>
    <t>Mines/Extracteurs/Foreuses</t>
  </si>
  <si>
    <t>League Bonus</t>
  </si>
  <si>
    <t>Bonus de Ligue</t>
  </si>
  <si>
    <t>Multiplicateur de Loot</t>
  </si>
  <si>
    <t>Bâtiment non disponible</t>
  </si>
  <si>
    <t xml:space="preserve">Loots - Possible Losses vs TH LVL </t>
  </si>
  <si>
    <t xml:space="preserve">Loots - Gains Possibles vs HdV LVL </t>
  </si>
  <si>
    <t xml:space="preserve">Loots - Pertes Possibles vs HdV LVL </t>
  </si>
  <si>
    <t>Création de Sorts</t>
  </si>
  <si>
    <t>Formation de Troupes Normales</t>
  </si>
  <si>
    <t>Formation de Troupes Noires</t>
  </si>
  <si>
    <t>LVL Usine de Sorts</t>
  </si>
  <si>
    <t>Espace Max</t>
  </si>
  <si>
    <t>Espace Total</t>
  </si>
  <si>
    <t>NB
Caserne</t>
  </si>
  <si>
    <t>NB
Caserne Noire</t>
  </si>
  <si>
    <t>Caserne n°4 - NB</t>
  </si>
  <si>
    <t>Caserne n°3 - NB</t>
  </si>
  <si>
    <t>Caserne n°1 - NB</t>
  </si>
  <si>
    <t>LVL
Caserne n°1</t>
  </si>
  <si>
    <t>LVL
Caserne n°2</t>
  </si>
  <si>
    <t>LVL
Caserne n°3</t>
  </si>
  <si>
    <t>LVL
Caserne n°4</t>
  </si>
  <si>
    <t>LVL
Caserne Noire n°1</t>
  </si>
  <si>
    <t>LVL
Caserne Noire n°2</t>
  </si>
  <si>
    <t>Caserne Noire n°1 - NB</t>
  </si>
  <si>
    <t>Caserne Noire n°2 - NB</t>
  </si>
  <si>
    <t>Actuel +</t>
  </si>
  <si>
    <t>Troupe/Sort non disponible</t>
  </si>
  <si>
    <t>Colonne orange :</t>
  </si>
  <si>
    <t>Erreur - Caserne
Max. total atteint</t>
  </si>
  <si>
    <t>Colonne marron :</t>
  </si>
  <si>
    <t>Caserne non disponible
(ou pas de Laboratoire)</t>
  </si>
  <si>
    <t>Army Camp
Total Capacity</t>
  </si>
  <si>
    <t>Camp Militaire</t>
  </si>
  <si>
    <t>Camp Militaire - Capacité Totale</t>
  </si>
  <si>
    <t>Ligne jaune :</t>
  </si>
  <si>
    <t>Erreur - Camp Militaire
Max. total atteint</t>
  </si>
  <si>
    <t>Erreur - Bâtiment
Max. total atteint</t>
  </si>
  <si>
    <t>Caserne Noire</t>
  </si>
  <si>
    <t>Hôtel de Ville - Or</t>
  </si>
  <si>
    <t>Hôtel de Ville - Élixir</t>
  </si>
  <si>
    <t>Camp Militaire
Capacité Totale</t>
  </si>
  <si>
    <t>Brown cell:</t>
  </si>
  <si>
    <t>sec</t>
  </si>
  <si>
    <t>Amélioration non disponible</t>
  </si>
  <si>
    <t>Erreur
Max. total atteint</t>
  </si>
  <si>
    <t>Ouvriers</t>
  </si>
  <si>
    <t>3.a. Write down the number of Buildings you currently have with their corresponding levels
3.b. Write down the current level of your Spells/Normals Troops/Dark Troops upgrades
3.c. Write down the current level of your Heroes</t>
  </si>
  <si>
    <t>3.a. Saisir le nombre de Bâtiments que vous avez actuellement avec leurs levels correspondants
3.b. Saisir le level actuel de vos améliorations de Sorts/Troupes Normales/Troupes Noires
3.c. Saisir le level actuel de vos Héros</t>
  </si>
  <si>
    <t>Journal des Modifications</t>
  </si>
  <si>
    <t>Nom de Fichier</t>
  </si>
  <si>
    <t>Téléchargement</t>
  </si>
  <si>
    <t>=&gt; Temps par Ouvrier :</t>
  </si>
  <si>
    <t>Caserne° 2 - NB</t>
  </si>
  <si>
    <t>=&gt; Time per Builder:</t>
  </si>
  <si>
    <t>- Ajout de la date dans l'onglet "Journal des Modifications"
- Correction d'un bug de formatage conditionnel sur l'onglet "Formation de Troupes"</t>
  </si>
  <si>
    <t>À Faire</t>
  </si>
  <si>
    <t>Bâtiments de Ressources (Changements)</t>
  </si>
  <si>
    <t>Capacity - Buildings</t>
  </si>
  <si>
    <t>Bâtiments d'Amée (Changements)</t>
  </si>
  <si>
    <t>Pièges (Disponibles)</t>
  </si>
  <si>
    <t>Bâtiments de Défense (Changements)</t>
  </si>
  <si>
    <t>Pièges (Changements)</t>
  </si>
  <si>
    <t>Bâtiments Autres (Changements)</t>
  </si>
  <si>
    <t>Améliorations de Sorts (Changements)</t>
  </si>
  <si>
    <t>Améliorations de Troupes Normales (Changements)</t>
  </si>
  <si>
    <t>Héros (Changements)</t>
  </si>
  <si>
    <t>Améliorations de Troupes Noires (Changements)</t>
  </si>
  <si>
    <t>Coûts - Bâtiments de Ressources</t>
  </si>
  <si>
    <t>Coûts - Bâtiments d'Armée</t>
  </si>
  <si>
    <t>Coûts - Bâtiments de Défense</t>
  </si>
  <si>
    <t>Coûts - Bâtiments Autres</t>
  </si>
  <si>
    <t>Coûts - Améliorations de Sorts</t>
  </si>
  <si>
    <t>Coûts - Améliroations de Troupes Normales</t>
  </si>
  <si>
    <t>Coûts - Améliorations de Troupes Noires</t>
  </si>
  <si>
    <t>Coûts - Héros</t>
  </si>
  <si>
    <t>Gains</t>
  </si>
  <si>
    <t>Capacité</t>
  </si>
  <si>
    <t>Bonus de Trophées</t>
  </si>
  <si>
    <t>Classement</t>
  </si>
  <si>
    <t>Bonus d'Or</t>
  </si>
  <si>
    <t>Bonus d'Élixir</t>
  </si>
  <si>
    <t>Bonus d'Élixir Noir</t>
  </si>
  <si>
    <t>Différence de Trophées</t>
  </si>
  <si>
    <t>Coûts - Formation de Troupes Normales</t>
  </si>
  <si>
    <t>Espace</t>
  </si>
  <si>
    <t>Coûts - Formation de Troupes Noires</t>
  </si>
  <si>
    <t>Capacité - Bâtiments</t>
  </si>
  <si>
    <t>Trophies Bonus</t>
  </si>
  <si>
    <t>Trophies Difference</t>
  </si>
  <si>
    <t>Error - Building
Total max. reach</t>
  </si>
  <si>
    <t>Troop/Spell not available</t>
  </si>
  <si>
    <t>Max LVL</t>
  </si>
  <si>
    <t>Spell Factory
LVL</t>
  </si>
  <si>
    <t>Améliorations de Troupes Noires (Disponibles et LVL Max)</t>
  </si>
  <si>
    <t>Héros (Disponibles &amp; LVL Max)</t>
  </si>
  <si>
    <t>Améliorations de Troupes Normales (Disponibles &amp; LVL Max)</t>
  </si>
  <si>
    <t>Améliorations de Sorts (Disponibles et LVL Max)</t>
  </si>
  <si>
    <t>Bâtiments d'Amée (Disponibles et LVL Max)</t>
  </si>
  <si>
    <t>Bâtiments de Défense (Disponibles et LVL Max)</t>
  </si>
  <si>
    <t>Bâtiments Autres (Disponibles et LVL Max)</t>
  </si>
  <si>
    <t>Bâtiments de Ressources (Disponibles et LVL Max)</t>
  </si>
  <si>
    <t>Army Buildings (Available &amp; Max LVL)</t>
  </si>
  <si>
    <t>Defensive Buildings (Available &amp; Max LVL)</t>
  </si>
  <si>
    <t>Other Buildings (Available &amp; Max LVL)</t>
  </si>
  <si>
    <t>Resource Buildings (Available &amp; Max LVL)</t>
  </si>
  <si>
    <t>TH LVL Difference</t>
  </si>
  <si>
    <t>INSTRUCTIONS:
1. LVL HdV : Indiquer le level de votre Hôtel de Ville (1-10)
2. Ouvriers : Indiquer le nombre d'ouvriers que vous avez (1-5)</t>
  </si>
  <si>
    <t>Opponent TH LVL</t>
  </si>
  <si>
    <t>Langue</t>
  </si>
  <si>
    <t>Language</t>
  </si>
  <si>
    <t>Français - FR</t>
  </si>
  <si>
    <t>English - EN</t>
  </si>
  <si>
    <t>Raiding - Profits</t>
  </si>
  <si>
    <t>Amount</t>
  </si>
  <si>
    <t>Raiding - Earnings</t>
  </si>
  <si>
    <t>Combat - Gains</t>
  </si>
  <si>
    <t>Combat - Profits</t>
  </si>
  <si>
    <t>Montant</t>
  </si>
  <si>
    <t>v1.70</t>
  </si>
  <si>
    <t xml:space="preserve">Description </t>
  </si>
  <si>
    <t>- Version initiale</t>
  </si>
  <si>
    <t>- Changements graphiques sur le récapitulatif sur l'onglet "À Faire"
- Affichage du temps restant en jours plutôt qu'en heures
- Verrouillage des cellules de formules</t>
  </si>
  <si>
    <t>- Correction des coûts de Réserve d'Or et Réserve d'Élixir</t>
  </si>
  <si>
    <t>- Changements sur l'onglet "Paramètres"
   - Tableau récapitulatif de tous les améliorations de Bâtiments et Sorts/Troupes Normales/Troupes Noires
    - Toutes les données utilisateurs doivent désormais être saisies dans cet onglet et l'onglet "À faire" n'affiche que les résultats
    - Ajout d'indications pour utiliser le fichier Excel</t>
  </si>
  <si>
    <t>- Ajout de l'onglet "Journal des Modifications"</t>
  </si>
  <si>
    <t>- Affichage des Bâtiments par catégorie sur un seul onglet
- Changements graphiques sur le récapitulatif dans l'onglet "À faire - Actuellement"
- Ajout d'un graphique "Ressources Nécessaires"</t>
  </si>
  <si>
    <t>- Mise à jour des Coûts/Temps des Sorts</t>
  </si>
  <si>
    <t>- Updating Spells Costs/Time</t>
  </si>
  <si>
    <t>- Updating available Buildings, following the maintenance of 2013/06/24
     For TH LVL 10:
        - 1 more Gold Mine
        - 1 more Elixir Collector</t>
  </si>
  <si>
    <t>- Suppression de l'onglet "À faire - Par LVL HdV"
- Renommage de l'onglet "À faire - Actuellement" par "À faire"
- Mise en forme conditionnelle sur l'onglet "À faire"</t>
  </si>
  <si>
    <t>- Mise à jour des Bâtiments disponibles, suite à la maintenance du 24/06/2013
    Pour LVL HdV 10 :
     - 1 Mine d'Or supplémentaire
     - 1 Extracteur d'Élixir supplémentaire</t>
  </si>
  <si>
    <t>- Ajout de l'onglet "Formation de Troupes" : cela permet de connaître les possibilités de formation par rapport aux levels des Casernes/Laboratoire ainsi que les coûts totaux
- Renommage de l'onglet "Ligues" par "Trophées"
- Renommage de l'onglet "Coûts" par "Coûts des Améliorations"
- Formatage conditionnel sur l'onglet "Production"
- Modifications sur le formatage conditionnel sur l'onglet "Combats - Loots"
- Correction des Coûts/Temps des améliorations du Sort de Gel
- Correction du LVL HdV nécessaire pour les améliorations de Sorts</t>
  </si>
  <si>
    <t>- Adding the "Troops Training" tab: It helps to know training possibilities regarding the Barracks/Laboratory level and the total costs
- Renaming the "Leagues" tab to "Trophies"
- Renaming the "Costs" tab to "Upgrades Costs"
- Conditional formatting on "Production" tab
- Conditional formatting changes on "Raidings Loots" tab
- Fixing Freeze Spell upgrade Costs/Time
- Fixing TH LVL required for Spells Upgrades</t>
  </si>
  <si>
    <t xml:space="preserve">Loots - Possible Earnings vs TH LVL </t>
  </si>
  <si>
    <t>- Fixing the summary cost view for Golem upgrade
- Fixing the summary time view for Troops/Spells upgrades
- Editing the cell format for numbers</t>
  </si>
  <si>
    <t>- Correction de la vue récapitulative pour l'amélioration de Golem
- Correction de la vue récapitulative pour les améliorations de Troupes/Sorts
- Modification du format de cellule pour les nombres</t>
  </si>
  <si>
    <t>- Séparation des sections récapitulatif et détails
   - Ajout de l'onglet "À Faire - Récapitulatif"
   - Renommage de l'onglet "À Faire" par "À Faire - Détails"
- Les temps peuvent désormais être affichés en secondes/minutes/heures/jours/mois/jours heures minutes en sélectionnant le choix dans la cellule B2 (onglet "À Faire - Récapitulatif")
- Masquage du quadrillage dans les onglets
- Autorisation de modifier le format de cellule / utiliser des filtres / trier même si l'onglet est verrouillé</t>
  </si>
  <si>
    <t>- Ajout de l'onglet "Production" : cela permet de connaître combien de ressources peuvent être gagnées dans un temps imparti
- Ajout de l'onglet "Combats - Loots" : cela permet de connaître les gains ou pertes possibles dans les combats multi-joueurs
- Changements graphiques mineurs
- Renommage des anciennes versions du fichier
- Renommage du fichier</t>
  </si>
  <si>
    <t>- Adding the Date in the "ChangeLog" tab
- Fixing bug with conditional formatting on "Troops Training" tab</t>
  </si>
  <si>
    <t>- Adding the "Production" tab: It helps to know how many resources can be won in a specific time
- Adding the "Raiding Loots" tab: It helps to know the possible earnings or losses in Multiplayer Raiding
- Small graphic changes
- Renaming previous file versions
- Renaming file</t>
  </si>
  <si>
    <t>- Displaying buildings by category on one tab
- Summary graphic changes on "TO DO - Current" tab
- Adding a graphic "Required Resources"</t>
  </si>
  <si>
    <t>Bâtiments de Ressources</t>
  </si>
  <si>
    <t>Laboratoire - NB</t>
  </si>
  <si>
    <t>- Ajout du choix de la langue dans l'onglet "Paramètres" - traduction en français
- Ajout de la fonctionnalité permettant de voir les profits en fonction des coûts de formation et des gains de combat dans l'onglet "Formation de Troupes"
- Restriction des droits sur les feuilles du fichier - impossibilité de cliquer sur les cellules protégées
- Restriction des valeurs saisissables dans les cellules
- Changements graphiques mineurs</t>
  </si>
  <si>
    <t>- Adding the language selection in the "Parameters" tab - French translation
- Adding the feature which allow to see profits regarding the training costs and the raiding wins on the "Training Troops" tab
- Rights' restriction on the file's sheets - unable to click on the protected cells
- Values seizure restriction on cells
- Small graphic changes</t>
  </si>
  <si>
    <t>Réservoir d'Élixir Noir</t>
  </si>
  <si>
    <t>Réservoir d'Élixir</t>
  </si>
  <si>
    <t>Stockages</t>
  </si>
  <si>
    <t>Tour de Sorciers</t>
  </si>
  <si>
    <t>Cellule verte :</t>
  </si>
  <si>
    <t>Amélioration max. atteinte</t>
  </si>
  <si>
    <t>Green cell:</t>
  </si>
  <si>
    <t>Max. upgrade reached</t>
  </si>
  <si>
    <t>v1.71</t>
  </si>
  <si>
    <t>- Mise en forme conditionnelle dans l'onglet "Paramètres" pour savoir les améliorations restantes/indisponibles
- Correction de la traduction pour "Tour de l'Enfer"
- Correction de la couleur représentative du coût de "Tesla Camouflée" dans l'onglet "À Faire - Détails"
- Correction du calcul total avec l'ajout de la ligne des "P.E.K.K.A" dans l'onglet "Formation de Troupes" 
- Modification de la couleur de l'Élixir</t>
  </si>
  <si>
    <t>Plan</t>
  </si>
  <si>
    <t>Actual</t>
  </si>
  <si>
    <t>NB Upgrades</t>
  </si>
  <si>
    <t>Plan Start</t>
  </si>
  <si>
    <t>Actual Start</t>
  </si>
  <si>
    <t>Actual Duration</t>
  </si>
  <si>
    <t>% Complete</t>
  </si>
  <si>
    <t>Start Date</t>
  </si>
  <si>
    <t>Calendar</t>
  </si>
  <si>
    <t>Planning</t>
  </si>
  <si>
    <t>Plan Duration (days)</t>
  </si>
  <si>
    <t>Actual (beyond plan)</t>
  </si>
  <si>
    <t>% Complete (beyond plan)</t>
  </si>
  <si>
    <t>Error - Not enought Builders</t>
  </si>
  <si>
    <t>Step (day)</t>
  </si>
  <si>
    <t>Period Highlight</t>
  </si>
  <si>
    <t>Date de Départ</t>
  </si>
  <si>
    <t>Pas (jour)</t>
  </si>
  <si>
    <t>Période Sélectionnée</t>
  </si>
  <si>
    <t>Construction / Upgrade</t>
  </si>
  <si>
    <t>Construction / Amélioration</t>
  </si>
  <si>
    <t>Durée Planifée (jours)</t>
  </si>
  <si>
    <t>Début Planifiée</t>
  </si>
  <si>
    <t>Début Réel</t>
  </si>
  <si>
    <t>% Réalisé</t>
  </si>
  <si>
    <t>Réel (au-delà du planifié)</t>
  </si>
  <si>
    <t>% Réalisé (au-delà du planifié)</t>
  </si>
  <si>
    <t>Erreur - Pas suffisament d'Ouvriers</t>
  </si>
  <si>
    <t>Durée Réelle</t>
  </si>
  <si>
    <t>Planifié</t>
  </si>
  <si>
    <t>Réel</t>
  </si>
  <si>
    <t>Calendrier</t>
  </si>
  <si>
    <t>Réinitialiser</t>
  </si>
  <si>
    <t>Créer Planning</t>
  </si>
  <si>
    <t>Create Planning</t>
  </si>
  <si>
    <t>Reset</t>
  </si>
  <si>
    <t>Elixir needs</t>
  </si>
  <si>
    <t>Besoins d'Or
(sans remparts)</t>
  </si>
  <si>
    <t>Gold needs
(without walls)</t>
  </si>
  <si>
    <t>Besoins d'Elixir</t>
  </si>
  <si>
    <t>Besoins d'Elixir Noir</t>
  </si>
  <si>
    <t>Legend</t>
  </si>
  <si>
    <t>Builders available</t>
  </si>
  <si>
    <t>Ouvriers disponibles</t>
  </si>
  <si>
    <t>v1.80</t>
  </si>
  <si>
    <t>- Ajout de l'onglet "Planning" pour prévoir les futures constructions/améliorations.</t>
  </si>
  <si>
    <t>Adding the "Planning" tab to know the constuctions/upgrades futures</t>
  </si>
  <si>
    <t>Dark Elixir needs</t>
  </si>
  <si>
    <t>Town Hall</t>
  </si>
  <si>
    <t>Town Hall - Elixir</t>
  </si>
  <si>
    <t>Town Hall - Gold</t>
  </si>
  <si>
    <t>INSTRUCTIONS:
1. TH LVL: Indicate the level of your Town Hall (1-10)
2. Builders: Indicate the number of Builders you have (1-5)</t>
  </si>
  <si>
    <t>v1.81</t>
  </si>
  <si>
    <t>Légende</t>
  </si>
  <si>
    <t>- Correction de la traduction pour "Hôtel de Ville"
- Rafraichissement automatique lorsqu'on choisit la période sélectionnée dans l'onglet "Planning"
- Figeage des volets dans l'onglet "Planning"</t>
  </si>
  <si>
    <t>- Fixing the translation for "Town Hall"
- Automatic refresh when selecting the "Period Highlight" on the "Planning" tab
- Freezing panes on the "Planning" tab</t>
  </si>
  <si>
    <t>Barracks</t>
  </si>
  <si>
    <t>Barracks #1 - NB</t>
  </si>
  <si>
    <t>Barracks #1
LVL</t>
  </si>
  <si>
    <t>Barracks #2 - NB</t>
  </si>
  <si>
    <t>Barracks #2
LVL</t>
  </si>
  <si>
    <t>Barracks #3 - NB</t>
  </si>
  <si>
    <t>Barracks #3
LVL</t>
  </si>
  <si>
    <t>Barracks #4 - NB</t>
  </si>
  <si>
    <t>Barracks #4
LVL</t>
  </si>
  <si>
    <t>Barracks not available
(or no Laboratory)</t>
  </si>
  <si>
    <t>Dark Barracks</t>
  </si>
  <si>
    <t>Dark Barracks #1 - NB</t>
  </si>
  <si>
    <t>Dark Barracks #1
LVL</t>
  </si>
  <si>
    <t>Dark Barracks #2 - NB</t>
  </si>
  <si>
    <t>Dark Barracks #2
LVL</t>
  </si>
  <si>
    <t>Error - Barracks
Total max. reach</t>
  </si>
  <si>
    <t>v1.82</t>
  </si>
  <si>
    <t>- Modification du nom de fichier pour que les macros VBA fonctionnent
- Correction de la traduction pour les "Casernes"
- Correction du calcul des "Remparts" dans l'onglet "À Faire - Détails". Oubli de formules</t>
  </si>
  <si>
    <t>Witch</t>
  </si>
  <si>
    <t>Sorcière</t>
  </si>
  <si>
    <t>v1.90</t>
  </si>
  <si>
    <t>v1.41 - FR</t>
  </si>
  <si>
    <t>- Version française du fichier 1.41</t>
  </si>
  <si>
    <t>- French version of 1.41 file</t>
  </si>
  <si>
    <t>- Updates following the maintenance of 2013-07-29
- Switching host file uploader</t>
  </si>
  <si>
    <t>- Mises à jour suite à la maintenance du 29/07/2013
- Changement de l'hébergeur des fichiers</t>
  </si>
  <si>
    <t>v1.91</t>
  </si>
  <si>
    <t>- Petites corrections
   - Niveau de HdV ne correspondait pas dans les onglets "Planning" et "Combats - Loots"
   - Correction du niveau des casernes noires dans l'onglet "Formation de Troupes"
   - Oubli d'une formule dans l'onglet "Paramètres" pour la Sorcière
- Modification du code VBA - Plus de vérification sur le nom du fichier</t>
  </si>
  <si>
    <t>- Small fixes
    - TH Level was incorrect in "Planning" and "Raiding - Loots" tabs
    - Fixed the level of dark barracks in "Troops Training" tab
    - Forgot a formula in the "Parameters" tab for the Witch
- Changing the VBA code - No more checking on the filename</t>
  </si>
  <si>
    <t>- Renaming the file so the VBA code can works
- Fixing the translation for the "Barracks"
- Fixing the calculation for the "Walls" in the "TO DO - Details" tab. Forgot some formulas</t>
  </si>
  <si>
    <t>- Conditionnal formatting on "Parameters" tab to know which ameliorations are left/unavailable
- Fixing the translation for "Inferno Tower"
- Fixing the representative color for "Hidden Tesla" in the "TO DO - Details" tab
- Fixing the total cost with the adding of the "P.E.K.K.A" line o=in the "Trainings Troops" tab
- Editing the "Elixir" color</t>
  </si>
  <si>
    <t>- Separation of summary and details sections
     - Adding the tab "TO DO - Summary"
     - Renaming the tab "TO DO" to "TO DO - Details"
- The times can now be displayed by seconds/minutes/hours/days/months/days hours minutes" by selecting the choice in B2 cell ("TO DO - Summary" tab)
- Hiding the grid in the tabs
- Allowing permission to change the cell format / use filters / sort even if the tab is locked</t>
  </si>
  <si>
    <t>- Changes on the "Parameters" tab. 
     - Summary table of all Buildings and Spells/Normal Troops/Dark Troops Upgrades. 
      - All user data has to be written in this tab and now the "TO DO" tab only display results
     - Adding indications to use the Excel file</t>
  </si>
  <si>
    <t>v2.00</t>
  </si>
  <si>
    <t>- Mises à jour suite à la maintenance du 28/08/2013
- Ajout du total de troupes dans l'onglet "Formation de Troupes"
- Correction du level nécessaire pour le "Sort de Guérison"
- Correction de formules des totaux "Batiments d'Armée" dans l'onglet "À Faire - Récapitulatif"
- Correction des formules pour le "Sapeur" et les "Casernes Noires" dans l'onglet "À Faire - Détails"</t>
  </si>
  <si>
    <t>- Updates following the maintenance of 2013-08-28
- Adding the total of troops in "Troups training" tab
- Fixing the required level for the "Healing Spell"
- Fixing the totals formulas of "Army Buildings"  in "TO DO - Summary" tab
- Fixing formulas for "Wall Breaker" and "Dark Barracks" in "TO DO - Details" tab</t>
  </si>
  <si>
    <t>LVL Max33</t>
  </si>
  <si>
    <t>LVL Max35</t>
  </si>
  <si>
    <t>LVL Max37</t>
  </si>
  <si>
    <t>LVL Max39</t>
  </si>
  <si>
    <t>LVL Max41</t>
  </si>
  <si>
    <t>Bombe géante</t>
  </si>
  <si>
    <t>Piège à ressort</t>
  </si>
  <si>
    <t>Bombe aérienne</t>
  </si>
  <si>
    <t>Bombe</t>
  </si>
  <si>
    <t>Tête chercheuse</t>
  </si>
  <si>
    <t>LVL Max43</t>
  </si>
  <si>
    <t>Piège squelettique</t>
  </si>
  <si>
    <t>LVL Max53</t>
  </si>
  <si>
    <t>LVL Max55</t>
  </si>
  <si>
    <t>v4.00</t>
  </si>
  <si>
    <t>v4.01</t>
  </si>
  <si>
    <t>v4.02</t>
  </si>
  <si>
    <t>- Correction des niveau des bombes et des bombes géantes</t>
  </si>
  <si>
    <t xml:space="preserve">- Correctif sur :
- Les TDA n'affichent que 12 lvl alors qu'il y en a maintenant 13
- Les Barbares et Archers ont maintenant 7 lvl et non plus 6 comme l'indique le tableau
- Le PEKKA peut maintenant être up au lvl 5 et non plus seulement 4, 
- Les Teslas peuvent etre up jusqu'au lvl 8 et non plus seulement 7, 
- Le sort de saut à maintenant 3 lvl et non plus seulement 2, </t>
  </si>
  <si>
    <t>- Ajout des pièges dans l'onglet paramétre - Batiment - Amélioration et couts des améliorations
Piège à ressort 
Tête chercheuse  
Bombe géante  
Bombe aérienne 
pour integration dans l'onglet planning
Piège squelettique</t>
  </si>
  <si>
    <t>Molosse de lave</t>
  </si>
  <si>
    <t>v4.03</t>
  </si>
  <si>
    <t>- Correctif sur :
- Ajout de la nouvelle untité des molosses de lave
- Correction dans l'onglet : "À Faire - Détails" , la formule de la cellulle B148 est fausse on pointe plus au bonne endroit</t>
  </si>
  <si>
    <t>v4.04</t>
  </si>
  <si>
    <t>v4.05</t>
  </si>
  <si>
    <t>- Correctif sur :
- Onglet planning qui ajoutais un ouvrier pour les amelioration des sort ou des unités noirs</t>
  </si>
  <si>
    <t>- Correctif sur :
- d'une erreur dans les formules de l'onglet planning inversion entre les golems et les molosse de lave</t>
  </si>
  <si>
    <t>v4.06</t>
  </si>
  <si>
    <t>- Correctif sur :
- Modification du niveau du sort de guerisson pour aparaitre avec HDV niveau 6
- et la caserne noire est disponible au niveau 6 dès l'hôtel de ville niveau 9</t>
  </si>
  <si>
    <t>Pièges Défensifs</t>
  </si>
  <si>
    <t>V4.07</t>
  </si>
  <si>
    <t xml:space="preserve">Ajout :
- Modification des temps de construction des bombes
- Ajout dans "A Faire - Détails" de la gestion des bombes
- Ajout dans "A faire - Récapitualitif " de la gestion des bombes
- Corrections sur les formules </t>
  </si>
  <si>
    <t>V4.07.01</t>
  </si>
  <si>
    <t xml:space="preserve">Ajout :
- Ajout dans "A Faire - Détails " &amp; "A Faire - Récupitulatif" des "Bombe Géante"
- Mofication des formules pour les calcules de temps </t>
  </si>
  <si>
    <t>Ajout :
- Bombe Aérienne 
- Piège Squelletique
Dans les onglets : A faire - Détail &amp; A faire - Récapitulatif 
Correction divers de formules</t>
  </si>
  <si>
    <t>V4.07.02</t>
  </si>
  <si>
    <t>V.4.8</t>
  </si>
  <si>
    <r>
      <t xml:space="preserve">- Yezazell - 
Modification :
 - Séparation des </t>
    </r>
    <r>
      <rPr>
        <b/>
        <i/>
        <sz val="8"/>
        <color theme="1"/>
        <rFont val="Calibri"/>
        <family val="2"/>
        <scheme val="minor"/>
      </rPr>
      <t>pièges défensifs</t>
    </r>
    <r>
      <rPr>
        <sz val="8"/>
        <color theme="1"/>
        <rFont val="Calibri"/>
        <family val="2"/>
        <scheme val="minor"/>
      </rPr>
      <t xml:space="preserve">et des </t>
    </r>
    <r>
      <rPr>
        <b/>
        <i/>
        <sz val="8"/>
        <color theme="1"/>
        <rFont val="Calibri"/>
        <family val="2"/>
        <scheme val="minor"/>
      </rPr>
      <t xml:space="preserve">batiments défensifs
 - </t>
    </r>
    <r>
      <rPr>
        <sz val="8"/>
        <color theme="1"/>
        <rFont val="Calibri"/>
        <family val="2"/>
        <scheme val="minor"/>
      </rPr>
      <t>Modification de toutes les formules en respectant l'éxistant</t>
    </r>
  </si>
  <si>
    <t>V.4.9</t>
  </si>
  <si>
    <t>- Yezazell - 
Ajout : 
- Molosse de lave onglet : Formation de troupes
- Ajout gestion Caserne Noir Lvl 6
- Modifications mise en forme conditionnelle…</t>
  </si>
  <si>
    <t>LVL Max32</t>
  </si>
  <si>
    <t>V4.09.01</t>
  </si>
  <si>
    <r>
      <t xml:space="preserve">- Yezazell - 
Correction mineur sur les formules de l'onglet </t>
    </r>
    <r>
      <rPr>
        <b/>
        <i/>
        <sz val="8"/>
        <color theme="1"/>
        <rFont val="Calibri"/>
        <family val="2"/>
        <scheme val="minor"/>
      </rPr>
      <t xml:space="preserve">"Paramètres", </t>
    </r>
    <r>
      <rPr>
        <sz val="8"/>
        <color theme="1"/>
        <rFont val="Calibri"/>
        <family val="2"/>
        <scheme val="minor"/>
      </rPr>
      <t>le problème venait de l'onglet batiment ou il manquait une colonne HDV</t>
    </r>
  </si>
  <si>
    <t>Lava Hound</t>
  </si>
  <si>
    <t>Bomb</t>
  </si>
  <si>
    <t>Spring Trap</t>
  </si>
  <si>
    <t>Giant Bomb</t>
  </si>
  <si>
    <t>Air Bomb</t>
  </si>
  <si>
    <t>Skeleton Trap</t>
  </si>
  <si>
    <t>Seeking Air Mine</t>
  </si>
  <si>
    <t>V4.11</t>
  </si>
  <si>
    <t>- Franck51 - 
Ajout dans l'onglet a faire - détails des molosse de lave
Ajout aussi dans l'onglet a faire recapitulatif
changement de l'ordre de la sorciere et molosse de lave dans l'onglet parametre</t>
  </si>
  <si>
    <t>V4.11,01</t>
  </si>
  <si>
    <t>- Franck51 - 
Remise en route du module traduction</t>
  </si>
  <si>
    <t>Bâtiments d'Armée (Disponibles et LVL Max)</t>
  </si>
  <si>
    <t>Bâtiments d'Armée (Changements)</t>
  </si>
  <si>
    <t>-Add different Trap in the sheet
Piège à ressort 
Tête chercheuse  
Bombe géante  
Bombe aérienne 
pour integration dans l'onglet planning
Piège squelettique</t>
  </si>
  <si>
    <t>V4.12</t>
  </si>
  <si>
    <t xml:space="preserve">-Yezazell-
upgrade spell healing </t>
  </si>
  <si>
    <t xml:space="preserve">-Yezazell-
Mise à jour des sorts de soins  </t>
  </si>
  <si>
    <t>LVL Labo</t>
  </si>
  <si>
    <t>V4.13</t>
  </si>
  <si>
    <t>-Franck51-
modification de l'onglet parametre pour la gestion des unités et des sorts par rapport a l'existance des casernes et usine de sort et liaison des niveau par rapport au niveaux du labo</t>
  </si>
  <si>
    <t>V4.13,01</t>
  </si>
  <si>
    <t>-Franck51-
Modification de l'onglet à faire-Détails avec ajout des niveau supplémentaire suite à mise à jour</t>
  </si>
  <si>
    <t>V4.13,02</t>
  </si>
  <si>
    <t>-Franck51-
Modification de l'onglet à faire-Détails tableau pour les ballons avec l'affichage du niv 6 et calcul des sommes à avoir</t>
  </si>
  <si>
    <t>V4.13,03</t>
  </si>
  <si>
    <t>V4.13,04</t>
  </si>
  <si>
    <t>V4.13,05</t>
  </si>
  <si>
    <t>-Sednanref-
Modification de la macro de traduction pour recherche automatique de la cellule "langue ou language" de traduction</t>
  </si>
  <si>
    <t>-Sednanref-
Correction de l'onglet a-faire avec le tableau des sorciers qui ne s'activait pas</t>
  </si>
  <si>
    <t>-Franck51-
Correction :
1 - En hdv 10, message d'erreur dans l'onglet A faire pour les pekka niveau 4, idem pour les ballons niv 6 et les sorciers niv 5 .
2 - Pour les cochons , ilqui au max dans l'onglet parametre devaient être amélioré dans l'onglet A faire,
Modification :
de la macro, Lors de la création du planning j'ai modifié la macro VBA de création pour que l'on puisses intégrer des nouvelles colonne dans l'onglet parametre (pour de nouvelles unités) et que de façon automatique la macro détecte la derniere cellule non vide.</t>
  </si>
  <si>
    <t>-Franck51-
Correction dans l'onglet a-faire detail des tableaux pour les bombes géantes et les pieges squeletiques</t>
  </si>
  <si>
    <t>V4.13,06</t>
  </si>
  <si>
    <t>V4.13,07</t>
  </si>
  <si>
    <t>-Franck51-
Correction dans l'onglet a-faire detail des tableaux pour les unités et les sorts qui ne prenait en compte que l'amelioration de HDV et non du labo</t>
  </si>
  <si>
    <t>V4.14</t>
  </si>
  <si>
    <t>-Franck51-
Correction dans l'onglet a-faire detail des tableaux pour les unités et les sorts qui avaient un décalage dans les calculs suite au ajout des derniers niveau qui n'étaient pas pris en compte</t>
  </si>
  <si>
    <t>V4.13,09</t>
  </si>
  <si>
    <t>Traps</t>
  </si>
  <si>
    <t>Costs - Traps</t>
  </si>
  <si>
    <t>-Sednanref-
Ajout coût de formation pour :
- Sort de saut 3
- Sort de gel 5
- Guerrier 7
- Archer 7
- Gobelin 6
- Lava Hound 1/2/3
+ Mise à jour suite Update du 11/12/2014</t>
  </si>
  <si>
    <t>V4.16.00</t>
  </si>
  <si>
    <t>V4.15.00</t>
  </si>
  <si>
    <t>-Sednanref-
Ajout de piège à ressort et tête chercheuse dans les onglets A Faire - Recap et A Faire - Détails</t>
  </si>
  <si>
    <t>LVL Spell Factory</t>
  </si>
  <si>
    <t>LVL Laboratory</t>
  </si>
  <si>
    <t>LVL Barrack</t>
  </si>
  <si>
    <t>LVL Dark Barrack</t>
  </si>
  <si>
    <t>Propulseur d'air</t>
  </si>
  <si>
    <t>LVL Max62</t>
  </si>
  <si>
    <t>Propulsion d'air</t>
  </si>
  <si>
    <t>LVL Max6.</t>
  </si>
  <si>
    <t>Mise en place du souffleur d'air</t>
  </si>
  <si>
    <t>Air Sweeper</t>
  </si>
  <si>
    <t>V4.17.00</t>
  </si>
  <si>
    <t>V4.17.03</t>
  </si>
  <si>
    <t>Bonus</t>
  </si>
  <si>
    <t>-Souris verte :
update formule sheet "To do…"
Change production Dark Elixir
Use trophee in gains on sheet "Troops Training"</t>
  </si>
  <si>
    <t>Français</t>
  </si>
  <si>
    <t>Capacité Totale</t>
  </si>
  <si>
    <t>Max. total atteint - Camp Militaire - Sorts</t>
  </si>
  <si>
    <t>Amélioration indisponible</t>
  </si>
  <si>
    <t>http://www.fichier-xls.fr/2015/05/22/coc-calcultator-v4-17-03-vierge/</t>
  </si>
  <si>
    <t>-Souris verte :
Modification formule feuilles "A faire…"
Correction production Elixir noir
Utilisation des trophées dans le calcul des gains dans la feuille "Formation des troupes"
Modification "Planning" pour prise en charge expulseur d'air
Simplification de la mise en forme conditionnelle feuille "paramètres"
Création d'une feuille "Rentabilité"</t>
  </si>
  <si>
    <t>Mur</t>
  </si>
  <si>
    <t>V4.17.04</t>
  </si>
  <si>
    <t xml:space="preserve">-Souris verte :
Ajout de possibilité d'afficher le récapitulatif sans les remparts.
Ajout de possibilité d'afficher le récapitulatif sans l'hotel de ville.
</t>
  </si>
  <si>
    <t>HDV</t>
  </si>
  <si>
    <t>http://www.fichier-xls.fr/2015/05/30/coc-calcultator-v4-17-04-vierge/</t>
  </si>
  <si>
    <t>12 heures</t>
  </si>
  <si>
    <t>V4.17.05</t>
  </si>
  <si>
    <t>-Souris verte :
Ajout de possibilité d'afficher le récapitulatif sans leshéros.
Corrections mineure de formule.</t>
  </si>
  <si>
    <t>http://www.fichier-xls.fr/2015/06/05/coc-calcultator-v4-17-05-vierge/</t>
  </si>
  <si>
    <t>Coûts - Pièges Défensifs</t>
  </si>
  <si>
    <t>-Souris verte :
Prise en compte de l'Elixir Noir
Simplification de la formule concernant la période</t>
  </si>
  <si>
    <t>V4.17.06</t>
  </si>
  <si>
    <t>Améliorations Troupes/Sorts :</t>
  </si>
  <si>
    <t>Coûts - Multijoueur</t>
  </si>
  <si>
    <t>Costs - Multiplayer</t>
  </si>
  <si>
    <t>Coût en or</t>
  </si>
  <si>
    <t>-Souris verte :
Prise en compte du cout de la recherche d'adversaire en attaque multijoueur.</t>
  </si>
  <si>
    <t>V4.17.07</t>
  </si>
  <si>
    <t>Valeur</t>
  </si>
  <si>
    <t>Valeurs - Bâtiments de Ressources</t>
  </si>
  <si>
    <t>Valeurs - Bâtiments d'Armée</t>
  </si>
  <si>
    <t>Valeurs - Bâtiments de Défense</t>
  </si>
  <si>
    <t>Valeurs - Pièges Défensifs</t>
  </si>
  <si>
    <t>Valeurs - Bâtiments Autres</t>
  </si>
  <si>
    <t>Valeurs - Héros</t>
  </si>
  <si>
    <t>Values - Other Buildings</t>
  </si>
  <si>
    <t>Values - Army Buildings</t>
  </si>
  <si>
    <t>Values - Defensive Buildings</t>
  </si>
  <si>
    <t>Values - Resource Buildings</t>
  </si>
  <si>
    <t>Values - Heroes</t>
  </si>
  <si>
    <t>Valeurs - Sorts</t>
  </si>
  <si>
    <t>Values - Spells</t>
  </si>
  <si>
    <t>Values - Normal Troops</t>
  </si>
  <si>
    <t>Valeurs - Troupes Noires</t>
  </si>
  <si>
    <t>Valeurs - Troupes Normales</t>
  </si>
  <si>
    <t>Values - Dark Troops</t>
  </si>
  <si>
    <t>Values - Traps</t>
  </si>
  <si>
    <t>Rang</t>
  </si>
  <si>
    <t>Valeur du Village</t>
  </si>
  <si>
    <t>Town Value</t>
  </si>
  <si>
    <t>V4.17.08</t>
  </si>
  <si>
    <t>-Souris verte
Correction de qq formules (Merci Coxwen, franck51, Leynae et krashs)
Création d'une nouvelle feuille pour la valeur du village (Proto suite au post de Extrapidou)</t>
  </si>
  <si>
    <t>Usine de Sorts Noirs</t>
  </si>
  <si>
    <t xml:space="preserve">  Dark Spell Factory</t>
  </si>
  <si>
    <t>LVL  Dark Spell Factory</t>
  </si>
  <si>
    <t>Améliorations de Sorts Noirs (Changements)</t>
  </si>
  <si>
    <t>Améliorations de Sorts Noirs (Disponibles et LVL Max)</t>
  </si>
  <si>
    <t>Sort de Poison</t>
  </si>
  <si>
    <t>Sort de Hâte</t>
  </si>
  <si>
    <t>Coûts - Améliorations de Sorts Noirs</t>
  </si>
  <si>
    <t>Améliorations de Sorts Noirs</t>
  </si>
  <si>
    <t>Coûts - Formation de Sorts</t>
  </si>
  <si>
    <t>LVL Usine de Sorts Noirs</t>
  </si>
  <si>
    <t>V5</t>
  </si>
  <si>
    <t>-Souris verte
Evolution sur à la mise à jour du 01/07/15.Reste l'onget traduction
quelques formules a la marge…</t>
  </si>
  <si>
    <t>NB Caserne</t>
  </si>
  <si>
    <t>NB Caserne Noire</t>
  </si>
  <si>
    <t>NB Barracks</t>
  </si>
  <si>
    <t>NB Dark Barracks</t>
  </si>
  <si>
    <t>Sort de Séisme</t>
  </si>
  <si>
    <t>Poison Spell</t>
  </si>
  <si>
    <t>Earthquake Spell</t>
  </si>
  <si>
    <t>Haste Spell</t>
  </si>
  <si>
    <t>V5.01</t>
  </si>
  <si>
    <t>-Souris verte
Evolution sur à la mise à jour de septembre.
25 remparts en plus, sort de foudre 7.
Mise a jours des coûts de sorts et developpements.</t>
  </si>
  <si>
    <t>http://www.fichier-xls.fr/2015/09/19/coc-calcultator-v5.01-vierge/</t>
  </si>
  <si>
    <t>Valeurs - Sorts Noirs</t>
  </si>
  <si>
    <t>V5.02</t>
  </si>
  <si>
    <t>-Souris verte
Correction de bugs divers…</t>
  </si>
  <si>
    <t>http://www.fichier-xls.fr/2015/10/22/coc-calcultator-v5.02-vierge/</t>
  </si>
  <si>
    <t>V5.03</t>
  </si>
  <si>
    <t>-Souris verte
Correction de bugs divers…
Merci, choumex et e1ff3l.</t>
  </si>
  <si>
    <t>http://www.fichier-xls.fr/2015/11/14/coc-calcultator-v5-03-vierge/</t>
  </si>
  <si>
    <t>Camps Militaires</t>
  </si>
  <si>
    <t>V5.04</t>
  </si>
  <si>
    <t>-Souris verte
Correction de bugs divers…
Modification dans l'onglet Planning
Merci, e1ff3l.</t>
  </si>
  <si>
    <t>http://www.fichier-xls.fr/2015/12/04/coc-calcultator-v5-04-vierge/</t>
  </si>
  <si>
    <t>Non</t>
  </si>
  <si>
    <t>LVL Max11</t>
  </si>
  <si>
    <t>Grand Gardien</t>
  </si>
  <si>
    <t>Elixir rose</t>
  </si>
  <si>
    <t>Elixir noir</t>
  </si>
  <si>
    <t>Hotel de ville</t>
  </si>
  <si>
    <t>V6.01</t>
  </si>
  <si>
    <t>Grand Warden</t>
  </si>
  <si>
    <t>Defense Aigle</t>
  </si>
  <si>
    <t>Aigle Artilleur</t>
  </si>
  <si>
    <t>http://www.fichier-xls.fr/2015/12/12/coc-calcultator-v6-01-vierge/</t>
  </si>
  <si>
    <t>-Souris verte
Grosse MAJ: HDV11, nouveau batiment et nouveau hero</t>
  </si>
  <si>
    <t>V6.01.01</t>
  </si>
  <si>
    <t>Période (Cellule B2)</t>
  </si>
  <si>
    <t>Affichage Temps (Cellule B2)</t>
  </si>
  <si>
    <r>
      <t xml:space="preserve">Enfin, il est possible de choisir l'affichage du temps dans les onglets </t>
    </r>
    <r>
      <rPr>
        <b/>
        <sz val="11"/>
        <color theme="1"/>
        <rFont val="Calibri"/>
        <family val="2"/>
        <scheme val="minor"/>
      </rPr>
      <t>"À Faire - Récapitulatif"</t>
    </r>
    <r>
      <rPr>
        <sz val="11"/>
        <color theme="1"/>
        <rFont val="Calibri"/>
        <family val="2"/>
        <scheme val="minor"/>
      </rPr>
      <t xml:space="preserve"> et </t>
    </r>
    <r>
      <rPr>
        <b/>
        <sz val="11"/>
        <color theme="1"/>
        <rFont val="Calibri"/>
        <family val="2"/>
        <scheme val="minor"/>
      </rPr>
      <t>"Formation de Troupes"</t>
    </r>
    <r>
      <rPr>
        <sz val="11"/>
        <color theme="1"/>
        <rFont val="Calibri"/>
        <family val="2"/>
        <scheme val="minor"/>
      </rPr>
      <t xml:space="preserve"> ou la période de production dans l'onglet </t>
    </r>
    <r>
      <rPr>
        <b/>
        <sz val="11"/>
        <color theme="1"/>
        <rFont val="Calibri"/>
        <family val="2"/>
        <scheme val="minor"/>
      </rPr>
      <t xml:space="preserve">"Production" </t>
    </r>
    <r>
      <rPr>
        <sz val="11"/>
        <color theme="1"/>
        <rFont val="Calibri"/>
        <family val="2"/>
        <scheme val="minor"/>
      </rPr>
      <t>:</t>
    </r>
  </si>
  <si>
    <t>Choix et nombre de formations de Troupes Noires (Cellules AA5:AB8)</t>
  </si>
  <si>
    <t>Niveaux des Casernes Noires (Cellules AA2:AB2)</t>
  </si>
  <si>
    <t>Choix et nombre de formations de troupes normales (Cellules O5:R14)</t>
  </si>
  <si>
    <t>Niveaux des Casernes (Cellules O2:R2)</t>
  </si>
  <si>
    <t>Choix et nombre de créations pour les Sorts (Cellules G5:G9)</t>
  </si>
  <si>
    <r>
      <t xml:space="preserve">Renseigner les informations nécessaires dans l'onglet </t>
    </r>
    <r>
      <rPr>
        <b/>
        <sz val="11"/>
        <color theme="1"/>
        <rFont val="Calibri"/>
        <family val="2"/>
        <scheme val="minor"/>
      </rPr>
      <t>"Formation de Troupes"</t>
    </r>
    <r>
      <rPr>
        <sz val="11"/>
        <color theme="1"/>
        <rFont val="Calibri"/>
        <family val="2"/>
        <scheme val="minor"/>
      </rPr>
      <t xml:space="preserve"> pour la fonctionnalité qui permet connaître les coûts et temps de formation de troupes en fonction de ce que l'on souhaite former et pouvoir établir sa formation :</t>
    </r>
  </si>
  <si>
    <t>Quantité de ressources dans les Mines / Extracteurs / Foreuses (Cellules E7:G13)</t>
  </si>
  <si>
    <t>Quantité de ressources dans les Réserves (Cellules B7:D13)</t>
  </si>
  <si>
    <t>Niveau de l'Hôtel De Ville de l'opposant (Cellule C2)</t>
  </si>
  <si>
    <t>Attaque ou Défense (Cellule B2)</t>
  </si>
  <si>
    <r>
      <t>Renseigner les informations nécessaires dans l'onglet "</t>
    </r>
    <r>
      <rPr>
        <b/>
        <sz val="11"/>
        <color theme="1"/>
        <rFont val="Calibri"/>
        <family val="2"/>
        <scheme val="minor"/>
      </rPr>
      <t>Combats - Loots"</t>
    </r>
    <r>
      <rPr>
        <sz val="11"/>
        <color theme="1"/>
        <rFont val="Calibri"/>
        <family val="2"/>
        <scheme val="minor"/>
      </rPr>
      <t xml:space="preserve"> pour la fonctionnalité qui permet de connaître les gains et pertes possibles en combat en ligne :</t>
    </r>
  </si>
  <si>
    <t>Niveaux des Héros (Cellules BE6:BG45)</t>
  </si>
  <si>
    <t>Niveaux des Troupes Noires (Cellules AY6:BD45)</t>
  </si>
  <si>
    <t>Niveaux des Troupes Normales (Cellules A06:AX45)</t>
  </si>
  <si>
    <t>Niveaux des Sorts (Cellules AG:AN45)</t>
  </si>
  <si>
    <t>Nombre et niveaux de Bâtiments (Cellules B6:AF45)</t>
  </si>
  <si>
    <t>Nombre d'ouvriers (Cellule BJ2)</t>
  </si>
  <si>
    <t>Niveau de l'Hôtel De Ville (Cellule BI2)</t>
  </si>
  <si>
    <r>
      <t xml:space="preserve">Renseigner les informations nécessaires dans l'onglet </t>
    </r>
    <r>
      <rPr>
        <b/>
        <sz val="11"/>
        <color theme="1"/>
        <rFont val="Calibri"/>
        <family val="2"/>
        <scheme val="minor"/>
      </rPr>
      <t>"Paramètres"</t>
    </r>
    <r>
      <rPr>
        <sz val="11"/>
        <color theme="1"/>
        <rFont val="Calibri"/>
        <family val="2"/>
        <scheme val="minor"/>
      </rPr>
      <t xml:space="preserve"> pour les calculs généraux :</t>
    </r>
  </si>
  <si>
    <t>Utilisation du fichier :</t>
  </si>
  <si>
    <t>Cette vue permet de tracer l'évolution du fichier à travers les modifications apportées par rapport aux versions précédentes.</t>
  </si>
  <si>
    <t>Les champs principaux à indiquer pour utiliser le fichier (niveau de l'Hôtel De Ville, nombre d'ouvriers, nombre et niveaux de Bâtiments / Sorts / Troupes / Héros)</t>
  </si>
  <si>
    <t>Paramètres</t>
  </si>
  <si>
    <t>Coûts et temps des formations de Troupes + Capacité de Laboratoire / Casernes / Casernes Noires / Camps d'Armée</t>
  </si>
  <si>
    <t>Training Costs</t>
  </si>
  <si>
    <t>Bonus et coefficient multiplicateur pour les combats en fonction du nombre de Trophées</t>
  </si>
  <si>
    <t>Gains et capacités possibles en fonction du niveau des Réserves et Mines d'Or / Extracteurs / Foreuses.</t>
  </si>
  <si>
    <t>Gains et Stockage</t>
  </si>
  <si>
    <t>Coûts et temps des créations / améliorations des Bâtiments / Sorts / Troupes / Héros.</t>
  </si>
  <si>
    <t>Coûts des Améliorations</t>
  </si>
  <si>
    <t>Améliorations d'Héros possibles en fonction du niveau de l'Hôtel De Ville</t>
  </si>
  <si>
    <t>Améliorations de Sorts / Troupes possibles en fonction du niveau de l'Hôtel De Ville</t>
  </si>
  <si>
    <t>Améliorations - Sorts &amp; Troupes</t>
  </si>
  <si>
    <t>Créations / améliorations de bâtiments possibles en fonction du niveau de l'Hôtel De Ville</t>
  </si>
  <si>
    <t>Bâtiments</t>
  </si>
  <si>
    <t>Données : (onglets masqués)</t>
  </si>
  <si>
    <r>
      <t xml:space="preserve">Un outil qui permet connaître les coûts et temps de formation de troupes en fonction de ce que l'on souhaite former et pouvoir établir sa formation en fonction de ce que l'on peut faire (niveau Laboratoire / niveaux Casernes / niveaux Casernes Noires)
</t>
    </r>
    <r>
      <rPr>
        <i/>
        <sz val="11"/>
        <color theme="1"/>
        <rFont val="Calibri"/>
        <family val="2"/>
        <scheme val="minor"/>
      </rPr>
      <t>Onglet masqué par défaut.</t>
    </r>
  </si>
  <si>
    <t>Troops Training</t>
  </si>
  <si>
    <r>
      <t xml:space="preserve">Un outil qui permet de calculer les gains et pertes possibles en combat en ligne en fonction des quantités stockées / des niveaux d'Hôtel De Ville / du nombre de trophées.
</t>
    </r>
    <r>
      <rPr>
        <i/>
        <sz val="11"/>
        <color theme="1"/>
        <rFont val="Calibri"/>
        <family val="2"/>
        <scheme val="minor"/>
      </rPr>
      <t>Onglet masqué par défaut.</t>
    </r>
  </si>
  <si>
    <t>Combats - Loots</t>
  </si>
  <si>
    <t>Un outil qui permet de calculer la rentabilité d'une attaque en fonction des ressources gagnées et des des troupes formées et du bonus de league eventuel (basé sur le nombre de trophés)</t>
  </si>
  <si>
    <t>Rentabilité</t>
  </si>
  <si>
    <r>
      <t xml:space="preserve">Une vue qui indique les gains en ressources en fonction du nombre et du niveau des Mines d'Or / Extracteurs / Foreuses et du temps de production.
</t>
    </r>
    <r>
      <rPr>
        <i/>
        <sz val="11"/>
        <color theme="1"/>
        <rFont val="Calibri"/>
        <family val="2"/>
        <scheme val="minor"/>
      </rPr>
      <t>Onglet masqué par défaut.</t>
    </r>
  </si>
  <si>
    <t>Une vue détaillée de ce qu'il reste à faire en fonction du niveau de l'Hôtel De Ville et de ce qui a déjà été fait. Tous les coûts et temps restants pour chaque bâtiment et Troupes / Sorts / Héros.</t>
  </si>
  <si>
    <t>À Faire - Détails</t>
  </si>
  <si>
    <t>Une vue d'ensemble qui permet de voir de ce qu'il reste à faire en fonction du niveau de l'Hôtel De Ville et de ce qui a déjà été fait. Total des coûts et temps restants par catégorie de bâtiments et par Troupes / Sorts / Héros.
Possibilité d'afficher le récapitulatif avec/sans les remparts, avec/sans l'hotel de ville, avec/sans héros (dans le camembert)</t>
  </si>
  <si>
    <t>À Faire - Récapitulatif</t>
  </si>
  <si>
    <t>Calculs :</t>
  </si>
  <si>
    <t>Composition du fichier :</t>
  </si>
  <si>
    <t>Pour afficher les onglets masqués lancer la macro "Masquage_Onglets_OFF"</t>
  </si>
  <si>
    <t>Il faut remplir la page paramètre (rien de compliqué).
Les cellules à remplir sont grises.
Les autres feuilles se mettent à jour automatiquement.
Les feuilles à faire (bleues) donnent une idée du travail pour maxer le hdv.
La feuille planning permet de se projeter des les travaux à réaliser pour maxer son hdv.
Les feuilles rouges sont masquées et contiennent les valeurs utiles aux différents calculs.
D'autres feuilles sont masquées également afin de ne pas avoir trop de feuilles affichées.
Il y a une macro qui permet d'afficher ces feuilles.</t>
  </si>
  <si>
    <t>-Titounne
Onglet planning : 
     - Remet le % à 0 en cas de supression de la date de début réel
     - Prise en compte d'une 2nd teinte de noir dans le calcul du coût de la période pour l'EN
Correction de l'affichage des tautaux or,  elixir et  elixir noir de la page "A faire - Récapitulatif" pour Google Drive (Merci Akyrish)
Composition et mode d'emplois (reprise de la 1ere page du sujet + résumé de Souris verte)
Correction du niveau max des barbare, archer, géant et gobelin pour HDV &lt; 3</t>
  </si>
  <si>
    <t>http://www.fichier-xls.fr/2015/12/19/coc-calcultator-v6-01-01-vierge/</t>
  </si>
  <si>
    <t>Mode d'emploi résumé :</t>
  </si>
  <si>
    <t>Pour reccacher les onglets (uniquement les rouges) lancer la macro "Masquage_Onglets_ON"</t>
  </si>
  <si>
    <t>V6.02</t>
  </si>
  <si>
    <t>-Souris verte
Mise a jour des valeurs d'amélioration
Modification de la macro de création du planning (rduction d'1/3 du temps d'execution).</t>
  </si>
  <si>
    <t>V6.03</t>
  </si>
  <si>
    <t>http://www.fichier-xls.fr/2015/12/24/coc-calcultator-v6-02-vierge/</t>
  </si>
  <si>
    <t>http://www.cjoint.com/c/FAksLbvTKcE</t>
  </si>
  <si>
    <t>Oui</t>
  </si>
  <si>
    <t>V6.04</t>
  </si>
  <si>
    <t>-Souris verte
Corrections mineures suite a l'augmentation du niveau max de certains batiments et autres</t>
  </si>
  <si>
    <t>Plus d'ouvrier disponible</t>
  </si>
  <si>
    <t>V6.07</t>
  </si>
  <si>
    <t>-Franck51-
Modification de l'onglet planning
Certaine données ne pointées pas sur les bon tableaux comme la tour d'archer et la foreuse d'élixir noir.</t>
  </si>
  <si>
    <t>Bouliste</t>
  </si>
  <si>
    <t>LVL Max54</t>
  </si>
  <si>
    <t>V7</t>
  </si>
  <si>
    <t>-Souris verte
Nouveaux niveaux batiments et troupes
Nouvelle troupe</t>
  </si>
  <si>
    <t>V7.01</t>
  </si>
  <si>
    <t>-Souris verte
Mise a jours
Corrections diverses</t>
  </si>
  <si>
    <t>https://www.fichier-xls.fr/2016/03/26/coc-calcultator-v7-vierge/</t>
  </si>
  <si>
    <t>https://www.fichier-xls.fr/2016/04/01/coc-calcultator-v7-01-vierge/</t>
  </si>
  <si>
    <t>V7.02</t>
  </si>
  <si>
    <t>Mr Spock
-Modification des temps suivant dernière mise a jour de supercell
- modification du coût de production des boulistes</t>
  </si>
  <si>
    <t>https://www.fichier-xls.fr/2016/05/05/coc-calcultator-v7-02-vierge/</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</si>
</sst>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3" formatCode="_-* #,##0.00\ _€_-;\-* #,##0.00\ _€_-;_-* &quot;-&quot;??\ _€_-;_-@_-"/>
    <numFmt numFmtId="164" formatCode="&quot;TH LVL &quot;0"/>
    <numFmt numFmtId="165" formatCode="&quot;+&quot;0"/>
    <numFmt numFmtId="166" formatCode="&quot;x&quot;0"/>
    <numFmt numFmtId="167" formatCode="0.00&quot; hrs&quot;"/>
    <numFmt numFmtId="168" formatCode="&quot;Total Gold: &quot;#,#00"/>
    <numFmt numFmtId="169" formatCode="&quot;Total Elixir: &quot;#,#00"/>
    <numFmt numFmtId="170" formatCode="&quot;Total Dark Elixir: &quot;#,#00"/>
    <numFmt numFmtId="171" formatCode="&quot;Total Time: &quot;0.00&quot; hrs&quot;"/>
    <numFmt numFmtId="172" formatCode="&quot;Buildings: &quot;0.00&quot; hrs&quot;"/>
    <numFmt numFmtId="173" formatCode="&quot;Troups/Spells Up.: &quot;0.00&quot; hrs&quot;"/>
    <numFmt numFmtId="174" formatCode="&quot;Heroes: &quot;0.00&quot; hrs&quot;"/>
    <numFmt numFmtId="175" formatCode="d&quot; jours &quot;\ h:mm:ss\ "/>
    <numFmt numFmtId="176" formatCode="dd\-hh\-mm\-ss"/>
    <numFmt numFmtId="177" formatCode="dd/mm&quot;-&quot;hh"/>
    <numFmt numFmtId="178" formatCode="0.000"/>
    <numFmt numFmtId="179" formatCode="dd/mm\-hh:mm"/>
  </numFmts>
  <fonts count="54" x14ac:knownFonts="1">
    <font>
      <sz val="11"/>
      <color theme="1"/>
      <name val="Calibri"/>
      <family val="2"/>
      <scheme val="minor"/>
    </font>
    <font>
      <b/>
      <sz val="10"/>
      <color theme="0"/>
      <name val="Calibri"/>
      <family val="2"/>
      <scheme val="minor"/>
    </font>
    <font>
      <b/>
      <sz val="14"/>
      <color theme="0"/>
      <name val="Calibri"/>
      <family val="2"/>
      <scheme val="minor"/>
    </font>
    <font>
      <b/>
      <sz val="8"/>
      <color theme="0"/>
      <name val="Calibri"/>
      <family val="2"/>
      <scheme val="minor"/>
    </font>
    <font>
      <sz val="8"/>
      <name val="Calibri"/>
      <family val="2"/>
      <scheme val="minor"/>
    </font>
    <font>
      <b/>
      <sz val="8"/>
      <color rgb="FFC00000"/>
      <name val="Calibri"/>
      <family val="2"/>
      <scheme val="minor"/>
    </font>
    <font>
      <sz val="8"/>
      <color theme="1"/>
      <name val="Calibri"/>
      <family val="2"/>
      <scheme val="minor"/>
    </font>
    <font>
      <sz val="8"/>
      <color theme="0"/>
      <name val="Calibri"/>
      <family val="2"/>
      <scheme val="minor"/>
    </font>
    <font>
      <b/>
      <sz val="11"/>
      <color theme="0"/>
      <name val="Calibri"/>
      <family val="2"/>
      <scheme val="minor"/>
    </font>
    <font>
      <sz val="11"/>
      <name val="Calibri"/>
      <family val="2"/>
      <scheme val="minor"/>
    </font>
    <font>
      <b/>
      <sz val="8"/>
      <color theme="0"/>
      <name val="Calibri"/>
      <family val="2"/>
      <scheme val="minor"/>
    </font>
    <font>
      <sz val="8"/>
      <color theme="1"/>
      <name val="Calibri"/>
      <family val="2"/>
      <scheme val="minor"/>
    </font>
    <font>
      <b/>
      <sz val="12"/>
      <color theme="0"/>
      <name val="Calibri"/>
      <family val="2"/>
      <scheme val="minor"/>
    </font>
    <font>
      <b/>
      <sz val="8"/>
      <color theme="1"/>
      <name val="Calibri"/>
      <family val="2"/>
      <scheme val="minor"/>
    </font>
    <font>
      <sz val="11"/>
      <color theme="0"/>
      <name val="Calibri"/>
      <family val="2"/>
      <scheme val="minor"/>
    </font>
    <font>
      <b/>
      <sz val="8"/>
      <name val="Calibri"/>
      <family val="2"/>
      <scheme val="minor"/>
    </font>
    <font>
      <b/>
      <sz val="10"/>
      <name val="Calibri"/>
      <family val="2"/>
      <scheme val="minor"/>
    </font>
    <font>
      <b/>
      <sz val="10"/>
      <color theme="1"/>
      <name val="Calibri"/>
      <family val="2"/>
      <scheme val="minor"/>
    </font>
    <font>
      <b/>
      <sz val="42"/>
      <color theme="7"/>
      <name val="Cambria"/>
      <family val="2"/>
      <scheme val="major"/>
    </font>
    <font>
      <sz val="11"/>
      <color theme="1" tint="0.24994659260841701"/>
      <name val="Cambria"/>
      <family val="2"/>
      <scheme val="maj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0"/>
      <color theme="0"/>
      <name val="Calibri"/>
      <family val="2"/>
      <scheme val="minor"/>
    </font>
    <font>
      <b/>
      <sz val="9"/>
      <color theme="0"/>
      <name val="Calibri"/>
      <family val="2"/>
      <scheme val="minor"/>
    </font>
    <font>
      <b/>
      <sz val="11"/>
      <color theme="1"/>
      <name val="Calibri"/>
      <family val="2"/>
      <scheme val="minor"/>
    </font>
    <font>
      <b/>
      <sz val="9"/>
      <color theme="1"/>
      <name val="Calibri"/>
      <family val="2"/>
      <scheme val="minor"/>
    </font>
    <font>
      <i/>
      <sz val="8"/>
      <color theme="1"/>
      <name val="Calibri"/>
      <family val="2"/>
      <scheme val="minor"/>
    </font>
    <font>
      <sz val="9"/>
      <color theme="1"/>
      <name val="Calibri"/>
      <family val="2"/>
      <scheme val="minor"/>
    </font>
    <font>
      <b/>
      <sz val="16"/>
      <color theme="0"/>
      <name val="Calibri"/>
      <family val="2"/>
      <scheme val="minor"/>
    </font>
    <font>
      <b/>
      <sz val="9"/>
      <name val="Calibri"/>
      <family val="2"/>
      <scheme val="minor"/>
    </font>
    <font>
      <sz val="6"/>
      <color theme="0"/>
      <name val="Calibri"/>
      <family val="2"/>
      <scheme val="minor"/>
    </font>
    <font>
      <sz val="7"/>
      <name val="Calibri"/>
      <family val="2"/>
      <scheme val="minor"/>
    </font>
    <font>
      <sz val="7"/>
      <color theme="1"/>
      <name val="Calibri"/>
      <family val="2"/>
      <scheme val="minor"/>
    </font>
    <font>
      <b/>
      <i/>
      <sz val="8"/>
      <color theme="1"/>
      <name val="Calibri"/>
      <family val="2"/>
      <scheme val="minor"/>
    </font>
    <font>
      <sz val="8"/>
      <color rgb="FFFF0000"/>
      <name val="Calibri"/>
      <family val="2"/>
      <scheme val="minor"/>
    </font>
    <font>
      <sz val="8"/>
      <color theme="0"/>
      <name val="Times New Roman"/>
      <family val="1"/>
    </font>
    <font>
      <u/>
      <sz val="11"/>
      <color theme="10"/>
      <name val="Calibri"/>
      <family val="2"/>
    </font>
    <font>
      <sz val="12"/>
      <name val="Calibri"/>
      <family val="2"/>
      <scheme val="minor"/>
    </font>
    <font>
      <sz val="11"/>
      <color theme="0" tint="-0.14999847407452621"/>
      <name val="Calibri"/>
      <family val="2"/>
      <scheme val="minor"/>
    </font>
    <font>
      <sz val="8"/>
      <color theme="0" tint="-0.14999847407452621"/>
      <name val="Calibri"/>
      <family val="2"/>
      <scheme val="minor"/>
    </font>
    <font>
      <sz val="11"/>
      <color theme="1"/>
      <name val="Calibri"/>
      <family val="2"/>
      <scheme val="minor"/>
    </font>
    <font>
      <sz val="8"/>
      <color indexed="81"/>
      <name val="Tahoma"/>
      <family val="2"/>
    </font>
    <font>
      <sz val="10"/>
      <color rgb="FF000000"/>
      <name val="Arial"/>
      <family val="2"/>
    </font>
    <font>
      <sz val="10"/>
      <color rgb="FF3A3A3A"/>
      <name val="Helvetica"/>
      <family val="2"/>
    </font>
    <font>
      <u/>
      <sz val="11"/>
      <color theme="10"/>
      <name val="Calibri"/>
      <family val="2"/>
      <scheme val="minor"/>
    </font>
    <font>
      <b/>
      <sz val="11"/>
      <color theme="3"/>
      <name val="Calibri"/>
      <family val="2"/>
      <scheme val="minor"/>
    </font>
    <font>
      <b/>
      <u/>
      <sz val="18"/>
      <color theme="3"/>
      <name val="Calibri"/>
      <family val="2"/>
      <scheme val="minor"/>
    </font>
    <font>
      <b/>
      <u/>
      <sz val="14"/>
      <color theme="1"/>
      <name val="Calibri"/>
      <family val="2"/>
      <scheme val="minor"/>
    </font>
    <font>
      <i/>
      <sz val="11"/>
      <color theme="1"/>
      <name val="Calibri"/>
      <family val="2"/>
      <scheme val="minor"/>
    </font>
    <font>
      <b/>
      <sz val="10"/>
      <color rgb="FF0000FF"/>
      <name val="Calibri"/>
      <family val="2"/>
    </font>
    <font>
      <b/>
      <sz val="10"/>
      <color rgb="FFFF0000"/>
      <name val="Calibri"/>
      <family val="2"/>
    </font>
  </fonts>
  <fills count="36">
    <fill>
      <patternFill patternType="none"/>
    </fill>
    <fill>
      <patternFill patternType="gray125"/>
    </fill>
    <fill>
      <patternFill patternType="solid">
        <fgColor rgb="FF7030A0"/>
        <bgColor indexed="64"/>
      </patternFill>
    </fill>
    <fill>
      <patternFill patternType="solid">
        <fgColor theme="1" tint="0.14999847407452621"/>
        <bgColor indexed="64"/>
      </patternFill>
    </fill>
    <fill>
      <patternFill patternType="solid">
        <fgColor rgb="FF002060"/>
        <bgColor indexed="64"/>
      </patternFill>
    </fill>
    <fill>
      <patternFill patternType="solid">
        <fgColor theme="8" tint="0.39997558519241921"/>
        <bgColor theme="4" tint="0.59999389629810485"/>
      </patternFill>
    </fill>
    <fill>
      <patternFill patternType="solid">
        <fgColor theme="8" tint="0.39997558519241921"/>
        <bgColor theme="4" tint="0.79998168889431442"/>
      </patternFill>
    </fill>
    <fill>
      <patternFill patternType="solid">
        <fgColor theme="9" tint="0.39997558519241921"/>
        <bgColor theme="4" tint="0.59999389629810485"/>
      </patternFill>
    </fill>
    <fill>
      <patternFill patternType="solid">
        <fgColor theme="9" tint="0.39997558519241921"/>
        <bgColor theme="4" tint="0.79998168889431442"/>
      </patternFill>
    </fill>
    <fill>
      <patternFill patternType="solid">
        <fgColor theme="8" tint="0.39997558519241921"/>
        <bgColor indexed="64"/>
      </patternFill>
    </fill>
    <fill>
      <patternFill patternType="solid">
        <fgColor rgb="FFFFC000"/>
        <bgColor indexed="64"/>
      </patternFill>
    </fill>
    <fill>
      <patternFill patternType="solid">
        <fgColor theme="1"/>
        <bgColor indexed="64"/>
      </patternFill>
    </fill>
    <fill>
      <patternFill patternType="solid">
        <fgColor rgb="FF92D050"/>
        <bgColor indexed="64"/>
      </patternFill>
    </fill>
    <fill>
      <patternFill patternType="solid">
        <fgColor theme="8" tint="-0.249977111117893"/>
        <bgColor indexed="64"/>
      </patternFill>
    </fill>
    <fill>
      <patternFill patternType="solid">
        <fgColor theme="0"/>
        <bgColor indexed="64"/>
      </patternFill>
    </fill>
    <fill>
      <patternFill patternType="solid">
        <fgColor theme="0" tint="-0.249977111117893"/>
        <bgColor indexed="64"/>
      </patternFill>
    </fill>
    <fill>
      <patternFill patternType="solid">
        <fgColor theme="9" tint="0.59996337778862885"/>
        <bgColor indexed="64"/>
      </patternFill>
    </fill>
    <fill>
      <patternFill patternType="solid">
        <fgColor rgb="FFFF0000"/>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rgb="FFFFFF00"/>
        <bgColor indexed="64"/>
      </patternFill>
    </fill>
    <fill>
      <patternFill patternType="solid">
        <fgColor rgb="FFA41EB2"/>
        <bgColor indexed="64"/>
      </patternFill>
    </fill>
    <fill>
      <gradientFill degree="90">
        <stop position="0">
          <color rgb="FFA41EB2"/>
        </stop>
        <stop position="1">
          <color rgb="FFFFC000"/>
        </stop>
      </gradientFill>
    </fill>
    <fill>
      <patternFill patternType="solid">
        <fgColor rgb="FF00B050"/>
        <bgColor indexed="64"/>
      </patternFill>
    </fill>
    <fill>
      <patternFill patternType="lightUp">
        <fgColor rgb="FF0070C0"/>
      </patternFill>
    </fill>
    <fill>
      <patternFill patternType="lightUp">
        <fgColor rgb="FF0070C0"/>
        <bgColor rgb="FFFF9F9F"/>
      </patternFill>
    </fill>
    <fill>
      <patternFill patternType="lightGray">
        <fgColor rgb="FFFF0000"/>
        <bgColor auto="1"/>
      </patternFill>
    </fill>
    <fill>
      <patternFill patternType="solid">
        <fgColor rgb="FF009682"/>
        <bgColor indexed="64"/>
      </patternFill>
    </fill>
    <fill>
      <patternFill patternType="solid">
        <fgColor rgb="FF00B0F0"/>
        <bgColor indexed="64"/>
      </patternFill>
    </fill>
    <fill>
      <gradientFill degree="90">
        <stop position="0">
          <color rgb="FFFFC000"/>
        </stop>
        <stop position="1">
          <color rgb="FFA41EB2"/>
        </stop>
      </gradientFill>
    </fill>
    <fill>
      <patternFill patternType="solid">
        <fgColor theme="0" tint="-0.34998626667073579"/>
        <bgColor indexed="64"/>
      </patternFill>
    </fill>
    <fill>
      <patternFill patternType="solid">
        <fgColor rgb="FFC00000"/>
        <bgColor indexed="64"/>
      </patternFill>
    </fill>
    <fill>
      <patternFill patternType="solid">
        <fgColor theme="9" tint="0.59999389629810485"/>
        <bgColor indexed="64"/>
      </patternFill>
    </fill>
  </fills>
  <borders count="18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medium">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theme="9" tint="-0.24994659260841701"/>
      </top>
      <bottom style="thin">
        <color theme="9" tint="-0.24994659260841701"/>
      </bottom>
      <diagonal/>
    </border>
    <border>
      <left/>
      <right/>
      <top/>
      <bottom style="thin">
        <color theme="7"/>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indexed="64"/>
      </right>
      <top style="thin">
        <color theme="0"/>
      </top>
      <bottom style="thin">
        <color indexed="64"/>
      </bottom>
      <diagonal/>
    </border>
    <border>
      <left style="thin">
        <color theme="0"/>
      </left>
      <right style="thin">
        <color indexed="64"/>
      </right>
      <top style="thin">
        <color theme="0"/>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ck">
        <color rgb="FFC00000"/>
      </left>
      <right style="thick">
        <color rgb="FFC00000"/>
      </right>
      <top style="thick">
        <color rgb="FFC00000"/>
      </top>
      <bottom style="thick">
        <color rgb="FFC00000"/>
      </bottom>
      <diagonal/>
    </border>
    <border>
      <left style="thick">
        <color rgb="FFC00000"/>
      </left>
      <right style="thin">
        <color indexed="64"/>
      </right>
      <top style="thick">
        <color rgb="FFC00000"/>
      </top>
      <bottom style="thin">
        <color indexed="64"/>
      </bottom>
      <diagonal/>
    </border>
    <border>
      <left style="thin">
        <color indexed="64"/>
      </left>
      <right style="thick">
        <color rgb="FFC00000"/>
      </right>
      <top style="thick">
        <color rgb="FFC00000"/>
      </top>
      <bottom style="thin">
        <color indexed="64"/>
      </bottom>
      <diagonal/>
    </border>
    <border>
      <left style="thick">
        <color rgb="FFC00000"/>
      </left>
      <right style="thin">
        <color indexed="64"/>
      </right>
      <top style="thin">
        <color indexed="64"/>
      </top>
      <bottom style="thin">
        <color indexed="64"/>
      </bottom>
      <diagonal/>
    </border>
    <border>
      <left style="thin">
        <color indexed="64"/>
      </left>
      <right style="thick">
        <color rgb="FFC00000"/>
      </right>
      <top style="thin">
        <color indexed="64"/>
      </top>
      <bottom style="thin">
        <color indexed="64"/>
      </bottom>
      <diagonal/>
    </border>
    <border>
      <left style="thick">
        <color rgb="FFC00000"/>
      </left>
      <right style="thin">
        <color indexed="64"/>
      </right>
      <top style="thin">
        <color indexed="64"/>
      </top>
      <bottom style="thick">
        <color rgb="FFC00000"/>
      </bottom>
      <diagonal/>
    </border>
    <border>
      <left style="thin">
        <color indexed="64"/>
      </left>
      <right style="thick">
        <color rgb="FFC00000"/>
      </right>
      <top style="thin">
        <color indexed="64"/>
      </top>
      <bottom style="thick">
        <color rgb="FFC00000"/>
      </bottom>
      <diagonal/>
    </border>
    <border>
      <left style="thin">
        <color indexed="64"/>
      </left>
      <right style="thin">
        <color indexed="64"/>
      </right>
      <top style="thick">
        <color rgb="FFC00000"/>
      </top>
      <bottom style="thin">
        <color indexed="64"/>
      </bottom>
      <diagonal/>
    </border>
    <border>
      <left style="thin">
        <color indexed="64"/>
      </left>
      <right style="thin">
        <color indexed="64"/>
      </right>
      <top style="thin">
        <color indexed="64"/>
      </top>
      <bottom style="thick">
        <color rgb="FFC00000"/>
      </bottom>
      <diagonal/>
    </border>
    <border>
      <left style="thick">
        <color rgb="FFC00000"/>
      </left>
      <right style="thin">
        <color indexed="64"/>
      </right>
      <top style="thick">
        <color rgb="FFC00000"/>
      </top>
      <bottom style="thick">
        <color rgb="FFC00000"/>
      </bottom>
      <diagonal/>
    </border>
    <border>
      <left style="thin">
        <color indexed="64"/>
      </left>
      <right style="thick">
        <color rgb="FFC00000"/>
      </right>
      <top style="thick">
        <color rgb="FFC00000"/>
      </top>
      <bottom style="thick">
        <color rgb="FFC00000"/>
      </bottom>
      <diagonal/>
    </border>
    <border>
      <left style="thick">
        <color rgb="FFC00000"/>
      </left>
      <right style="thick">
        <color rgb="FFC00000"/>
      </right>
      <top style="thick">
        <color rgb="FFC00000"/>
      </top>
      <bottom style="thin">
        <color indexed="64"/>
      </bottom>
      <diagonal/>
    </border>
    <border>
      <left style="thick">
        <color rgb="FFC00000"/>
      </left>
      <right style="thick">
        <color rgb="FFC00000"/>
      </right>
      <top style="thin">
        <color indexed="64"/>
      </top>
      <bottom style="thin">
        <color indexed="64"/>
      </bottom>
      <diagonal/>
    </border>
    <border>
      <left style="thick">
        <color rgb="FFC00000"/>
      </left>
      <right style="thick">
        <color rgb="FFC00000"/>
      </right>
      <top style="thin">
        <color indexed="64"/>
      </top>
      <bottom style="thick">
        <color rgb="FFC00000"/>
      </bottom>
      <diagonal/>
    </border>
    <border>
      <left/>
      <right style="thick">
        <color rgb="FFC00000"/>
      </right>
      <top style="thick">
        <color rgb="FFC00000"/>
      </top>
      <bottom style="thin">
        <color indexed="64"/>
      </bottom>
      <diagonal/>
    </border>
    <border>
      <left style="thin">
        <color indexed="64"/>
      </left>
      <right style="thin">
        <color indexed="64"/>
      </right>
      <top style="thick">
        <color rgb="FFC00000"/>
      </top>
      <bottom style="thick">
        <color rgb="FFC00000"/>
      </bottom>
      <diagonal/>
    </border>
    <border>
      <left style="medium">
        <color indexed="64"/>
      </left>
      <right/>
      <top style="medium">
        <color indexed="64"/>
      </top>
      <bottom style="thick">
        <color rgb="FFC00000"/>
      </bottom>
      <diagonal/>
    </border>
    <border>
      <left/>
      <right style="medium">
        <color indexed="64"/>
      </right>
      <top style="medium">
        <color indexed="64"/>
      </top>
      <bottom style="thick">
        <color rgb="FFC00000"/>
      </bottom>
      <diagonal/>
    </border>
    <border>
      <left/>
      <right style="medium">
        <color indexed="64"/>
      </right>
      <top style="medium">
        <color indexed="64"/>
      </top>
      <bottom style="thin">
        <color indexed="64"/>
      </bottom>
      <diagonal/>
    </border>
    <border>
      <left style="thick">
        <color rgb="FFC00000"/>
      </left>
      <right/>
      <top style="thick">
        <color rgb="FFC00000"/>
      </top>
      <bottom style="thick">
        <color rgb="FFC00000"/>
      </bottom>
      <diagonal/>
    </border>
    <border>
      <left/>
      <right style="thick">
        <color rgb="FFC00000"/>
      </right>
      <top style="thick">
        <color rgb="FFC00000"/>
      </top>
      <bottom style="thick">
        <color rgb="FFC00000"/>
      </bottom>
      <diagonal/>
    </border>
    <border>
      <left style="thick">
        <color rgb="FFC00000"/>
      </left>
      <right/>
      <top style="thick">
        <color rgb="FFC00000"/>
      </top>
      <bottom style="thin">
        <color indexed="64"/>
      </bottom>
      <diagonal/>
    </border>
    <border>
      <left style="thick">
        <color rgb="FFC00000"/>
      </left>
      <right/>
      <top style="thin">
        <color indexed="64"/>
      </top>
      <bottom style="thin">
        <color indexed="64"/>
      </bottom>
      <diagonal/>
    </border>
    <border>
      <left/>
      <right style="thick">
        <color rgb="FFC00000"/>
      </right>
      <top style="thin">
        <color indexed="64"/>
      </top>
      <bottom style="thin">
        <color indexed="64"/>
      </bottom>
      <diagonal/>
    </border>
    <border>
      <left style="medium">
        <color indexed="64"/>
      </left>
      <right/>
      <top style="thin">
        <color rgb="FFFF3399"/>
      </top>
      <bottom style="thin">
        <color rgb="FFFF3399"/>
      </bottom>
      <diagonal/>
    </border>
    <border>
      <left style="medium">
        <color indexed="64"/>
      </left>
      <right/>
      <top style="medium">
        <color indexed="64"/>
      </top>
      <bottom style="thin">
        <color rgb="FF002060"/>
      </bottom>
      <diagonal/>
    </border>
    <border>
      <left/>
      <right/>
      <top style="medium">
        <color indexed="64"/>
      </top>
      <bottom style="thin">
        <color rgb="FF008C3C"/>
      </bottom>
      <diagonal/>
    </border>
    <border>
      <left style="medium">
        <color indexed="64"/>
      </left>
      <right/>
      <top style="thin">
        <color rgb="FFFF0000"/>
      </top>
      <bottom style="thin">
        <color rgb="FFFF0000"/>
      </bottom>
      <diagonal/>
    </border>
    <border>
      <left style="thin">
        <color indexed="64"/>
      </left>
      <right style="medium">
        <color indexed="64"/>
      </right>
      <top style="thin">
        <color theme="0"/>
      </top>
      <bottom style="thin">
        <color indexed="64"/>
      </bottom>
      <diagonal/>
    </border>
    <border>
      <left style="thin">
        <color theme="0"/>
      </left>
      <right style="thin">
        <color indexed="64"/>
      </right>
      <top style="thin">
        <color theme="0"/>
      </top>
      <bottom/>
      <diagonal/>
    </border>
    <border>
      <left style="thin">
        <color indexed="64"/>
      </left>
      <right style="medium">
        <color indexed="64"/>
      </right>
      <top style="thin">
        <color theme="0"/>
      </top>
      <bottom/>
      <diagonal/>
    </border>
    <border>
      <left style="medium">
        <color rgb="FFC00000"/>
      </left>
      <right style="medium">
        <color rgb="FFC00000"/>
      </right>
      <top style="medium">
        <color rgb="FFC00000"/>
      </top>
      <bottom style="thin">
        <color indexed="64"/>
      </bottom>
      <diagonal/>
    </border>
    <border>
      <left style="medium">
        <color rgb="FFC00000"/>
      </left>
      <right style="medium">
        <color rgb="FFC00000"/>
      </right>
      <top style="thin">
        <color indexed="64"/>
      </top>
      <bottom style="thin">
        <color indexed="64"/>
      </bottom>
      <diagonal/>
    </border>
    <border>
      <left style="medium">
        <color rgb="FFC00000"/>
      </left>
      <right style="medium">
        <color rgb="FFC00000"/>
      </right>
      <top style="thin">
        <color indexed="64"/>
      </top>
      <bottom style="medium">
        <color rgb="FFC00000"/>
      </bottom>
      <diagonal/>
    </border>
    <border>
      <left style="thick">
        <color rgb="FFC00000"/>
      </left>
      <right style="thick">
        <color rgb="FFC00000"/>
      </right>
      <top style="thick">
        <color rgb="FFC00000"/>
      </top>
      <bottom/>
      <diagonal/>
    </border>
    <border>
      <left style="medium">
        <color rgb="FFFF0000"/>
      </left>
      <right style="thin">
        <color indexed="64"/>
      </right>
      <top style="medium">
        <color rgb="FFFF0000"/>
      </top>
      <bottom style="thin">
        <color auto="1"/>
      </bottom>
      <diagonal/>
    </border>
    <border>
      <left style="thin">
        <color indexed="64"/>
      </left>
      <right style="thin">
        <color indexed="64"/>
      </right>
      <top style="medium">
        <color rgb="FFFF0000"/>
      </top>
      <bottom style="thin">
        <color auto="1"/>
      </bottom>
      <diagonal/>
    </border>
    <border>
      <left style="thin">
        <color indexed="64"/>
      </left>
      <right style="medium">
        <color rgb="FFFF0000"/>
      </right>
      <top style="medium">
        <color rgb="FFFF0000"/>
      </top>
      <bottom style="thin">
        <color auto="1"/>
      </bottom>
      <diagonal/>
    </border>
    <border>
      <left style="thick">
        <color rgb="FFC00000"/>
      </left>
      <right/>
      <top style="thin">
        <color indexed="64"/>
      </top>
      <bottom style="medium">
        <color indexed="64"/>
      </bottom>
      <diagonal/>
    </border>
    <border>
      <left/>
      <right/>
      <top style="medium">
        <color indexed="64"/>
      </top>
      <bottom style="thick">
        <color rgb="FFC00000"/>
      </bottom>
      <diagonal/>
    </border>
    <border>
      <left style="medium">
        <color rgb="FFFF0000"/>
      </left>
      <right style="medium">
        <color rgb="FFFF0000"/>
      </right>
      <top style="medium">
        <color rgb="FFFF0000"/>
      </top>
      <bottom style="medium">
        <color rgb="FFFF0000"/>
      </bottom>
      <diagonal/>
    </border>
    <border>
      <left style="medium">
        <color rgb="FFFF0000"/>
      </left>
      <right style="thin">
        <color indexed="64"/>
      </right>
      <top style="thin">
        <color auto="1"/>
      </top>
      <bottom/>
      <diagonal/>
    </border>
    <border>
      <left style="thin">
        <color indexed="64"/>
      </left>
      <right style="medium">
        <color rgb="FFFF0000"/>
      </right>
      <top style="thin">
        <color auto="1"/>
      </top>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thin">
        <color indexed="64"/>
      </right>
      <top style="thin">
        <color indexed="64"/>
      </top>
      <bottom style="thin">
        <color indexed="64"/>
      </bottom>
      <diagonal/>
    </border>
    <border>
      <left style="thin">
        <color indexed="64"/>
      </left>
      <right style="medium">
        <color rgb="FFFF0000"/>
      </right>
      <top style="thin">
        <color indexed="64"/>
      </top>
      <bottom style="thin">
        <color indexed="64"/>
      </bottom>
      <diagonal/>
    </border>
    <border>
      <left style="medium">
        <color rgb="FFFF0000"/>
      </left>
      <right/>
      <top style="thin">
        <color indexed="64"/>
      </top>
      <bottom style="thin">
        <color indexed="64"/>
      </bottom>
      <diagonal/>
    </border>
    <border>
      <left style="medium">
        <color rgb="FFFF0000"/>
      </left>
      <right/>
      <top style="thin">
        <color indexed="64"/>
      </top>
      <bottom/>
      <diagonal/>
    </border>
    <border>
      <left style="medium">
        <color rgb="FFFF0000"/>
      </left>
      <right style="thin">
        <color indexed="64"/>
      </right>
      <top/>
      <bottom style="medium">
        <color rgb="FFFF0000"/>
      </bottom>
      <diagonal/>
    </border>
    <border>
      <left style="thin">
        <color indexed="64"/>
      </left>
      <right style="thin">
        <color indexed="64"/>
      </right>
      <top/>
      <bottom style="medium">
        <color rgb="FFFF0000"/>
      </bottom>
      <diagonal/>
    </border>
    <border>
      <left style="thin">
        <color indexed="64"/>
      </left>
      <right style="medium">
        <color rgb="FFFF0000"/>
      </right>
      <top/>
      <bottom style="medium">
        <color rgb="FFFF0000"/>
      </bottom>
      <diagonal/>
    </border>
    <border>
      <left style="thick">
        <color rgb="FFC00000"/>
      </left>
      <right/>
      <top style="thin">
        <color indexed="64"/>
      </top>
      <bottom style="thick">
        <color rgb="FFC00000"/>
      </bottom>
      <diagonal/>
    </border>
    <border>
      <left/>
      <right style="thick">
        <color rgb="FFC00000"/>
      </right>
      <top style="thin">
        <color indexed="64"/>
      </top>
      <bottom style="thick">
        <color rgb="FFC00000"/>
      </bottom>
      <diagonal/>
    </border>
    <border>
      <left style="thick">
        <color rgb="FFC00000"/>
      </left>
      <right/>
      <top style="thick">
        <color auto="1"/>
      </top>
      <bottom/>
      <diagonal/>
    </border>
    <border>
      <left/>
      <right style="thick">
        <color auto="1"/>
      </right>
      <top style="thin">
        <color indexed="64"/>
      </top>
      <bottom style="thin">
        <color indexed="64"/>
      </bottom>
      <diagonal/>
    </border>
    <border>
      <left/>
      <right style="thick">
        <color auto="1"/>
      </right>
      <top style="thin">
        <color indexed="64"/>
      </top>
      <bottom style="medium">
        <color indexed="64"/>
      </bottom>
      <diagonal/>
    </border>
    <border>
      <left/>
      <right style="thick">
        <color auto="1"/>
      </right>
      <top/>
      <bottom/>
      <diagonal/>
    </border>
    <border>
      <left style="thin">
        <color rgb="FFC00000"/>
      </left>
      <right style="thin">
        <color rgb="FFC00000"/>
      </right>
      <top style="thick">
        <color rgb="FFC00000"/>
      </top>
      <bottom style="thick">
        <color rgb="FFC00000"/>
      </bottom>
      <diagonal/>
    </border>
    <border>
      <left style="thin">
        <color rgb="FFC00000"/>
      </left>
      <right style="thick">
        <color rgb="FFC00000"/>
      </right>
      <top style="thick">
        <color rgb="FFC00000"/>
      </top>
      <bottom style="thick">
        <color rgb="FFC00000"/>
      </bottom>
      <diagonal/>
    </border>
    <border>
      <left style="medium">
        <color rgb="FFFF0000"/>
      </left>
      <right/>
      <top style="medium">
        <color rgb="FFFF0000"/>
      </top>
      <bottom style="thin">
        <color auto="1"/>
      </bottom>
      <diagonal/>
    </border>
    <border>
      <left/>
      <right/>
      <top style="medium">
        <color rgb="FFFF0000"/>
      </top>
      <bottom style="thin">
        <color auto="1"/>
      </bottom>
      <diagonal/>
    </border>
    <border>
      <left/>
      <right style="medium">
        <color rgb="FFFF0000"/>
      </right>
      <top style="medium">
        <color rgb="FFFF0000"/>
      </top>
      <bottom style="thin">
        <color auto="1"/>
      </bottom>
      <diagonal/>
    </border>
    <border>
      <left style="medium">
        <color indexed="64"/>
      </left>
      <right style="medium">
        <color indexed="64"/>
      </right>
      <top/>
      <bottom/>
      <diagonal/>
    </border>
    <border>
      <left style="thick">
        <color rgb="FFC00000"/>
      </left>
      <right/>
      <top/>
      <bottom style="medium">
        <color indexed="64"/>
      </bottom>
      <diagonal/>
    </border>
    <border>
      <left style="medium">
        <color indexed="64"/>
      </left>
      <right style="thin">
        <color indexed="64"/>
      </right>
      <top/>
      <bottom/>
      <diagonal/>
    </border>
    <border>
      <left style="thin">
        <color indexed="64"/>
      </left>
      <right style="thin">
        <color indexed="64"/>
      </right>
      <top style="thin">
        <color theme="0"/>
      </top>
      <bottom/>
      <diagonal/>
    </border>
    <border>
      <left style="thin">
        <color indexed="64"/>
      </left>
      <right/>
      <top style="medium">
        <color rgb="FFFF0000"/>
      </top>
      <bottom style="thin">
        <color auto="1"/>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rgb="FFFF0000"/>
      </left>
      <right style="thin">
        <color indexed="64"/>
      </right>
      <top style="medium">
        <color indexed="64"/>
      </top>
      <bottom style="thin">
        <color indexed="64"/>
      </bottom>
      <diagonal/>
    </border>
    <border>
      <left style="thick">
        <color rgb="FFFF0000"/>
      </left>
      <right style="thin">
        <color indexed="64"/>
      </right>
      <top style="thin">
        <color indexed="64"/>
      </top>
      <bottom style="thin">
        <color indexed="64"/>
      </bottom>
      <diagonal/>
    </border>
    <border>
      <left style="thick">
        <color rgb="FFFF0000"/>
      </left>
      <right style="thin">
        <color indexed="64"/>
      </right>
      <top style="thin">
        <color indexed="64"/>
      </top>
      <bottom style="medium">
        <color indexed="64"/>
      </bottom>
      <diagonal/>
    </border>
    <border>
      <left style="thin">
        <color indexed="64"/>
      </left>
      <right style="thick">
        <color rgb="FFFF0000"/>
      </right>
      <top style="medium">
        <color indexed="64"/>
      </top>
      <bottom style="thin">
        <color indexed="64"/>
      </bottom>
      <diagonal/>
    </border>
    <border>
      <left style="thin">
        <color indexed="64"/>
      </left>
      <right style="thick">
        <color rgb="FFFF0000"/>
      </right>
      <top style="thin">
        <color indexed="64"/>
      </top>
      <bottom style="thin">
        <color indexed="64"/>
      </bottom>
      <diagonal/>
    </border>
    <border>
      <left style="thin">
        <color indexed="64"/>
      </left>
      <right style="thick">
        <color rgb="FFFF0000"/>
      </right>
      <top style="thin">
        <color indexed="64"/>
      </top>
      <bottom style="medium">
        <color indexed="64"/>
      </bottom>
      <diagonal/>
    </border>
    <border>
      <left style="thick">
        <color rgb="FFFF0000"/>
      </left>
      <right style="thick">
        <color rgb="FFFF0000"/>
      </right>
      <top style="thick">
        <color rgb="FFFF0000"/>
      </top>
      <bottom style="thick">
        <color rgb="FFFF0000"/>
      </bottom>
      <diagonal/>
    </border>
    <border>
      <left style="medium">
        <color rgb="FFFF0000"/>
      </left>
      <right style="thin">
        <color indexed="64"/>
      </right>
      <top style="thin">
        <color auto="1"/>
      </top>
      <bottom style="medium">
        <color rgb="FFFF0000"/>
      </bottom>
      <diagonal/>
    </border>
    <border>
      <left style="thin">
        <color indexed="64"/>
      </left>
      <right style="thin">
        <color indexed="64"/>
      </right>
      <top style="thin">
        <color auto="1"/>
      </top>
      <bottom style="medium">
        <color rgb="FFFF0000"/>
      </bottom>
      <diagonal/>
    </border>
    <border>
      <left style="thin">
        <color indexed="64"/>
      </left>
      <right style="medium">
        <color rgb="FFFF0000"/>
      </right>
      <top style="thin">
        <color auto="1"/>
      </top>
      <bottom style="medium">
        <color rgb="FFFF0000"/>
      </bottom>
      <diagonal/>
    </border>
    <border>
      <left style="medium">
        <color rgb="FFFF0000"/>
      </left>
      <right style="medium">
        <color indexed="64"/>
      </right>
      <top/>
      <bottom/>
      <diagonal/>
    </border>
    <border>
      <left style="thin">
        <color theme="0" tint="-0.24994659260841701"/>
      </left>
      <right style="thin">
        <color auto="1"/>
      </right>
      <top style="thin">
        <color rgb="FFFF0000"/>
      </top>
      <bottom style="thin">
        <color theme="0" tint="-0.24994659260841701"/>
      </bottom>
      <diagonal/>
    </border>
    <border>
      <left style="thin">
        <color theme="0" tint="-0.24994659260841701"/>
      </left>
      <right style="thin">
        <color rgb="FFFF0000"/>
      </right>
      <top style="thin">
        <color rgb="FFFF0000"/>
      </top>
      <bottom style="thin">
        <color theme="0" tint="-0.24994659260841701"/>
      </bottom>
      <diagonal/>
    </border>
    <border>
      <left style="thin">
        <color rgb="FFFF0000"/>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auto="1"/>
      </right>
      <top style="thin">
        <color theme="0" tint="-0.24994659260841701"/>
      </top>
      <bottom style="thin">
        <color theme="0" tint="-0.24994659260841701"/>
      </bottom>
      <diagonal/>
    </border>
    <border>
      <left style="thin">
        <color auto="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rgb="FFFF0000"/>
      </right>
      <top style="thin">
        <color theme="0" tint="-0.24994659260841701"/>
      </top>
      <bottom style="thin">
        <color theme="0" tint="-0.24994659260841701"/>
      </bottom>
      <diagonal/>
    </border>
    <border>
      <left style="thin">
        <color rgb="FFFF0000"/>
      </left>
      <right style="thin">
        <color theme="0" tint="-0.24994659260841701"/>
      </right>
      <top style="thin">
        <color theme="0" tint="-0.24994659260841701"/>
      </top>
      <bottom style="thin">
        <color rgb="FFFF0000"/>
      </bottom>
      <diagonal/>
    </border>
    <border>
      <left style="thin">
        <color theme="0" tint="-0.24994659260841701"/>
      </left>
      <right style="thin">
        <color theme="0" tint="-0.24994659260841701"/>
      </right>
      <top style="thin">
        <color theme="0" tint="-0.24994659260841701"/>
      </top>
      <bottom style="thin">
        <color rgb="FFFF0000"/>
      </bottom>
      <diagonal/>
    </border>
    <border>
      <left style="thin">
        <color theme="0" tint="-0.24994659260841701"/>
      </left>
      <right style="thin">
        <color auto="1"/>
      </right>
      <top style="thin">
        <color theme="0" tint="-0.24994659260841701"/>
      </top>
      <bottom style="thin">
        <color rgb="FFFF0000"/>
      </bottom>
      <diagonal/>
    </border>
    <border>
      <left style="thin">
        <color auto="1"/>
      </left>
      <right style="thin">
        <color theme="0" tint="-0.24994659260841701"/>
      </right>
      <top style="thin">
        <color theme="0" tint="-0.24994659260841701"/>
      </top>
      <bottom style="thin">
        <color rgb="FFFF0000"/>
      </bottom>
      <diagonal/>
    </border>
    <border>
      <left style="thin">
        <color theme="0" tint="-0.24994659260841701"/>
      </left>
      <right style="thin">
        <color rgb="FFFF0000"/>
      </right>
      <top style="thin">
        <color theme="0" tint="-0.24994659260841701"/>
      </top>
      <bottom style="thin">
        <color rgb="FFFF0000"/>
      </bottom>
      <diagonal/>
    </border>
    <border>
      <left style="thick">
        <color rgb="FFC00000"/>
      </left>
      <right style="thin">
        <color rgb="FFC00000"/>
      </right>
      <top style="thick">
        <color rgb="FFC00000"/>
      </top>
      <bottom style="thick">
        <color rgb="FFC00000"/>
      </bottom>
      <diagonal/>
    </border>
    <border>
      <left style="thin">
        <color rgb="FFFF0000"/>
      </left>
      <right style="thin">
        <color theme="0" tint="-0.24994659260841701"/>
      </right>
      <top style="thin">
        <color rgb="FFFF0000"/>
      </top>
      <bottom style="thin">
        <color theme="0" tint="-0.24994659260841701"/>
      </bottom>
      <diagonal/>
    </border>
    <border>
      <left style="thin">
        <color theme="0" tint="-0.24994659260841701"/>
      </left>
      <right style="thin">
        <color theme="0" tint="-0.24994659260841701"/>
      </right>
      <top style="thin">
        <color rgb="FFFF0000"/>
      </top>
      <bottom style="thin">
        <color theme="0" tint="-0.24994659260841701"/>
      </bottom>
      <diagonal/>
    </border>
    <border>
      <left style="thin">
        <color auto="1"/>
      </left>
      <right style="thin">
        <color theme="0" tint="-0.24994659260841701"/>
      </right>
      <top style="thin">
        <color rgb="FFFF0000"/>
      </top>
      <bottom style="thin">
        <color theme="0" tint="-0.24994659260841701"/>
      </bottom>
      <diagonal/>
    </border>
    <border>
      <left/>
      <right/>
      <top style="thin">
        <color rgb="FF007864"/>
      </top>
      <bottom/>
      <diagonal/>
    </border>
  </borders>
  <cellStyleXfs count="13">
    <xf numFmtId="0" fontId="0" fillId="0" borderId="0"/>
    <xf numFmtId="0" fontId="18" fillId="0" borderId="0" applyNumberFormat="0" applyFill="0" applyBorder="0" applyAlignment="0" applyProtection="0"/>
    <xf numFmtId="0" fontId="19" fillId="0" borderId="0" applyNumberFormat="0" applyFill="0" applyBorder="0" applyProtection="0">
      <alignment vertical="center"/>
    </xf>
    <xf numFmtId="0" fontId="20" fillId="16" borderId="70" applyNumberFormat="0" applyProtection="0">
      <alignment horizontal="left" vertical="center"/>
    </xf>
    <xf numFmtId="0" fontId="21" fillId="0" borderId="0" applyNumberFormat="0" applyFill="0" applyBorder="0" applyProtection="0">
      <alignment horizontal="left" vertical="center"/>
    </xf>
    <xf numFmtId="0" fontId="22" fillId="0" borderId="0" applyFill="0" applyBorder="0" applyProtection="0">
      <alignment horizontal="left"/>
    </xf>
    <xf numFmtId="9" fontId="23" fillId="0" borderId="0" applyFill="0" applyBorder="0" applyProtection="0">
      <alignment horizontal="center" vertical="center"/>
    </xf>
    <xf numFmtId="0" fontId="24" fillId="0" borderId="0" applyFill="0" applyBorder="0" applyProtection="0">
      <alignment horizontal="center"/>
    </xf>
    <xf numFmtId="3" fontId="24" fillId="0" borderId="71" applyFill="0" applyProtection="0">
      <alignment horizontal="center"/>
    </xf>
    <xf numFmtId="0" fontId="39" fillId="0" borderId="0" applyNumberFormat="0" applyFill="0" applyBorder="0" applyAlignment="0" applyProtection="0">
      <alignment vertical="top"/>
      <protection locked="0"/>
    </xf>
    <xf numFmtId="43" fontId="43" fillId="0" borderId="0" applyFont="0" applyFill="0" applyBorder="0" applyAlignment="0" applyProtection="0"/>
    <xf numFmtId="0" fontId="45" fillId="0" borderId="0"/>
    <xf numFmtId="0" fontId="47" fillId="0" borderId="0" applyNumberFormat="0" applyFill="0" applyBorder="0" applyAlignment="0" applyProtection="0"/>
  </cellStyleXfs>
  <cellXfs count="1360">
    <xf numFmtId="0" fontId="0" fillId="0" borderId="0" xfId="0"/>
    <xf numFmtId="0" fontId="4" fillId="5" borderId="34" xfId="0" applyFont="1" applyFill="1" applyBorder="1" applyAlignment="1">
      <alignment horizontal="center" vertical="center" wrapText="1"/>
    </xf>
    <xf numFmtId="0" fontId="4" fillId="6" borderId="34" xfId="0" applyFont="1" applyFill="1" applyBorder="1" applyAlignment="1">
      <alignment horizontal="center" vertical="center" wrapText="1"/>
    </xf>
    <xf numFmtId="0" fontId="4" fillId="7" borderId="34" xfId="0" applyFont="1" applyFill="1" applyBorder="1" applyAlignment="1">
      <alignment horizontal="center" vertical="center" wrapText="1"/>
    </xf>
    <xf numFmtId="0" fontId="4" fillId="8" borderId="34"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5" fillId="6" borderId="34"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5" fillId="5" borderId="36" xfId="0" applyFont="1" applyFill="1" applyBorder="1" applyAlignment="1">
      <alignment horizontal="center" vertical="center" wrapText="1"/>
    </xf>
    <xf numFmtId="0" fontId="4" fillId="7" borderId="36" xfId="0" applyFont="1" applyFill="1" applyBorder="1" applyAlignment="1">
      <alignment horizontal="center" vertical="center" wrapText="1"/>
    </xf>
    <xf numFmtId="0" fontId="4" fillId="5" borderId="36"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5" fillId="7" borderId="37" xfId="0" applyFont="1" applyFill="1" applyBorder="1" applyAlignment="1">
      <alignment horizontal="center" vertical="center" wrapText="1"/>
    </xf>
    <xf numFmtId="0" fontId="5" fillId="8" borderId="39" xfId="0" applyFont="1" applyFill="1" applyBorder="1" applyAlignment="1">
      <alignment horizontal="center" vertical="center" wrapText="1"/>
    </xf>
    <xf numFmtId="0" fontId="5" fillId="7" borderId="39" xfId="0" applyFont="1" applyFill="1" applyBorder="1" applyAlignment="1">
      <alignment horizontal="center" vertical="center" wrapText="1"/>
    </xf>
    <xf numFmtId="0" fontId="3" fillId="4" borderId="47"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3" fillId="4" borderId="49" xfId="0" applyFont="1" applyFill="1" applyBorder="1" applyAlignment="1">
      <alignment horizontal="center" vertical="center" wrapText="1"/>
    </xf>
    <xf numFmtId="0" fontId="5" fillId="6" borderId="41" xfId="0" applyFont="1" applyFill="1" applyBorder="1" applyAlignment="1">
      <alignment horizontal="center" vertical="center" wrapText="1"/>
    </xf>
    <xf numFmtId="0" fontId="4" fillId="8" borderId="41"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5" fillId="8" borderId="42" xfId="0" applyFont="1" applyFill="1" applyBorder="1" applyAlignment="1">
      <alignment horizontal="center" vertical="center" wrapText="1"/>
    </xf>
    <xf numFmtId="3" fontId="4" fillId="10" borderId="38" xfId="0" applyNumberFormat="1" applyFont="1" applyFill="1" applyBorder="1" applyAlignment="1">
      <alignment horizontal="center" vertical="center" wrapText="1"/>
    </xf>
    <xf numFmtId="3" fontId="4" fillId="10" borderId="40" xfId="0" applyNumberFormat="1" applyFont="1" applyFill="1" applyBorder="1" applyAlignment="1">
      <alignment horizontal="center" vertical="center" wrapText="1"/>
    </xf>
    <xf numFmtId="165" fontId="4" fillId="6" borderId="38" xfId="0" applyNumberFormat="1" applyFont="1" applyFill="1" applyBorder="1" applyAlignment="1">
      <alignment horizontal="center" vertical="center" wrapText="1"/>
    </xf>
    <xf numFmtId="165" fontId="5" fillId="6" borderId="34" xfId="0" applyNumberFormat="1" applyFont="1" applyFill="1" applyBorder="1" applyAlignment="1">
      <alignment horizontal="center" vertical="center" wrapText="1"/>
    </xf>
    <xf numFmtId="165" fontId="4" fillId="8" borderId="38" xfId="0" applyNumberFormat="1" applyFont="1" applyFill="1" applyBorder="1" applyAlignment="1">
      <alignment horizontal="center" vertical="center" wrapText="1"/>
    </xf>
    <xf numFmtId="165" fontId="5" fillId="8" borderId="34" xfId="0" applyNumberFormat="1" applyFont="1" applyFill="1" applyBorder="1" applyAlignment="1">
      <alignment horizontal="center" vertical="center" wrapText="1"/>
    </xf>
    <xf numFmtId="165" fontId="4" fillId="5" borderId="35" xfId="0" applyNumberFormat="1" applyFont="1" applyFill="1" applyBorder="1" applyAlignment="1">
      <alignment horizontal="center" vertical="center" wrapText="1"/>
    </xf>
    <xf numFmtId="165" fontId="5" fillId="5" borderId="36" xfId="0" applyNumberFormat="1" applyFont="1" applyFill="1" applyBorder="1" applyAlignment="1">
      <alignment horizontal="center" vertical="center" wrapText="1"/>
    </xf>
    <xf numFmtId="165" fontId="4" fillId="7" borderId="35" xfId="0" applyNumberFormat="1" applyFont="1" applyFill="1" applyBorder="1" applyAlignment="1">
      <alignment horizontal="center" vertical="center" wrapText="1"/>
    </xf>
    <xf numFmtId="165" fontId="5" fillId="7" borderId="36" xfId="0" applyNumberFormat="1" applyFont="1" applyFill="1" applyBorder="1" applyAlignment="1">
      <alignment horizontal="center" vertical="center" wrapText="1"/>
    </xf>
    <xf numFmtId="0" fontId="5" fillId="8" borderId="34" xfId="0" applyFont="1" applyFill="1" applyBorder="1" applyAlignment="1">
      <alignment horizontal="center" vertical="center" wrapText="1"/>
    </xf>
    <xf numFmtId="0" fontId="5" fillId="7" borderId="36" xfId="0" applyFont="1" applyFill="1" applyBorder="1" applyAlignment="1">
      <alignment horizontal="center" vertical="center" wrapText="1"/>
    </xf>
    <xf numFmtId="0" fontId="5" fillId="7" borderId="34" xfId="0" applyFont="1" applyFill="1" applyBorder="1" applyAlignment="1">
      <alignment horizontal="center" vertical="center" wrapText="1"/>
    </xf>
    <xf numFmtId="0" fontId="5" fillId="8" borderId="41" xfId="0" applyFont="1" applyFill="1" applyBorder="1" applyAlignment="1">
      <alignment horizontal="center" vertical="center" wrapText="1"/>
    </xf>
    <xf numFmtId="0" fontId="5" fillId="6" borderId="54" xfId="0" applyFont="1" applyFill="1" applyBorder="1" applyAlignment="1">
      <alignment horizontal="center" vertical="center" wrapText="1"/>
    </xf>
    <xf numFmtId="0" fontId="4" fillId="8" borderId="54" xfId="0" applyFont="1" applyFill="1" applyBorder="1" applyAlignment="1">
      <alignment horizontal="center" vertical="center" wrapText="1"/>
    </xf>
    <xf numFmtId="0" fontId="5" fillId="8" borderId="54" xfId="0" applyFont="1" applyFill="1" applyBorder="1" applyAlignment="1">
      <alignment horizontal="center" vertical="center" wrapText="1"/>
    </xf>
    <xf numFmtId="0" fontId="4" fillId="6" borderId="44" xfId="0" applyFont="1" applyFill="1" applyBorder="1" applyAlignment="1">
      <alignment horizontal="center" vertical="center" wrapText="1"/>
    </xf>
    <xf numFmtId="0" fontId="5" fillId="6" borderId="44" xfId="0" applyFont="1" applyFill="1" applyBorder="1" applyAlignment="1">
      <alignment horizontal="center" vertical="center" wrapText="1"/>
    </xf>
    <xf numFmtId="0" fontId="4" fillId="8" borderId="44" xfId="0" applyFont="1" applyFill="1" applyBorder="1" applyAlignment="1">
      <alignment horizontal="center" vertical="center" wrapText="1"/>
    </xf>
    <xf numFmtId="0" fontId="5" fillId="8" borderId="44" xfId="0" applyFont="1" applyFill="1" applyBorder="1" applyAlignment="1">
      <alignment horizontal="center" vertical="center" wrapText="1"/>
    </xf>
    <xf numFmtId="0" fontId="5" fillId="5" borderId="39" xfId="0" applyFont="1" applyFill="1" applyBorder="1" applyAlignment="1">
      <alignment horizontal="center" vertical="center" wrapText="1"/>
    </xf>
    <xf numFmtId="0" fontId="5" fillId="6" borderId="39" xfId="0" applyFont="1" applyFill="1" applyBorder="1" applyAlignment="1">
      <alignment horizontal="center" vertical="center" wrapText="1"/>
    </xf>
    <xf numFmtId="0" fontId="4" fillId="6" borderId="50" xfId="0" applyFont="1" applyFill="1" applyBorder="1" applyAlignment="1">
      <alignment horizontal="center" vertical="center" wrapText="1"/>
    </xf>
    <xf numFmtId="0" fontId="4" fillId="5" borderId="38" xfId="0" applyFont="1" applyFill="1" applyBorder="1" applyAlignment="1">
      <alignment horizontal="center" vertical="center" wrapText="1"/>
    </xf>
    <xf numFmtId="0" fontId="4" fillId="6" borderId="38" xfId="0" applyFont="1" applyFill="1" applyBorder="1" applyAlignment="1">
      <alignment horizontal="center" vertical="center" wrapText="1"/>
    </xf>
    <xf numFmtId="0" fontId="4" fillId="6" borderId="4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30" xfId="0" applyFont="1" applyFill="1" applyBorder="1" applyAlignment="1">
      <alignment horizontal="center" vertical="center" wrapText="1"/>
    </xf>
    <xf numFmtId="2" fontId="4" fillId="12" borderId="39" xfId="0" applyNumberFormat="1" applyFont="1" applyFill="1" applyBorder="1" applyAlignment="1">
      <alignment horizontal="center" vertical="center" wrapText="1"/>
    </xf>
    <xf numFmtId="2" fontId="4" fillId="12" borderId="42" xfId="0" applyNumberFormat="1" applyFont="1" applyFill="1" applyBorder="1" applyAlignment="1">
      <alignment horizontal="center" vertical="center" wrapText="1"/>
    </xf>
    <xf numFmtId="2" fontId="4" fillId="12" borderId="43" xfId="0" applyNumberFormat="1" applyFont="1" applyFill="1" applyBorder="1" applyAlignment="1">
      <alignment horizontal="center" vertical="center" wrapText="1"/>
    </xf>
    <xf numFmtId="2" fontId="4" fillId="12" borderId="21" xfId="0" applyNumberFormat="1" applyFont="1" applyFill="1" applyBorder="1" applyAlignment="1">
      <alignment horizontal="center" vertical="center" wrapText="1"/>
    </xf>
    <xf numFmtId="0" fontId="3" fillId="4" borderId="57" xfId="0" applyFont="1" applyFill="1" applyBorder="1" applyAlignment="1">
      <alignment horizontal="center" vertical="center" wrapText="1"/>
    </xf>
    <xf numFmtId="0" fontId="5" fillId="5" borderId="37" xfId="0" applyFont="1" applyFill="1" applyBorder="1" applyAlignment="1">
      <alignment horizontal="center" vertical="center" wrapText="1"/>
    </xf>
    <xf numFmtId="0" fontId="5" fillId="6" borderId="42" xfId="0" applyFont="1" applyFill="1" applyBorder="1" applyAlignment="1">
      <alignment horizontal="center" vertical="center" wrapText="1"/>
    </xf>
    <xf numFmtId="165" fontId="4" fillId="5" borderId="60" xfId="0" applyNumberFormat="1" applyFont="1" applyFill="1" applyBorder="1" applyAlignment="1">
      <alignment horizontal="center" vertical="center" wrapText="1"/>
    </xf>
    <xf numFmtId="165" fontId="5" fillId="5" borderId="61" xfId="0" applyNumberFormat="1" applyFont="1" applyFill="1" applyBorder="1" applyAlignment="1">
      <alignment horizontal="center" vertical="center" wrapText="1"/>
    </xf>
    <xf numFmtId="165" fontId="4" fillId="7" borderId="60" xfId="0" applyNumberFormat="1" applyFont="1" applyFill="1" applyBorder="1" applyAlignment="1">
      <alignment horizontal="center" vertical="center" wrapText="1"/>
    </xf>
    <xf numFmtId="165" fontId="4" fillId="5" borderId="34" xfId="0" applyNumberFormat="1" applyFont="1" applyFill="1" applyBorder="1" applyAlignment="1">
      <alignment horizontal="center" vertical="center" wrapText="1"/>
    </xf>
    <xf numFmtId="165" fontId="5" fillId="5" borderId="34" xfId="0" applyNumberFormat="1" applyFont="1" applyFill="1" applyBorder="1" applyAlignment="1">
      <alignment horizontal="center" vertical="center" wrapText="1"/>
    </xf>
    <xf numFmtId="165" fontId="4" fillId="7" borderId="34" xfId="0" applyNumberFormat="1" applyFont="1" applyFill="1" applyBorder="1" applyAlignment="1">
      <alignment horizontal="center" vertical="center" wrapText="1"/>
    </xf>
    <xf numFmtId="165" fontId="5" fillId="7" borderId="34" xfId="0" applyNumberFormat="1" applyFont="1" applyFill="1" applyBorder="1" applyAlignment="1">
      <alignment horizontal="center" vertical="center" wrapText="1"/>
    </xf>
    <xf numFmtId="165" fontId="4" fillId="5" borderId="51" xfId="0" applyNumberFormat="1" applyFont="1" applyFill="1" applyBorder="1" applyAlignment="1">
      <alignment horizontal="center" vertical="center" wrapText="1"/>
    </xf>
    <xf numFmtId="165" fontId="5" fillId="7" borderId="43" xfId="0" applyNumberFormat="1" applyFont="1" applyFill="1" applyBorder="1" applyAlignment="1">
      <alignment horizontal="center" vertical="center" wrapText="1"/>
    </xf>
    <xf numFmtId="165" fontId="4" fillId="5" borderId="33" xfId="0" applyNumberFormat="1" applyFont="1" applyFill="1" applyBorder="1" applyAlignment="1">
      <alignment horizontal="center" vertical="center" wrapText="1"/>
    </xf>
    <xf numFmtId="165" fontId="5" fillId="5" borderId="44" xfId="0" applyNumberFormat="1" applyFont="1" applyFill="1" applyBorder="1" applyAlignment="1">
      <alignment horizontal="center" vertical="center" wrapText="1"/>
    </xf>
    <xf numFmtId="165" fontId="4" fillId="7" borderId="44" xfId="0" applyNumberFormat="1" applyFont="1" applyFill="1" applyBorder="1" applyAlignment="1">
      <alignment horizontal="center" vertical="center" wrapText="1"/>
    </xf>
    <xf numFmtId="165" fontId="5" fillId="7" borderId="44" xfId="0" applyNumberFormat="1" applyFont="1" applyFill="1" applyBorder="1" applyAlignment="1">
      <alignment horizontal="center" vertical="center" wrapText="1"/>
    </xf>
    <xf numFmtId="165" fontId="4" fillId="5" borderId="44" xfId="0" applyNumberFormat="1" applyFont="1" applyFill="1" applyBorder="1" applyAlignment="1">
      <alignment horizontal="center" vertical="center" wrapText="1"/>
    </xf>
    <xf numFmtId="165" fontId="5" fillId="7" borderId="21" xfId="0" applyNumberFormat="1" applyFont="1" applyFill="1" applyBorder="1" applyAlignment="1">
      <alignment horizontal="center" vertical="center" wrapText="1"/>
    </xf>
    <xf numFmtId="165" fontId="4" fillId="8" borderId="74" xfId="0" applyNumberFormat="1" applyFont="1" applyFill="1" applyBorder="1" applyAlignment="1">
      <alignment horizontal="center" vertical="center" wrapText="1"/>
    </xf>
    <xf numFmtId="0" fontId="4" fillId="7" borderId="75" xfId="0" applyFont="1" applyFill="1" applyBorder="1" applyAlignment="1">
      <alignment horizontal="center" vertical="center" wrapText="1"/>
    </xf>
    <xf numFmtId="0" fontId="5" fillId="7" borderId="75" xfId="0" applyFont="1" applyFill="1" applyBorder="1" applyAlignment="1">
      <alignment horizontal="center" vertical="center" wrapText="1"/>
    </xf>
    <xf numFmtId="165" fontId="4" fillId="7" borderId="76" xfId="0" applyNumberFormat="1" applyFont="1" applyFill="1" applyBorder="1" applyAlignment="1">
      <alignment horizontal="center" vertical="center" wrapText="1"/>
    </xf>
    <xf numFmtId="165" fontId="5" fillId="7" borderId="75" xfId="0" applyNumberFormat="1" applyFont="1" applyFill="1" applyBorder="1" applyAlignment="1">
      <alignment horizontal="center" vertical="center" wrapText="1"/>
    </xf>
    <xf numFmtId="0" fontId="3" fillId="4" borderId="32" xfId="0"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wrapText="1"/>
    </xf>
    <xf numFmtId="0" fontId="6" fillId="11" borderId="32" xfId="0" applyFont="1" applyFill="1" applyBorder="1" applyAlignment="1" applyProtection="1">
      <alignment horizontal="center" vertical="center" wrapText="1"/>
    </xf>
    <xf numFmtId="0" fontId="6" fillId="13" borderId="53" xfId="0" applyFont="1" applyFill="1" applyBorder="1" applyAlignment="1" applyProtection="1">
      <alignment horizontal="center" vertical="center" wrapText="1"/>
    </xf>
    <xf numFmtId="166" fontId="6" fillId="13" borderId="36" xfId="0" applyNumberFormat="1" applyFont="1" applyFill="1" applyBorder="1" applyAlignment="1" applyProtection="1">
      <alignment horizontal="center" vertical="center" wrapText="1"/>
    </xf>
    <xf numFmtId="46" fontId="6" fillId="12" borderId="52" xfId="0" applyNumberFormat="1" applyFont="1" applyFill="1" applyBorder="1" applyAlignment="1" applyProtection="1">
      <alignment horizontal="center" vertical="center" wrapText="1"/>
    </xf>
    <xf numFmtId="3" fontId="6" fillId="10" borderId="54" xfId="0" applyNumberFormat="1" applyFont="1" applyFill="1" applyBorder="1" applyAlignment="1" applyProtection="1">
      <alignment horizontal="center" vertical="center" wrapText="1"/>
    </xf>
    <xf numFmtId="0" fontId="3" fillId="4" borderId="27" xfId="0" applyFont="1" applyFill="1" applyBorder="1" applyAlignment="1" applyProtection="1">
      <alignment horizontal="left" vertical="center" wrapText="1"/>
    </xf>
    <xf numFmtId="0" fontId="6" fillId="13" borderId="33" xfId="0" applyFont="1" applyFill="1" applyBorder="1" applyAlignment="1" applyProtection="1">
      <alignment horizontal="center" vertical="center" wrapText="1"/>
    </xf>
    <xf numFmtId="0" fontId="6" fillId="13" borderId="21" xfId="0" applyFont="1" applyFill="1" applyBorder="1" applyAlignment="1" applyProtection="1">
      <alignment horizontal="center" vertical="center" wrapText="1"/>
    </xf>
    <xf numFmtId="0" fontId="3" fillId="4" borderId="17" xfId="0" applyFont="1" applyFill="1" applyBorder="1" applyAlignment="1" applyProtection="1">
      <alignment horizontal="left" vertical="center" wrapText="1"/>
    </xf>
    <xf numFmtId="0" fontId="6" fillId="13" borderId="51" xfId="0" applyFont="1" applyFill="1" applyBorder="1" applyAlignment="1" applyProtection="1">
      <alignment horizontal="center" vertical="center" wrapText="1"/>
    </xf>
    <xf numFmtId="166" fontId="6" fillId="13" borderId="34" xfId="0" applyNumberFormat="1" applyFont="1" applyFill="1" applyBorder="1" applyAlignment="1" applyProtection="1">
      <alignment horizontal="center" vertical="center" wrapText="1"/>
    </xf>
    <xf numFmtId="3" fontId="6" fillId="10" borderId="34" xfId="0" applyNumberFormat="1" applyFont="1" applyFill="1" applyBorder="1" applyAlignment="1" applyProtection="1">
      <alignment horizontal="center" vertical="center" wrapText="1"/>
    </xf>
    <xf numFmtId="167" fontId="6" fillId="12" borderId="34" xfId="0" applyNumberFormat="1" applyFont="1" applyFill="1" applyBorder="1" applyAlignment="1" applyProtection="1">
      <alignment horizontal="center" vertical="center" wrapText="1"/>
    </xf>
    <xf numFmtId="3" fontId="6" fillId="2" borderId="34" xfId="0" applyNumberFormat="1" applyFont="1" applyFill="1" applyBorder="1" applyAlignment="1" applyProtection="1">
      <alignment horizontal="center" vertical="center" wrapText="1"/>
    </xf>
    <xf numFmtId="0" fontId="6" fillId="13" borderId="68" xfId="0" applyFont="1" applyFill="1" applyBorder="1" applyAlignment="1" applyProtection="1">
      <alignment horizontal="center" vertical="center" wrapText="1"/>
    </xf>
    <xf numFmtId="0" fontId="6" fillId="13" borderId="41" xfId="0" applyFont="1" applyFill="1" applyBorder="1" applyAlignment="1" applyProtection="1">
      <alignment horizontal="center" vertical="center" wrapText="1"/>
    </xf>
    <xf numFmtId="3" fontId="6" fillId="10" borderId="41" xfId="0" applyNumberFormat="1" applyFont="1" applyFill="1" applyBorder="1" applyAlignment="1" applyProtection="1">
      <alignment horizontal="center" vertical="center" wrapText="1"/>
    </xf>
    <xf numFmtId="0" fontId="3" fillId="4" borderId="1" xfId="0" quotePrefix="1" applyFont="1" applyFill="1" applyBorder="1" applyAlignment="1" applyProtection="1">
      <alignment horizontal="center" vertical="center" wrapText="1"/>
    </xf>
    <xf numFmtId="0" fontId="3" fillId="4" borderId="77" xfId="0" applyFont="1" applyFill="1" applyBorder="1" applyAlignment="1" applyProtection="1">
      <alignment horizontal="center" vertical="center" wrapText="1"/>
    </xf>
    <xf numFmtId="0" fontId="7" fillId="11" borderId="3" xfId="0" applyFont="1" applyFill="1" applyBorder="1" applyAlignment="1" applyProtection="1">
      <alignment horizontal="center" vertical="center" wrapText="1"/>
    </xf>
    <xf numFmtId="0" fontId="13" fillId="13" borderId="2" xfId="0" applyFont="1" applyFill="1" applyBorder="1" applyAlignment="1" applyProtection="1">
      <alignment horizontal="center" vertical="center" wrapText="1"/>
    </xf>
    <xf numFmtId="166" fontId="13" fillId="13" borderId="3" xfId="0" applyNumberFormat="1" applyFont="1" applyFill="1" applyBorder="1" applyAlignment="1" applyProtection="1">
      <alignment horizontal="center" vertical="center" wrapText="1"/>
    </xf>
    <xf numFmtId="3" fontId="13" fillId="10" borderId="3" xfId="0" applyNumberFormat="1" applyFont="1" applyFill="1" applyBorder="1" applyAlignment="1" applyProtection="1">
      <alignment horizontal="center" vertical="center" wrapText="1"/>
    </xf>
    <xf numFmtId="46" fontId="6" fillId="12" borderId="4" xfId="0" applyNumberFormat="1"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165" fontId="6" fillId="9" borderId="34" xfId="0" applyNumberFormat="1" applyFont="1" applyFill="1" applyBorder="1" applyAlignment="1" applyProtection="1">
      <alignment horizontal="center" vertical="center" wrapText="1"/>
    </xf>
    <xf numFmtId="0" fontId="3" fillId="4" borderId="73" xfId="0" applyFont="1" applyFill="1" applyBorder="1" applyAlignment="1" applyProtection="1">
      <alignment horizontal="center" vertical="center" wrapText="1"/>
    </xf>
    <xf numFmtId="166" fontId="6" fillId="13" borderId="41" xfId="0" applyNumberFormat="1" applyFont="1" applyFill="1" applyBorder="1" applyAlignment="1" applyProtection="1">
      <alignment horizontal="center" vertical="center" wrapText="1"/>
    </xf>
    <xf numFmtId="3" fontId="6" fillId="2" borderId="41" xfId="0" applyNumberFormat="1" applyFont="1" applyFill="1" applyBorder="1" applyAlignment="1" applyProtection="1">
      <alignment horizontal="center" vertical="center" wrapText="1"/>
    </xf>
    <xf numFmtId="0" fontId="3" fillId="4" borderId="66" xfId="0" applyFont="1" applyFill="1" applyBorder="1" applyAlignment="1" applyProtection="1">
      <alignment horizontal="left" vertical="center" wrapText="1"/>
    </xf>
    <xf numFmtId="167" fontId="6" fillId="12" borderId="44" xfId="0" applyNumberFormat="1" applyFont="1" applyFill="1" applyBorder="1" applyAlignment="1" applyProtection="1">
      <alignment horizontal="center" vertical="center" wrapText="1"/>
    </xf>
    <xf numFmtId="165" fontId="6" fillId="9" borderId="44" xfId="0" applyNumberFormat="1" applyFont="1" applyFill="1" applyBorder="1" applyAlignment="1" applyProtection="1">
      <alignment horizontal="center" vertical="center" wrapText="1"/>
    </xf>
    <xf numFmtId="167" fontId="6" fillId="12" borderId="21" xfId="0" applyNumberFormat="1" applyFont="1" applyFill="1" applyBorder="1" applyAlignment="1" applyProtection="1">
      <alignment horizontal="center" vertical="center" wrapText="1"/>
    </xf>
    <xf numFmtId="3" fontId="6" fillId="10" borderId="44" xfId="0" applyNumberFormat="1" applyFont="1" applyFill="1" applyBorder="1" applyAlignment="1" applyProtection="1">
      <alignment horizontal="center" vertical="center" wrapText="1"/>
    </xf>
    <xf numFmtId="0" fontId="3" fillId="4" borderId="29" xfId="0" applyFont="1" applyFill="1" applyBorder="1" applyAlignment="1" applyProtection="1">
      <alignment horizontal="left" vertical="center" wrapText="1"/>
    </xf>
    <xf numFmtId="0" fontId="6" fillId="13" borderId="35" xfId="0" applyFont="1" applyFill="1" applyBorder="1" applyAlignment="1" applyProtection="1">
      <alignment horizontal="center" vertical="center" wrapText="1"/>
    </xf>
    <xf numFmtId="3" fontId="7" fillId="3" borderId="54" xfId="0" applyNumberFormat="1" applyFont="1" applyFill="1" applyBorder="1" applyAlignment="1" applyProtection="1">
      <alignment horizontal="center" vertical="center" wrapText="1"/>
    </xf>
    <xf numFmtId="0" fontId="3" fillId="4" borderId="8" xfId="0" applyFont="1" applyFill="1" applyBorder="1" applyAlignment="1" applyProtection="1">
      <alignment horizontal="left" vertical="center" wrapText="1"/>
    </xf>
    <xf numFmtId="0" fontId="6" fillId="13" borderId="38" xfId="0" applyFont="1" applyFill="1" applyBorder="1" applyAlignment="1" applyProtection="1">
      <alignment horizontal="center" vertical="center" wrapText="1"/>
    </xf>
    <xf numFmtId="3" fontId="7" fillId="3" borderId="34" xfId="0" applyNumberFormat="1" applyFont="1" applyFill="1" applyBorder="1" applyAlignment="1" applyProtection="1">
      <alignment horizontal="center" vertical="center" wrapText="1"/>
    </xf>
    <xf numFmtId="3" fontId="7" fillId="3" borderId="41" xfId="0" applyNumberFormat="1" applyFont="1" applyFill="1" applyBorder="1" applyAlignment="1" applyProtection="1">
      <alignment horizontal="center" vertical="center" wrapText="1"/>
    </xf>
    <xf numFmtId="3" fontId="3" fillId="3" borderId="3" xfId="0" applyNumberFormat="1" applyFont="1" applyFill="1" applyBorder="1" applyAlignment="1" applyProtection="1">
      <alignment horizontal="center" vertical="center" wrapText="1"/>
    </xf>
    <xf numFmtId="0" fontId="13" fillId="13" borderId="5" xfId="0"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9" xfId="0" applyFont="1" applyFill="1" applyBorder="1" applyAlignment="1" applyProtection="1">
      <alignment horizontal="center" vertical="center" wrapText="1"/>
    </xf>
    <xf numFmtId="0" fontId="3" fillId="4" borderId="22" xfId="0" applyFont="1" applyFill="1" applyBorder="1" applyAlignment="1" applyProtection="1">
      <alignment horizontal="center" vertical="center" wrapText="1"/>
    </xf>
    <xf numFmtId="0" fontId="0" fillId="14" borderId="0" xfId="0" applyFill="1" applyAlignment="1" applyProtection="1">
      <alignment vertical="center" wrapText="1"/>
    </xf>
    <xf numFmtId="0" fontId="0" fillId="14" borderId="0" xfId="0" applyFill="1" applyAlignment="1" applyProtection="1">
      <alignment horizontal="center" vertical="center" wrapText="1"/>
    </xf>
    <xf numFmtId="0" fontId="0" fillId="14" borderId="0" xfId="0" applyFill="1" applyAlignment="1" applyProtection="1">
      <alignment horizontal="right" vertical="center" wrapText="1"/>
    </xf>
    <xf numFmtId="0" fontId="0" fillId="14" borderId="0" xfId="0" applyFill="1" applyAlignment="1" applyProtection="1">
      <alignment horizontal="left" vertical="center" wrapText="1"/>
    </xf>
    <xf numFmtId="0" fontId="6" fillId="14" borderId="0" xfId="0" applyFont="1" applyFill="1" applyAlignment="1" applyProtection="1">
      <alignment horizontal="center" vertical="center" wrapText="1"/>
    </xf>
    <xf numFmtId="0" fontId="6" fillId="14" borderId="0" xfId="0" applyFont="1" applyFill="1" applyAlignment="1" applyProtection="1">
      <alignment vertical="center" wrapText="1"/>
    </xf>
    <xf numFmtId="46" fontId="0" fillId="14" borderId="0" xfId="0" applyNumberFormat="1" applyFill="1" applyAlignment="1" applyProtection="1">
      <alignment vertical="center" wrapText="1"/>
    </xf>
    <xf numFmtId="176" fontId="0" fillId="14" borderId="0" xfId="0" applyNumberFormat="1" applyFill="1" applyAlignment="1" applyProtection="1">
      <alignment vertical="center" wrapText="1"/>
    </xf>
    <xf numFmtId="175" fontId="0" fillId="14" borderId="0" xfId="0" applyNumberFormat="1" applyFill="1" applyAlignment="1" applyProtection="1">
      <alignment vertical="center" wrapText="1"/>
    </xf>
    <xf numFmtId="0" fontId="4" fillId="14" borderId="0" xfId="0" applyFont="1" applyFill="1" applyAlignment="1">
      <alignment horizontal="center" vertical="center" wrapText="1"/>
    </xf>
    <xf numFmtId="0" fontId="6" fillId="14" borderId="0" xfId="0" applyFont="1" applyFill="1"/>
    <xf numFmtId="0" fontId="6" fillId="14" borderId="0" xfId="0" applyFont="1" applyFill="1" applyAlignment="1">
      <alignment wrapText="1"/>
    </xf>
    <xf numFmtId="0" fontId="3" fillId="4" borderId="6"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4" fillId="6" borderId="36" xfId="0" applyFont="1" applyFill="1" applyBorder="1" applyAlignment="1">
      <alignment horizontal="center" vertical="center" wrapText="1"/>
    </xf>
    <xf numFmtId="0" fontId="5" fillId="6" borderId="36" xfId="0" applyFont="1" applyFill="1" applyBorder="1" applyAlignment="1">
      <alignment horizontal="center" vertical="center" wrapText="1"/>
    </xf>
    <xf numFmtId="165" fontId="4" fillId="6" borderId="53" xfId="0" applyNumberFormat="1" applyFont="1" applyFill="1" applyBorder="1" applyAlignment="1">
      <alignment horizontal="center" vertical="center" wrapText="1"/>
    </xf>
    <xf numFmtId="165" fontId="5" fillId="6" borderId="36" xfId="0" applyNumberFormat="1" applyFont="1" applyFill="1" applyBorder="1" applyAlignment="1">
      <alignment horizontal="center" vertical="center" wrapText="1"/>
    </xf>
    <xf numFmtId="165" fontId="4" fillId="6"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5" fillId="8" borderId="36" xfId="0" applyFont="1" applyFill="1" applyBorder="1" applyAlignment="1">
      <alignment horizontal="center" vertical="center" wrapText="1"/>
    </xf>
    <xf numFmtId="165" fontId="4" fillId="8" borderId="36" xfId="0" applyNumberFormat="1" applyFont="1" applyFill="1" applyBorder="1" applyAlignment="1">
      <alignment horizontal="center" vertical="center" wrapText="1"/>
    </xf>
    <xf numFmtId="165" fontId="5" fillId="8" borderId="36" xfId="0" applyNumberFormat="1" applyFont="1" applyFill="1" applyBorder="1" applyAlignment="1">
      <alignment horizontal="center" vertical="center" wrapText="1"/>
    </xf>
    <xf numFmtId="165" fontId="5" fillId="8" borderId="52" xfId="0" applyNumberFormat="1" applyFont="1" applyFill="1" applyBorder="1" applyAlignment="1">
      <alignment horizontal="center" vertical="center" wrapText="1"/>
    </xf>
    <xf numFmtId="0" fontId="6" fillId="14" borderId="0" xfId="0" applyFont="1" applyFill="1" applyAlignment="1">
      <alignment vertical="center" wrapText="1"/>
    </xf>
    <xf numFmtId="46" fontId="6" fillId="12" borderId="64" xfId="0" applyNumberFormat="1" applyFont="1" applyFill="1" applyBorder="1" applyAlignment="1" applyProtection="1">
      <alignment horizontal="center" vertical="center" wrapText="1"/>
    </xf>
    <xf numFmtId="0" fontId="3" fillId="4" borderId="65" xfId="0" applyFont="1" applyFill="1" applyBorder="1" applyAlignment="1" applyProtection="1">
      <alignment horizontal="left" vertical="center" wrapText="1"/>
    </xf>
    <xf numFmtId="0" fontId="6" fillId="13" borderId="40" xfId="0" applyFont="1" applyFill="1" applyBorder="1" applyAlignment="1" applyProtection="1">
      <alignment horizontal="center" vertical="center" wrapText="1"/>
    </xf>
    <xf numFmtId="0" fontId="6" fillId="15" borderId="34" xfId="0" applyFont="1" applyFill="1" applyBorder="1" applyAlignment="1" applyProtection="1">
      <alignment horizontal="center" vertical="center" wrapText="1"/>
      <protection locked="0"/>
    </xf>
    <xf numFmtId="0" fontId="7" fillId="4" borderId="1"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46" xfId="0" applyFont="1" applyFill="1" applyBorder="1" applyAlignment="1">
      <alignment horizontal="center" vertical="center" wrapText="1"/>
    </xf>
    <xf numFmtId="0" fontId="7" fillId="4" borderId="48" xfId="0" applyFont="1" applyFill="1" applyBorder="1" applyAlignment="1">
      <alignment horizontal="center" vertical="center" wrapText="1"/>
    </xf>
    <xf numFmtId="2" fontId="6" fillId="12" borderId="37" xfId="0" applyNumberFormat="1" applyFont="1" applyFill="1" applyBorder="1" applyAlignment="1">
      <alignment horizontal="center" vertical="center" wrapText="1"/>
    </xf>
    <xf numFmtId="3" fontId="6" fillId="10" borderId="35" xfId="0" applyNumberFormat="1" applyFont="1" applyFill="1" applyBorder="1" applyAlignment="1">
      <alignment horizontal="center" vertical="center" wrapText="1"/>
    </xf>
    <xf numFmtId="2" fontId="6" fillId="12" borderId="39" xfId="0" applyNumberFormat="1" applyFont="1" applyFill="1" applyBorder="1" applyAlignment="1">
      <alignment horizontal="center" vertical="center" wrapText="1"/>
    </xf>
    <xf numFmtId="3" fontId="6" fillId="10" borderId="38" xfId="0" applyNumberFormat="1" applyFont="1" applyFill="1" applyBorder="1" applyAlignment="1">
      <alignment horizontal="center" vertical="center" wrapText="1"/>
    </xf>
    <xf numFmtId="2" fontId="6" fillId="12" borderId="42" xfId="0" applyNumberFormat="1" applyFont="1" applyFill="1" applyBorder="1" applyAlignment="1">
      <alignment horizontal="center" vertical="center" wrapText="1"/>
    </xf>
    <xf numFmtId="3" fontId="7" fillId="3" borderId="35"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2" fontId="6" fillId="12" borderId="20" xfId="0" applyNumberFormat="1" applyFont="1" applyFill="1" applyBorder="1" applyAlignment="1">
      <alignment horizontal="center" vertical="center" wrapText="1"/>
    </xf>
    <xf numFmtId="2" fontId="6" fillId="12" borderId="43" xfId="0" applyNumberFormat="1" applyFont="1" applyFill="1" applyBorder="1" applyAlignment="1">
      <alignment horizontal="center" vertical="center" wrapText="1"/>
    </xf>
    <xf numFmtId="0" fontId="3" fillId="4" borderId="66" xfId="0" applyFont="1" applyFill="1" applyBorder="1" applyAlignment="1">
      <alignment horizontal="center" vertical="center" wrapText="1"/>
    </xf>
    <xf numFmtId="0" fontId="7" fillId="4" borderId="78" xfId="0" applyFont="1" applyFill="1" applyBorder="1" applyAlignment="1">
      <alignment horizontal="center" vertical="center" wrapText="1"/>
    </xf>
    <xf numFmtId="3" fontId="6" fillId="10" borderId="50" xfId="0" applyNumberFormat="1" applyFont="1" applyFill="1" applyBorder="1" applyAlignment="1">
      <alignment horizontal="center" vertical="center" wrapText="1"/>
    </xf>
    <xf numFmtId="3" fontId="6" fillId="10" borderId="40"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10" borderId="41" xfId="0" applyNumberFormat="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57" xfId="0" applyFont="1" applyFill="1" applyBorder="1" applyAlignment="1">
      <alignment horizontal="center" vertical="center" wrapText="1"/>
    </xf>
    <xf numFmtId="0" fontId="10" fillId="4" borderId="8" xfId="0" applyFont="1" applyFill="1" applyBorder="1" applyAlignment="1">
      <alignment horizontal="center" vertical="center" wrapText="1"/>
    </xf>
    <xf numFmtId="2" fontId="11" fillId="12" borderId="39" xfId="0" applyNumberFormat="1" applyFont="1" applyFill="1" applyBorder="1" applyAlignment="1">
      <alignment horizontal="center" vertical="center" wrapText="1"/>
    </xf>
    <xf numFmtId="0" fontId="10" fillId="4" borderId="65" xfId="0" applyFont="1" applyFill="1" applyBorder="1" applyAlignment="1">
      <alignment horizontal="center" vertical="center" wrapText="1"/>
    </xf>
    <xf numFmtId="2" fontId="11" fillId="12" borderId="42" xfId="0" applyNumberFormat="1" applyFont="1" applyFill="1" applyBorder="1" applyAlignment="1">
      <alignment horizontal="center" vertical="center" wrapText="1"/>
    </xf>
    <xf numFmtId="0" fontId="3" fillId="4" borderId="65" xfId="0" applyFont="1" applyFill="1" applyBorder="1" applyAlignment="1">
      <alignment horizontal="center" vertical="center" wrapText="1"/>
    </xf>
    <xf numFmtId="0" fontId="0" fillId="14" borderId="0" xfId="0" applyFill="1" applyAlignment="1">
      <alignment vertical="center" wrapText="1"/>
    </xf>
    <xf numFmtId="0" fontId="8" fillId="4" borderId="4"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3" fillId="4" borderId="7" xfId="0" applyFont="1" applyFill="1" applyBorder="1" applyAlignment="1" applyProtection="1">
      <alignment horizontal="center" vertical="center" wrapText="1"/>
    </xf>
    <xf numFmtId="0" fontId="6" fillId="15" borderId="34" xfId="0" applyFont="1" applyFill="1" applyBorder="1" applyAlignment="1">
      <alignment horizontal="center" vertical="center" wrapText="1"/>
    </xf>
    <xf numFmtId="0" fontId="6" fillId="15" borderId="43" xfId="0" applyFont="1" applyFill="1" applyBorder="1" applyAlignment="1">
      <alignment horizontal="center" vertical="center" wrapText="1"/>
    </xf>
    <xf numFmtId="165" fontId="3" fillId="4" borderId="8" xfId="0" applyNumberFormat="1" applyFont="1" applyFill="1" applyBorder="1" applyAlignment="1" applyProtection="1">
      <alignment horizontal="center" vertical="center" wrapText="1"/>
    </xf>
    <xf numFmtId="165" fontId="3" fillId="4" borderId="7" xfId="0" applyNumberFormat="1" applyFont="1" applyFill="1" applyBorder="1" applyAlignment="1" applyProtection="1">
      <alignment horizontal="center" vertical="center" wrapText="1"/>
    </xf>
    <xf numFmtId="0" fontId="6" fillId="15" borderId="54" xfId="0" applyFont="1" applyFill="1" applyBorder="1" applyAlignment="1">
      <alignment horizontal="center" vertical="center" wrapText="1"/>
    </xf>
    <xf numFmtId="0" fontId="6" fillId="15" borderId="20" xfId="0" applyFont="1" applyFill="1" applyBorder="1" applyAlignment="1">
      <alignment horizontal="center" vertical="center" wrapText="1"/>
    </xf>
    <xf numFmtId="165" fontId="3" fillId="4" borderId="9" xfId="0" applyNumberFormat="1" applyFont="1" applyFill="1" applyBorder="1" applyAlignment="1" applyProtection="1">
      <alignment horizontal="center" vertical="center" wrapText="1"/>
    </xf>
    <xf numFmtId="0" fontId="8" fillId="4" borderId="3" xfId="0" applyFont="1" applyFill="1" applyBorder="1" applyAlignment="1">
      <alignment horizontal="center" vertical="center" wrapText="1"/>
    </xf>
    <xf numFmtId="0" fontId="0" fillId="15" borderId="8" xfId="0" applyFill="1" applyBorder="1" applyAlignment="1" applyProtection="1">
      <alignment horizontal="center" vertical="center" wrapText="1"/>
    </xf>
    <xf numFmtId="0" fontId="0" fillId="15" borderId="9" xfId="0" applyFill="1" applyBorder="1" applyAlignment="1" applyProtection="1">
      <alignment horizontal="center" vertical="center" wrapText="1"/>
    </xf>
    <xf numFmtId="0" fontId="8" fillId="4" borderId="78" xfId="0" applyFont="1" applyFill="1" applyBorder="1" applyAlignment="1" applyProtection="1">
      <alignment horizontal="center" vertical="center" wrapText="1"/>
    </xf>
    <xf numFmtId="0" fontId="6" fillId="11" borderId="68" xfId="0" applyFont="1" applyFill="1" applyBorder="1" applyAlignment="1" applyProtection="1">
      <alignment horizontal="center" vertical="center" wrapText="1"/>
    </xf>
    <xf numFmtId="166" fontId="6" fillId="13" borderId="69" xfId="0" applyNumberFormat="1" applyFont="1" applyFill="1" applyBorder="1" applyAlignment="1" applyProtection="1">
      <alignment horizontal="center" vertical="center" wrapText="1"/>
    </xf>
    <xf numFmtId="3" fontId="7" fillId="3" borderId="44" xfId="0" applyNumberFormat="1" applyFont="1" applyFill="1" applyBorder="1" applyAlignment="1" applyProtection="1">
      <alignment horizontal="center" vertical="center" wrapText="1"/>
    </xf>
    <xf numFmtId="0" fontId="3" fillId="4" borderId="24" xfId="0" quotePrefix="1" applyFont="1" applyFill="1" applyBorder="1" applyAlignment="1" applyProtection="1">
      <alignment horizontal="center" vertical="center" wrapText="1"/>
    </xf>
    <xf numFmtId="3" fontId="3" fillId="4" borderId="43" xfId="0" applyNumberFormat="1" applyFont="1" applyFill="1" applyBorder="1" applyAlignment="1">
      <alignment horizontal="center" vertical="center" wrapText="1"/>
    </xf>
    <xf numFmtId="3" fontId="3" fillId="4" borderId="21" xfId="0" applyNumberFormat="1" applyFont="1" applyFill="1" applyBorder="1" applyAlignment="1">
      <alignment horizontal="center" vertical="center" wrapText="1"/>
    </xf>
    <xf numFmtId="0" fontId="6" fillId="4" borderId="35" xfId="0" applyFont="1" applyFill="1" applyBorder="1" applyAlignment="1">
      <alignment horizontal="center" vertical="center" wrapText="1"/>
    </xf>
    <xf numFmtId="9" fontId="6" fillId="12" borderId="38" xfId="0" applyNumberFormat="1" applyFont="1" applyFill="1" applyBorder="1" applyAlignment="1">
      <alignment horizontal="center" vertical="center" wrapText="1"/>
    </xf>
    <xf numFmtId="9" fontId="6" fillId="12" borderId="40" xfId="0" applyNumberFormat="1"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20" xfId="0" applyFont="1" applyFill="1" applyBorder="1" applyAlignment="1">
      <alignment horizontal="center" vertical="center" wrapText="1"/>
    </xf>
    <xf numFmtId="3" fontId="15" fillId="13" borderId="51" xfId="0" applyNumberFormat="1" applyFont="1" applyFill="1" applyBorder="1" applyAlignment="1">
      <alignment horizontal="center" vertical="center" wrapText="1"/>
    </xf>
    <xf numFmtId="3" fontId="15" fillId="13" borderId="33" xfId="0" applyNumberFormat="1" applyFont="1" applyFill="1" applyBorder="1" applyAlignment="1">
      <alignment horizontal="center" vertical="center" wrapText="1"/>
    </xf>
    <xf numFmtId="0" fontId="6" fillId="11" borderId="50" xfId="0" applyFont="1" applyFill="1" applyBorder="1" applyAlignment="1" applyProtection="1">
      <alignment horizontal="center" vertical="center" wrapText="1"/>
    </xf>
    <xf numFmtId="0" fontId="6" fillId="11" borderId="40" xfId="0" applyFont="1" applyFill="1" applyBorder="1" applyAlignment="1" applyProtection="1">
      <alignment horizontal="center" vertical="center" wrapText="1"/>
    </xf>
    <xf numFmtId="0" fontId="3" fillId="4" borderId="2" xfId="0" quotePrefix="1" applyFont="1" applyFill="1" applyBorder="1" applyAlignment="1" applyProtection="1">
      <alignment horizontal="center" vertical="center" wrapText="1"/>
    </xf>
    <xf numFmtId="0" fontId="3" fillId="4" borderId="3" xfId="0" quotePrefix="1" applyFont="1" applyFill="1" applyBorder="1" applyAlignment="1" applyProtection="1">
      <alignment horizontal="center" vertical="center" wrapText="1"/>
    </xf>
    <xf numFmtId="0" fontId="6" fillId="13" borderId="44" xfId="0" applyFont="1" applyFill="1" applyBorder="1" applyAlignment="1" applyProtection="1">
      <alignment horizontal="center" vertical="center" wrapText="1"/>
    </xf>
    <xf numFmtId="166" fontId="6" fillId="13" borderId="21" xfId="0" applyNumberFormat="1" applyFont="1" applyFill="1" applyBorder="1" applyAlignment="1" applyProtection="1">
      <alignment horizontal="center" vertical="center" wrapText="1"/>
    </xf>
    <xf numFmtId="3" fontId="7" fillId="3" borderId="36" xfId="0" applyNumberFormat="1" applyFont="1" applyFill="1" applyBorder="1" applyAlignment="1" applyProtection="1">
      <alignment horizontal="center" vertical="center" wrapText="1"/>
    </xf>
    <xf numFmtId="0" fontId="0" fillId="15" borderId="7" xfId="0" applyFill="1" applyBorder="1" applyAlignment="1" applyProtection="1">
      <alignment horizontal="center" vertical="center" wrapText="1"/>
    </xf>
    <xf numFmtId="167" fontId="13" fillId="12" borderId="57" xfId="0" applyNumberFormat="1" applyFont="1" applyFill="1" applyBorder="1" applyAlignment="1" applyProtection="1">
      <alignment horizontal="center" vertical="center" wrapText="1"/>
    </xf>
    <xf numFmtId="3" fontId="13" fillId="10" borderId="47" xfId="0" applyNumberFormat="1" applyFont="1" applyFill="1" applyBorder="1" applyAlignment="1" applyProtection="1">
      <alignment horizontal="center" vertical="center" wrapText="1"/>
    </xf>
    <xf numFmtId="3" fontId="3" fillId="3" borderId="47" xfId="0" applyNumberFormat="1" applyFont="1" applyFill="1" applyBorder="1" applyAlignment="1" applyProtection="1">
      <alignment horizontal="center" vertical="center" wrapText="1"/>
    </xf>
    <xf numFmtId="0" fontId="3" fillId="4" borderId="28" xfId="0" applyFont="1" applyFill="1" applyBorder="1" applyAlignment="1" applyProtection="1">
      <alignment horizontal="center" vertical="center" wrapText="1"/>
    </xf>
    <xf numFmtId="0" fontId="3" fillId="4" borderId="18" xfId="0" applyFont="1" applyFill="1" applyBorder="1" applyAlignment="1" applyProtection="1">
      <alignment horizontal="center" vertical="center" wrapText="1"/>
    </xf>
    <xf numFmtId="0" fontId="3" fillId="4" borderId="19"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3" fontId="6" fillId="13" borderId="3" xfId="0" applyNumberFormat="1" applyFont="1" applyFill="1" applyBorder="1" applyAlignment="1" applyProtection="1">
      <alignment horizontal="center" vertical="center" wrapText="1"/>
    </xf>
    <xf numFmtId="3" fontId="6" fillId="13" borderId="4" xfId="0" applyNumberFormat="1" applyFont="1" applyFill="1" applyBorder="1" applyAlignment="1" applyProtection="1">
      <alignment horizontal="center" vertical="center" wrapText="1"/>
    </xf>
    <xf numFmtId="0" fontId="3" fillId="4" borderId="17" xfId="0" applyFont="1" applyFill="1" applyBorder="1" applyAlignment="1" applyProtection="1">
      <alignment vertical="center" wrapText="1"/>
    </xf>
    <xf numFmtId="3" fontId="6" fillId="10" borderId="32" xfId="0" applyNumberFormat="1" applyFont="1" applyFill="1" applyBorder="1" applyAlignment="1" applyProtection="1">
      <alignment horizontal="center" vertical="center" wrapText="1"/>
    </xf>
    <xf numFmtId="3" fontId="7" fillId="3" borderId="20" xfId="0" applyNumberFormat="1" applyFont="1" applyFill="1" applyBorder="1" applyAlignment="1" applyProtection="1">
      <alignment horizontal="center" vertical="center" wrapText="1"/>
    </xf>
    <xf numFmtId="3" fontId="6" fillId="10" borderId="51" xfId="0" applyNumberFormat="1" applyFont="1" applyFill="1" applyBorder="1" applyAlignment="1" applyProtection="1">
      <alignment horizontal="center" vertical="center" wrapText="1"/>
    </xf>
    <xf numFmtId="3" fontId="7" fillId="3" borderId="43" xfId="0" applyNumberFormat="1" applyFont="1" applyFill="1" applyBorder="1" applyAlignment="1" applyProtection="1">
      <alignment horizontal="center" vertical="center" wrapText="1"/>
    </xf>
    <xf numFmtId="0" fontId="3" fillId="4" borderId="66" xfId="0" applyFont="1" applyFill="1" applyBorder="1" applyAlignment="1" applyProtection="1">
      <alignment horizontal="center" vertical="center" wrapText="1"/>
    </xf>
    <xf numFmtId="3" fontId="6" fillId="10" borderId="33" xfId="0" applyNumberFormat="1" applyFont="1" applyFill="1" applyBorder="1" applyAlignment="1" applyProtection="1">
      <alignment horizontal="center" vertical="center" wrapText="1"/>
    </xf>
    <xf numFmtId="3" fontId="7" fillId="3" borderId="21" xfId="0" applyNumberFormat="1" applyFont="1" applyFill="1" applyBorder="1" applyAlignment="1" applyProtection="1">
      <alignment horizontal="center" vertical="center" wrapText="1"/>
    </xf>
    <xf numFmtId="3" fontId="13" fillId="10" borderId="46" xfId="0" applyNumberFormat="1" applyFont="1" applyFill="1" applyBorder="1" applyAlignment="1" applyProtection="1">
      <alignment horizontal="center" vertical="center" wrapText="1"/>
    </xf>
    <xf numFmtId="3" fontId="3" fillId="3" borderId="57" xfId="0" applyNumberFormat="1" applyFont="1" applyFill="1" applyBorder="1" applyAlignment="1" applyProtection="1">
      <alignment horizontal="center" vertical="center" wrapText="1"/>
    </xf>
    <xf numFmtId="9" fontId="6" fillId="12" borderId="50" xfId="0" applyNumberFormat="1" applyFont="1" applyFill="1" applyBorder="1" applyAlignment="1" applyProtection="1">
      <alignment horizontal="center" vertical="center" wrapText="1"/>
    </xf>
    <xf numFmtId="9" fontId="6" fillId="12" borderId="38" xfId="0" applyNumberFormat="1" applyFont="1" applyFill="1" applyBorder="1" applyAlignment="1" applyProtection="1">
      <alignment horizontal="center" vertical="center" wrapText="1"/>
    </xf>
    <xf numFmtId="0" fontId="6" fillId="12" borderId="45" xfId="0" quotePrefix="1" applyFont="1" applyFill="1" applyBorder="1" applyAlignment="1" applyProtection="1">
      <alignment horizontal="center" vertical="center" wrapText="1"/>
    </xf>
    <xf numFmtId="3" fontId="4" fillId="15" borderId="34" xfId="0" applyNumberFormat="1" applyFont="1" applyFill="1" applyBorder="1" applyAlignment="1" applyProtection="1">
      <alignment horizontal="center" vertical="center" wrapText="1"/>
      <protection locked="0"/>
    </xf>
    <xf numFmtId="3" fontId="7" fillId="3" borderId="34" xfId="0" applyNumberFormat="1" applyFont="1" applyFill="1" applyBorder="1" applyAlignment="1">
      <alignment horizontal="center" vertical="center" wrapText="1"/>
    </xf>
    <xf numFmtId="0" fontId="3" fillId="4" borderId="78" xfId="0" applyFont="1" applyFill="1" applyBorder="1" applyAlignment="1">
      <alignment horizontal="center" vertical="center" wrapText="1"/>
    </xf>
    <xf numFmtId="0" fontId="15" fillId="13" borderId="77" xfId="0" applyFont="1" applyFill="1" applyBorder="1" applyAlignment="1">
      <alignment horizontal="center" vertical="center" wrapText="1"/>
    </xf>
    <xf numFmtId="2" fontId="6" fillId="12" borderId="34" xfId="0" applyNumberFormat="1" applyFont="1" applyFill="1" applyBorder="1" applyAlignment="1">
      <alignment horizontal="center" vertical="center" wrapText="1"/>
    </xf>
    <xf numFmtId="2" fontId="6" fillId="12" borderId="36" xfId="0" applyNumberFormat="1" applyFont="1" applyFill="1" applyBorder="1" applyAlignment="1">
      <alignment horizontal="center" vertical="center" wrapText="1"/>
    </xf>
    <xf numFmtId="3" fontId="7" fillId="3" borderId="41" xfId="0" applyNumberFormat="1" applyFont="1" applyFill="1" applyBorder="1" applyAlignment="1">
      <alignment horizontal="center" vertical="center" wrapText="1"/>
    </xf>
    <xf numFmtId="0" fontId="7" fillId="4" borderId="3" xfId="0" applyFont="1" applyFill="1" applyBorder="1" applyAlignment="1">
      <alignment horizontal="center" vertical="center" wrapText="1"/>
    </xf>
    <xf numFmtId="3" fontId="7" fillId="3" borderId="36" xfId="0" applyNumberFormat="1" applyFont="1" applyFill="1" applyBorder="1" applyAlignment="1">
      <alignment horizontal="center" vertical="center" wrapText="1"/>
    </xf>
    <xf numFmtId="0" fontId="4" fillId="20" borderId="35" xfId="0" applyFont="1" applyFill="1" applyBorder="1" applyAlignment="1">
      <alignment horizontal="center" vertical="center" wrapText="1"/>
    </xf>
    <xf numFmtId="0" fontId="4" fillId="20" borderId="38" xfId="0" applyFont="1" applyFill="1" applyBorder="1" applyAlignment="1">
      <alignment horizontal="center" vertical="center" wrapText="1"/>
    </xf>
    <xf numFmtId="0" fontId="4" fillId="20" borderId="40" xfId="0" applyFont="1" applyFill="1" applyBorder="1" applyAlignment="1">
      <alignment horizontal="center" vertical="center" wrapText="1"/>
    </xf>
    <xf numFmtId="0" fontId="6" fillId="14" borderId="0" xfId="0" applyFont="1" applyFill="1" applyAlignment="1">
      <alignment vertical="center"/>
    </xf>
    <xf numFmtId="0" fontId="3" fillId="4" borderId="1" xfId="0" applyFont="1" applyFill="1" applyBorder="1" applyAlignment="1">
      <alignment horizontal="center" vertical="center"/>
    </xf>
    <xf numFmtId="3" fontId="6" fillId="21" borderId="37" xfId="0" applyNumberFormat="1" applyFont="1" applyFill="1" applyBorder="1" applyAlignment="1">
      <alignment horizontal="center" vertical="center" wrapText="1"/>
    </xf>
    <xf numFmtId="3" fontId="6" fillId="21" borderId="39" xfId="0" applyNumberFormat="1" applyFont="1" applyFill="1" applyBorder="1" applyAlignment="1">
      <alignment horizontal="center" vertical="center" wrapText="1"/>
    </xf>
    <xf numFmtId="3" fontId="4" fillId="21" borderId="39" xfId="0" applyNumberFormat="1" applyFont="1" applyFill="1" applyBorder="1" applyAlignment="1">
      <alignment horizontal="center" vertical="center" wrapText="1"/>
    </xf>
    <xf numFmtId="0" fontId="6" fillId="21" borderId="26" xfId="0" applyFont="1" applyFill="1" applyBorder="1" applyAlignment="1">
      <alignment horizontal="center" vertical="center"/>
    </xf>
    <xf numFmtId="0" fontId="6" fillId="21" borderId="81"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29" xfId="0" applyFont="1" applyFill="1" applyBorder="1" applyAlignment="1">
      <alignment horizontal="center" vertical="center"/>
    </xf>
    <xf numFmtId="0" fontId="6" fillId="21" borderId="25" xfId="0" applyFont="1" applyFill="1" applyBorder="1" applyAlignment="1">
      <alignment horizontal="center" vertical="center"/>
    </xf>
    <xf numFmtId="0" fontId="13" fillId="4" borderId="24" xfId="0" applyFont="1" applyFill="1" applyBorder="1" applyAlignment="1">
      <alignment horizontal="center" vertical="center"/>
    </xf>
    <xf numFmtId="0" fontId="13" fillId="11" borderId="54" xfId="0" applyFont="1" applyFill="1" applyBorder="1" applyAlignment="1" applyProtection="1">
      <alignment vertical="center" wrapText="1"/>
    </xf>
    <xf numFmtId="0" fontId="13" fillId="11" borderId="56" xfId="0" applyFont="1" applyFill="1" applyBorder="1" applyAlignment="1" applyProtection="1">
      <alignment vertical="center" wrapText="1"/>
    </xf>
    <xf numFmtId="0" fontId="4" fillId="13" borderId="9" xfId="0" applyFont="1" applyFill="1" applyBorder="1" applyAlignment="1" applyProtection="1">
      <alignment horizontal="center" vertical="center" wrapText="1"/>
    </xf>
    <xf numFmtId="0" fontId="6" fillId="11" borderId="44" xfId="0" applyFont="1" applyFill="1" applyBorder="1" applyAlignment="1" applyProtection="1">
      <alignment vertical="center" wrapText="1"/>
    </xf>
    <xf numFmtId="0" fontId="6" fillId="11" borderId="55" xfId="0" applyFont="1" applyFill="1" applyBorder="1" applyAlignment="1" applyProtection="1">
      <alignment vertical="center" wrapText="1"/>
    </xf>
    <xf numFmtId="0" fontId="13" fillId="11" borderId="10" xfId="0" applyFont="1" applyFill="1" applyBorder="1" applyAlignment="1" applyProtection="1">
      <alignment horizontal="left" vertical="center" wrapText="1"/>
    </xf>
    <xf numFmtId="0" fontId="3" fillId="4" borderId="2" xfId="0" applyFont="1" applyFill="1" applyBorder="1" applyAlignment="1" applyProtection="1">
      <alignment horizontal="center" vertical="center" wrapText="1"/>
    </xf>
    <xf numFmtId="1" fontId="3" fillId="4" borderId="3" xfId="0" applyNumberFormat="1" applyFont="1" applyFill="1" applyBorder="1" applyAlignment="1" applyProtection="1">
      <alignment horizontal="center" vertical="center" wrapText="1"/>
    </xf>
    <xf numFmtId="0" fontId="3" fillId="4" borderId="30" xfId="0" applyFont="1" applyFill="1" applyBorder="1" applyAlignment="1" applyProtection="1">
      <alignment horizontal="center" vertical="center" wrapText="1"/>
    </xf>
    <xf numFmtId="0" fontId="13" fillId="11" borderId="78" xfId="0" applyFont="1" applyFill="1" applyBorder="1" applyAlignment="1" applyProtection="1">
      <alignment horizontal="left" vertical="center" wrapText="1"/>
    </xf>
    <xf numFmtId="1" fontId="3" fillId="4" borderId="18" xfId="0" applyNumberFormat="1" applyFont="1" applyFill="1" applyBorder="1" applyAlignment="1" applyProtection="1">
      <alignment horizontal="center" vertical="center" wrapText="1"/>
    </xf>
    <xf numFmtId="0" fontId="3" fillId="4" borderId="67" xfId="0" applyFont="1" applyFill="1" applyBorder="1" applyAlignment="1" applyProtection="1">
      <alignment horizontal="center" vertical="center" wrapText="1"/>
    </xf>
    <xf numFmtId="0" fontId="6" fillId="11" borderId="63" xfId="0" applyFont="1" applyFill="1" applyBorder="1" applyAlignment="1" applyProtection="1">
      <alignment vertical="center" wrapText="1"/>
    </xf>
    <xf numFmtId="0" fontId="3" fillId="4" borderId="7" xfId="0" applyFont="1" applyFill="1" applyBorder="1" applyAlignment="1" applyProtection="1">
      <alignment horizontal="left" vertical="center" wrapText="1"/>
    </xf>
    <xf numFmtId="0" fontId="6" fillId="13" borderId="36" xfId="0" applyFont="1" applyFill="1" applyBorder="1" applyAlignment="1" applyProtection="1">
      <alignment horizontal="center" vertical="center" wrapText="1"/>
    </xf>
    <xf numFmtId="3" fontId="6" fillId="20" borderId="36" xfId="0" applyNumberFormat="1" applyFont="1" applyFill="1" applyBorder="1" applyAlignment="1" applyProtection="1">
      <alignment horizontal="center" vertical="center" wrapText="1"/>
    </xf>
    <xf numFmtId="2" fontId="6" fillId="12" borderId="37" xfId="0" applyNumberFormat="1" applyFont="1" applyFill="1" applyBorder="1" applyAlignment="1" applyProtection="1">
      <alignment horizontal="center" vertical="center" wrapText="1"/>
    </xf>
    <xf numFmtId="0" fontId="6" fillId="13" borderId="34" xfId="0" applyFont="1" applyFill="1" applyBorder="1" applyAlignment="1" applyProtection="1">
      <alignment horizontal="center" vertical="center" wrapText="1"/>
    </xf>
    <xf numFmtId="3" fontId="6" fillId="20" borderId="34" xfId="0" applyNumberFormat="1" applyFont="1" applyFill="1" applyBorder="1" applyAlignment="1" applyProtection="1">
      <alignment horizontal="center" vertical="center" wrapText="1"/>
    </xf>
    <xf numFmtId="2" fontId="6" fillId="12" borderId="39" xfId="0" applyNumberFormat="1" applyFont="1" applyFill="1" applyBorder="1" applyAlignment="1" applyProtection="1">
      <alignment horizontal="center" vertical="center" wrapText="1"/>
    </xf>
    <xf numFmtId="0" fontId="6" fillId="12" borderId="39" xfId="0" applyFont="1" applyFill="1" applyBorder="1" applyAlignment="1" applyProtection="1">
      <alignment horizontal="center" vertical="center" wrapText="1"/>
    </xf>
    <xf numFmtId="0" fontId="3" fillId="4" borderId="9" xfId="0" applyFont="1" applyFill="1" applyBorder="1" applyAlignment="1" applyProtection="1">
      <alignment horizontal="left" vertical="center" wrapText="1"/>
    </xf>
    <xf numFmtId="3" fontId="6" fillId="20" borderId="41" xfId="0" applyNumberFormat="1" applyFont="1" applyFill="1" applyBorder="1" applyAlignment="1" applyProtection="1">
      <alignment horizontal="center" vertical="center" wrapText="1"/>
    </xf>
    <xf numFmtId="0" fontId="6" fillId="12" borderId="42" xfId="0" applyFont="1" applyFill="1" applyBorder="1" applyAlignment="1" applyProtection="1">
      <alignment horizontal="center" vertical="center" wrapText="1"/>
    </xf>
    <xf numFmtId="3" fontId="6" fillId="20" borderId="44" xfId="0" applyNumberFormat="1" applyFont="1" applyFill="1" applyBorder="1" applyAlignment="1" applyProtection="1">
      <alignment horizontal="center" vertical="center" wrapText="1"/>
    </xf>
    <xf numFmtId="2" fontId="6" fillId="12" borderId="55" xfId="0" applyNumberFormat="1" applyFont="1" applyFill="1" applyBorder="1" applyAlignment="1" applyProtection="1">
      <alignment horizontal="center" vertical="center" wrapText="1"/>
    </xf>
    <xf numFmtId="0" fontId="6" fillId="11" borderId="5" xfId="0" applyFont="1" applyFill="1" applyBorder="1" applyAlignment="1" applyProtection="1">
      <alignment vertical="center" wrapText="1"/>
    </xf>
    <xf numFmtId="0" fontId="6" fillId="11" borderId="3" xfId="0" applyFont="1" applyFill="1" applyBorder="1" applyAlignment="1" applyProtection="1">
      <alignment vertical="center" wrapText="1"/>
    </xf>
    <xf numFmtId="3" fontId="13" fillId="13" borderId="1" xfId="0" applyNumberFormat="1" applyFont="1" applyFill="1" applyBorder="1" applyAlignment="1" applyProtection="1">
      <alignment horizontal="center" vertical="center" wrapText="1"/>
    </xf>
    <xf numFmtId="0" fontId="6" fillId="11" borderId="35" xfId="0" applyFont="1" applyFill="1" applyBorder="1" applyAlignment="1" applyProtection="1">
      <alignment vertical="center" wrapText="1"/>
    </xf>
    <xf numFmtId="0" fontId="6" fillId="11" borderId="36" xfId="0" applyFont="1" applyFill="1" applyBorder="1" applyAlignment="1" applyProtection="1">
      <alignment vertical="center" wrapText="1"/>
    </xf>
    <xf numFmtId="3" fontId="13" fillId="20" borderId="36" xfId="0" applyNumberFormat="1" applyFont="1" applyFill="1" applyBorder="1" applyAlignment="1" applyProtection="1">
      <alignment horizontal="center" vertical="center" wrapText="1"/>
    </xf>
    <xf numFmtId="3" fontId="13" fillId="20" borderId="37" xfId="0" applyNumberFormat="1" applyFont="1" applyFill="1" applyBorder="1" applyAlignment="1" applyProtection="1">
      <alignment horizontal="center" vertical="center" wrapText="1"/>
    </xf>
    <xf numFmtId="3" fontId="13" fillId="20" borderId="29" xfId="0" applyNumberFormat="1" applyFont="1" applyFill="1" applyBorder="1" applyAlignment="1" applyProtection="1">
      <alignment horizontal="center" vertical="center" wrapText="1"/>
    </xf>
    <xf numFmtId="3" fontId="13" fillId="20" borderId="52" xfId="0" applyNumberFormat="1" applyFont="1" applyFill="1" applyBorder="1" applyAlignment="1" applyProtection="1">
      <alignment horizontal="center" vertical="center" wrapText="1"/>
    </xf>
    <xf numFmtId="0" fontId="6" fillId="11" borderId="38" xfId="0" applyFont="1" applyFill="1" applyBorder="1" applyAlignment="1" applyProtection="1">
      <alignment vertical="center" wrapText="1"/>
    </xf>
    <xf numFmtId="0" fontId="6" fillId="11" borderId="34" xfId="0" applyFont="1" applyFill="1" applyBorder="1" applyAlignment="1" applyProtection="1">
      <alignment vertical="center" wrapText="1"/>
    </xf>
    <xf numFmtId="3" fontId="3" fillId="3" borderId="34" xfId="0" applyNumberFormat="1" applyFont="1" applyFill="1" applyBorder="1" applyAlignment="1" applyProtection="1">
      <alignment horizontal="center" vertical="center" wrapText="1"/>
    </xf>
    <xf numFmtId="3" fontId="3" fillId="3" borderId="39" xfId="0" applyNumberFormat="1" applyFont="1" applyFill="1" applyBorder="1" applyAlignment="1" applyProtection="1">
      <alignment horizontal="center" vertical="center" wrapText="1"/>
    </xf>
    <xf numFmtId="3" fontId="3" fillId="3" borderId="8" xfId="0" applyNumberFormat="1" applyFont="1" applyFill="1" applyBorder="1" applyAlignment="1" applyProtection="1">
      <alignment horizontal="center" vertical="center" wrapText="1"/>
    </xf>
    <xf numFmtId="0" fontId="6" fillId="11" borderId="45" xfId="0" applyFont="1" applyFill="1" applyBorder="1" applyAlignment="1" applyProtection="1">
      <alignment vertical="center" wrapText="1"/>
    </xf>
    <xf numFmtId="0" fontId="13" fillId="12" borderId="44" xfId="0" applyFont="1" applyFill="1" applyBorder="1" applyAlignment="1" applyProtection="1">
      <alignment horizontal="center" vertical="center" wrapText="1"/>
    </xf>
    <xf numFmtId="0" fontId="13" fillId="12" borderId="55" xfId="0" applyFont="1" applyFill="1" applyBorder="1" applyAlignment="1" applyProtection="1">
      <alignment horizontal="center" vertical="center" wrapText="1"/>
    </xf>
    <xf numFmtId="0" fontId="13" fillId="12" borderId="9" xfId="0" applyFont="1" applyFill="1" applyBorder="1" applyAlignment="1" applyProtection="1">
      <alignment horizontal="center" vertical="center" wrapText="1"/>
    </xf>
    <xf numFmtId="0" fontId="13" fillId="12" borderId="21" xfId="0" applyFont="1" applyFill="1" applyBorder="1" applyAlignment="1" applyProtection="1">
      <alignment horizontal="center" vertical="center" wrapText="1"/>
    </xf>
    <xf numFmtId="2" fontId="6" fillId="12" borderId="42" xfId="0" applyNumberFormat="1" applyFont="1" applyFill="1" applyBorder="1" applyAlignment="1" applyProtection="1">
      <alignment horizontal="center" vertical="center" wrapText="1"/>
    </xf>
    <xf numFmtId="0" fontId="8" fillId="4" borderId="35"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6" fillId="0" borderId="38" xfId="0" applyFont="1" applyFill="1" applyBorder="1" applyAlignment="1">
      <alignment vertical="center" wrapText="1"/>
    </xf>
    <xf numFmtId="0" fontId="6" fillId="0" borderId="40" xfId="0" applyFont="1" applyFill="1" applyBorder="1" applyAlignment="1">
      <alignment vertical="center" wrapText="1"/>
    </xf>
    <xf numFmtId="0" fontId="0" fillId="15" borderId="9" xfId="0" applyFont="1" applyFill="1" applyBorder="1" applyAlignment="1">
      <alignment horizontal="center" vertical="center" wrapText="1"/>
    </xf>
    <xf numFmtId="0" fontId="8" fillId="4" borderId="78" xfId="0" applyFont="1" applyFill="1" applyBorder="1" applyAlignment="1">
      <alignment horizontal="center" vertical="center" wrapText="1"/>
    </xf>
    <xf numFmtId="0" fontId="0" fillId="15" borderId="78" xfId="0" applyFont="1" applyFill="1" applyBorder="1" applyAlignment="1">
      <alignment horizontal="center" vertical="center" wrapText="1"/>
    </xf>
    <xf numFmtId="0" fontId="0" fillId="15" borderId="65" xfId="0" applyFont="1" applyFill="1" applyBorder="1" applyAlignment="1">
      <alignment horizontal="center" vertical="center" wrapText="1"/>
    </xf>
    <xf numFmtId="0" fontId="8" fillId="4" borderId="1" xfId="0" quotePrefix="1" applyFont="1" applyFill="1" applyBorder="1" applyAlignment="1" applyProtection="1">
      <alignment horizontal="center" vertical="center" wrapText="1"/>
    </xf>
    <xf numFmtId="0" fontId="0" fillId="15" borderId="10" xfId="0" applyFont="1" applyFill="1" applyBorder="1" applyAlignment="1">
      <alignment horizontal="center" vertical="center" wrapText="1"/>
    </xf>
    <xf numFmtId="0" fontId="0" fillId="15" borderId="66" xfId="0" applyFont="1" applyFill="1" applyBorder="1" applyAlignment="1">
      <alignment horizontal="center" vertical="center" wrapText="1"/>
    </xf>
    <xf numFmtId="2" fontId="6" fillId="12" borderId="36" xfId="0" applyNumberFormat="1" applyFont="1" applyFill="1" applyBorder="1" applyAlignment="1" applyProtection="1">
      <alignment horizontal="center" vertical="center" wrapText="1"/>
    </xf>
    <xf numFmtId="2" fontId="6" fillId="12" borderId="34" xfId="0" applyNumberFormat="1" applyFont="1" applyFill="1" applyBorder="1" applyAlignment="1" applyProtection="1">
      <alignment horizontal="center" vertical="center" wrapText="1"/>
    </xf>
    <xf numFmtId="2" fontId="6" fillId="12" borderId="41" xfId="0" applyNumberFormat="1" applyFont="1" applyFill="1" applyBorder="1" applyAlignment="1" applyProtection="1">
      <alignment horizontal="center" vertical="center" wrapText="1"/>
    </xf>
    <xf numFmtId="2" fontId="13" fillId="12" borderId="3" xfId="0" applyNumberFormat="1" applyFont="1" applyFill="1" applyBorder="1" applyAlignment="1" applyProtection="1">
      <alignment horizontal="center" vertical="center" wrapText="1"/>
    </xf>
    <xf numFmtId="0" fontId="12" fillId="4" borderId="78" xfId="0" applyNumberFormat="1" applyFont="1" applyFill="1" applyBorder="1" applyAlignment="1" applyProtection="1">
      <alignment horizontal="center" vertical="center" wrapText="1"/>
    </xf>
    <xf numFmtId="164" fontId="12" fillId="4" borderId="78" xfId="0" applyNumberFormat="1" applyFont="1" applyFill="1" applyBorder="1" applyAlignment="1" applyProtection="1">
      <alignment horizontal="center" vertical="center" wrapText="1"/>
    </xf>
    <xf numFmtId="170" fontId="8" fillId="3" borderId="78" xfId="0" applyNumberFormat="1" applyFont="1" applyFill="1" applyBorder="1" applyAlignment="1" applyProtection="1">
      <alignment horizontal="center" vertical="center" wrapText="1"/>
    </xf>
    <xf numFmtId="170" fontId="1" fillId="3" borderId="6" xfId="0" applyNumberFormat="1" applyFont="1" applyFill="1" applyBorder="1" applyAlignment="1" applyProtection="1">
      <alignment horizontal="center" vertical="center" wrapText="1"/>
    </xf>
    <xf numFmtId="0" fontId="6" fillId="11" borderId="78" xfId="0" applyFont="1" applyFill="1" applyBorder="1" applyAlignment="1" applyProtection="1">
      <alignment horizontal="center" vertical="center" wrapText="1"/>
    </xf>
    <xf numFmtId="0" fontId="0" fillId="14" borderId="0" xfId="0" applyFill="1" applyAlignment="1">
      <alignment wrapText="1"/>
    </xf>
    <xf numFmtId="0" fontId="6" fillId="11" borderId="78" xfId="0" applyFont="1" applyFill="1" applyBorder="1" applyAlignment="1" applyProtection="1">
      <alignment vertical="center" wrapText="1"/>
    </xf>
    <xf numFmtId="0" fontId="7" fillId="14" borderId="0" xfId="0" applyFont="1" applyFill="1" applyAlignment="1" applyProtection="1">
      <alignment vertical="center"/>
    </xf>
    <xf numFmtId="0" fontId="6" fillId="0" borderId="38" xfId="0" quotePrefix="1" applyFont="1" applyFill="1" applyBorder="1" applyAlignment="1">
      <alignment vertical="center" wrapText="1"/>
    </xf>
    <xf numFmtId="0" fontId="12" fillId="4" borderId="14" xfId="0" applyNumberFormat="1"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3" fillId="4" borderId="79" xfId="0" applyFont="1" applyFill="1" applyBorder="1" applyAlignment="1" applyProtection="1">
      <alignment horizontal="left" vertical="center" wrapText="1"/>
    </xf>
    <xf numFmtId="0" fontId="3" fillId="4" borderId="73" xfId="0" applyFont="1" applyFill="1" applyBorder="1" applyAlignment="1" applyProtection="1">
      <alignment horizontal="left" vertical="center" wrapText="1"/>
    </xf>
    <xf numFmtId="168" fontId="17" fillId="10" borderId="16" xfId="0" applyNumberFormat="1" applyFont="1" applyFill="1" applyBorder="1" applyAlignment="1" applyProtection="1">
      <alignment horizontal="center" vertical="center" wrapText="1"/>
    </xf>
    <xf numFmtId="0" fontId="3" fillId="4" borderId="11" xfId="0" applyFont="1" applyFill="1" applyBorder="1" applyAlignment="1" applyProtection="1">
      <alignment horizontal="center" vertical="center" wrapText="1"/>
    </xf>
    <xf numFmtId="1" fontId="6" fillId="13" borderId="15" xfId="0" applyNumberFormat="1" applyFont="1" applyFill="1" applyBorder="1" applyAlignment="1" applyProtection="1">
      <alignment horizontal="center" vertical="center" wrapText="1"/>
    </xf>
    <xf numFmtId="0" fontId="3" fillId="4" borderId="78" xfId="0" applyFont="1" applyFill="1" applyBorder="1" applyAlignment="1" applyProtection="1">
      <alignment horizontal="center" vertical="center" wrapText="1"/>
    </xf>
    <xf numFmtId="3" fontId="6" fillId="13" borderId="18" xfId="0" applyNumberFormat="1" applyFont="1" applyFill="1" applyBorder="1" applyAlignment="1" applyProtection="1">
      <alignment horizontal="center" vertical="center" wrapText="1"/>
    </xf>
    <xf numFmtId="3" fontId="6" fillId="13" borderId="19" xfId="0" applyNumberFormat="1" applyFont="1" applyFill="1" applyBorder="1" applyAlignment="1" applyProtection="1">
      <alignment horizontal="center" vertical="center" wrapText="1"/>
    </xf>
    <xf numFmtId="3" fontId="13" fillId="13" borderId="58" xfId="0" applyNumberFormat="1" applyFont="1" applyFill="1" applyBorder="1" applyAlignment="1" applyProtection="1">
      <alignment horizontal="center" vertical="center" wrapText="1"/>
    </xf>
    <xf numFmtId="3" fontId="13" fillId="13" borderId="47" xfId="0" applyNumberFormat="1" applyFont="1" applyFill="1" applyBorder="1" applyAlignment="1" applyProtection="1">
      <alignment horizontal="center" vertical="center" wrapText="1"/>
    </xf>
    <xf numFmtId="3" fontId="13" fillId="13" borderId="57" xfId="0" applyNumberFormat="1" applyFont="1" applyFill="1" applyBorder="1" applyAlignment="1" applyProtection="1">
      <alignment horizontal="center" vertical="center" wrapText="1"/>
    </xf>
    <xf numFmtId="0" fontId="3" fillId="4" borderId="24" xfId="0" applyFont="1" applyFill="1" applyBorder="1" applyAlignment="1" applyProtection="1">
      <alignment horizontal="center" vertical="center" wrapText="1"/>
    </xf>
    <xf numFmtId="3" fontId="13" fillId="13" borderId="48" xfId="0" applyNumberFormat="1" applyFont="1" applyFill="1" applyBorder="1" applyAlignment="1" applyProtection="1">
      <alignment horizontal="center" vertical="center" wrapText="1"/>
    </xf>
    <xf numFmtId="0" fontId="9" fillId="15" borderId="82" xfId="0" applyFont="1" applyFill="1" applyBorder="1" applyAlignment="1" applyProtection="1">
      <alignment horizontal="center" vertical="center" wrapText="1"/>
      <protection locked="0"/>
    </xf>
    <xf numFmtId="0" fontId="9" fillId="15" borderId="82" xfId="0" applyNumberFormat="1" applyFont="1" applyFill="1" applyBorder="1" applyAlignment="1" applyProtection="1">
      <alignment horizontal="center" vertical="center" wrapText="1"/>
      <protection locked="0"/>
    </xf>
    <xf numFmtId="0" fontId="6" fillId="15" borderId="83" xfId="0" applyFont="1" applyFill="1" applyBorder="1" applyAlignment="1" applyProtection="1">
      <alignment horizontal="center" vertical="center" wrapText="1"/>
      <protection locked="0"/>
    </xf>
    <xf numFmtId="0" fontId="6" fillId="15" borderId="84" xfId="0" applyFont="1" applyFill="1" applyBorder="1" applyAlignment="1" applyProtection="1">
      <alignment horizontal="center" vertical="center" wrapText="1"/>
      <protection locked="0"/>
    </xf>
    <xf numFmtId="0" fontId="6" fillId="15" borderId="85" xfId="0" applyFont="1" applyFill="1" applyBorder="1" applyAlignment="1" applyProtection="1">
      <alignment horizontal="center" vertical="center" wrapText="1"/>
      <protection locked="0"/>
    </xf>
    <xf numFmtId="0" fontId="6" fillId="15" borderId="86" xfId="0" applyFont="1" applyFill="1" applyBorder="1" applyAlignment="1" applyProtection="1">
      <alignment horizontal="center" vertical="center" wrapText="1"/>
      <protection locked="0"/>
    </xf>
    <xf numFmtId="0" fontId="6" fillId="15" borderId="87" xfId="0" applyFont="1" applyFill="1" applyBorder="1" applyAlignment="1" applyProtection="1">
      <alignment horizontal="center" vertical="center" wrapText="1"/>
      <protection locked="0"/>
    </xf>
    <xf numFmtId="0" fontId="6" fillId="15" borderId="88" xfId="0" applyFont="1" applyFill="1" applyBorder="1" applyAlignment="1" applyProtection="1">
      <alignment horizontal="center" vertical="center" wrapText="1"/>
      <protection locked="0"/>
    </xf>
    <xf numFmtId="0" fontId="6" fillId="15" borderId="89" xfId="0" applyFont="1" applyFill="1" applyBorder="1" applyAlignment="1" applyProtection="1">
      <alignment horizontal="center" vertical="center" wrapText="1"/>
      <protection locked="0"/>
    </xf>
    <xf numFmtId="0" fontId="6" fillId="15" borderId="90" xfId="0" applyFont="1" applyFill="1" applyBorder="1" applyAlignment="1" applyProtection="1">
      <alignment horizontal="center" vertical="center" wrapText="1"/>
      <protection locked="0"/>
    </xf>
    <xf numFmtId="0" fontId="0" fillId="15" borderId="82" xfId="0" applyFill="1" applyBorder="1" applyAlignment="1" applyProtection="1">
      <alignment horizontal="center" vertical="center" wrapText="1"/>
      <protection locked="0"/>
    </xf>
    <xf numFmtId="0" fontId="6" fillId="15" borderId="82" xfId="0" applyFont="1" applyFill="1" applyBorder="1" applyAlignment="1" applyProtection="1">
      <alignment horizontal="center" vertical="center" wrapText="1"/>
      <protection locked="0"/>
    </xf>
    <xf numFmtId="3" fontId="4" fillId="15" borderId="83" xfId="0" applyNumberFormat="1" applyFont="1" applyFill="1" applyBorder="1" applyAlignment="1" applyProtection="1">
      <alignment horizontal="center" vertical="center" wrapText="1"/>
      <protection locked="0"/>
    </xf>
    <xf numFmtId="3" fontId="4" fillId="15" borderId="89" xfId="0" applyNumberFormat="1" applyFont="1" applyFill="1" applyBorder="1" applyAlignment="1" applyProtection="1">
      <alignment horizontal="center" vertical="center" wrapText="1"/>
      <protection locked="0"/>
    </xf>
    <xf numFmtId="3" fontId="4" fillId="15" borderId="84" xfId="0" applyNumberFormat="1" applyFont="1" applyFill="1" applyBorder="1" applyAlignment="1" applyProtection="1">
      <alignment horizontal="center" vertical="center" wrapText="1"/>
      <protection locked="0"/>
    </xf>
    <xf numFmtId="3" fontId="4" fillId="15" borderId="85" xfId="0" applyNumberFormat="1" applyFont="1" applyFill="1" applyBorder="1" applyAlignment="1" applyProtection="1">
      <alignment horizontal="center" vertical="center" wrapText="1"/>
      <protection locked="0"/>
    </xf>
    <xf numFmtId="3" fontId="4" fillId="15" borderId="86" xfId="0" applyNumberFormat="1" applyFont="1" applyFill="1" applyBorder="1" applyAlignment="1" applyProtection="1">
      <alignment horizontal="center" vertical="center" wrapText="1"/>
      <protection locked="0"/>
    </xf>
    <xf numFmtId="3" fontId="4" fillId="15" borderId="87" xfId="0" applyNumberFormat="1" applyFont="1" applyFill="1" applyBorder="1" applyAlignment="1" applyProtection="1">
      <alignment horizontal="center" vertical="center" wrapText="1"/>
      <protection locked="0"/>
    </xf>
    <xf numFmtId="3" fontId="4" fillId="15" borderId="90" xfId="0" applyNumberFormat="1" applyFont="1" applyFill="1" applyBorder="1" applyAlignment="1" applyProtection="1">
      <alignment horizontal="center" vertical="center" wrapText="1"/>
      <protection locked="0"/>
    </xf>
    <xf numFmtId="3" fontId="4" fillId="15" borderId="88" xfId="0" applyNumberFormat="1" applyFont="1" applyFill="1" applyBorder="1" applyAlignment="1" applyProtection="1">
      <alignment horizontal="center" vertical="center" wrapText="1"/>
      <protection locked="0"/>
    </xf>
    <xf numFmtId="0" fontId="6" fillId="15" borderId="93" xfId="0" applyFont="1" applyFill="1" applyBorder="1" applyAlignment="1" applyProtection="1">
      <alignment horizontal="center" vertical="center" wrapText="1"/>
      <protection locked="0"/>
    </xf>
    <xf numFmtId="0" fontId="6" fillId="15" borderId="94" xfId="0" applyFont="1" applyFill="1" applyBorder="1" applyAlignment="1" applyProtection="1">
      <alignment horizontal="center" vertical="center" wrapText="1"/>
      <protection locked="0"/>
    </xf>
    <xf numFmtId="0" fontId="6" fillId="15" borderId="95" xfId="0" applyFont="1" applyFill="1" applyBorder="1" applyAlignment="1" applyProtection="1">
      <alignment horizontal="center" vertical="center" wrapText="1"/>
      <protection locked="0"/>
    </xf>
    <xf numFmtId="0" fontId="3" fillId="4" borderId="72" xfId="0" applyFont="1" applyFill="1" applyBorder="1" applyAlignment="1" applyProtection="1">
      <alignment horizontal="left" vertical="center" wrapText="1"/>
    </xf>
    <xf numFmtId="0" fontId="4" fillId="15" borderId="91" xfId="0" applyFont="1" applyFill="1" applyBorder="1" applyAlignment="1" applyProtection="1">
      <alignment horizontal="center" vertical="center" wrapText="1"/>
      <protection locked="0"/>
    </xf>
    <xf numFmtId="0" fontId="4" fillId="15" borderId="92" xfId="0" applyFont="1" applyFill="1" applyBorder="1" applyAlignment="1" applyProtection="1">
      <alignment horizontal="center" vertical="center" wrapText="1"/>
      <protection locked="0"/>
    </xf>
    <xf numFmtId="0" fontId="4" fillId="15" borderId="97" xfId="0" applyFont="1" applyFill="1" applyBorder="1" applyAlignment="1" applyProtection="1">
      <alignment horizontal="center" vertical="center" wrapText="1"/>
      <protection locked="0"/>
    </xf>
    <xf numFmtId="11" fontId="6" fillId="9" borderId="36" xfId="0" quotePrefix="1" applyNumberFormat="1" applyFont="1" applyFill="1" applyBorder="1" applyAlignment="1">
      <alignment horizontal="left" vertical="center" wrapText="1"/>
    </xf>
    <xf numFmtId="11" fontId="6" fillId="9" borderId="34" xfId="0" quotePrefix="1" applyNumberFormat="1" applyFont="1" applyFill="1" applyBorder="1" applyAlignment="1">
      <alignment horizontal="left" vertical="center" wrapText="1"/>
    </xf>
    <xf numFmtId="3" fontId="13" fillId="24" borderId="34" xfId="0" applyNumberFormat="1" applyFont="1" applyFill="1" applyBorder="1" applyAlignment="1" applyProtection="1">
      <alignment horizontal="center" vertical="center" wrapText="1"/>
    </xf>
    <xf numFmtId="3" fontId="13" fillId="24" borderId="39" xfId="0" applyNumberFormat="1" applyFont="1" applyFill="1" applyBorder="1" applyAlignment="1" applyProtection="1">
      <alignment horizontal="center" vertical="center" wrapText="1"/>
    </xf>
    <xf numFmtId="3" fontId="13" fillId="24" borderId="8" xfId="0" applyNumberFormat="1" applyFont="1" applyFill="1" applyBorder="1" applyAlignment="1" applyProtection="1">
      <alignment horizontal="center" vertical="center" wrapText="1"/>
    </xf>
    <xf numFmtId="3" fontId="6" fillId="24" borderId="54" xfId="0" applyNumberFormat="1" applyFont="1" applyFill="1" applyBorder="1" applyAlignment="1" applyProtection="1">
      <alignment horizontal="center" vertical="center" wrapText="1"/>
    </xf>
    <xf numFmtId="3" fontId="6" fillId="24" borderId="34" xfId="0" applyNumberFormat="1" applyFont="1" applyFill="1" applyBorder="1" applyAlignment="1" applyProtection="1">
      <alignment horizontal="center" vertical="center" wrapText="1"/>
    </xf>
    <xf numFmtId="3" fontId="6" fillId="24" borderId="44" xfId="0" applyNumberFormat="1" applyFont="1" applyFill="1" applyBorder="1" applyAlignment="1" applyProtection="1">
      <alignment horizontal="center" vertical="center" wrapText="1"/>
    </xf>
    <xf numFmtId="3" fontId="13" fillId="24" borderId="47" xfId="0" applyNumberFormat="1" applyFont="1" applyFill="1" applyBorder="1" applyAlignment="1" applyProtection="1">
      <alignment horizontal="center" vertical="center" wrapText="1"/>
    </xf>
    <xf numFmtId="3" fontId="6" fillId="24" borderId="34" xfId="0" applyNumberFormat="1" applyFont="1" applyFill="1" applyBorder="1" applyAlignment="1">
      <alignment horizontal="center" vertical="center" wrapText="1"/>
    </xf>
    <xf numFmtId="169" fontId="17" fillId="24" borderId="6" xfId="0" applyNumberFormat="1" applyFont="1" applyFill="1" applyBorder="1" applyAlignment="1" applyProtection="1">
      <alignment horizontal="center" vertical="center" wrapText="1"/>
    </xf>
    <xf numFmtId="3" fontId="6" fillId="24" borderId="36" xfId="0" applyNumberFormat="1" applyFont="1" applyFill="1" applyBorder="1" applyAlignment="1" applyProtection="1">
      <alignment horizontal="center" vertical="center" wrapText="1"/>
    </xf>
    <xf numFmtId="3" fontId="6" fillId="24" borderId="41" xfId="0" applyNumberFormat="1" applyFont="1" applyFill="1" applyBorder="1" applyAlignment="1" applyProtection="1">
      <alignment horizontal="center" vertical="center" wrapText="1"/>
    </xf>
    <xf numFmtId="3" fontId="13" fillId="25" borderId="3" xfId="0" applyNumberFormat="1" applyFont="1" applyFill="1" applyBorder="1" applyAlignment="1" applyProtection="1">
      <alignment horizontal="center" vertical="center" wrapText="1"/>
    </xf>
    <xf numFmtId="3" fontId="13" fillId="24" borderId="3" xfId="0" applyNumberFormat="1" applyFont="1" applyFill="1" applyBorder="1" applyAlignment="1" applyProtection="1">
      <alignment horizontal="center" vertical="center" wrapText="1"/>
    </xf>
    <xf numFmtId="3" fontId="6" fillId="24" borderId="35" xfId="0" applyNumberFormat="1" applyFont="1" applyFill="1" applyBorder="1" applyAlignment="1">
      <alignment horizontal="center" vertical="center" wrapText="1"/>
    </xf>
    <xf numFmtId="3" fontId="6" fillId="24" borderId="38" xfId="0" applyNumberFormat="1" applyFont="1" applyFill="1" applyBorder="1" applyAlignment="1">
      <alignment horizontal="center" vertical="center" wrapText="1"/>
    </xf>
    <xf numFmtId="3" fontId="4" fillId="24" borderId="38" xfId="0" applyNumberFormat="1" applyFont="1" applyFill="1" applyBorder="1" applyAlignment="1">
      <alignment horizontal="center" vertical="center" wrapText="1"/>
    </xf>
    <xf numFmtId="3" fontId="4" fillId="24" borderId="40" xfId="0" applyNumberFormat="1" applyFont="1" applyFill="1" applyBorder="1" applyAlignment="1">
      <alignment horizontal="center" vertical="center" wrapText="1"/>
    </xf>
    <xf numFmtId="3" fontId="6" fillId="24" borderId="40" xfId="0" applyNumberFormat="1" applyFont="1" applyFill="1" applyBorder="1" applyAlignment="1">
      <alignment horizontal="center" vertical="center" wrapText="1"/>
    </xf>
    <xf numFmtId="3" fontId="6" fillId="24" borderId="50" xfId="0" applyNumberFormat="1" applyFont="1" applyFill="1" applyBorder="1" applyAlignment="1">
      <alignment horizontal="center" vertical="center" wrapText="1"/>
    </xf>
    <xf numFmtId="3" fontId="4" fillId="24" borderId="45" xfId="0" applyNumberFormat="1" applyFont="1" applyFill="1" applyBorder="1" applyAlignment="1">
      <alignment horizontal="center" vertical="center" wrapText="1"/>
    </xf>
    <xf numFmtId="3" fontId="6" fillId="24" borderId="41" xfId="0" applyNumberFormat="1" applyFont="1" applyFill="1" applyBorder="1" applyAlignment="1">
      <alignment horizontal="center" vertical="center" wrapText="1"/>
    </xf>
    <xf numFmtId="3" fontId="11" fillId="24" borderId="38" xfId="0" applyNumberFormat="1" applyFont="1" applyFill="1" applyBorder="1" applyAlignment="1">
      <alignment horizontal="center" vertical="center" wrapText="1"/>
    </xf>
    <xf numFmtId="3" fontId="11" fillId="24" borderId="40" xfId="0" applyNumberFormat="1" applyFont="1" applyFill="1" applyBorder="1" applyAlignment="1">
      <alignment horizontal="center" vertical="center" wrapText="1"/>
    </xf>
    <xf numFmtId="3" fontId="6" fillId="24" borderId="36" xfId="0" applyNumberFormat="1" applyFont="1" applyFill="1" applyBorder="1" applyAlignment="1">
      <alignment horizontal="center" vertical="center" wrapText="1"/>
    </xf>
    <xf numFmtId="0" fontId="6" fillId="14" borderId="0" xfId="0" applyFont="1" applyFill="1" applyAlignment="1">
      <alignment horizontal="center" vertical="center" wrapText="1"/>
    </xf>
    <xf numFmtId="0" fontId="6" fillId="13" borderId="43" xfId="0" applyFont="1" applyFill="1" applyBorder="1" applyAlignment="1" applyProtection="1">
      <alignment horizontal="center" vertical="center" wrapText="1"/>
    </xf>
    <xf numFmtId="0" fontId="6" fillId="13" borderId="69" xfId="0" applyFont="1" applyFill="1" applyBorder="1" applyAlignment="1" applyProtection="1">
      <alignment horizontal="center" vertical="center" wrapText="1"/>
    </xf>
    <xf numFmtId="0" fontId="13" fillId="13" borderId="3" xfId="0" applyFont="1" applyFill="1" applyBorder="1" applyAlignment="1" applyProtection="1">
      <alignment horizontal="center" vertical="center" wrapText="1"/>
    </xf>
    <xf numFmtId="0" fontId="13" fillId="13" borderId="4" xfId="0" applyFont="1" applyFill="1" applyBorder="1" applyAlignment="1" applyProtection="1">
      <alignment horizontal="center" vertical="center" wrapText="1"/>
    </xf>
    <xf numFmtId="0" fontId="7" fillId="4" borderId="15" xfId="0" applyFont="1" applyFill="1" applyBorder="1" applyAlignment="1">
      <alignment horizontal="center" vertical="center" wrapText="1"/>
    </xf>
    <xf numFmtId="177" fontId="6" fillId="12" borderId="79" xfId="0" applyNumberFormat="1" applyFont="1" applyFill="1" applyBorder="1" applyAlignment="1">
      <alignment horizontal="center" vertical="center" wrapText="1"/>
    </xf>
    <xf numFmtId="177" fontId="6" fillId="12" borderId="27" xfId="0" applyNumberFormat="1"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0" fillId="14" borderId="0" xfId="0" applyFill="1" applyAlignment="1">
      <alignment horizontal="center" vertical="center" wrapText="1"/>
    </xf>
    <xf numFmtId="0" fontId="0" fillId="28" borderId="106" xfId="0" applyFont="1" applyFill="1" applyBorder="1" applyAlignment="1">
      <alignment horizontal="center" wrapText="1"/>
    </xf>
    <xf numFmtId="3" fontId="7" fillId="3" borderId="34" xfId="0" applyNumberFormat="1" applyFont="1" applyFill="1" applyBorder="1" applyAlignment="1">
      <alignment horizontal="center" vertical="center" wrapText="1"/>
    </xf>
    <xf numFmtId="0" fontId="3" fillId="4" borderId="23" xfId="0" applyFont="1" applyFill="1" applyBorder="1" applyAlignment="1">
      <alignment horizontal="center" vertical="center" wrapText="1"/>
    </xf>
    <xf numFmtId="178" fontId="0" fillId="15" borderId="78" xfId="0" applyNumberFormat="1" applyFont="1" applyFill="1" applyBorder="1" applyAlignment="1">
      <alignment horizontal="center" vertical="center" wrapText="1"/>
    </xf>
    <xf numFmtId="178" fontId="0" fillId="15" borderId="65" xfId="0" applyNumberFormat="1" applyFont="1" applyFill="1" applyBorder="1" applyAlignment="1">
      <alignment horizontal="center" vertical="center" wrapText="1"/>
    </xf>
    <xf numFmtId="178" fontId="0" fillId="15" borderId="9" xfId="0" applyNumberFormat="1" applyFont="1" applyFill="1" applyBorder="1" applyAlignment="1">
      <alignment horizontal="center" vertical="center" wrapText="1"/>
    </xf>
    <xf numFmtId="0" fontId="6" fillId="13" borderId="32" xfId="0" applyFont="1" applyFill="1" applyBorder="1" applyAlignment="1">
      <alignment horizontal="center" vertical="center" wrapText="1"/>
    </xf>
    <xf numFmtId="0" fontId="6" fillId="13" borderId="51" xfId="0" applyFont="1" applyFill="1" applyBorder="1" applyAlignment="1">
      <alignment horizontal="center" vertical="center" wrapText="1"/>
    </xf>
    <xf numFmtId="0" fontId="6" fillId="13" borderId="33" xfId="0" applyFont="1" applyFill="1" applyBorder="1" applyAlignment="1">
      <alignment horizontal="center" vertical="center" wrapText="1"/>
    </xf>
    <xf numFmtId="0" fontId="0" fillId="27" borderId="107" xfId="0" applyFont="1" applyFill="1" applyBorder="1" applyAlignment="1">
      <alignment horizontal="center" wrapText="1"/>
    </xf>
    <xf numFmtId="0" fontId="0" fillId="26" borderId="108" xfId="0" applyFont="1" applyFill="1" applyBorder="1" applyAlignment="1">
      <alignment horizontal="left" wrapText="1"/>
    </xf>
    <xf numFmtId="0" fontId="0" fillId="29" borderId="109" xfId="0" applyFont="1" applyFill="1" applyBorder="1" applyAlignment="1">
      <alignment horizontal="left" wrapText="1"/>
    </xf>
    <xf numFmtId="0" fontId="0" fillId="17" borderId="15" xfId="0" applyFill="1" applyBorder="1" applyAlignment="1">
      <alignment horizontal="center" vertical="center" wrapText="1"/>
    </xf>
    <xf numFmtId="0" fontId="4" fillId="31" borderId="14" xfId="2" applyFont="1" applyFill="1" applyBorder="1" applyAlignment="1">
      <alignment horizontal="center" vertical="center" wrapText="1"/>
    </xf>
    <xf numFmtId="11" fontId="4" fillId="9" borderId="34" xfId="0" quotePrefix="1" applyNumberFormat="1" applyFont="1" applyFill="1" applyBorder="1" applyAlignment="1">
      <alignment horizontal="left" vertical="center" wrapText="1"/>
    </xf>
    <xf numFmtId="0" fontId="3" fillId="4" borderId="4" xfId="0"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73"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72" xfId="0" applyFont="1" applyFill="1" applyBorder="1" applyAlignment="1">
      <alignment horizontal="center" vertical="center" wrapText="1"/>
    </xf>
    <xf numFmtId="0" fontId="4" fillId="6" borderId="51" xfId="0" applyFont="1" applyFill="1" applyBorder="1" applyAlignment="1">
      <alignment horizontal="center" vertical="center" wrapText="1"/>
    </xf>
    <xf numFmtId="0" fontId="4" fillId="5" borderId="51" xfId="0" applyFont="1" applyFill="1" applyBorder="1" applyAlignment="1">
      <alignment horizontal="center" vertical="center" wrapText="1"/>
    </xf>
    <xf numFmtId="0" fontId="4" fillId="6" borderId="33" xfId="0" applyFont="1" applyFill="1" applyBorder="1" applyAlignment="1">
      <alignment horizontal="center" vertical="center" wrapText="1"/>
    </xf>
    <xf numFmtId="0" fontId="3" fillId="4" borderId="100" xfId="0" applyFont="1" applyFill="1" applyBorder="1" applyAlignment="1">
      <alignment horizontal="center" vertical="center" wrapText="1"/>
    </xf>
    <xf numFmtId="2" fontId="6" fillId="12" borderId="21" xfId="0" applyNumberFormat="1" applyFont="1" applyFill="1" applyBorder="1" applyAlignment="1">
      <alignment horizontal="center" vertical="center" wrapText="1"/>
    </xf>
    <xf numFmtId="0" fontId="3" fillId="4" borderId="81" xfId="0" applyFont="1" applyFill="1" applyBorder="1" applyAlignment="1">
      <alignment horizontal="center" vertical="center" wrapText="1"/>
    </xf>
    <xf numFmtId="0" fontId="7" fillId="4" borderId="77"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4" fillId="20" borderId="50" xfId="0" applyFont="1" applyFill="1" applyBorder="1" applyAlignment="1">
      <alignment horizontal="center" vertical="center" wrapText="1"/>
    </xf>
    <xf numFmtId="0" fontId="4" fillId="20" borderId="45" xfId="0" applyFont="1" applyFill="1" applyBorder="1" applyAlignment="1">
      <alignment horizontal="center" vertical="center" wrapText="1"/>
    </xf>
    <xf numFmtId="0" fontId="3" fillId="4" borderId="28" xfId="0" quotePrefix="1" applyFont="1" applyFill="1" applyBorder="1" applyAlignment="1" applyProtection="1">
      <alignment horizontal="center" vertical="center" wrapText="1"/>
    </xf>
    <xf numFmtId="0" fontId="3" fillId="4" borderId="18" xfId="0" quotePrefix="1" applyFont="1" applyFill="1" applyBorder="1" applyAlignment="1" applyProtection="1">
      <alignment horizontal="center" vertical="center" wrapText="1"/>
    </xf>
    <xf numFmtId="165" fontId="6" fillId="9" borderId="54" xfId="0" applyNumberFormat="1" applyFont="1" applyFill="1" applyBorder="1" applyAlignment="1" applyProtection="1">
      <alignment horizontal="center" vertical="center" wrapText="1"/>
    </xf>
    <xf numFmtId="167" fontId="6" fillId="12" borderId="54" xfId="0" applyNumberFormat="1" applyFont="1" applyFill="1" applyBorder="1" applyAlignment="1" applyProtection="1">
      <alignment horizontal="center" vertical="center" wrapText="1"/>
    </xf>
    <xf numFmtId="167" fontId="6" fillId="12" borderId="20" xfId="0" applyNumberFormat="1" applyFont="1" applyFill="1" applyBorder="1" applyAlignment="1" applyProtection="1">
      <alignment horizontal="center" vertical="center" wrapText="1"/>
    </xf>
    <xf numFmtId="0" fontId="7" fillId="11" borderId="5" xfId="0" applyFont="1" applyFill="1" applyBorder="1" applyAlignment="1" applyProtection="1">
      <alignment horizontal="center" vertical="center" wrapText="1"/>
    </xf>
    <xf numFmtId="0" fontId="6" fillId="13" borderId="32" xfId="0" applyFont="1" applyFill="1" applyBorder="1" applyAlignment="1" applyProtection="1">
      <alignment horizontal="center" vertical="center" wrapText="1"/>
    </xf>
    <xf numFmtId="0" fontId="6" fillId="13" borderId="54" xfId="0" applyFont="1" applyFill="1" applyBorder="1" applyAlignment="1" applyProtection="1">
      <alignment horizontal="center" vertical="center" wrapText="1"/>
    </xf>
    <xf numFmtId="0" fontId="6" fillId="13" borderId="20" xfId="0" applyFont="1" applyFill="1" applyBorder="1" applyAlignment="1" applyProtection="1">
      <alignment horizontal="center" vertical="center" wrapText="1"/>
    </xf>
    <xf numFmtId="0" fontId="25" fillId="4" borderId="2" xfId="0" applyFont="1" applyFill="1" applyBorder="1" applyAlignment="1">
      <alignment horizontal="center" vertical="center" wrapText="1"/>
    </xf>
    <xf numFmtId="0" fontId="25" fillId="4" borderId="23" xfId="0" applyFont="1" applyFill="1" applyBorder="1" applyAlignment="1">
      <alignment horizontal="center" vertical="center" wrapText="1"/>
    </xf>
    <xf numFmtId="11" fontId="25" fillId="4" borderId="4" xfId="0" applyNumberFormat="1" applyFont="1" applyFill="1" applyBorder="1" applyAlignment="1">
      <alignment horizontal="center" vertical="center" wrapText="1"/>
    </xf>
    <xf numFmtId="11" fontId="25" fillId="4" borderId="5" xfId="0" applyNumberFormat="1" applyFont="1" applyFill="1" applyBorder="1" applyAlignment="1">
      <alignment horizontal="center" vertical="center" wrapText="1"/>
    </xf>
    <xf numFmtId="11" fontId="25" fillId="4" borderId="3" xfId="0" applyNumberFormat="1" applyFont="1" applyFill="1" applyBorder="1" applyAlignment="1">
      <alignment horizontal="center" vertical="center" wrapText="1"/>
    </xf>
    <xf numFmtId="0" fontId="25" fillId="4" borderId="4" xfId="0" applyFont="1" applyFill="1" applyBorder="1" applyAlignment="1">
      <alignment horizontal="center" vertical="center" wrapText="1"/>
    </xf>
    <xf numFmtId="0" fontId="3" fillId="4" borderId="51" xfId="0" applyFont="1" applyFill="1" applyBorder="1" applyAlignment="1">
      <alignment horizontal="center" vertical="center" wrapText="1"/>
    </xf>
    <xf numFmtId="14" fontId="3" fillId="4" borderId="34" xfId="0" applyNumberFormat="1" applyFont="1" applyFill="1" applyBorder="1" applyAlignment="1">
      <alignment horizontal="center" vertical="center" wrapText="1"/>
    </xf>
    <xf numFmtId="11" fontId="3" fillId="4" borderId="34" xfId="0" applyNumberFormat="1" applyFont="1" applyFill="1" applyBorder="1" applyAlignment="1">
      <alignment horizontal="center" vertical="center" wrapText="1"/>
    </xf>
    <xf numFmtId="0" fontId="6" fillId="18" borderId="43" xfId="0" applyFont="1" applyFill="1" applyBorder="1" applyAlignment="1">
      <alignment horizontal="center" vertical="center" wrapText="1"/>
    </xf>
    <xf numFmtId="0" fontId="3" fillId="4" borderId="53" xfId="0" applyFont="1" applyFill="1" applyBorder="1" applyAlignment="1">
      <alignment horizontal="center" vertical="center" wrapText="1"/>
    </xf>
    <xf numFmtId="14" fontId="3" fillId="4" borderId="36" xfId="0" applyNumberFormat="1" applyFont="1" applyFill="1" applyBorder="1" applyAlignment="1">
      <alignment horizontal="center" vertical="center" wrapText="1"/>
    </xf>
    <xf numFmtId="11" fontId="3" fillId="4" borderId="36" xfId="0" applyNumberFormat="1" applyFont="1" applyFill="1" applyBorder="1" applyAlignment="1">
      <alignment horizontal="center" vertical="center" wrapText="1"/>
    </xf>
    <xf numFmtId="0" fontId="3" fillId="4" borderId="33" xfId="0" applyFont="1" applyFill="1" applyBorder="1" applyAlignment="1">
      <alignment horizontal="center" vertical="center" wrapText="1"/>
    </xf>
    <xf numFmtId="14" fontId="3" fillId="4" borderId="44" xfId="0" applyNumberFormat="1" applyFont="1" applyFill="1" applyBorder="1" applyAlignment="1">
      <alignment horizontal="center" vertical="center" wrapText="1"/>
    </xf>
    <xf numFmtId="11" fontId="3" fillId="4" borderId="44" xfId="0" applyNumberFormat="1" applyFont="1" applyFill="1" applyBorder="1" applyAlignment="1">
      <alignment horizontal="center" vertical="center" wrapText="1"/>
    </xf>
    <xf numFmtId="11" fontId="6" fillId="9" borderId="44" xfId="0" quotePrefix="1" applyNumberFormat="1" applyFont="1" applyFill="1" applyBorder="1" applyAlignment="1">
      <alignment horizontal="left" vertical="center" wrapText="1"/>
    </xf>
    <xf numFmtId="11" fontId="6" fillId="14" borderId="0" xfId="0" applyNumberFormat="1" applyFont="1" applyFill="1" applyAlignment="1">
      <alignment horizontal="center" vertical="center" wrapText="1"/>
    </xf>
    <xf numFmtId="0" fontId="12" fillId="4" borderId="14" xfId="0" applyNumberFormat="1" applyFont="1" applyFill="1" applyBorder="1" applyAlignment="1" applyProtection="1">
      <alignment horizontal="center" vertical="center" wrapText="1"/>
    </xf>
    <xf numFmtId="0" fontId="3" fillId="4" borderId="31" xfId="0" applyFont="1" applyFill="1" applyBorder="1" applyAlignment="1" applyProtection="1">
      <alignment horizontal="center" vertical="center" wrapText="1"/>
    </xf>
    <xf numFmtId="0" fontId="3" fillId="4" borderId="22" xfId="0" applyFont="1" applyFill="1" applyBorder="1" applyAlignment="1" applyProtection="1">
      <alignment horizontal="center" vertical="center" wrapText="1"/>
    </xf>
    <xf numFmtId="3" fontId="6" fillId="24" borderId="34" xfId="0" applyNumberFormat="1" applyFont="1" applyFill="1" applyBorder="1" applyAlignment="1">
      <alignment horizontal="center" vertical="center" wrapText="1"/>
    </xf>
    <xf numFmtId="3" fontId="13" fillId="13" borderId="26" xfId="0" applyNumberFormat="1" applyFont="1" applyFill="1" applyBorder="1" applyAlignment="1" applyProtection="1">
      <alignment horizontal="center" vertical="center" wrapText="1"/>
    </xf>
    <xf numFmtId="3" fontId="13" fillId="13" borderId="49" xfId="0" applyNumberFormat="1" applyFont="1" applyFill="1" applyBorder="1" applyAlignment="1" applyProtection="1">
      <alignment horizontal="center" vertical="center" wrapText="1"/>
    </xf>
    <xf numFmtId="3" fontId="6" fillId="10" borderId="68" xfId="0" applyNumberFormat="1" applyFont="1" applyFill="1" applyBorder="1" applyAlignment="1">
      <alignment horizontal="center" vertical="center" wrapText="1"/>
    </xf>
    <xf numFmtId="2" fontId="6" fillId="12" borderId="69" xfId="0" applyNumberFormat="1" applyFont="1" applyFill="1" applyBorder="1" applyAlignment="1">
      <alignment horizontal="center" vertical="center" wrapText="1"/>
    </xf>
    <xf numFmtId="3" fontId="7" fillId="3" borderId="40"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6" fillId="14" borderId="22" xfId="0" applyFont="1" applyFill="1" applyBorder="1" applyAlignment="1" applyProtection="1">
      <alignment horizontal="center" vertical="center" wrapText="1"/>
    </xf>
    <xf numFmtId="0" fontId="6" fillId="14" borderId="23" xfId="0" applyFont="1" applyFill="1" applyBorder="1" applyAlignment="1" applyProtection="1">
      <alignment horizontal="center" vertical="center" wrapText="1"/>
    </xf>
    <xf numFmtId="0" fontId="6" fillId="14" borderId="24" xfId="0" applyFont="1" applyFill="1" applyBorder="1" applyAlignment="1" applyProtection="1">
      <alignment horizontal="center" vertical="center" wrapText="1"/>
    </xf>
    <xf numFmtId="177" fontId="4" fillId="9" borderId="2" xfId="0" applyNumberFormat="1" applyFont="1" applyFill="1" applyBorder="1" applyAlignment="1">
      <alignment horizontal="center" vertical="center" wrapText="1"/>
    </xf>
    <xf numFmtId="177" fontId="4" fillId="9" borderId="3" xfId="0" applyNumberFormat="1" applyFont="1" applyFill="1" applyBorder="1" applyAlignment="1">
      <alignment horizontal="center" vertical="center" wrapText="1"/>
    </xf>
    <xf numFmtId="177" fontId="4" fillId="9" borderId="4" xfId="0" applyNumberFormat="1" applyFont="1" applyFill="1" applyBorder="1" applyAlignment="1">
      <alignment horizontal="center" vertical="center" wrapText="1"/>
    </xf>
    <xf numFmtId="0" fontId="3" fillId="4" borderId="28" xfId="7" applyFont="1" applyFill="1" applyBorder="1" applyAlignment="1">
      <alignment horizontal="center" vertical="center" wrapText="1"/>
    </xf>
    <xf numFmtId="0" fontId="3" fillId="4" borderId="18" xfId="7" quotePrefix="1" applyFont="1" applyFill="1" applyBorder="1" applyAlignment="1">
      <alignment horizontal="center" vertical="center" wrapText="1"/>
    </xf>
    <xf numFmtId="0" fontId="3" fillId="4" borderId="18" xfId="7" applyFont="1" applyFill="1" applyBorder="1" applyAlignment="1">
      <alignment horizontal="center" vertical="center" wrapText="1"/>
    </xf>
    <xf numFmtId="3" fontId="3" fillId="4" borderId="18" xfId="8" applyFont="1" applyFill="1" applyBorder="1" applyAlignment="1">
      <alignment horizontal="center" vertical="center" wrapText="1"/>
    </xf>
    <xf numFmtId="3" fontId="3" fillId="4" borderId="19" xfId="8"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10" borderId="76" xfId="0" applyNumberFormat="1" applyFont="1" applyFill="1" applyBorder="1" applyAlignment="1">
      <alignment horizontal="center" vertical="center" wrapText="1"/>
    </xf>
    <xf numFmtId="0" fontId="6" fillId="14" borderId="0" xfId="0" applyFont="1" applyFill="1" applyBorder="1" applyAlignment="1">
      <alignment vertical="center" wrapText="1"/>
    </xf>
    <xf numFmtId="2" fontId="6" fillId="12" borderId="110"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3" fontId="7" fillId="3" borderId="50"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3" fillId="4" borderId="58" xfId="0" applyFont="1" applyFill="1" applyBorder="1" applyAlignment="1" applyProtection="1">
      <alignment horizontal="center" vertical="center" wrapText="1"/>
    </xf>
    <xf numFmtId="0" fontId="3" fillId="4" borderId="32" xfId="0"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wrapText="1"/>
    </xf>
    <xf numFmtId="0" fontId="3" fillId="4" borderId="54" xfId="0" applyFont="1" applyFill="1" applyBorder="1" applyAlignment="1" applyProtection="1">
      <alignment horizontal="center" vertical="center" wrapText="1"/>
    </xf>
    <xf numFmtId="0" fontId="6" fillId="13" borderId="33" xfId="0" applyFont="1" applyFill="1" applyBorder="1" applyAlignment="1" applyProtection="1">
      <alignment horizontal="center" vertical="center" wrapText="1"/>
    </xf>
    <xf numFmtId="0" fontId="6" fillId="13" borderId="21" xfId="0" applyFont="1" applyFill="1" applyBorder="1" applyAlignment="1" applyProtection="1">
      <alignment horizontal="center" vertical="center" wrapText="1"/>
    </xf>
    <xf numFmtId="3" fontId="6" fillId="10" borderId="34" xfId="0" applyNumberFormat="1" applyFont="1" applyFill="1" applyBorder="1" applyAlignment="1" applyProtection="1">
      <alignment horizontal="center" vertical="center" wrapText="1"/>
    </xf>
    <xf numFmtId="0" fontId="6" fillId="13" borderId="68" xfId="0" applyFont="1" applyFill="1" applyBorder="1" applyAlignment="1" applyProtection="1">
      <alignment horizontal="center" vertical="center" wrapText="1"/>
    </xf>
    <xf numFmtId="0" fontId="6" fillId="13" borderId="41" xfId="0" applyFont="1" applyFill="1" applyBorder="1" applyAlignment="1" applyProtection="1">
      <alignment horizontal="center" vertical="center" wrapText="1"/>
    </xf>
    <xf numFmtId="0" fontId="3" fillId="4" borderId="1" xfId="0" quotePrefix="1" applyFont="1" applyFill="1" applyBorder="1" applyAlignment="1" applyProtection="1">
      <alignment horizontal="center" vertical="center" wrapText="1"/>
    </xf>
    <xf numFmtId="0" fontId="7" fillId="11" borderId="3" xfId="0" applyFont="1" applyFill="1" applyBorder="1" applyAlignment="1" applyProtection="1">
      <alignment horizontal="center" vertical="center" wrapText="1"/>
    </xf>
    <xf numFmtId="167" fontId="6" fillId="12" borderId="43" xfId="0" applyNumberFormat="1"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29" xfId="0" applyFont="1" applyFill="1" applyBorder="1" applyAlignment="1" applyProtection="1">
      <alignment horizontal="center" vertical="center" wrapText="1"/>
    </xf>
    <xf numFmtId="0" fontId="0" fillId="14" borderId="0" xfId="0" applyFill="1" applyAlignment="1" applyProtection="1">
      <alignment vertical="center" wrapText="1"/>
    </xf>
    <xf numFmtId="166" fontId="6" fillId="13" borderId="69" xfId="0" applyNumberFormat="1" applyFont="1" applyFill="1" applyBorder="1" applyAlignment="1" applyProtection="1">
      <alignment horizontal="center" vertical="center" wrapText="1"/>
    </xf>
    <xf numFmtId="0" fontId="6" fillId="11" borderId="50" xfId="0" applyFont="1" applyFill="1" applyBorder="1" applyAlignment="1" applyProtection="1">
      <alignment horizontal="center" vertical="center" wrapText="1"/>
    </xf>
    <xf numFmtId="0" fontId="6" fillId="11" borderId="40" xfId="0" applyFont="1" applyFill="1" applyBorder="1" applyAlignment="1" applyProtection="1">
      <alignment horizontal="center" vertical="center" wrapText="1"/>
    </xf>
    <xf numFmtId="3" fontId="6" fillId="10" borderId="36" xfId="0" applyNumberFormat="1" applyFont="1" applyFill="1" applyBorder="1" applyAlignment="1" applyProtection="1">
      <alignment horizontal="center" vertical="center" wrapText="1"/>
    </xf>
    <xf numFmtId="0" fontId="3" fillId="4" borderId="2" xfId="0" quotePrefix="1" applyFont="1" applyFill="1" applyBorder="1" applyAlignment="1" applyProtection="1">
      <alignment horizontal="center" vertical="center" wrapText="1"/>
    </xf>
    <xf numFmtId="0" fontId="3" fillId="4" borderId="3" xfId="0" quotePrefix="1"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167" fontId="13" fillId="12" borderId="57" xfId="0" applyNumberFormat="1" applyFont="1" applyFill="1" applyBorder="1" applyAlignment="1" applyProtection="1">
      <alignment horizontal="center" vertical="center" wrapText="1"/>
    </xf>
    <xf numFmtId="0" fontId="7" fillId="4" borderId="24" xfId="0" applyFont="1" applyFill="1" applyBorder="1" applyAlignment="1">
      <alignment horizontal="center" vertical="center" wrapText="1"/>
    </xf>
    <xf numFmtId="2" fontId="6" fillId="12" borderId="52" xfId="0" applyNumberFormat="1" applyFont="1" applyFill="1" applyBorder="1" applyAlignment="1">
      <alignment horizontal="center" vertical="center" wrapText="1"/>
    </xf>
    <xf numFmtId="3" fontId="6" fillId="10" borderId="45" xfId="0" applyNumberFormat="1" applyFont="1" applyFill="1" applyBorder="1" applyAlignment="1">
      <alignment horizontal="center" vertical="center" wrapText="1"/>
    </xf>
    <xf numFmtId="0" fontId="7" fillId="4" borderId="35"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3" fontId="6" fillId="10" borderId="111" xfId="0" applyNumberFormat="1" applyFont="1" applyFill="1" applyBorder="1" applyAlignment="1">
      <alignment horizontal="center" vertical="center" wrapText="1"/>
    </xf>
    <xf numFmtId="2" fontId="6" fillId="12" borderId="112" xfId="0" applyNumberFormat="1" applyFont="1" applyFill="1" applyBorder="1" applyAlignment="1">
      <alignment horizontal="center" vertical="center" wrapText="1"/>
    </xf>
    <xf numFmtId="11" fontId="6" fillId="9" borderId="34" xfId="0" applyNumberFormat="1" applyFont="1" applyFill="1" applyBorder="1" applyAlignment="1">
      <alignment horizontal="left" vertical="center" wrapText="1"/>
    </xf>
    <xf numFmtId="165" fontId="4" fillId="8" borderId="34" xfId="0" applyNumberFormat="1" applyFont="1" applyFill="1" applyBorder="1" applyAlignment="1">
      <alignment horizontal="center" vertical="center" wrapText="1"/>
    </xf>
    <xf numFmtId="165" fontId="4" fillId="6" borderId="34" xfId="0" applyNumberFormat="1"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3" fillId="4" borderId="37" xfId="0" applyFont="1" applyFill="1" applyBorder="1" applyAlignment="1">
      <alignment horizontal="center" vertical="center" wrapText="1"/>
    </xf>
    <xf numFmtId="0" fontId="3" fillId="4" borderId="43"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4" fillId="14" borderId="0" xfId="0" applyFont="1" applyFill="1" applyBorder="1" applyAlignment="1">
      <alignment vertical="center" wrapText="1"/>
    </xf>
    <xf numFmtId="3" fontId="6" fillId="24" borderId="34" xfId="0" applyNumberFormat="1"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6" fillId="15" borderId="113" xfId="0" applyFont="1" applyFill="1" applyBorder="1" applyAlignment="1" applyProtection="1">
      <alignment horizontal="center" vertical="center" wrapText="1"/>
      <protection locked="0"/>
    </xf>
    <xf numFmtId="0" fontId="6" fillId="15" borderId="114" xfId="0" applyFont="1" applyFill="1" applyBorder="1" applyAlignment="1" applyProtection="1">
      <alignment horizontal="center" vertical="center" wrapText="1"/>
      <protection locked="0"/>
    </xf>
    <xf numFmtId="0" fontId="6" fillId="15" borderId="115" xfId="0" applyFont="1" applyFill="1" applyBorder="1" applyAlignment="1" applyProtection="1">
      <alignment horizontal="center" vertical="center" wrapText="1"/>
      <protection locked="0"/>
    </xf>
    <xf numFmtId="0" fontId="6" fillId="21" borderId="79" xfId="0" applyFont="1" applyFill="1" applyBorder="1" applyAlignment="1">
      <alignment horizontal="center" vertical="center"/>
    </xf>
    <xf numFmtId="0" fontId="6" fillId="21" borderId="27" xfId="0" applyFont="1" applyFill="1" applyBorder="1" applyAlignment="1">
      <alignment horizontal="center" vertical="center"/>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3" fillId="4" borderId="78" xfId="0" applyFont="1" applyFill="1" applyBorder="1" applyAlignment="1">
      <alignment horizontal="center" vertical="center"/>
    </xf>
    <xf numFmtId="0" fontId="13" fillId="4" borderId="12" xfId="0" applyFont="1" applyFill="1" applyBorder="1" applyAlignment="1">
      <alignment horizontal="center" vertical="center"/>
    </xf>
    <xf numFmtId="46" fontId="6" fillId="12" borderId="37" xfId="0" applyNumberFormat="1" applyFont="1" applyFill="1" applyBorder="1" applyAlignment="1" applyProtection="1">
      <alignment horizontal="center" vertical="center" wrapText="1"/>
    </xf>
    <xf numFmtId="11" fontId="3" fillId="9" borderId="34" xfId="0" applyNumberFormat="1" applyFont="1" applyFill="1" applyBorder="1" applyAlignment="1">
      <alignment horizontal="left" vertical="center" wrapText="1"/>
    </xf>
    <xf numFmtId="0" fontId="7" fillId="11" borderId="18" xfId="0" applyFont="1" applyFill="1" applyBorder="1" applyAlignment="1" applyProtection="1">
      <alignment horizontal="center" vertical="center" wrapText="1"/>
    </xf>
    <xf numFmtId="177" fontId="6" fillId="15" borderId="116" xfId="0" applyNumberFormat="1" applyFont="1" applyFill="1" applyBorder="1" applyAlignment="1" applyProtection="1">
      <alignment horizontal="center" vertical="center" wrapText="1"/>
      <protection locked="0"/>
    </xf>
    <xf numFmtId="178" fontId="6" fillId="15" borderId="116" xfId="0" applyNumberFormat="1" applyFont="1" applyFill="1" applyBorder="1" applyAlignment="1" applyProtection="1">
      <alignment horizontal="center" vertical="center" wrapText="1"/>
      <protection locked="0"/>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166" fontId="6" fillId="9" borderId="54" xfId="0" applyNumberFormat="1" applyFont="1" applyFill="1" applyBorder="1" applyAlignment="1" applyProtection="1">
      <alignment horizontal="center" vertical="center" wrapText="1"/>
    </xf>
    <xf numFmtId="166" fontId="6" fillId="9" borderId="34" xfId="0" applyNumberFormat="1" applyFont="1" applyFill="1" applyBorder="1" applyAlignment="1" applyProtection="1">
      <alignment horizontal="center" vertical="center" wrapText="1"/>
    </xf>
    <xf numFmtId="166" fontId="6" fillId="9" borderId="44" xfId="0" applyNumberFormat="1" applyFont="1" applyFill="1" applyBorder="1" applyAlignment="1" applyProtection="1">
      <alignment horizontal="center" vertical="center" wrapText="1"/>
    </xf>
    <xf numFmtId="0" fontId="4" fillId="11" borderId="50" xfId="0" applyFont="1" applyFill="1" applyBorder="1" applyAlignment="1" applyProtection="1">
      <alignment horizontal="center" vertical="center" wrapText="1"/>
    </xf>
    <xf numFmtId="0" fontId="3" fillId="4" borderId="53" xfId="0" applyFont="1" applyFill="1" applyBorder="1" applyAlignment="1" applyProtection="1">
      <alignment horizontal="center" vertical="center" wrapText="1"/>
    </xf>
    <xf numFmtId="0" fontId="3" fillId="4" borderId="52" xfId="0" applyFont="1" applyFill="1" applyBorder="1" applyAlignment="1" applyProtection="1">
      <alignment horizontal="center" vertical="center" wrapText="1"/>
    </xf>
    <xf numFmtId="0" fontId="6" fillId="11" borderId="35" xfId="0" applyFont="1" applyFill="1" applyBorder="1" applyAlignment="1" applyProtection="1">
      <alignment horizontal="center" vertical="center" wrapText="1"/>
    </xf>
    <xf numFmtId="0" fontId="3" fillId="4" borderId="36" xfId="0" applyFont="1" applyFill="1" applyBorder="1" applyAlignment="1" applyProtection="1">
      <alignment horizontal="center" vertical="center" wrapText="1"/>
    </xf>
    <xf numFmtId="0" fontId="7" fillId="11" borderId="77" xfId="0" applyFont="1" applyFill="1" applyBorder="1" applyAlignment="1" applyProtection="1">
      <alignment horizontal="center" vertical="center" wrapText="1"/>
    </xf>
    <xf numFmtId="0" fontId="6" fillId="14" borderId="14" xfId="0" applyFont="1" applyFill="1" applyBorder="1" applyAlignment="1" applyProtection="1">
      <alignment horizontal="center" vertical="center" wrapText="1"/>
    </xf>
    <xf numFmtId="167" fontId="6" fillId="12" borderId="41" xfId="0" applyNumberFormat="1" applyFont="1" applyFill="1" applyBorder="1" applyAlignment="1" applyProtection="1">
      <alignment horizontal="center" vertical="center" wrapText="1"/>
    </xf>
    <xf numFmtId="167" fontId="6" fillId="12" borderId="69" xfId="0" applyNumberFormat="1" applyFont="1" applyFill="1" applyBorder="1" applyAlignment="1" applyProtection="1">
      <alignment horizontal="center" vertical="center" wrapText="1"/>
    </xf>
    <xf numFmtId="167" fontId="13" fillId="12" borderId="4" xfId="0" applyNumberFormat="1" applyFont="1" applyFill="1" applyBorder="1" applyAlignment="1" applyProtection="1">
      <alignment horizontal="center" vertical="center" wrapText="1"/>
    </xf>
    <xf numFmtId="0" fontId="4" fillId="11" borderId="54" xfId="0" applyFont="1" applyFill="1" applyBorder="1" applyAlignment="1" applyProtection="1">
      <alignment horizontal="center" vertical="center" wrapText="1"/>
    </xf>
    <xf numFmtId="3" fontId="6" fillId="13" borderId="41" xfId="0" applyNumberFormat="1" applyFont="1" applyFill="1" applyBorder="1" applyAlignment="1" applyProtection="1">
      <alignment horizontal="center" vertical="center" wrapText="1"/>
    </xf>
    <xf numFmtId="0" fontId="3" fillId="4" borderId="51" xfId="0" applyFont="1" applyFill="1" applyBorder="1" applyAlignment="1" applyProtection="1">
      <alignment horizontal="left" vertical="center" wrapText="1"/>
    </xf>
    <xf numFmtId="46" fontId="6" fillId="12" borderId="43" xfId="0" applyNumberFormat="1" applyFont="1" applyFill="1" applyBorder="1" applyAlignment="1" applyProtection="1">
      <alignment horizontal="center" vertical="center" wrapText="1"/>
    </xf>
    <xf numFmtId="0" fontId="3" fillId="4" borderId="68" xfId="0" applyFont="1" applyFill="1" applyBorder="1" applyAlignment="1" applyProtection="1">
      <alignment horizontal="left" vertical="center" wrapText="1"/>
    </xf>
    <xf numFmtId="46" fontId="6" fillId="12" borderId="69" xfId="0" applyNumberFormat="1" applyFont="1" applyFill="1" applyBorder="1" applyAlignment="1" applyProtection="1">
      <alignment horizontal="center" vertical="center" wrapText="1"/>
    </xf>
    <xf numFmtId="0" fontId="6" fillId="11" borderId="33" xfId="0" applyFont="1" applyFill="1" applyBorder="1" applyAlignment="1" applyProtection="1">
      <alignment horizontal="center" vertical="center" wrapText="1"/>
    </xf>
    <xf numFmtId="0" fontId="12" fillId="4" borderId="63" xfId="0" applyNumberFormat="1" applyFont="1" applyFill="1" applyBorder="1" applyAlignment="1" applyProtection="1">
      <alignment horizontal="center" vertical="center" wrapText="1"/>
    </xf>
    <xf numFmtId="3" fontId="6" fillId="10" borderId="4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3" fontId="6" fillId="32" borderId="36" xfId="0" applyNumberFormat="1" applyFont="1" applyFill="1" applyBorder="1" applyAlignment="1" applyProtection="1">
      <alignment horizontal="center" vertical="center" wrapText="1"/>
    </xf>
    <xf numFmtId="3" fontId="6" fillId="32" borderId="34" xfId="0" applyNumberFormat="1" applyFont="1" applyFill="1" applyBorder="1" applyAlignment="1" applyProtection="1">
      <alignment horizontal="center" vertical="center" wrapText="1"/>
    </xf>
    <xf numFmtId="3" fontId="6" fillId="32" borderId="44" xfId="0" applyNumberFormat="1" applyFont="1" applyFill="1" applyBorder="1" applyAlignment="1" applyProtection="1">
      <alignment horizontal="center" vertical="center" wrapText="1"/>
    </xf>
    <xf numFmtId="0" fontId="7" fillId="4" borderId="2" xfId="0" applyFont="1" applyFill="1" applyBorder="1" applyAlignment="1">
      <alignment horizontal="center" vertical="center" wrapText="1"/>
    </xf>
    <xf numFmtId="3" fontId="6" fillId="24" borderId="53" xfId="0" applyNumberFormat="1" applyFont="1" applyFill="1" applyBorder="1" applyAlignment="1">
      <alignment horizontal="center" vertical="center" wrapText="1"/>
    </xf>
    <xf numFmtId="3" fontId="6" fillId="24" borderId="51" xfId="0" applyNumberFormat="1" applyFont="1" applyFill="1" applyBorder="1" applyAlignment="1">
      <alignment horizontal="center" vertical="center" wrapText="1"/>
    </xf>
    <xf numFmtId="3" fontId="4" fillId="24" borderId="51" xfId="0" applyNumberFormat="1" applyFont="1" applyFill="1" applyBorder="1" applyAlignment="1">
      <alignment horizontal="center" vertical="center" wrapText="1"/>
    </xf>
    <xf numFmtId="3" fontId="4" fillId="24" borderId="33" xfId="0" applyNumberFormat="1" applyFont="1" applyFill="1" applyBorder="1" applyAlignment="1">
      <alignment horizontal="center" vertical="center" wrapText="1"/>
    </xf>
    <xf numFmtId="3" fontId="6" fillId="10" borderId="53" xfId="0" applyNumberFormat="1" applyFont="1" applyFill="1" applyBorder="1" applyAlignment="1">
      <alignment horizontal="center" vertical="center" wrapText="1"/>
    </xf>
    <xf numFmtId="3" fontId="6" fillId="10" borderId="51" xfId="0" applyNumberFormat="1" applyFont="1" applyFill="1" applyBorder="1" applyAlignment="1">
      <alignment horizontal="center" vertical="center" wrapText="1"/>
    </xf>
    <xf numFmtId="3" fontId="4" fillId="10" borderId="51" xfId="0" applyNumberFormat="1" applyFont="1" applyFill="1" applyBorder="1" applyAlignment="1">
      <alignment horizontal="center" vertical="center" wrapText="1"/>
    </xf>
    <xf numFmtId="3" fontId="4" fillId="10" borderId="33" xfId="0" applyNumberFormat="1" applyFont="1" applyFill="1" applyBorder="1" applyAlignment="1">
      <alignment horizontal="center" vertical="center" wrapText="1"/>
    </xf>
    <xf numFmtId="3" fontId="6" fillId="24" borderId="45" xfId="0" applyNumberFormat="1" applyFont="1" applyFill="1" applyBorder="1" applyAlignment="1">
      <alignment horizontal="center" vertical="center" wrapText="1"/>
    </xf>
    <xf numFmtId="0" fontId="3" fillId="4" borderId="32" xfId="0" applyFont="1" applyFill="1" applyBorder="1" applyAlignment="1">
      <alignment horizontal="center" vertical="center"/>
    </xf>
    <xf numFmtId="0" fontId="6" fillId="21" borderId="20" xfId="0" applyFont="1" applyFill="1" applyBorder="1" applyAlignment="1">
      <alignment horizontal="center" vertical="center"/>
    </xf>
    <xf numFmtId="0" fontId="3" fillId="4" borderId="51" xfId="0" applyFont="1" applyFill="1" applyBorder="1" applyAlignment="1">
      <alignment horizontal="center" vertical="center"/>
    </xf>
    <xf numFmtId="0" fontId="6" fillId="21" borderId="43" xfId="0" applyFont="1" applyFill="1" applyBorder="1" applyAlignment="1">
      <alignment horizontal="center" vertical="center"/>
    </xf>
    <xf numFmtId="0" fontId="3" fillId="4" borderId="33" xfId="0" applyFont="1" applyFill="1" applyBorder="1" applyAlignment="1">
      <alignment horizontal="center" vertical="center"/>
    </xf>
    <xf numFmtId="0" fontId="6" fillId="21" borderId="21" xfId="0" applyFont="1" applyFill="1" applyBorder="1" applyAlignment="1">
      <alignment horizontal="center" vertical="center"/>
    </xf>
    <xf numFmtId="0" fontId="4" fillId="20" borderId="34" xfId="0" applyFont="1" applyFill="1" applyBorder="1" applyAlignment="1">
      <alignment horizontal="center" vertical="center" wrapText="1"/>
    </xf>
    <xf numFmtId="0" fontId="4" fillId="20" borderId="54" xfId="0" applyFont="1" applyFill="1" applyBorder="1" applyAlignment="1">
      <alignment horizontal="center" vertical="center" wrapText="1"/>
    </xf>
    <xf numFmtId="0" fontId="4" fillId="20" borderId="44" xfId="0" applyFont="1" applyFill="1" applyBorder="1" applyAlignment="1">
      <alignment horizontal="center" vertical="center" wrapText="1"/>
    </xf>
    <xf numFmtId="2" fontId="6" fillId="12" borderId="56" xfId="0" applyNumberFormat="1" applyFont="1" applyFill="1" applyBorder="1" applyAlignment="1">
      <alignment horizontal="center" vertical="center" wrapText="1"/>
    </xf>
    <xf numFmtId="2" fontId="6" fillId="12" borderId="55" xfId="0" applyNumberFormat="1" applyFont="1" applyFill="1" applyBorder="1" applyAlignment="1">
      <alignment horizontal="center" vertical="center" wrapText="1"/>
    </xf>
    <xf numFmtId="3" fontId="7" fillId="3" borderId="54" xfId="0" applyNumberFormat="1" applyFont="1" applyFill="1" applyBorder="1" applyAlignment="1">
      <alignment horizontal="center" vertical="center" wrapText="1"/>
    </xf>
    <xf numFmtId="0" fontId="4" fillId="20" borderId="80" xfId="0" applyFont="1" applyFill="1" applyBorder="1" applyAlignment="1">
      <alignment horizontal="center" vertical="center" wrapText="1"/>
    </xf>
    <xf numFmtId="3" fontId="7" fillId="3" borderId="80" xfId="0" applyNumberFormat="1" applyFont="1" applyFill="1" applyBorder="1" applyAlignment="1">
      <alignment horizontal="center" vertical="center" wrapText="1"/>
    </xf>
    <xf numFmtId="2" fontId="6" fillId="12" borderId="80" xfId="0" applyNumberFormat="1" applyFont="1" applyFill="1" applyBorder="1" applyAlignment="1">
      <alignment horizontal="center" vertical="center" wrapText="1"/>
    </xf>
    <xf numFmtId="3" fontId="4" fillId="32" borderId="38" xfId="0" applyNumberFormat="1" applyFont="1" applyFill="1" applyBorder="1" applyAlignment="1">
      <alignment horizontal="center" vertical="center" wrapText="1"/>
    </xf>
    <xf numFmtId="3" fontId="4" fillId="32" borderId="40" xfId="0" applyNumberFormat="1" applyFont="1" applyFill="1" applyBorder="1" applyAlignment="1">
      <alignment horizontal="center" vertical="center" wrapText="1"/>
    </xf>
    <xf numFmtId="0" fontId="15" fillId="13" borderId="28" xfId="0" applyFont="1" applyFill="1" applyBorder="1" applyAlignment="1">
      <alignment horizontal="center" vertical="center" wrapText="1"/>
    </xf>
    <xf numFmtId="0" fontId="15" fillId="13" borderId="12" xfId="0" applyFont="1" applyFill="1" applyBorder="1" applyAlignment="1">
      <alignment horizontal="center" vertical="center" wrapText="1"/>
    </xf>
    <xf numFmtId="0" fontId="6" fillId="15" borderId="32" xfId="0" applyFont="1" applyFill="1" applyBorder="1" applyAlignment="1">
      <alignment horizontal="center" vertical="center" wrapText="1"/>
    </xf>
    <xf numFmtId="0" fontId="6" fillId="15" borderId="51" xfId="0" applyFont="1" applyFill="1" applyBorder="1" applyAlignment="1">
      <alignment horizontal="center" vertical="center" wrapText="1"/>
    </xf>
    <xf numFmtId="0" fontId="5" fillId="6" borderId="38" xfId="0" applyFont="1" applyFill="1" applyBorder="1" applyAlignment="1">
      <alignment horizontal="center" vertical="center" wrapText="1"/>
    </xf>
    <xf numFmtId="0" fontId="5" fillId="5" borderId="38" xfId="0" applyFont="1" applyFill="1" applyBorder="1" applyAlignment="1">
      <alignment horizontal="center" vertical="center" wrapText="1"/>
    </xf>
    <xf numFmtId="0" fontId="5" fillId="6" borderId="40" xfId="0" applyFont="1" applyFill="1" applyBorder="1" applyAlignment="1">
      <alignment horizontal="center" vertical="center" wrapText="1"/>
    </xf>
    <xf numFmtId="165" fontId="4" fillId="5" borderId="32" xfId="0" applyNumberFormat="1" applyFont="1" applyFill="1" applyBorder="1" applyAlignment="1">
      <alignment horizontal="center" vertical="center" wrapText="1"/>
    </xf>
    <xf numFmtId="165" fontId="5" fillId="5" borderId="54" xfId="0" applyNumberFormat="1" applyFont="1" applyFill="1" applyBorder="1" applyAlignment="1">
      <alignment horizontal="center" vertical="center" wrapText="1"/>
    </xf>
    <xf numFmtId="165" fontId="4" fillId="7" borderId="54" xfId="0" applyNumberFormat="1" applyFont="1" applyFill="1" applyBorder="1" applyAlignment="1">
      <alignment horizontal="center" vertical="center" wrapText="1"/>
    </xf>
    <xf numFmtId="165" fontId="5" fillId="7" borderId="54" xfId="0" applyNumberFormat="1" applyFont="1" applyFill="1" applyBorder="1" applyAlignment="1">
      <alignment horizontal="center" vertical="center" wrapText="1"/>
    </xf>
    <xf numFmtId="165" fontId="4" fillId="5" borderId="54" xfId="0" applyNumberFormat="1" applyFont="1" applyFill="1" applyBorder="1" applyAlignment="1">
      <alignment horizontal="center" vertical="center" wrapText="1"/>
    </xf>
    <xf numFmtId="165" fontId="5" fillId="7" borderId="20" xfId="0" applyNumberFormat="1" applyFont="1" applyFill="1" applyBorder="1" applyAlignment="1">
      <alignment horizontal="center" vertical="center" wrapText="1"/>
    </xf>
    <xf numFmtId="0" fontId="14" fillId="14" borderId="0" xfId="0" applyFont="1" applyFill="1" applyAlignment="1" applyProtection="1">
      <alignment horizontal="center" vertical="center" wrapText="1"/>
    </xf>
    <xf numFmtId="0" fontId="3" fillId="4" borderId="58" xfId="0" applyFont="1" applyFill="1" applyBorder="1" applyAlignment="1">
      <alignment horizontal="center" vertical="center" wrapText="1"/>
    </xf>
    <xf numFmtId="165" fontId="4" fillId="6" borderId="51" xfId="0" applyNumberFormat="1" applyFont="1" applyFill="1" applyBorder="1" applyAlignment="1">
      <alignment horizontal="center" vertical="center" wrapText="1"/>
    </xf>
    <xf numFmtId="165" fontId="5" fillId="6" borderId="43" xfId="0" applyNumberFormat="1" applyFont="1" applyFill="1" applyBorder="1" applyAlignment="1">
      <alignment horizontal="center" vertical="center" wrapText="1"/>
    </xf>
    <xf numFmtId="165" fontId="4" fillId="5" borderId="53" xfId="0" applyNumberFormat="1" applyFont="1" applyFill="1" applyBorder="1" applyAlignment="1">
      <alignment horizontal="center" vertical="center" wrapText="1"/>
    </xf>
    <xf numFmtId="165" fontId="5" fillId="5" borderId="52" xfId="0" applyNumberFormat="1" applyFont="1" applyFill="1" applyBorder="1" applyAlignment="1">
      <alignment horizontal="center" vertical="center" wrapText="1"/>
    </xf>
    <xf numFmtId="165" fontId="4" fillId="5" borderId="58" xfId="0" applyNumberFormat="1" applyFont="1" applyFill="1" applyBorder="1" applyAlignment="1">
      <alignment horizontal="center" vertical="center" wrapText="1"/>
    </xf>
    <xf numFmtId="165" fontId="5" fillId="5" borderId="47" xfId="0" applyNumberFormat="1" applyFont="1" applyFill="1" applyBorder="1" applyAlignment="1">
      <alignment horizontal="center" vertical="center" wrapText="1"/>
    </xf>
    <xf numFmtId="165" fontId="4" fillId="7" borderId="46" xfId="0" applyNumberFormat="1" applyFont="1" applyFill="1" applyBorder="1" applyAlignment="1">
      <alignment horizontal="center" vertical="center" wrapText="1"/>
    </xf>
    <xf numFmtId="0" fontId="5" fillId="8" borderId="56" xfId="0" applyFont="1" applyFill="1" applyBorder="1" applyAlignment="1">
      <alignment horizontal="center" vertical="center" wrapText="1"/>
    </xf>
    <xf numFmtId="0" fontId="4" fillId="6" borderId="32"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5" fillId="7" borderId="43" xfId="0" applyFont="1" applyFill="1" applyBorder="1" applyAlignment="1">
      <alignment horizontal="center" vertical="center" wrapText="1"/>
    </xf>
    <xf numFmtId="0" fontId="5" fillId="8" borderId="43" xfId="0" applyFont="1" applyFill="1" applyBorder="1" applyAlignment="1">
      <alignment horizontal="center" vertical="center" wrapText="1"/>
    </xf>
    <xf numFmtId="0" fontId="5" fillId="8" borderId="21" xfId="0" applyFont="1" applyFill="1" applyBorder="1" applyAlignment="1">
      <alignment horizontal="center" vertical="center" wrapText="1"/>
    </xf>
    <xf numFmtId="165" fontId="5" fillId="8" borderId="43" xfId="0" applyNumberFormat="1" applyFont="1" applyFill="1" applyBorder="1" applyAlignment="1">
      <alignment horizontal="center" vertical="center" wrapText="1"/>
    </xf>
    <xf numFmtId="165" fontId="5" fillId="7" borderId="52" xfId="0" applyNumberFormat="1" applyFont="1" applyFill="1" applyBorder="1" applyAlignment="1">
      <alignment horizontal="center" vertical="center" wrapText="1"/>
    </xf>
    <xf numFmtId="165" fontId="5" fillId="7" borderId="57" xfId="0" applyNumberFormat="1" applyFont="1" applyFill="1" applyBorder="1" applyAlignment="1">
      <alignment horizontal="center" vertical="center" wrapText="1"/>
    </xf>
    <xf numFmtId="0" fontId="5" fillId="7" borderId="52" xfId="0" applyFont="1" applyFill="1" applyBorder="1" applyAlignment="1">
      <alignment horizontal="center" vertical="center" wrapText="1"/>
    </xf>
    <xf numFmtId="0" fontId="3" fillId="4" borderId="3" xfId="0"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1" fontId="4" fillId="15" borderId="82" xfId="0" applyNumberFormat="1" applyFont="1" applyFill="1" applyBorder="1" applyAlignment="1" applyProtection="1">
      <alignment horizontal="center" vertical="center" wrapText="1"/>
      <protection locked="0"/>
    </xf>
    <xf numFmtId="3" fontId="4" fillId="15" borderId="82" xfId="0" applyNumberFormat="1" applyFont="1" applyFill="1" applyBorder="1" applyAlignment="1" applyProtection="1">
      <alignment horizontal="center" vertical="center" wrapText="1"/>
      <protection locked="0"/>
    </xf>
    <xf numFmtId="0" fontId="4" fillId="13" borderId="65" xfId="0" applyFont="1" applyFill="1" applyBorder="1" applyAlignment="1" applyProtection="1">
      <alignment horizontal="center" vertical="center" wrapText="1"/>
    </xf>
    <xf numFmtId="0" fontId="13" fillId="13" borderId="19" xfId="0" applyFont="1" applyFill="1" applyBorder="1" applyAlignment="1" applyProtection="1">
      <alignment horizontal="center" vertical="center" wrapText="1"/>
    </xf>
    <xf numFmtId="0" fontId="39" fillId="18" borderId="43" xfId="9" applyFill="1" applyBorder="1" applyAlignment="1" applyProtection="1">
      <alignment horizontal="center" vertical="center" wrapText="1"/>
    </xf>
    <xf numFmtId="0" fontId="38" fillId="4" borderId="123" xfId="0" applyFont="1" applyFill="1" applyBorder="1" applyAlignment="1" applyProtection="1">
      <alignment horizontal="center" vertical="center" textRotation="90" wrapText="1"/>
    </xf>
    <xf numFmtId="0" fontId="38" fillId="4" borderId="41" xfId="0" applyFont="1" applyFill="1" applyBorder="1" applyAlignment="1" applyProtection="1">
      <alignment horizontal="center" vertical="center" textRotation="90" wrapText="1"/>
    </xf>
    <xf numFmtId="0" fontId="38" fillId="4" borderId="124" xfId="0" applyFont="1" applyFill="1" applyBorder="1" applyAlignment="1" applyProtection="1">
      <alignment horizontal="center" vertical="center" textRotation="90" wrapText="1"/>
    </xf>
    <xf numFmtId="0" fontId="7" fillId="4" borderId="34" xfId="0" applyFont="1" applyFill="1" applyBorder="1" applyAlignment="1" applyProtection="1">
      <alignment horizontal="center" vertical="center" wrapText="1"/>
    </xf>
    <xf numFmtId="0" fontId="4" fillId="13" borderId="34" xfId="0" applyFont="1" applyFill="1" applyBorder="1" applyAlignment="1" applyProtection="1">
      <alignment horizontal="center" vertical="center" wrapText="1"/>
    </xf>
    <xf numFmtId="0" fontId="3" fillId="4" borderId="126" xfId="0" applyFont="1" applyFill="1" applyBorder="1" applyAlignment="1" applyProtection="1">
      <alignment horizontal="center" vertical="center" wrapText="1"/>
    </xf>
    <xf numFmtId="0" fontId="3" fillId="4" borderId="122" xfId="0" applyFont="1" applyFill="1" applyBorder="1" applyAlignment="1" applyProtection="1">
      <alignment horizontal="center" vertical="center" wrapText="1"/>
    </xf>
    <xf numFmtId="0" fontId="7" fillId="4" borderId="127" xfId="0" applyFont="1" applyFill="1" applyBorder="1" applyAlignment="1" applyProtection="1">
      <alignment horizontal="center" vertical="center" wrapText="1"/>
    </xf>
    <xf numFmtId="0" fontId="7" fillId="4" borderId="128" xfId="0" applyFont="1" applyFill="1" applyBorder="1" applyAlignment="1" applyProtection="1">
      <alignment horizontal="center" vertical="center" wrapText="1"/>
    </xf>
    <xf numFmtId="0" fontId="4" fillId="13" borderId="127" xfId="0" applyFont="1" applyFill="1" applyBorder="1" applyAlignment="1" applyProtection="1">
      <alignment horizontal="center" vertical="center" wrapText="1"/>
    </xf>
    <xf numFmtId="0" fontId="4" fillId="13" borderId="128" xfId="0" applyFont="1" applyFill="1" applyBorder="1" applyAlignment="1" applyProtection="1">
      <alignment horizontal="center" vertical="center" wrapText="1"/>
    </xf>
    <xf numFmtId="165" fontId="3" fillId="4" borderId="129" xfId="0" applyNumberFormat="1" applyFont="1" applyFill="1" applyBorder="1" applyAlignment="1" applyProtection="1">
      <alignment horizontal="center" vertical="center" wrapText="1"/>
    </xf>
    <xf numFmtId="165" fontId="3" fillId="4" borderId="130" xfId="0" applyNumberFormat="1" applyFont="1" applyFill="1" applyBorder="1" applyAlignment="1" applyProtection="1">
      <alignment horizontal="center" vertical="center" wrapText="1"/>
    </xf>
    <xf numFmtId="0" fontId="13" fillId="13" borderId="131" xfId="0" applyFont="1" applyFill="1" applyBorder="1" applyAlignment="1" applyProtection="1">
      <alignment horizontal="center" vertical="center" wrapText="1"/>
    </xf>
    <xf numFmtId="0" fontId="13" fillId="13" borderId="132" xfId="0" applyFont="1" applyFill="1" applyBorder="1" applyAlignment="1" applyProtection="1">
      <alignment horizontal="center" vertical="center" wrapText="1"/>
    </xf>
    <xf numFmtId="0" fontId="13" fillId="13" borderId="133" xfId="0" applyFont="1" applyFill="1" applyBorder="1" applyAlignment="1" applyProtection="1">
      <alignment horizontal="center" vertical="center" wrapText="1"/>
    </xf>
    <xf numFmtId="0" fontId="6" fillId="11" borderId="0" xfId="0" applyFont="1" applyFill="1" applyBorder="1" applyAlignment="1" applyProtection="1">
      <alignment vertical="center" wrapText="1"/>
    </xf>
    <xf numFmtId="0" fontId="6" fillId="11" borderId="60" xfId="0" applyFont="1" applyFill="1" applyBorder="1" applyAlignment="1" applyProtection="1">
      <alignment vertical="center" wrapText="1"/>
    </xf>
    <xf numFmtId="0" fontId="6" fillId="11" borderId="79" xfId="0" applyFont="1" applyFill="1" applyBorder="1" applyAlignment="1" applyProtection="1">
      <alignment vertical="center" wrapText="1"/>
    </xf>
    <xf numFmtId="0" fontId="6" fillId="11" borderId="73" xfId="0" applyFont="1" applyFill="1" applyBorder="1" applyAlignment="1" applyProtection="1">
      <alignment vertical="center" wrapText="1"/>
    </xf>
    <xf numFmtId="0" fontId="30" fillId="0" borderId="0" xfId="0" applyFont="1" applyFill="1" applyBorder="1" applyAlignment="1" applyProtection="1">
      <alignment horizontal="right" vertical="center" wrapText="1"/>
    </xf>
    <xf numFmtId="0" fontId="6" fillId="0" borderId="0" xfId="0" applyFont="1" applyFill="1" applyBorder="1" applyAlignment="1" applyProtection="1">
      <alignment horizontal="left" vertical="center" wrapText="1"/>
    </xf>
    <xf numFmtId="0" fontId="12" fillId="13" borderId="1" xfId="0" applyNumberFormat="1" applyFont="1" applyFill="1" applyBorder="1" applyAlignment="1" applyProtection="1">
      <alignment horizontal="center" vertical="center" wrapText="1"/>
    </xf>
    <xf numFmtId="0" fontId="40" fillId="13" borderId="65" xfId="0" applyFont="1" applyFill="1" applyBorder="1" applyAlignment="1" applyProtection="1">
      <alignment horizontal="center" vertical="center" wrapText="1"/>
    </xf>
    <xf numFmtId="0" fontId="3" fillId="4" borderId="10" xfId="0" applyNumberFormat="1" applyFont="1" applyFill="1" applyBorder="1" applyAlignment="1" applyProtection="1">
      <alignment vertical="center" wrapText="1"/>
    </xf>
    <xf numFmtId="0" fontId="41" fillId="14" borderId="0" xfId="0" applyFont="1" applyFill="1" applyAlignment="1" applyProtection="1">
      <alignment vertical="center" wrapText="1"/>
    </xf>
    <xf numFmtId="3" fontId="41" fillId="14" borderId="0" xfId="0" applyNumberFormat="1" applyFont="1" applyFill="1" applyAlignment="1" applyProtection="1">
      <alignment vertical="center" wrapText="1"/>
    </xf>
    <xf numFmtId="0" fontId="42" fillId="14" borderId="0" xfId="0" applyFont="1" applyFill="1" applyAlignment="1" applyProtection="1">
      <alignment vertical="center" wrapText="1"/>
    </xf>
    <xf numFmtId="0" fontId="3" fillId="4" borderId="78" xfId="0" applyNumberFormat="1" applyFont="1" applyFill="1" applyBorder="1" applyAlignment="1" applyProtection="1">
      <alignment horizontal="center" vertical="center" wrapText="1"/>
    </xf>
    <xf numFmtId="3" fontId="4" fillId="15" borderId="140" xfId="0" applyNumberFormat="1" applyFont="1" applyFill="1" applyBorder="1" applyAlignment="1" applyProtection="1">
      <alignment horizontal="center" vertical="center" wrapText="1"/>
      <protection locked="0"/>
    </xf>
    <xf numFmtId="3" fontId="4" fillId="15" borderId="141" xfId="0" applyNumberFormat="1" applyFont="1" applyFill="1" applyBorder="1" applyAlignment="1" applyProtection="1">
      <alignment horizontal="center" vertical="center" wrapText="1"/>
      <protection locked="0"/>
    </xf>
    <xf numFmtId="0" fontId="41" fillId="14" borderId="0" xfId="0" applyFont="1" applyFill="1" applyAlignment="1" applyProtection="1">
      <alignment horizontal="center" vertical="center" wrapText="1"/>
    </xf>
    <xf numFmtId="3" fontId="6" fillId="32" borderId="3" xfId="0" applyNumberFormat="1" applyFont="1" applyFill="1" applyBorder="1" applyAlignment="1" applyProtection="1">
      <alignment horizontal="center" vertical="center" wrapText="1"/>
    </xf>
    <xf numFmtId="0" fontId="6" fillId="15" borderId="68" xfId="0" applyFont="1" applyFill="1" applyBorder="1" applyAlignment="1">
      <alignment horizontal="center" vertical="center" wrapText="1"/>
    </xf>
    <xf numFmtId="0" fontId="6" fillId="15" borderId="41" xfId="0" applyFont="1" applyFill="1" applyBorder="1" applyAlignment="1">
      <alignment horizontal="center" vertical="center" wrapText="1"/>
    </xf>
    <xf numFmtId="0" fontId="6" fillId="15" borderId="69" xfId="0" applyFont="1" applyFill="1" applyBorder="1" applyAlignment="1">
      <alignment horizontal="center" vertical="center" wrapText="1"/>
    </xf>
    <xf numFmtId="0" fontId="15" fillId="12" borderId="46" xfId="0" applyFont="1" applyFill="1" applyBorder="1" applyAlignment="1">
      <alignment horizontal="center" vertical="center" wrapText="1"/>
    </xf>
    <xf numFmtId="0" fontId="15" fillId="12" borderId="16" xfId="0" applyFont="1" applyFill="1" applyBorder="1" applyAlignment="1">
      <alignment horizontal="center" vertical="center" wrapText="1"/>
    </xf>
    <xf numFmtId="3" fontId="13" fillId="10" borderId="32" xfId="0" applyNumberFormat="1" applyFont="1" applyFill="1" applyBorder="1" applyAlignment="1">
      <alignment horizontal="center" vertical="center" wrapText="1"/>
    </xf>
    <xf numFmtId="3" fontId="13" fillId="24" borderId="54" xfId="0" applyNumberFormat="1" applyFont="1" applyFill="1" applyBorder="1" applyAlignment="1">
      <alignment horizontal="center" vertical="center" wrapText="1"/>
    </xf>
    <xf numFmtId="3" fontId="3" fillId="3" borderId="20" xfId="0" applyNumberFormat="1" applyFont="1" applyFill="1" applyBorder="1" applyAlignment="1">
      <alignment horizontal="center" vertical="center" wrapText="1"/>
    </xf>
    <xf numFmtId="3" fontId="13" fillId="10" borderId="33" xfId="0" applyNumberFormat="1" applyFont="1" applyFill="1" applyBorder="1" applyAlignment="1" applyProtection="1">
      <alignment horizontal="center" vertical="center" wrapText="1"/>
    </xf>
    <xf numFmtId="3" fontId="13" fillId="24" borderId="44" xfId="0" applyNumberFormat="1" applyFont="1" applyFill="1" applyBorder="1" applyAlignment="1">
      <alignment horizontal="center" vertical="center" wrapText="1"/>
    </xf>
    <xf numFmtId="3" fontId="3" fillId="3" borderId="21" xfId="0" applyNumberFormat="1" applyFont="1" applyFill="1" applyBorder="1" applyAlignment="1">
      <alignment horizontal="center" vertical="center" wrapText="1"/>
    </xf>
    <xf numFmtId="0" fontId="0" fillId="4" borderId="0" xfId="0" applyFill="1" applyAlignment="1" applyProtection="1">
      <alignment vertical="center" wrapText="1"/>
    </xf>
    <xf numFmtId="0" fontId="14" fillId="14" borderId="0" xfId="0" applyFont="1" applyFill="1" applyAlignment="1">
      <alignment horizontal="center" vertical="center" wrapText="1"/>
    </xf>
    <xf numFmtId="0" fontId="37" fillId="14" borderId="0" xfId="2" applyFont="1" applyFill="1" applyBorder="1" applyAlignment="1">
      <alignment horizontal="center" vertical="center" wrapText="1"/>
    </xf>
    <xf numFmtId="0" fontId="37" fillId="23" borderId="11" xfId="2" applyFont="1" applyFill="1" applyBorder="1" applyAlignment="1">
      <alignment horizontal="center" vertical="center" wrapText="1"/>
    </xf>
    <xf numFmtId="0" fontId="37" fillId="23" borderId="0" xfId="2" applyFont="1" applyFill="1" applyBorder="1" applyAlignment="1">
      <alignment horizontal="center" vertical="center" wrapText="1"/>
    </xf>
    <xf numFmtId="0" fontId="4" fillId="0" borderId="0" xfId="0" applyFont="1" applyFill="1" applyAlignment="1">
      <alignment horizontal="center" vertical="center" wrapText="1"/>
    </xf>
    <xf numFmtId="0" fontId="3" fillId="4" borderId="32" xfId="0" applyFont="1" applyFill="1" applyBorder="1" applyAlignment="1">
      <alignment horizontal="center" vertical="center" wrapText="1"/>
    </xf>
    <xf numFmtId="0" fontId="3" fillId="4" borderId="20" xfId="0" applyFont="1" applyFill="1" applyBorder="1" applyAlignment="1">
      <alignment horizontal="center" vertical="center" wrapText="1"/>
    </xf>
    <xf numFmtId="3" fontId="6" fillId="10" borderId="74" xfId="0"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3" fillId="4" borderId="50" xfId="0" applyFont="1" applyFill="1" applyBorder="1" applyAlignment="1">
      <alignment horizontal="center" vertical="center" wrapText="1"/>
    </xf>
    <xf numFmtId="0" fontId="3" fillId="4" borderId="45" xfId="0" applyFont="1" applyFill="1" applyBorder="1" applyAlignment="1">
      <alignment horizontal="center" vertical="center" wrapText="1"/>
    </xf>
    <xf numFmtId="0" fontId="7" fillId="4" borderId="145" xfId="0" applyFont="1" applyFill="1" applyBorder="1" applyAlignment="1">
      <alignment horizontal="center" vertical="center" wrapText="1"/>
    </xf>
    <xf numFmtId="0" fontId="0" fillId="14" borderId="0" xfId="0" applyFill="1"/>
    <xf numFmtId="0" fontId="6" fillId="12" borderId="34" xfId="10" applyNumberFormat="1" applyFont="1" applyFill="1" applyBorder="1" applyAlignment="1">
      <alignment horizontal="center" vertical="center" wrapText="1"/>
    </xf>
    <xf numFmtId="0" fontId="6" fillId="12" borderId="54" xfId="10" applyNumberFormat="1" applyFont="1" applyFill="1" applyBorder="1" applyAlignment="1">
      <alignment horizontal="center" vertical="center" wrapText="1"/>
    </xf>
    <xf numFmtId="0" fontId="6" fillId="12" borderId="44" xfId="10" applyNumberFormat="1" applyFont="1" applyFill="1" applyBorder="1" applyAlignment="1">
      <alignment horizontal="center" vertical="center" wrapText="1"/>
    </xf>
    <xf numFmtId="0" fontId="4" fillId="20" borderId="54" xfId="0" applyNumberFormat="1" applyFont="1" applyFill="1" applyBorder="1" applyAlignment="1">
      <alignment horizontal="center" vertical="center" wrapText="1"/>
    </xf>
    <xf numFmtId="0" fontId="4" fillId="20" borderId="34" xfId="0" applyNumberFormat="1" applyFont="1" applyFill="1" applyBorder="1" applyAlignment="1">
      <alignment horizontal="center" vertical="center" wrapText="1"/>
    </xf>
    <xf numFmtId="0" fontId="4" fillId="20" borderId="44"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0" fontId="7" fillId="4" borderId="67" xfId="0" applyFont="1" applyFill="1" applyBorder="1" applyAlignment="1">
      <alignment horizontal="center" vertical="center" wrapText="1"/>
    </xf>
    <xf numFmtId="0" fontId="0" fillId="0" borderId="0" xfId="0" applyFill="1" applyBorder="1"/>
    <xf numFmtId="0" fontId="6" fillId="12" borderId="56" xfId="10" applyNumberFormat="1" applyFont="1" applyFill="1" applyBorder="1" applyAlignment="1">
      <alignment horizontal="center" vertical="center" wrapText="1"/>
    </xf>
    <xf numFmtId="0" fontId="6" fillId="12" borderId="39" xfId="10" applyNumberFormat="1" applyFont="1" applyFill="1" applyBorder="1" applyAlignment="1">
      <alignment horizontal="center" vertical="center" wrapText="1"/>
    </xf>
    <xf numFmtId="0" fontId="6" fillId="12" borderId="55" xfId="10" applyNumberFormat="1" applyFont="1" applyFill="1" applyBorder="1" applyAlignment="1">
      <alignment horizontal="center" vertical="center" wrapText="1"/>
    </xf>
    <xf numFmtId="2" fontId="6" fillId="12" borderId="32" xfId="0" applyNumberFormat="1" applyFont="1" applyFill="1" applyBorder="1" applyAlignment="1">
      <alignment horizontal="center" vertical="center" wrapText="1"/>
    </xf>
    <xf numFmtId="2" fontId="6" fillId="12" borderId="51" xfId="0" applyNumberFormat="1" applyFont="1" applyFill="1" applyBorder="1" applyAlignment="1">
      <alignment horizontal="center" vertical="center" wrapText="1"/>
    </xf>
    <xf numFmtId="0" fontId="3" fillId="4" borderId="34" xfId="0" applyFont="1" applyFill="1" applyBorder="1" applyAlignment="1">
      <alignment horizontal="center" vertical="center" wrapText="1"/>
    </xf>
    <xf numFmtId="2" fontId="6" fillId="12" borderId="33" xfId="0" applyNumberFormat="1" applyFont="1" applyFill="1" applyBorder="1" applyAlignment="1">
      <alignment horizontal="center" vertical="center" wrapText="1"/>
    </xf>
    <xf numFmtId="0" fontId="3" fillId="4" borderId="44" xfId="0" applyFont="1" applyFill="1" applyBorder="1" applyAlignment="1">
      <alignment horizontal="center" vertical="center" wrapText="1"/>
    </xf>
    <xf numFmtId="0" fontId="0" fillId="14" borderId="0" xfId="0" applyFill="1" applyBorder="1"/>
    <xf numFmtId="0" fontId="0" fillId="0" borderId="0" xfId="0" applyBorder="1"/>
    <xf numFmtId="0" fontId="4" fillId="20" borderId="3" xfId="0" applyNumberFormat="1" applyFont="1" applyFill="1" applyBorder="1" applyAlignment="1">
      <alignment horizontal="center" vertical="center" wrapText="1"/>
    </xf>
    <xf numFmtId="0" fontId="6" fillId="12" borderId="3" xfId="10" applyNumberFormat="1" applyFont="1" applyFill="1" applyBorder="1" applyAlignment="1">
      <alignment horizontal="center" vertical="center" wrapText="1"/>
    </xf>
    <xf numFmtId="2" fontId="6" fillId="12" borderId="4" xfId="0" applyNumberFormat="1" applyFont="1" applyFill="1" applyBorder="1" applyAlignment="1">
      <alignment horizontal="center" vertical="center" wrapText="1"/>
    </xf>
    <xf numFmtId="0" fontId="4" fillId="20" borderId="36" xfId="0" applyNumberFormat="1" applyFont="1" applyFill="1" applyBorder="1" applyAlignment="1">
      <alignment horizontal="center" vertical="center" wrapText="1"/>
    </xf>
    <xf numFmtId="0" fontId="6" fillId="12" borderId="36" xfId="10" applyNumberFormat="1" applyFont="1" applyFill="1" applyBorder="1" applyAlignment="1">
      <alignment horizontal="center" vertical="center" wrapText="1"/>
    </xf>
    <xf numFmtId="0" fontId="7" fillId="4" borderId="30" xfId="0" applyFont="1" applyFill="1" applyBorder="1" applyAlignment="1">
      <alignment horizontal="center" vertical="center" wrapText="1"/>
    </xf>
    <xf numFmtId="0" fontId="0" fillId="14" borderId="0" xfId="0" applyFill="1" applyAlignment="1">
      <alignment vertical="center"/>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6" fillId="14" borderId="23" xfId="0" applyFont="1" applyFill="1" applyBorder="1" applyAlignment="1" applyProtection="1">
      <alignment horizontal="center" vertical="center" wrapText="1"/>
    </xf>
    <xf numFmtId="0" fontId="6" fillId="14" borderId="24" xfId="0" applyFont="1" applyFill="1" applyBorder="1" applyAlignment="1" applyProtection="1">
      <alignment horizontal="center" vertical="center" wrapText="1"/>
    </xf>
    <xf numFmtId="0" fontId="6" fillId="14" borderId="22" xfId="0" applyFont="1" applyFill="1" applyBorder="1" applyAlignment="1" applyProtection="1">
      <alignment horizontal="center" vertical="center" wrapText="1"/>
    </xf>
    <xf numFmtId="0" fontId="3" fillId="4" borderId="32" xfId="0" applyFont="1" applyFill="1" applyBorder="1" applyAlignment="1">
      <alignment horizontal="center" vertical="center" wrapText="1"/>
    </xf>
    <xf numFmtId="0" fontId="3" fillId="4" borderId="1" xfId="0" applyFont="1" applyFill="1" applyBorder="1" applyAlignment="1">
      <alignment horizontal="center" vertical="center" wrapText="1"/>
    </xf>
    <xf numFmtId="3" fontId="15" fillId="10" borderId="51" xfId="0" applyNumberFormat="1" applyFont="1" applyFill="1" applyBorder="1" applyAlignment="1">
      <alignment horizontal="center" vertical="center" wrapText="1"/>
    </xf>
    <xf numFmtId="3" fontId="15" fillId="33" borderId="51" xfId="0" applyNumberFormat="1" applyFont="1" applyFill="1" applyBorder="1" applyAlignment="1">
      <alignment horizontal="center" vertical="center" wrapText="1"/>
    </xf>
    <xf numFmtId="3" fontId="15" fillId="19" borderId="51" xfId="0" applyNumberFormat="1" applyFont="1" applyFill="1" applyBorder="1" applyAlignment="1">
      <alignment horizontal="center" vertical="center" wrapText="1"/>
    </xf>
    <xf numFmtId="3" fontId="15" fillId="24" borderId="51" xfId="0" applyNumberFormat="1" applyFont="1" applyFill="1" applyBorder="1" applyAlignment="1">
      <alignment horizontal="center" vertical="center" wrapText="1"/>
    </xf>
    <xf numFmtId="3" fontId="15" fillId="34" borderId="51" xfId="0" applyNumberFormat="1" applyFont="1" applyFill="1" applyBorder="1" applyAlignment="1">
      <alignment horizontal="center" vertical="center" wrapText="1"/>
    </xf>
    <xf numFmtId="3" fontId="3" fillId="3" borderId="51" xfId="0" applyNumberFormat="1" applyFont="1" applyFill="1" applyBorder="1" applyAlignment="1">
      <alignment horizontal="center" vertical="center" wrapText="1"/>
    </xf>
    <xf numFmtId="0" fontId="4" fillId="6" borderId="36" xfId="0" applyNumberFormat="1" applyFont="1" applyFill="1" applyBorder="1" applyAlignment="1">
      <alignment horizontal="center" vertical="center" wrapText="1"/>
    </xf>
    <xf numFmtId="0" fontId="5" fillId="5" borderId="36" xfId="0" applyNumberFormat="1" applyFont="1" applyFill="1" applyBorder="1" applyAlignment="1">
      <alignment horizontal="center" vertical="center" wrapText="1"/>
    </xf>
    <xf numFmtId="0" fontId="4" fillId="8" borderId="36" xfId="0" applyNumberFormat="1" applyFont="1" applyFill="1" applyBorder="1" applyAlignment="1">
      <alignment horizontal="center" vertical="center" wrapText="1"/>
    </xf>
    <xf numFmtId="0" fontId="5" fillId="7" borderId="36" xfId="0" applyNumberFormat="1" applyFont="1" applyFill="1" applyBorder="1" applyAlignment="1">
      <alignment horizontal="center" vertical="center" wrapText="1"/>
    </xf>
    <xf numFmtId="0" fontId="4" fillId="11" borderId="77" xfId="0" applyFont="1" applyFill="1" applyBorder="1" applyAlignment="1" applyProtection="1">
      <alignment horizontal="center" vertical="center" wrapText="1"/>
    </xf>
    <xf numFmtId="0" fontId="4" fillId="11" borderId="34" xfId="0" applyFont="1" applyFill="1" applyBorder="1" applyAlignment="1" applyProtection="1">
      <alignment horizontal="center" vertical="center" wrapText="1"/>
    </xf>
    <xf numFmtId="0" fontId="4" fillId="11" borderId="44" xfId="0" applyFont="1" applyFill="1" applyBorder="1" applyAlignment="1" applyProtection="1">
      <alignment horizontal="center" vertical="center" wrapText="1"/>
    </xf>
    <xf numFmtId="166" fontId="13" fillId="13" borderId="47" xfId="0" applyNumberFormat="1" applyFont="1" applyFill="1" applyBorder="1" applyAlignment="1" applyProtection="1">
      <alignment horizontal="center" vertical="center" wrapText="1"/>
    </xf>
    <xf numFmtId="2" fontId="13" fillId="12" borderId="47" xfId="0" applyNumberFormat="1" applyFont="1" applyFill="1" applyBorder="1" applyAlignment="1" applyProtection="1">
      <alignment horizontal="center" vertical="center" wrapText="1"/>
    </xf>
    <xf numFmtId="46" fontId="6" fillId="12" borderId="57" xfId="0" applyNumberFormat="1" applyFont="1" applyFill="1" applyBorder="1" applyAlignment="1" applyProtection="1">
      <alignment horizontal="center" vertical="center" wrapText="1"/>
    </xf>
    <xf numFmtId="166" fontId="6" fillId="13" borderId="54" xfId="0" applyNumberFormat="1" applyFont="1" applyFill="1" applyBorder="1" applyAlignment="1" applyProtection="1">
      <alignment horizontal="center" vertical="center" wrapText="1"/>
    </xf>
    <xf numFmtId="2" fontId="6" fillId="12" borderId="54" xfId="0" applyNumberFormat="1" applyFont="1" applyFill="1" applyBorder="1" applyAlignment="1" applyProtection="1">
      <alignment horizontal="center" vertical="center" wrapText="1"/>
    </xf>
    <xf numFmtId="46" fontId="6" fillId="12" borderId="20" xfId="0" applyNumberFormat="1" applyFont="1" applyFill="1" applyBorder="1" applyAlignment="1" applyProtection="1">
      <alignment horizontal="center" vertical="center" wrapText="1"/>
    </xf>
    <xf numFmtId="2" fontId="6" fillId="12" borderId="44" xfId="0" applyNumberFormat="1" applyFont="1" applyFill="1" applyBorder="1" applyAlignment="1" applyProtection="1">
      <alignment horizontal="center" vertical="center" wrapText="1"/>
    </xf>
    <xf numFmtId="46" fontId="6" fillId="12" borderId="21" xfId="0" applyNumberFormat="1" applyFont="1" applyFill="1" applyBorder="1" applyAlignment="1" applyProtection="1">
      <alignment horizontal="center" vertical="center" wrapText="1"/>
    </xf>
    <xf numFmtId="0" fontId="13" fillId="13" borderId="46"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166" fontId="6" fillId="13" borderId="44" xfId="0" applyNumberFormat="1" applyFont="1" applyFill="1" applyBorder="1" applyAlignment="1" applyProtection="1">
      <alignment horizontal="center" vertical="center" wrapText="1"/>
    </xf>
    <xf numFmtId="2" fontId="41" fillId="14" borderId="0" xfId="0" applyNumberFormat="1" applyFont="1" applyFill="1" applyAlignment="1" applyProtection="1">
      <alignment horizontal="center" vertical="center" wrapText="1"/>
    </xf>
    <xf numFmtId="3" fontId="6" fillId="20" borderId="54" xfId="0" applyNumberFormat="1" applyFont="1" applyFill="1" applyBorder="1" applyAlignment="1" applyProtection="1">
      <alignment horizontal="center" vertical="center" wrapText="1"/>
    </xf>
    <xf numFmtId="2" fontId="6" fillId="12" borderId="56" xfId="0" applyNumberFormat="1" applyFont="1" applyFill="1" applyBorder="1" applyAlignment="1" applyProtection="1">
      <alignment horizontal="center" vertical="center" wrapText="1"/>
    </xf>
    <xf numFmtId="3" fontId="13" fillId="3" borderId="54" xfId="0" applyNumberFormat="1" applyFont="1" applyFill="1" applyBorder="1" applyAlignment="1" applyProtection="1">
      <alignment horizontal="center" vertical="center" wrapText="1"/>
    </xf>
    <xf numFmtId="3" fontId="13" fillId="3" borderId="34" xfId="0" applyNumberFormat="1" applyFont="1" applyFill="1" applyBorder="1" applyAlignment="1" applyProtection="1">
      <alignment horizontal="center" vertical="center" wrapText="1"/>
    </xf>
    <xf numFmtId="3" fontId="13" fillId="3" borderId="44" xfId="0" applyNumberFormat="1" applyFont="1" applyFill="1" applyBorder="1" applyAlignment="1" applyProtection="1">
      <alignment horizontal="center" vertical="center" wrapText="1"/>
    </xf>
    <xf numFmtId="3" fontId="4" fillId="24" borderId="34" xfId="0" applyNumberFormat="1" applyFont="1" applyFill="1" applyBorder="1" applyAlignment="1" applyProtection="1">
      <alignment horizontal="center" vertical="center" wrapText="1"/>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3" fontId="6" fillId="10" borderId="54"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7" fillId="3" borderId="20" xfId="0" applyNumberFormat="1" applyFont="1" applyFill="1" applyBorder="1" applyAlignment="1">
      <alignment horizontal="center" vertical="center" wrapText="1"/>
    </xf>
    <xf numFmtId="3" fontId="7" fillId="3" borderId="43" xfId="0"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3" fontId="15" fillId="35" borderId="51" xfId="0" applyNumberFormat="1" applyFont="1" applyFill="1" applyBorder="1" applyAlignment="1">
      <alignment horizontal="center" vertical="center" wrapText="1"/>
    </xf>
    <xf numFmtId="3" fontId="3" fillId="4" borderId="34" xfId="0" applyNumberFormat="1" applyFont="1" applyFill="1" applyBorder="1" applyAlignment="1">
      <alignment horizontal="center" vertical="center" wrapText="1"/>
    </xf>
    <xf numFmtId="3" fontId="6" fillId="10" borderId="34" xfId="0" quotePrefix="1" applyNumberFormat="1" applyFont="1" applyFill="1" applyBorder="1" applyAlignment="1">
      <alignment horizontal="center" vertical="center" wrapText="1"/>
    </xf>
    <xf numFmtId="0" fontId="6" fillId="4" borderId="147" xfId="0" applyFont="1" applyFill="1" applyBorder="1" applyAlignment="1">
      <alignment horizontal="center" vertical="center" wrapText="1"/>
    </xf>
    <xf numFmtId="0" fontId="6" fillId="4" borderId="64" xfId="0" applyFont="1" applyFill="1" applyBorder="1" applyAlignment="1">
      <alignment horizontal="center" vertical="center" wrapText="1"/>
    </xf>
    <xf numFmtId="0" fontId="6" fillId="4" borderId="60" xfId="0" applyFont="1" applyFill="1" applyBorder="1" applyAlignment="1">
      <alignment horizontal="center" vertical="center" wrapText="1"/>
    </xf>
    <xf numFmtId="0" fontId="6" fillId="4" borderId="61" xfId="0" applyFont="1" applyFill="1" applyBorder="1" applyAlignment="1">
      <alignment horizontal="center" vertical="center" wrapText="1"/>
    </xf>
    <xf numFmtId="0" fontId="6" fillId="4" borderId="59" xfId="0" applyFont="1" applyFill="1" applyBorder="1" applyAlignment="1">
      <alignment horizontal="center" vertical="center" wrapText="1"/>
    </xf>
    <xf numFmtId="3" fontId="15" fillId="13" borderId="32" xfId="0" applyNumberFormat="1" applyFont="1" applyFill="1" applyBorder="1" applyAlignment="1">
      <alignment horizontal="center" vertical="center" wrapText="1"/>
    </xf>
    <xf numFmtId="3" fontId="3" fillId="4" borderId="54" xfId="0" applyNumberFormat="1" applyFont="1" applyFill="1" applyBorder="1" applyAlignment="1">
      <alignment horizontal="center" vertical="center" wrapText="1"/>
    </xf>
    <xf numFmtId="3" fontId="7" fillId="3" borderId="43" xfId="0" quotePrefix="1" applyNumberFormat="1" applyFont="1" applyFill="1" applyBorder="1" applyAlignment="1">
      <alignment horizontal="center" vertical="center" wrapText="1"/>
    </xf>
    <xf numFmtId="3" fontId="15" fillId="2" borderId="33" xfId="0" applyNumberFormat="1" applyFont="1" applyFill="1" applyBorder="1" applyAlignment="1">
      <alignment horizontal="center" vertical="center" wrapText="1"/>
    </xf>
    <xf numFmtId="3" fontId="3" fillId="4" borderId="44" xfId="0" applyNumberFormat="1" applyFont="1" applyFill="1" applyBorder="1" applyAlignment="1">
      <alignment horizontal="center" vertical="center" wrapText="1"/>
    </xf>
    <xf numFmtId="3" fontId="6" fillId="10" borderId="44" xfId="0" quotePrefix="1" applyNumberFormat="1" applyFont="1" applyFill="1" applyBorder="1" applyAlignment="1">
      <alignment horizontal="center" vertical="center" wrapText="1"/>
    </xf>
    <xf numFmtId="3" fontId="7" fillId="3" borderId="21" xfId="0" quotePrefix="1" applyNumberFormat="1" applyFont="1" applyFill="1" applyBorder="1" applyAlignment="1">
      <alignment horizontal="center" vertical="center" wrapText="1"/>
    </xf>
    <xf numFmtId="0" fontId="4" fillId="20" borderId="41" xfId="0" applyFont="1" applyFill="1" applyBorder="1" applyAlignment="1">
      <alignment horizontal="center" vertical="center" wrapText="1"/>
    </xf>
    <xf numFmtId="0" fontId="6" fillId="12" borderId="41" xfId="10" applyNumberFormat="1"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60" xfId="0" applyFont="1" applyFill="1" applyBorder="1" applyAlignment="1">
      <alignment horizontal="center" vertical="center" wrapText="1"/>
    </xf>
    <xf numFmtId="0" fontId="7" fillId="4" borderId="61" xfId="0" applyFont="1" applyFill="1" applyBorder="1" applyAlignment="1">
      <alignment horizontal="center" vertical="center" wrapText="1"/>
    </xf>
    <xf numFmtId="0" fontId="7" fillId="4" borderId="59" xfId="0" applyFont="1" applyFill="1" applyBorder="1" applyAlignment="1">
      <alignment horizontal="center" vertical="center" wrapText="1"/>
    </xf>
    <xf numFmtId="3" fontId="6" fillId="10" borderId="54"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3" fillId="4" borderId="17" xfId="0" applyFont="1" applyFill="1" applyBorder="1" applyAlignment="1" applyProtection="1">
      <alignment horizontal="center" vertical="center" wrapText="1"/>
    </xf>
    <xf numFmtId="3" fontId="6" fillId="24" borderId="61" xfId="0" applyNumberFormat="1" applyFont="1" applyFill="1" applyBorder="1" applyAlignment="1">
      <alignment horizontal="center" vertical="center" wrapText="1"/>
    </xf>
    <xf numFmtId="2" fontId="6" fillId="12" borderId="59" xfId="0" applyNumberFormat="1" applyFont="1" applyFill="1" applyBorder="1" applyAlignment="1">
      <alignment horizontal="center" vertical="center" wrapText="1"/>
    </xf>
    <xf numFmtId="0" fontId="3" fillId="4" borderId="77" xfId="0" applyFont="1" applyFill="1" applyBorder="1" applyAlignment="1">
      <alignment horizontal="center" vertical="center" wrapText="1"/>
    </xf>
    <xf numFmtId="0" fontId="3" fillId="4" borderId="73" xfId="0" applyFont="1" applyFill="1" applyBorder="1" applyAlignment="1">
      <alignment vertical="center" wrapText="1"/>
    </xf>
    <xf numFmtId="10" fontId="6" fillId="10" borderId="32" xfId="0" applyNumberFormat="1" applyFont="1" applyFill="1" applyBorder="1" applyAlignment="1">
      <alignment horizontal="center" vertical="center" wrapText="1"/>
    </xf>
    <xf numFmtId="0" fontId="3" fillId="4" borderId="17" xfId="0" applyFont="1" applyFill="1" applyBorder="1" applyAlignment="1">
      <alignment vertical="center" wrapText="1"/>
    </xf>
    <xf numFmtId="10" fontId="6" fillId="24" borderId="51" xfId="0" applyNumberFormat="1" applyFont="1" applyFill="1" applyBorder="1" applyAlignment="1">
      <alignment horizontal="center" vertical="center" wrapText="1"/>
    </xf>
    <xf numFmtId="10" fontId="7" fillId="3" borderId="51" xfId="0" applyNumberFormat="1" applyFont="1" applyFill="1" applyBorder="1" applyAlignment="1">
      <alignment horizontal="center" vertical="center" wrapText="1"/>
    </xf>
    <xf numFmtId="10" fontId="6" fillId="10" borderId="51" xfId="0" applyNumberFormat="1" applyFont="1" applyFill="1" applyBorder="1" applyAlignment="1">
      <alignment horizontal="center" vertical="center" wrapText="1"/>
    </xf>
    <xf numFmtId="3" fontId="6" fillId="24" borderId="34" xfId="0" quotePrefix="1" applyNumberFormat="1" applyFont="1" applyFill="1" applyBorder="1" applyAlignment="1">
      <alignment horizontal="center" vertical="center" wrapText="1"/>
    </xf>
    <xf numFmtId="3" fontId="7" fillId="3" borderId="34" xfId="0" quotePrefix="1" applyNumberFormat="1" applyFont="1" applyFill="1" applyBorder="1" applyAlignment="1">
      <alignment horizontal="center" vertical="center" wrapText="1"/>
    </xf>
    <xf numFmtId="0" fontId="3" fillId="4" borderId="17" xfId="0" applyFont="1" applyFill="1" applyBorder="1" applyAlignment="1">
      <alignment horizontal="left" vertical="center" wrapText="1"/>
    </xf>
    <xf numFmtId="0" fontId="3" fillId="4" borderId="66" xfId="0" applyFont="1" applyFill="1" applyBorder="1" applyAlignment="1">
      <alignment horizontal="left" vertical="center" wrapText="1"/>
    </xf>
    <xf numFmtId="10" fontId="6" fillId="24" borderId="33" xfId="0" applyNumberFormat="1" applyFont="1" applyFill="1" applyBorder="1" applyAlignment="1">
      <alignment horizontal="center" vertical="center" wrapText="1"/>
    </xf>
    <xf numFmtId="0" fontId="6" fillId="11" borderId="22" xfId="0" applyFont="1" applyFill="1" applyBorder="1" applyAlignment="1" applyProtection="1">
      <alignment vertical="center" wrapText="1"/>
    </xf>
    <xf numFmtId="0" fontId="3" fillId="4" borderId="31" xfId="0" applyFont="1" applyFill="1" applyBorder="1" applyAlignment="1" applyProtection="1">
      <alignment vertical="center" wrapText="1"/>
    </xf>
    <xf numFmtId="0" fontId="3" fillId="4" borderId="72" xfId="0" applyFont="1" applyFill="1" applyBorder="1" applyAlignment="1" applyProtection="1">
      <alignment vertical="center" wrapText="1"/>
    </xf>
    <xf numFmtId="0" fontId="3" fillId="4" borderId="32"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6" fillId="21" borderId="39" xfId="0" applyFont="1" applyFill="1" applyBorder="1" applyAlignment="1">
      <alignment horizontal="center" vertical="center"/>
    </xf>
    <xf numFmtId="3" fontId="6" fillId="10" borderId="3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5" fillId="8" borderId="69" xfId="0" applyFont="1" applyFill="1" applyBorder="1" applyAlignment="1">
      <alignment horizontal="center" vertical="center" wrapText="1"/>
    </xf>
    <xf numFmtId="165" fontId="4" fillId="5" borderId="147" xfId="0" applyNumberFormat="1" applyFont="1" applyFill="1" applyBorder="1" applyAlignment="1">
      <alignment horizontal="center" vertical="center" wrapText="1"/>
    </xf>
    <xf numFmtId="165" fontId="5" fillId="7" borderId="61" xfId="0" applyNumberFormat="1" applyFont="1" applyFill="1" applyBorder="1" applyAlignment="1">
      <alignment horizontal="center" vertical="center" wrapText="1"/>
    </xf>
    <xf numFmtId="165" fontId="5" fillId="7" borderId="64" xfId="0" applyNumberFormat="1" applyFont="1" applyFill="1" applyBorder="1" applyAlignment="1">
      <alignment horizontal="center" vertical="center" wrapText="1"/>
    </xf>
    <xf numFmtId="165" fontId="4" fillId="7" borderId="111" xfId="0" applyNumberFormat="1" applyFont="1" applyFill="1" applyBorder="1" applyAlignment="1">
      <alignment horizontal="center" vertical="center" wrapText="1"/>
    </xf>
    <xf numFmtId="165" fontId="5" fillId="7" borderId="148" xfId="0" applyNumberFormat="1" applyFont="1" applyFill="1" applyBorder="1" applyAlignment="1">
      <alignment horizontal="center" vertical="center" wrapText="1"/>
    </xf>
    <xf numFmtId="165" fontId="5" fillId="5" borderId="64" xfId="0" applyNumberFormat="1" applyFont="1" applyFill="1" applyBorder="1" applyAlignment="1">
      <alignment horizontal="center" vertical="center" wrapText="1"/>
    </xf>
    <xf numFmtId="0" fontId="4" fillId="6" borderId="40" xfId="0" applyFont="1" applyFill="1" applyBorder="1" applyAlignment="1">
      <alignment horizontal="center" vertical="center" wrapText="1"/>
    </xf>
    <xf numFmtId="165" fontId="4" fillId="5" borderId="68" xfId="0" applyNumberFormat="1" applyFont="1" applyFill="1" applyBorder="1" applyAlignment="1">
      <alignment horizontal="center" vertical="center" wrapText="1"/>
    </xf>
    <xf numFmtId="165" fontId="5" fillId="5" borderId="41" xfId="0" applyNumberFormat="1" applyFont="1" applyFill="1" applyBorder="1" applyAlignment="1">
      <alignment horizontal="center" vertical="center" wrapText="1"/>
    </xf>
    <xf numFmtId="165" fontId="4" fillId="7" borderId="41" xfId="0" applyNumberFormat="1" applyFont="1" applyFill="1" applyBorder="1" applyAlignment="1">
      <alignment horizontal="center" vertical="center" wrapText="1"/>
    </xf>
    <xf numFmtId="165" fontId="5" fillId="7" borderId="41" xfId="0" applyNumberFormat="1" applyFont="1" applyFill="1" applyBorder="1" applyAlignment="1">
      <alignment horizontal="center" vertical="center" wrapText="1"/>
    </xf>
    <xf numFmtId="165" fontId="4" fillId="5" borderId="41" xfId="0" applyNumberFormat="1" applyFont="1" applyFill="1" applyBorder="1" applyAlignment="1">
      <alignment horizontal="center" vertical="center" wrapText="1"/>
    </xf>
    <xf numFmtId="0" fontId="46" fillId="14" borderId="0" xfId="0" applyFont="1" applyFill="1" applyBorder="1" applyAlignment="1">
      <alignment horizontal="center" vertical="center" wrapText="1"/>
    </xf>
    <xf numFmtId="0" fontId="4" fillId="6" borderId="61" xfId="0" applyNumberFormat="1" applyFont="1" applyFill="1" applyBorder="1" applyAlignment="1">
      <alignment horizontal="center" vertical="center" wrapText="1"/>
    </xf>
    <xf numFmtId="0" fontId="5" fillId="5" borderId="61" xfId="0" applyNumberFormat="1" applyFont="1" applyFill="1" applyBorder="1" applyAlignment="1">
      <alignment horizontal="center" vertical="center" wrapText="1"/>
    </xf>
    <xf numFmtId="0" fontId="4" fillId="8" borderId="61" xfId="0" applyNumberFormat="1" applyFont="1" applyFill="1" applyBorder="1" applyAlignment="1">
      <alignment horizontal="center" vertical="center" wrapText="1"/>
    </xf>
    <xf numFmtId="0" fontId="5" fillId="7" borderId="61" xfId="0" applyNumberFormat="1" applyFont="1" applyFill="1" applyBorder="1" applyAlignment="1">
      <alignment horizontal="center" vertical="center" wrapText="1"/>
    </xf>
    <xf numFmtId="165" fontId="4" fillId="6" borderId="54" xfId="0" applyNumberFormat="1" applyFont="1" applyFill="1" applyBorder="1" applyAlignment="1">
      <alignment horizontal="center" vertical="center" wrapText="1"/>
    </xf>
    <xf numFmtId="165" fontId="5" fillId="6" borderId="54" xfId="0" applyNumberFormat="1" applyFont="1" applyFill="1" applyBorder="1" applyAlignment="1">
      <alignment horizontal="center" vertical="center" wrapText="1"/>
    </xf>
    <xf numFmtId="165" fontId="4" fillId="8" borderId="54" xfId="0" applyNumberFormat="1" applyFont="1" applyFill="1" applyBorder="1" applyAlignment="1">
      <alignment horizontal="center" vertical="center" wrapText="1"/>
    </xf>
    <xf numFmtId="165" fontId="5" fillId="8" borderId="54" xfId="0" applyNumberFormat="1" applyFont="1" applyFill="1" applyBorder="1" applyAlignment="1">
      <alignment horizontal="center" vertical="center" wrapText="1"/>
    </xf>
    <xf numFmtId="3" fontId="6" fillId="21" borderId="55" xfId="0" applyNumberFormat="1" applyFont="1" applyFill="1" applyBorder="1" applyAlignment="1">
      <alignment horizontal="center" vertical="center" wrapText="1"/>
    </xf>
    <xf numFmtId="0" fontId="3" fillId="4" borderId="80" xfId="0" applyFont="1" applyFill="1" applyBorder="1" applyAlignment="1">
      <alignment horizontal="center" vertical="center" wrapText="1"/>
    </xf>
    <xf numFmtId="3" fontId="6" fillId="21" borderId="34" xfId="0" applyNumberFormat="1" applyFont="1" applyFill="1" applyBorder="1" applyAlignment="1">
      <alignment horizontal="center" vertical="center" wrapText="1"/>
    </xf>
    <xf numFmtId="3" fontId="4" fillId="21" borderId="34" xfId="0" applyNumberFormat="1" applyFont="1" applyFill="1" applyBorder="1" applyAlignment="1">
      <alignment horizontal="center" vertical="center" wrapText="1"/>
    </xf>
    <xf numFmtId="3" fontId="7" fillId="3" borderId="39" xfId="0" applyNumberFormat="1" applyFont="1" applyFill="1" applyBorder="1" applyAlignment="1">
      <alignment horizontal="center" vertical="center" wrapText="1"/>
    </xf>
    <xf numFmtId="3" fontId="4" fillId="10" borderId="34" xfId="0" applyNumberFormat="1" applyFont="1" applyFill="1" applyBorder="1" applyAlignment="1">
      <alignment horizontal="center" vertical="center" wrapText="1"/>
    </xf>
    <xf numFmtId="3" fontId="4" fillId="24" borderId="34" xfId="0" applyNumberFormat="1" applyFont="1" applyFill="1" applyBorder="1" applyAlignment="1">
      <alignment horizontal="center" vertical="center" wrapText="1"/>
    </xf>
    <xf numFmtId="3" fontId="4" fillId="10" borderId="41" xfId="0" applyNumberFormat="1" applyFont="1" applyFill="1" applyBorder="1" applyAlignment="1">
      <alignment horizontal="center" vertical="center" wrapText="1"/>
    </xf>
    <xf numFmtId="3" fontId="4" fillId="24" borderId="41" xfId="0" applyNumberFormat="1" applyFont="1" applyFill="1" applyBorder="1" applyAlignment="1">
      <alignment horizontal="center" vertical="center" wrapText="1"/>
    </xf>
    <xf numFmtId="3" fontId="7" fillId="3" borderId="42" xfId="0" applyNumberFormat="1" applyFont="1" applyFill="1" applyBorder="1" applyAlignment="1">
      <alignment horizontal="center" vertical="center" wrapText="1"/>
    </xf>
    <xf numFmtId="0" fontId="5" fillId="5" borderId="61" xfId="0" applyFont="1" applyFill="1" applyBorder="1" applyAlignment="1">
      <alignment horizontal="center" vertical="center" wrapText="1"/>
    </xf>
    <xf numFmtId="0" fontId="5" fillId="7" borderId="41" xfId="0" applyFont="1" applyFill="1" applyBorder="1" applyAlignment="1">
      <alignment horizontal="center" vertical="center" wrapText="1"/>
    </xf>
    <xf numFmtId="0" fontId="4" fillId="8" borderId="61" xfId="0" applyFont="1" applyFill="1" applyBorder="1" applyAlignment="1">
      <alignment horizontal="center" vertical="center" wrapText="1"/>
    </xf>
    <xf numFmtId="165" fontId="4" fillId="6" borderId="147" xfId="0" applyNumberFormat="1" applyFont="1" applyFill="1" applyBorder="1" applyAlignment="1">
      <alignment horizontal="center" vertical="center" wrapText="1"/>
    </xf>
    <xf numFmtId="165" fontId="5" fillId="6" borderId="61" xfId="0" applyNumberFormat="1" applyFont="1" applyFill="1" applyBorder="1" applyAlignment="1">
      <alignment horizontal="center" vertical="center" wrapText="1"/>
    </xf>
    <xf numFmtId="165" fontId="4" fillId="8" borderId="61" xfId="0" applyNumberFormat="1" applyFont="1" applyFill="1" applyBorder="1" applyAlignment="1">
      <alignment horizontal="center" vertical="center" wrapText="1"/>
    </xf>
    <xf numFmtId="165" fontId="5" fillId="8" borderId="61" xfId="0" applyNumberFormat="1" applyFont="1" applyFill="1" applyBorder="1" applyAlignment="1">
      <alignment horizontal="center" vertical="center" wrapText="1"/>
    </xf>
    <xf numFmtId="165" fontId="4" fillId="6" borderId="61" xfId="0" applyNumberFormat="1" applyFont="1" applyFill="1" applyBorder="1" applyAlignment="1">
      <alignment horizontal="center" vertical="center" wrapText="1"/>
    </xf>
    <xf numFmtId="165" fontId="5" fillId="8" borderId="64"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6" fillId="14" borderId="15" xfId="0" applyFont="1" applyFill="1" applyBorder="1" applyAlignment="1" applyProtection="1">
      <alignment horizontal="center" vertical="center" wrapText="1"/>
    </xf>
    <xf numFmtId="0" fontId="6" fillId="14" borderId="14" xfId="0" applyFont="1" applyFill="1" applyBorder="1" applyAlignment="1" applyProtection="1">
      <alignment horizontal="center" vertical="center" wrapText="1"/>
    </xf>
    <xf numFmtId="0" fontId="6" fillId="14" borderId="22" xfId="0" applyFont="1" applyFill="1" applyBorder="1" applyAlignment="1" applyProtection="1">
      <alignment vertical="center" wrapText="1"/>
    </xf>
    <xf numFmtId="0" fontId="6" fillId="14" borderId="23" xfId="0" applyFont="1" applyFill="1" applyBorder="1" applyAlignment="1" applyProtection="1">
      <alignment vertical="center" wrapText="1"/>
    </xf>
    <xf numFmtId="0" fontId="6" fillId="14" borderId="24" xfId="0" applyFont="1" applyFill="1" applyBorder="1" applyAlignment="1" applyProtection="1">
      <alignment vertical="center" wrapText="1"/>
    </xf>
    <xf numFmtId="0" fontId="6" fillId="14" borderId="14" xfId="0" applyFont="1" applyFill="1" applyBorder="1" applyAlignment="1" applyProtection="1">
      <alignment vertical="center" wrapText="1"/>
    </xf>
    <xf numFmtId="0" fontId="6" fillId="14" borderId="15" xfId="0" applyFont="1" applyFill="1" applyBorder="1" applyAlignment="1" applyProtection="1">
      <alignment vertical="center" wrapText="1"/>
    </xf>
    <xf numFmtId="0" fontId="6" fillId="14" borderId="16" xfId="0" applyFont="1" applyFill="1" applyBorder="1" applyAlignment="1" applyProtection="1">
      <alignment vertical="center" wrapText="1"/>
    </xf>
    <xf numFmtId="46" fontId="6" fillId="12" borderId="59" xfId="0" applyNumberFormat="1" applyFont="1" applyFill="1" applyBorder="1" applyAlignment="1" applyProtection="1">
      <alignment horizontal="center" vertical="center" wrapText="1"/>
    </xf>
    <xf numFmtId="0" fontId="3" fillId="4" borderId="15" xfId="0" applyFont="1" applyFill="1" applyBorder="1" applyAlignment="1" applyProtection="1">
      <alignment horizontal="center" vertical="center" wrapText="1"/>
    </xf>
    <xf numFmtId="0" fontId="13" fillId="13" borderId="58" xfId="0" applyFont="1" applyFill="1" applyBorder="1" applyAlignment="1" applyProtection="1">
      <alignment horizontal="center" vertical="center" wrapText="1"/>
    </xf>
    <xf numFmtId="0" fontId="3" fillId="4" borderId="34" xfId="0" applyFont="1" applyFill="1" applyBorder="1" applyAlignment="1" applyProtection="1">
      <alignment horizontal="left" vertical="center" wrapText="1"/>
    </xf>
    <xf numFmtId="46" fontId="6" fillId="12" borderId="34" xfId="0" applyNumberFormat="1" applyFont="1" applyFill="1" applyBorder="1" applyAlignment="1" applyProtection="1">
      <alignment horizontal="center" vertical="center" wrapText="1"/>
    </xf>
    <xf numFmtId="3" fontId="4" fillId="24" borderId="44" xfId="0" applyNumberFormat="1" applyFont="1" applyFill="1" applyBorder="1" applyAlignment="1" applyProtection="1">
      <alignment horizontal="center" vertical="center" wrapText="1"/>
    </xf>
    <xf numFmtId="3" fontId="15" fillId="24" borderId="47" xfId="0" applyNumberFormat="1" applyFont="1" applyFill="1" applyBorder="1" applyAlignment="1" applyProtection="1">
      <alignment horizontal="center" vertical="center" wrapText="1"/>
    </xf>
    <xf numFmtId="9" fontId="6" fillId="12" borderId="150" xfId="0" applyNumberFormat="1" applyFont="1" applyFill="1" applyBorder="1" applyAlignment="1" applyProtection="1">
      <alignment horizontal="center" vertical="center" wrapText="1"/>
    </xf>
    <xf numFmtId="9" fontId="6" fillId="12" borderId="151" xfId="0" applyNumberFormat="1" applyFont="1" applyFill="1" applyBorder="1" applyAlignment="1" applyProtection="1">
      <alignment horizontal="center" vertical="center" wrapText="1"/>
    </xf>
    <xf numFmtId="9" fontId="6" fillId="12" borderId="152" xfId="0" applyNumberFormat="1" applyFont="1" applyFill="1" applyBorder="1" applyAlignment="1" applyProtection="1">
      <alignment horizontal="center" vertical="center" wrapText="1"/>
    </xf>
    <xf numFmtId="0" fontId="6" fillId="12" borderId="153" xfId="0" applyFont="1" applyFill="1" applyBorder="1" applyAlignment="1" applyProtection="1">
      <alignment horizontal="center" vertical="center" wrapText="1"/>
    </xf>
    <xf numFmtId="0" fontId="6" fillId="12" borderId="154" xfId="0" applyFont="1" applyFill="1" applyBorder="1" applyAlignment="1" applyProtection="1">
      <alignment horizontal="center" vertical="center" wrapText="1"/>
    </xf>
    <xf numFmtId="0" fontId="6" fillId="12" borderId="155" xfId="0" applyFont="1" applyFill="1" applyBorder="1" applyAlignment="1" applyProtection="1">
      <alignment horizontal="center" vertical="center" wrapText="1"/>
    </xf>
    <xf numFmtId="0" fontId="6" fillId="15" borderId="54" xfId="0" applyFont="1" applyFill="1" applyBorder="1" applyAlignment="1" applyProtection="1">
      <alignment horizontal="center" vertical="center" wrapText="1"/>
    </xf>
    <xf numFmtId="0" fontId="3" fillId="4" borderId="51" xfId="0" applyFont="1" applyFill="1" applyBorder="1" applyAlignment="1" applyProtection="1">
      <alignment horizontal="center" vertical="center" wrapText="1"/>
    </xf>
    <xf numFmtId="0" fontId="6" fillId="15" borderId="34" xfId="0" applyFont="1" applyFill="1" applyBorder="1" applyAlignment="1" applyProtection="1">
      <alignment horizontal="center" vertical="center" wrapText="1"/>
    </xf>
    <xf numFmtId="0" fontId="3" fillId="4" borderId="33" xfId="0" applyFont="1" applyFill="1" applyBorder="1" applyAlignment="1" applyProtection="1">
      <alignment horizontal="center" vertical="center" wrapText="1"/>
    </xf>
    <xf numFmtId="0" fontId="6" fillId="15" borderId="44" xfId="0" applyFont="1" applyFill="1" applyBorder="1" applyAlignment="1" applyProtection="1">
      <alignment horizontal="center" vertical="center" wrapText="1"/>
    </xf>
    <xf numFmtId="0" fontId="3" fillId="4" borderId="78" xfId="0" quotePrefix="1" applyFont="1" applyFill="1" applyBorder="1" applyAlignment="1" applyProtection="1">
      <alignment horizontal="center" vertical="center" wrapText="1"/>
    </xf>
    <xf numFmtId="0" fontId="6" fillId="15" borderId="3" xfId="0" applyFont="1" applyFill="1" applyBorder="1" applyAlignment="1" applyProtection="1">
      <alignment horizontal="center" vertical="center" wrapText="1"/>
    </xf>
    <xf numFmtId="0" fontId="4" fillId="11" borderId="3" xfId="0" applyFont="1" applyFill="1" applyBorder="1" applyAlignment="1" applyProtection="1">
      <alignment horizontal="center" vertical="center" wrapText="1"/>
    </xf>
    <xf numFmtId="166" fontId="6" fillId="9" borderId="3" xfId="0" applyNumberFormat="1" applyFont="1" applyFill="1" applyBorder="1" applyAlignment="1" applyProtection="1">
      <alignment horizontal="center" vertical="center" wrapText="1"/>
    </xf>
    <xf numFmtId="165" fontId="6" fillId="9" borderId="3" xfId="0" applyNumberFormat="1" applyFont="1" applyFill="1" applyBorder="1" applyAlignment="1" applyProtection="1">
      <alignment horizontal="center" vertical="center" wrapText="1"/>
    </xf>
    <xf numFmtId="3" fontId="6" fillId="10" borderId="3" xfId="0" applyNumberFormat="1" applyFont="1" applyFill="1" applyBorder="1" applyAlignment="1" applyProtection="1">
      <alignment horizontal="center" vertical="center" wrapText="1"/>
    </xf>
    <xf numFmtId="167" fontId="6" fillId="12" borderId="3" xfId="0" applyNumberFormat="1" applyFont="1" applyFill="1" applyBorder="1" applyAlignment="1" applyProtection="1">
      <alignment horizontal="center" vertical="center" wrapText="1"/>
    </xf>
    <xf numFmtId="167" fontId="6" fillId="12" borderId="4" xfId="0" applyNumberFormat="1" applyFont="1" applyFill="1" applyBorder="1" applyAlignment="1" applyProtection="1">
      <alignment horizontal="center" vertical="center" wrapText="1"/>
    </xf>
    <xf numFmtId="3" fontId="4" fillId="24" borderId="54" xfId="0" applyNumberFormat="1" applyFont="1" applyFill="1" applyBorder="1" applyAlignment="1" applyProtection="1">
      <alignment horizontal="center" vertical="center" wrapText="1"/>
    </xf>
    <xf numFmtId="0" fontId="0" fillId="14" borderId="159" xfId="0" applyFill="1" applyBorder="1" applyAlignment="1">
      <alignment horizontal="center" vertical="center" wrapText="1"/>
    </xf>
    <xf numFmtId="177" fontId="3" fillId="4" borderId="19" xfId="0" applyNumberFormat="1" applyFont="1" applyFill="1" applyBorder="1" applyAlignment="1">
      <alignment horizontal="center" vertical="center" wrapText="1"/>
    </xf>
    <xf numFmtId="177" fontId="7" fillId="14" borderId="0" xfId="0" applyNumberFormat="1" applyFont="1" applyFill="1" applyAlignment="1">
      <alignment horizontal="center" vertical="center" wrapText="1"/>
    </xf>
    <xf numFmtId="177" fontId="33" fillId="14" borderId="0" xfId="0" applyNumberFormat="1" applyFont="1" applyFill="1" applyAlignment="1">
      <alignment horizontal="center" vertical="center" wrapText="1"/>
    </xf>
    <xf numFmtId="177" fontId="3" fillId="4" borderId="18" xfId="8" applyNumberFormat="1" applyFont="1" applyFill="1" applyBorder="1" applyAlignment="1">
      <alignment horizontal="center" vertical="center" wrapText="1"/>
    </xf>
    <xf numFmtId="177" fontId="0" fillId="14" borderId="0" xfId="0" applyNumberFormat="1" applyFill="1" applyAlignment="1">
      <alignment horizontal="center" vertical="center" wrapText="1"/>
    </xf>
    <xf numFmtId="0" fontId="0" fillId="0" borderId="0" xfId="0" applyProtection="1"/>
    <xf numFmtId="0" fontId="0" fillId="0" borderId="0" xfId="0" applyAlignment="1" applyProtection="1">
      <alignment horizontal="center"/>
    </xf>
    <xf numFmtId="0" fontId="4" fillId="13" borderId="160" xfId="0" applyFont="1" applyFill="1" applyBorder="1" applyAlignment="1" applyProtection="1">
      <alignment horizontal="center" vertical="center" wrapText="1"/>
    </xf>
    <xf numFmtId="0" fontId="4" fillId="13" borderId="161" xfId="0" applyFont="1" applyFill="1" applyBorder="1" applyAlignment="1" applyProtection="1">
      <alignment horizontal="center" vertical="center" wrapText="1"/>
    </xf>
    <xf numFmtId="0" fontId="4" fillId="13" borderId="162" xfId="0" applyFont="1" applyFill="1" applyBorder="1" applyAlignment="1" applyProtection="1">
      <alignment horizontal="center" vertical="center" wrapText="1"/>
    </xf>
    <xf numFmtId="0" fontId="0" fillId="14" borderId="163" xfId="0" applyFill="1" applyBorder="1" applyAlignment="1" applyProtection="1">
      <alignment vertical="center" wrapText="1"/>
    </xf>
    <xf numFmtId="11" fontId="6" fillId="9" borderId="34" xfId="0" quotePrefix="1" applyNumberFormat="1" applyFont="1" applyFill="1" applyBorder="1" applyAlignment="1">
      <alignment horizontal="left" vertical="center" wrapText="1"/>
    </xf>
    <xf numFmtId="0" fontId="0" fillId="0" borderId="0" xfId="0" applyAlignment="1">
      <alignment horizontal="left" vertical="top" wrapText="1"/>
    </xf>
    <xf numFmtId="0" fontId="49" fillId="0" borderId="0" xfId="0" applyFont="1"/>
    <xf numFmtId="0" fontId="0" fillId="0" borderId="0" xfId="0" applyAlignment="1">
      <alignment horizontal="left"/>
    </xf>
    <xf numFmtId="0" fontId="0" fillId="0" borderId="0" xfId="0" applyAlignment="1">
      <alignment horizontal="left" vertical="top"/>
    </xf>
    <xf numFmtId="0" fontId="50" fillId="0" borderId="0" xfId="0" applyFont="1" applyAlignment="1">
      <alignment vertical="top"/>
    </xf>
    <xf numFmtId="0" fontId="48" fillId="0" borderId="0" xfId="0" applyFont="1" applyAlignment="1">
      <alignment vertical="top"/>
    </xf>
    <xf numFmtId="0" fontId="50" fillId="0" borderId="0" xfId="0" applyFont="1"/>
    <xf numFmtId="0" fontId="48" fillId="0" borderId="0" xfId="0" applyFont="1" applyFill="1" applyAlignment="1">
      <alignment vertical="top"/>
    </xf>
    <xf numFmtId="0" fontId="0" fillId="0" borderId="0" xfId="0" applyAlignment="1">
      <alignment horizontal="left" vertical="center" wrapText="1"/>
    </xf>
    <xf numFmtId="0" fontId="0" fillId="0" borderId="0" xfId="0" applyAlignment="1">
      <alignment horizontal="left" vertical="center"/>
    </xf>
    <xf numFmtId="0" fontId="3" fillId="4" borderId="30"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7" fillId="10" borderId="78" xfId="0" applyFont="1" applyFill="1" applyBorder="1" applyAlignment="1" applyProtection="1">
      <alignment horizontal="center" vertical="center" wrapText="1"/>
    </xf>
    <xf numFmtId="0" fontId="27" fillId="24" borderId="78"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3" fillId="4" borderId="22"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3" fillId="4" borderId="24" xfId="0" applyFont="1" applyFill="1" applyBorder="1" applyAlignment="1">
      <alignment horizontal="center" vertical="center"/>
    </xf>
    <xf numFmtId="0" fontId="3" fillId="4" borderId="1" xfId="0" applyFont="1" applyFill="1" applyBorder="1" applyAlignment="1">
      <alignment horizontal="center" vertical="center" wrapText="1"/>
    </xf>
    <xf numFmtId="0" fontId="6" fillId="15" borderId="164" xfId="0" applyFont="1" applyFill="1" applyBorder="1" applyAlignment="1" applyProtection="1">
      <alignment horizontal="center" vertical="center" wrapText="1"/>
      <protection locked="0"/>
    </xf>
    <xf numFmtId="0" fontId="6" fillId="15" borderId="164" xfId="0" applyFont="1" applyFill="1" applyBorder="1" applyAlignment="1" applyProtection="1">
      <alignment horizontal="center" vertical="center" wrapText="1"/>
    </xf>
    <xf numFmtId="0" fontId="6" fillId="15" borderId="165" xfId="0" applyFont="1" applyFill="1" applyBorder="1" applyAlignment="1" applyProtection="1">
      <alignment horizontal="center" vertical="center" wrapText="1"/>
      <protection locked="0"/>
    </xf>
    <xf numFmtId="0" fontId="6" fillId="15" borderId="166" xfId="0" applyFont="1" applyFill="1" applyBorder="1" applyAlignment="1" applyProtection="1">
      <alignment horizontal="center" vertical="center" wrapText="1"/>
      <protection locked="0"/>
    </xf>
    <xf numFmtId="0" fontId="6" fillId="15" borderId="167" xfId="0" applyFont="1" applyFill="1" applyBorder="1" applyAlignment="1" applyProtection="1">
      <alignment horizontal="center" vertical="center" wrapText="1"/>
      <protection locked="0"/>
    </xf>
    <xf numFmtId="0" fontId="6" fillId="15" borderId="168" xfId="0" applyFont="1" applyFill="1" applyBorder="1" applyAlignment="1" applyProtection="1">
      <alignment horizontal="center" vertical="center" wrapText="1"/>
      <protection locked="0"/>
    </xf>
    <xf numFmtId="0" fontId="6" fillId="15" borderId="169" xfId="0" applyFont="1" applyFill="1" applyBorder="1" applyAlignment="1" applyProtection="1">
      <alignment horizontal="center" vertical="center" wrapText="1"/>
      <protection locked="0"/>
    </xf>
    <xf numFmtId="0" fontId="6" fillId="15" borderId="168" xfId="0" applyFont="1" applyFill="1" applyBorder="1" applyAlignment="1" applyProtection="1">
      <alignment horizontal="center" vertical="center" wrapText="1"/>
    </xf>
    <xf numFmtId="0" fontId="6" fillId="15" borderId="170" xfId="0" applyFont="1" applyFill="1" applyBorder="1" applyAlignment="1" applyProtection="1">
      <alignment horizontal="center" vertical="center" wrapText="1"/>
      <protection locked="0"/>
    </xf>
    <xf numFmtId="0" fontId="6" fillId="15" borderId="171" xfId="0" applyFont="1" applyFill="1" applyBorder="1" applyAlignment="1" applyProtection="1">
      <alignment horizontal="center" vertical="center" wrapText="1"/>
      <protection locked="0"/>
    </xf>
    <xf numFmtId="0" fontId="6" fillId="15" borderId="172" xfId="0" applyFont="1" applyFill="1" applyBorder="1" applyAlignment="1" applyProtection="1">
      <alignment horizontal="center" vertical="center" wrapText="1"/>
      <protection locked="0"/>
    </xf>
    <xf numFmtId="0" fontId="6" fillId="15" borderId="173" xfId="0" applyFont="1" applyFill="1" applyBorder="1" applyAlignment="1" applyProtection="1">
      <alignment horizontal="center" vertical="center" wrapText="1"/>
      <protection locked="0"/>
    </xf>
    <xf numFmtId="0" fontId="6" fillId="15" borderId="174" xfId="0" applyFont="1" applyFill="1" applyBorder="1" applyAlignment="1" applyProtection="1">
      <alignment horizontal="center" vertical="center" wrapText="1"/>
      <protection locked="0"/>
    </xf>
    <xf numFmtId="0" fontId="6" fillId="15" borderId="173" xfId="0" applyFont="1" applyFill="1" applyBorder="1" applyAlignment="1" applyProtection="1">
      <alignment horizontal="center" vertical="center" wrapText="1"/>
    </xf>
    <xf numFmtId="0" fontId="6" fillId="15" borderId="175" xfId="0" applyFont="1" applyFill="1" applyBorder="1" applyAlignment="1" applyProtection="1">
      <alignment horizontal="center" vertical="center" wrapText="1"/>
      <protection locked="0"/>
    </xf>
    <xf numFmtId="0" fontId="6" fillId="15" borderId="177" xfId="0" applyFont="1" applyFill="1" applyBorder="1" applyAlignment="1" applyProtection="1">
      <alignment horizontal="center" vertical="center" wrapText="1"/>
      <protection locked="0"/>
    </xf>
    <xf numFmtId="0" fontId="6" fillId="15" borderId="178" xfId="0" applyFont="1" applyFill="1" applyBorder="1" applyAlignment="1" applyProtection="1">
      <alignment horizontal="center" vertical="center" wrapText="1"/>
      <protection locked="0"/>
    </xf>
    <xf numFmtId="0" fontId="6" fillId="15" borderId="179" xfId="0" applyFont="1" applyFill="1" applyBorder="1" applyAlignment="1" applyProtection="1">
      <alignment horizontal="center" vertical="center" wrapText="1"/>
      <protection locked="0"/>
    </xf>
    <xf numFmtId="0" fontId="0" fillId="30" borderId="180" xfId="0" applyFont="1" applyFill="1" applyBorder="1" applyAlignment="1">
      <alignment horizontal="left" wrapText="1"/>
    </xf>
    <xf numFmtId="177" fontId="4" fillId="9" borderId="0" xfId="0" applyNumberFormat="1" applyFont="1" applyFill="1" applyBorder="1" applyAlignment="1">
      <alignment horizontal="center" vertical="center" wrapText="1"/>
    </xf>
    <xf numFmtId="177" fontId="6" fillId="15" borderId="154" xfId="0" applyNumberFormat="1" applyFont="1" applyFill="1" applyBorder="1" applyAlignment="1" applyProtection="1">
      <alignment horizontal="center" vertical="center" wrapText="1"/>
    </xf>
    <xf numFmtId="3" fontId="3" fillId="4" borderId="32" xfId="0" applyNumberFormat="1" applyFont="1" applyFill="1" applyBorder="1" applyAlignment="1" applyProtection="1">
      <alignment horizontal="center" vertical="center" wrapText="1"/>
    </xf>
    <xf numFmtId="165" fontId="6" fillId="13" borderId="54" xfId="0" applyNumberFormat="1" applyFont="1" applyFill="1" applyBorder="1" applyAlignment="1" applyProtection="1">
      <alignment horizontal="center" vertical="center" wrapText="1"/>
    </xf>
    <xf numFmtId="3" fontId="4" fillId="12" borderId="156" xfId="0" applyNumberFormat="1" applyFont="1" applyFill="1" applyBorder="1" applyAlignment="1" applyProtection="1">
      <alignment horizontal="center" vertical="center" wrapText="1"/>
    </xf>
    <xf numFmtId="177" fontId="6" fillId="15" borderId="153" xfId="0" applyNumberFormat="1" applyFont="1" applyFill="1" applyBorder="1" applyAlignment="1" applyProtection="1">
      <alignment horizontal="center" vertical="center" wrapText="1"/>
    </xf>
    <xf numFmtId="177" fontId="6" fillId="15" borderId="156" xfId="0" applyNumberFormat="1" applyFont="1" applyFill="1" applyBorder="1" applyAlignment="1" applyProtection="1">
      <alignment horizontal="center" vertical="center" wrapText="1"/>
    </xf>
    <xf numFmtId="3" fontId="3" fillId="4" borderId="51" xfId="0" applyNumberFormat="1" applyFont="1" applyFill="1" applyBorder="1" applyAlignment="1" applyProtection="1">
      <alignment horizontal="center" vertical="center" wrapText="1"/>
    </xf>
    <xf numFmtId="165" fontId="6" fillId="13" borderId="34" xfId="0" applyNumberFormat="1" applyFont="1" applyFill="1" applyBorder="1" applyAlignment="1" applyProtection="1">
      <alignment horizontal="center" vertical="center" wrapText="1"/>
    </xf>
    <xf numFmtId="3" fontId="4" fillId="12" borderId="157" xfId="0" applyNumberFormat="1" applyFont="1" applyFill="1" applyBorder="1" applyAlignment="1" applyProtection="1">
      <alignment horizontal="center" vertical="center" wrapText="1"/>
    </xf>
    <xf numFmtId="177" fontId="6" fillId="15" borderId="157" xfId="0" applyNumberFormat="1" applyFont="1" applyFill="1" applyBorder="1" applyAlignment="1" applyProtection="1">
      <alignment horizontal="center" vertical="center" wrapText="1"/>
    </xf>
    <xf numFmtId="3" fontId="3" fillId="4" borderId="33" xfId="0" applyNumberFormat="1" applyFont="1" applyFill="1" applyBorder="1" applyAlignment="1" applyProtection="1">
      <alignment horizontal="center" vertical="center" wrapText="1"/>
    </xf>
    <xf numFmtId="165" fontId="6" fillId="13" borderId="44" xfId="0" applyNumberFormat="1" applyFont="1" applyFill="1" applyBorder="1" applyAlignment="1" applyProtection="1">
      <alignment horizontal="center" vertical="center" wrapText="1"/>
    </xf>
    <xf numFmtId="3" fontId="4" fillId="12" borderId="158" xfId="0" applyNumberFormat="1" applyFont="1" applyFill="1" applyBorder="1" applyAlignment="1" applyProtection="1">
      <alignment horizontal="center" vertical="center" wrapText="1"/>
    </xf>
    <xf numFmtId="177" fontId="6" fillId="15" borderId="155" xfId="0" applyNumberFormat="1" applyFont="1" applyFill="1" applyBorder="1" applyAlignment="1" applyProtection="1">
      <alignment horizontal="center" vertical="center" wrapText="1"/>
    </xf>
    <xf numFmtId="177" fontId="6" fillId="15" borderId="158" xfId="0" applyNumberFormat="1" applyFont="1" applyFill="1" applyBorder="1" applyAlignment="1" applyProtection="1">
      <alignment horizontal="center" vertical="center" wrapText="1"/>
    </xf>
    <xf numFmtId="3" fontId="7" fillId="24" borderId="44" xfId="0" applyNumberFormat="1" applyFont="1" applyFill="1" applyBorder="1" applyAlignment="1" applyProtection="1">
      <alignment horizontal="center" vertical="center" wrapText="1"/>
    </xf>
    <xf numFmtId="0" fontId="3" fillId="4" borderId="3" xfId="0" applyFont="1" applyFill="1" applyBorder="1" applyAlignment="1">
      <alignment horizontal="center" vertical="center" wrapText="1"/>
    </xf>
    <xf numFmtId="3" fontId="7" fillId="3" borderId="50"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3" fillId="4" borderId="12" xfId="0" applyFont="1" applyFill="1" applyBorder="1" applyAlignment="1" applyProtection="1">
      <alignment horizontal="center" vertical="center" wrapText="1"/>
    </xf>
    <xf numFmtId="0" fontId="5" fillId="5" borderId="34" xfId="0" applyNumberFormat="1" applyFont="1" applyFill="1" applyBorder="1" applyAlignment="1">
      <alignment horizontal="center" vertical="center" wrapText="1"/>
    </xf>
    <xf numFmtId="0" fontId="5" fillId="6" borderId="34" xfId="0" applyNumberFormat="1" applyFont="1" applyFill="1" applyBorder="1" applyAlignment="1">
      <alignment horizontal="center" vertical="center" wrapText="1"/>
    </xf>
    <xf numFmtId="0" fontId="5" fillId="6" borderId="44" xfId="0" applyNumberFormat="1" applyFont="1" applyFill="1" applyBorder="1" applyAlignment="1">
      <alignment horizontal="center" vertical="center" wrapText="1"/>
    </xf>
    <xf numFmtId="0" fontId="4" fillId="14" borderId="0" xfId="0" applyFont="1" applyFill="1" applyAlignment="1" applyProtection="1">
      <alignment horizontal="center" vertical="center" wrapText="1"/>
    </xf>
    <xf numFmtId="0" fontId="9" fillId="14" borderId="0" xfId="0" applyFont="1" applyFill="1" applyAlignment="1" applyProtection="1">
      <alignment vertical="center" wrapText="1"/>
    </xf>
    <xf numFmtId="0" fontId="9" fillId="14" borderId="0" xfId="0" applyFont="1" applyFill="1" applyAlignment="1" applyProtection="1">
      <alignment horizontal="center" vertical="center" wrapText="1"/>
    </xf>
    <xf numFmtId="0" fontId="9" fillId="0" borderId="0" xfId="0" applyFont="1" applyProtection="1"/>
    <xf numFmtId="0" fontId="4" fillId="5" borderId="34" xfId="0" applyNumberFormat="1" applyFont="1" applyFill="1" applyBorder="1" applyAlignment="1">
      <alignment horizontal="center" vertical="center" wrapText="1"/>
    </xf>
    <xf numFmtId="0" fontId="4" fillId="6" borderId="34" xfId="0" applyNumberFormat="1" applyFont="1" applyFill="1" applyBorder="1" applyAlignment="1">
      <alignment horizontal="center" vertical="center" wrapText="1"/>
    </xf>
    <xf numFmtId="0" fontId="4" fillId="6" borderId="44" xfId="0" applyNumberFormat="1" applyFont="1" applyFill="1" applyBorder="1" applyAlignment="1">
      <alignment horizontal="center" vertical="center" wrapText="1"/>
    </xf>
    <xf numFmtId="0" fontId="3" fillId="4" borderId="68" xfId="0"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horizontal="left"/>
    </xf>
    <xf numFmtId="0" fontId="4" fillId="14" borderId="0" xfId="4" applyFont="1" applyFill="1" applyBorder="1" applyAlignment="1">
      <alignment horizontal="left" vertical="center" wrapText="1"/>
    </xf>
    <xf numFmtId="0" fontId="0" fillId="0" borderId="0" xfId="0" applyBorder="1" applyAlignment="1">
      <alignment vertical="center" wrapText="1"/>
    </xf>
    <xf numFmtId="0" fontId="4" fillId="14" borderId="11" xfId="4" applyFont="1" applyFill="1" applyBorder="1" applyAlignment="1">
      <alignment horizontal="left" vertical="center" wrapText="1"/>
    </xf>
    <xf numFmtId="0" fontId="0" fillId="0" borderId="11" xfId="0" applyBorder="1" applyAlignment="1">
      <alignment vertical="center" wrapText="1"/>
    </xf>
    <xf numFmtId="0" fontId="6" fillId="0" borderId="0" xfId="0" applyFont="1" applyBorder="1" applyAlignment="1">
      <alignment vertical="center" wrapText="1"/>
    </xf>
    <xf numFmtId="0" fontId="34" fillId="14" borderId="15" xfId="2" applyFont="1" applyFill="1" applyBorder="1" applyAlignment="1">
      <alignment horizontal="left" vertical="center" wrapText="1"/>
    </xf>
    <xf numFmtId="0" fontId="35" fillId="0" borderId="15" xfId="0" applyFont="1" applyBorder="1" applyAlignment="1">
      <alignment vertical="center" wrapText="1"/>
    </xf>
    <xf numFmtId="0" fontId="35" fillId="0" borderId="16" xfId="0" applyFont="1" applyBorder="1" applyAlignment="1">
      <alignment vertical="center" wrapText="1"/>
    </xf>
    <xf numFmtId="3" fontId="7" fillId="3" borderId="45" xfId="0" applyNumberFormat="1"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0" fontId="35" fillId="14" borderId="0" xfId="0" applyFont="1" applyFill="1" applyBorder="1" applyAlignment="1">
      <alignment horizontal="left" vertical="center" wrapText="1"/>
    </xf>
    <xf numFmtId="0" fontId="35" fillId="14" borderId="13" xfId="0" applyFont="1" applyFill="1" applyBorder="1" applyAlignment="1">
      <alignment horizontal="left"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3" fontId="12" fillId="4" borderId="2" xfId="0" applyNumberFormat="1" applyFont="1" applyFill="1" applyBorder="1" applyAlignment="1" applyProtection="1">
      <alignment horizontal="center" vertical="center" wrapText="1"/>
    </xf>
    <xf numFmtId="0" fontId="12" fillId="4" borderId="3" xfId="0" applyFont="1" applyFill="1" applyBorder="1" applyAlignment="1" applyProtection="1">
      <alignment horizontal="center" vertical="center" wrapText="1"/>
    </xf>
    <xf numFmtId="0" fontId="12" fillId="4" borderId="4" xfId="0" applyFont="1" applyFill="1" applyBorder="1" applyAlignment="1" applyProtection="1">
      <alignment horizontal="center" vertical="center" wrapText="1"/>
    </xf>
    <xf numFmtId="0" fontId="12" fillId="4" borderId="10" xfId="0" applyFont="1" applyFill="1" applyBorder="1" applyAlignment="1">
      <alignment horizontal="center" vertical="center" wrapText="1"/>
    </xf>
    <xf numFmtId="0" fontId="0" fillId="0" borderId="12" xfId="0" applyBorder="1" applyAlignment="1">
      <alignment horizontal="center" vertical="center" wrapText="1"/>
    </xf>
    <xf numFmtId="0" fontId="12" fillId="4" borderId="63" xfId="0" applyFont="1" applyFill="1" applyBorder="1" applyAlignment="1">
      <alignment horizontal="center" vertical="center" wrapText="1"/>
    </xf>
    <xf numFmtId="0" fontId="0" fillId="0" borderId="0" xfId="0" applyBorder="1" applyAlignment="1">
      <alignment horizontal="center" vertical="center" wrapText="1"/>
    </xf>
    <xf numFmtId="179" fontId="3" fillId="4" borderId="33" xfId="0" applyNumberFormat="1" applyFont="1" applyFill="1" applyBorder="1" applyAlignment="1">
      <alignment horizontal="center" vertical="center" wrapText="1"/>
    </xf>
    <xf numFmtId="179" fontId="3" fillId="4" borderId="55" xfId="0" applyNumberFormat="1" applyFont="1" applyFill="1" applyBorder="1" applyAlignment="1">
      <alignment horizontal="center" vertical="center" wrapText="1"/>
    </xf>
    <xf numFmtId="3" fontId="6" fillId="10" borderId="4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6" fillId="24" borderId="21" xfId="0" applyNumberFormat="1" applyFont="1" applyFill="1" applyBorder="1" applyAlignment="1">
      <alignment horizontal="center" vertical="center" wrapText="1"/>
    </xf>
    <xf numFmtId="0" fontId="3" fillId="4" borderId="3" xfId="2" applyFont="1" applyFill="1" applyBorder="1" applyAlignment="1">
      <alignment horizontal="center" vertical="center" wrapText="1"/>
    </xf>
    <xf numFmtId="0" fontId="3" fillId="4" borderId="30" xfId="0" applyFont="1" applyFill="1" applyBorder="1" applyAlignment="1">
      <alignment horizontal="center" vertical="center" wrapText="1"/>
    </xf>
    <xf numFmtId="3" fontId="7" fillId="3" borderId="50" xfId="0" applyNumberFormat="1" applyFont="1" applyFill="1" applyBorder="1" applyAlignment="1">
      <alignment horizontal="center" vertical="center" wrapText="1"/>
    </xf>
    <xf numFmtId="3" fontId="7" fillId="3" borderId="20"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3" fontId="7" fillId="3" borderId="43" xfId="0"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0" fillId="0" borderId="12" xfId="0" applyBorder="1" applyAlignment="1">
      <alignment vertical="center" wrapText="1"/>
    </xf>
    <xf numFmtId="0" fontId="34" fillId="14" borderId="0" xfId="4" applyFont="1" applyFill="1" applyBorder="1" applyAlignment="1">
      <alignment horizontal="left" vertical="center" wrapText="1"/>
    </xf>
    <xf numFmtId="0" fontId="35" fillId="0" borderId="0" xfId="0" applyFont="1" applyBorder="1" applyAlignment="1">
      <alignment vertical="center" wrapText="1"/>
    </xf>
    <xf numFmtId="0" fontId="35" fillId="0" borderId="13" xfId="0" applyFont="1" applyBorder="1" applyAlignment="1">
      <alignment vertical="center" wrapText="1"/>
    </xf>
    <xf numFmtId="0" fontId="3" fillId="4" borderId="3" xfId="0" applyFont="1" applyFill="1" applyBorder="1" applyAlignment="1">
      <alignment horizontal="center" vertical="center" wrapText="1"/>
    </xf>
    <xf numFmtId="3" fontId="6" fillId="10" borderId="54"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20"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3" xfId="0" applyNumberFormat="1" applyFont="1" applyFill="1" applyBorder="1" applyAlignment="1">
      <alignment horizontal="center" vertical="center" wrapText="1"/>
    </xf>
    <xf numFmtId="3" fontId="12" fillId="4" borderId="22" xfId="0" applyNumberFormat="1" applyFont="1" applyFill="1" applyBorder="1" applyAlignment="1" applyProtection="1">
      <alignment horizontal="center" vertical="center" wrapText="1"/>
    </xf>
    <xf numFmtId="3" fontId="12" fillId="4" borderId="23" xfId="0" applyNumberFormat="1" applyFont="1" applyFill="1" applyBorder="1" applyAlignment="1" applyProtection="1">
      <alignment horizontal="center" vertical="center" wrapText="1"/>
    </xf>
    <xf numFmtId="3" fontId="12" fillId="4" borderId="24" xfId="0" applyNumberFormat="1" applyFont="1" applyFill="1" applyBorder="1" applyAlignment="1" applyProtection="1">
      <alignment horizontal="center" vertical="center" wrapText="1"/>
    </xf>
    <xf numFmtId="0" fontId="3" fillId="4" borderId="5" xfId="2" applyFont="1" applyFill="1" applyBorder="1" applyAlignment="1">
      <alignment horizontal="center" vertical="center" wrapText="1"/>
    </xf>
    <xf numFmtId="179" fontId="3" fillId="4" borderId="32" xfId="0" applyNumberFormat="1" applyFont="1" applyFill="1" applyBorder="1" applyAlignment="1">
      <alignment horizontal="center" vertical="center" wrapText="1"/>
    </xf>
    <xf numFmtId="179" fontId="3" fillId="4" borderId="56" xfId="0" applyNumberFormat="1" applyFont="1" applyFill="1" applyBorder="1" applyAlignment="1">
      <alignment horizontal="center" vertical="center" wrapText="1"/>
    </xf>
    <xf numFmtId="179" fontId="3" fillId="4" borderId="51" xfId="0" applyNumberFormat="1" applyFont="1" applyFill="1" applyBorder="1" applyAlignment="1">
      <alignment horizontal="center" vertical="center" wrapText="1"/>
    </xf>
    <xf numFmtId="179" fontId="3" fillId="4" borderId="39" xfId="0" applyNumberFormat="1"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63"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22" xfId="0" applyFont="1" applyFill="1" applyBorder="1" applyAlignment="1" applyProtection="1">
      <alignment horizontal="center" vertical="center" wrapText="1"/>
    </xf>
    <xf numFmtId="0" fontId="2" fillId="4" borderId="23" xfId="0" applyFont="1" applyFill="1" applyBorder="1" applyAlignment="1" applyProtection="1">
      <alignment horizontal="center" vertical="center" wrapText="1"/>
    </xf>
    <xf numFmtId="0" fontId="2" fillId="4" borderId="24" xfId="0" applyFont="1" applyFill="1" applyBorder="1" applyAlignment="1" applyProtection="1">
      <alignment horizontal="center" vertical="center" wrapText="1"/>
    </xf>
    <xf numFmtId="173" fontId="16" fillId="12" borderId="6" xfId="0" applyNumberFormat="1" applyFont="1" applyFill="1" applyBorder="1" applyAlignment="1" applyProtection="1">
      <alignment horizontal="center" vertical="center" wrapText="1"/>
    </xf>
    <xf numFmtId="171" fontId="16" fillId="12" borderId="78" xfId="0" applyNumberFormat="1" applyFont="1" applyFill="1" applyBorder="1" applyAlignment="1" applyProtection="1">
      <alignment horizontal="center" vertical="center" wrapText="1"/>
    </xf>
    <xf numFmtId="171" fontId="16" fillId="12" borderId="6" xfId="0" applyNumberFormat="1" applyFont="1" applyFill="1" applyBorder="1" applyAlignment="1" applyProtection="1">
      <alignment horizontal="center" vertical="center" wrapText="1"/>
    </xf>
    <xf numFmtId="172" fontId="16" fillId="12" borderId="78" xfId="0" applyNumberFormat="1" applyFont="1" applyFill="1" applyBorder="1" applyAlignment="1" applyProtection="1">
      <alignment horizontal="center" vertical="center" wrapText="1"/>
    </xf>
    <xf numFmtId="174" fontId="16" fillId="12" borderId="6" xfId="0" applyNumberFormat="1" applyFont="1" applyFill="1" applyBorder="1" applyAlignment="1" applyProtection="1">
      <alignment horizontal="center" vertical="center" wrapText="1"/>
    </xf>
    <xf numFmtId="0" fontId="7" fillId="14" borderId="0" xfId="0" applyFont="1" applyFill="1" applyAlignment="1" applyProtection="1">
      <alignment horizontal="center" vertical="center" wrapText="1"/>
    </xf>
    <xf numFmtId="0" fontId="27" fillId="10" borderId="78" xfId="0" applyFont="1" applyFill="1" applyBorder="1" applyAlignment="1" applyProtection="1">
      <alignment horizontal="center" vertical="center" wrapText="1"/>
    </xf>
    <xf numFmtId="168" fontId="27" fillId="10" borderId="6" xfId="0" applyNumberFormat="1" applyFont="1" applyFill="1" applyBorder="1" applyAlignment="1" applyProtection="1">
      <alignment horizontal="center" vertical="center" wrapText="1"/>
    </xf>
    <xf numFmtId="0" fontId="2" fillId="4" borderId="63" xfId="0" applyFont="1" applyFill="1" applyBorder="1" applyAlignment="1" applyProtection="1">
      <alignment horizontal="center" vertical="center" wrapText="1"/>
    </xf>
    <xf numFmtId="0" fontId="2" fillId="4" borderId="0" xfId="0" applyFont="1" applyFill="1" applyBorder="1" applyAlignment="1" applyProtection="1">
      <alignment horizontal="center" vertical="center" wrapText="1"/>
    </xf>
    <xf numFmtId="0" fontId="2" fillId="4" borderId="14" xfId="0" applyFont="1" applyFill="1" applyBorder="1" applyAlignment="1" applyProtection="1">
      <alignment horizontal="center" vertical="center" wrapText="1"/>
    </xf>
    <xf numFmtId="0" fontId="2" fillId="4" borderId="15" xfId="0" applyFont="1" applyFill="1" applyBorder="1" applyAlignment="1" applyProtection="1">
      <alignment horizontal="center" vertical="center" wrapText="1"/>
    </xf>
    <xf numFmtId="170" fontId="8" fillId="3" borderId="6" xfId="0" applyNumberFormat="1" applyFont="1" applyFill="1" applyBorder="1" applyAlignment="1" applyProtection="1">
      <alignment horizontal="center" vertical="center" wrapText="1"/>
    </xf>
    <xf numFmtId="173" fontId="32" fillId="12" borderId="78" xfId="0" applyNumberFormat="1" applyFont="1" applyFill="1" applyBorder="1" applyAlignment="1" applyProtection="1">
      <alignment horizontal="center" vertical="center" wrapText="1"/>
    </xf>
    <xf numFmtId="0" fontId="0" fillId="15" borderId="176" xfId="0" applyNumberFormat="1" applyFill="1" applyBorder="1" applyAlignment="1" applyProtection="1">
      <alignment horizontal="center" vertical="center" wrapText="1"/>
      <protection locked="0"/>
    </xf>
    <xf numFmtId="0" fontId="0" fillId="15" borderId="140" xfId="0" applyNumberFormat="1" applyFill="1" applyBorder="1" applyAlignment="1" applyProtection="1">
      <alignment horizontal="center" vertical="center" wrapText="1"/>
      <protection locked="0"/>
    </xf>
    <xf numFmtId="0" fontId="3" fillId="4" borderId="98" xfId="0" applyFont="1" applyFill="1" applyBorder="1" applyAlignment="1" applyProtection="1">
      <alignment horizontal="center" vertical="center" wrapText="1"/>
    </xf>
    <xf numFmtId="0" fontId="3" fillId="4" borderId="99" xfId="0" applyFont="1" applyFill="1" applyBorder="1" applyAlignment="1" applyProtection="1">
      <alignment horizontal="center" vertical="center" wrapText="1"/>
    </xf>
    <xf numFmtId="0" fontId="27" fillId="24" borderId="78" xfId="0" applyFont="1" applyFill="1" applyBorder="1" applyAlignment="1" applyProtection="1">
      <alignment horizontal="center" vertical="center" wrapText="1"/>
    </xf>
    <xf numFmtId="169" fontId="27" fillId="24" borderId="6" xfId="0" applyNumberFormat="1" applyFont="1" applyFill="1" applyBorder="1" applyAlignment="1" applyProtection="1">
      <alignment horizontal="center" vertical="center" wrapText="1"/>
    </xf>
    <xf numFmtId="170" fontId="1" fillId="3" borderId="78" xfId="0" applyNumberFormat="1" applyFont="1" applyFill="1" applyBorder="1" applyAlignment="1" applyProtection="1">
      <alignment horizontal="center" vertical="center" wrapText="1"/>
    </xf>
    <xf numFmtId="164" fontId="2" fillId="4" borderId="14" xfId="0" applyNumberFormat="1" applyFont="1" applyFill="1" applyBorder="1" applyAlignment="1" applyProtection="1">
      <alignment horizontal="center" vertical="center" wrapText="1"/>
    </xf>
    <xf numFmtId="164" fontId="2" fillId="4" borderId="15" xfId="0" applyNumberFormat="1" applyFont="1" applyFill="1" applyBorder="1" applyAlignment="1" applyProtection="1">
      <alignment horizontal="center" vertical="center" wrapText="1"/>
    </xf>
    <xf numFmtId="0" fontId="12" fillId="4" borderId="10" xfId="0" applyFont="1" applyFill="1" applyBorder="1" applyAlignment="1" applyProtection="1">
      <alignment horizontal="center" vertical="center" wrapText="1"/>
    </xf>
    <xf numFmtId="0" fontId="12" fillId="4" borderId="11" xfId="0" applyFont="1" applyFill="1" applyBorder="1" applyAlignment="1" applyProtection="1">
      <alignment horizontal="center" vertical="center" wrapText="1"/>
    </xf>
    <xf numFmtId="0" fontId="12" fillId="4" borderId="12" xfId="0" applyFont="1" applyFill="1" applyBorder="1" applyAlignment="1" applyProtection="1">
      <alignment horizontal="center" vertical="center" wrapText="1"/>
    </xf>
    <xf numFmtId="0" fontId="12" fillId="4" borderId="14" xfId="0" applyFont="1" applyFill="1" applyBorder="1" applyAlignment="1" applyProtection="1">
      <alignment horizontal="center" vertical="center" wrapText="1"/>
    </xf>
    <xf numFmtId="0" fontId="12" fillId="4" borderId="15" xfId="0" applyFont="1" applyFill="1" applyBorder="1" applyAlignment="1" applyProtection="1">
      <alignment horizontal="center" vertical="center" wrapText="1"/>
    </xf>
    <xf numFmtId="0" fontId="12" fillId="4" borderId="16" xfId="0" applyFont="1" applyFill="1" applyBorder="1" applyAlignment="1" applyProtection="1">
      <alignment horizontal="center" vertical="center" wrapText="1"/>
    </xf>
    <xf numFmtId="0" fontId="12" fillId="4" borderId="63" xfId="0" applyFont="1" applyFill="1" applyBorder="1" applyAlignment="1" applyProtection="1">
      <alignment horizontal="center" vertical="center" wrapText="1"/>
    </xf>
    <xf numFmtId="0" fontId="12" fillId="4" borderId="0" xfId="0" applyFont="1" applyFill="1" applyBorder="1" applyAlignment="1" applyProtection="1">
      <alignment horizontal="center" vertical="center" wrapText="1"/>
    </xf>
    <xf numFmtId="0" fontId="12" fillId="4" borderId="13" xfId="0" applyFont="1" applyFill="1" applyBorder="1" applyAlignment="1" applyProtection="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173" fontId="16" fillId="12" borderId="63" xfId="0" applyNumberFormat="1" applyFont="1" applyFill="1" applyBorder="1" applyAlignment="1" applyProtection="1">
      <alignment horizontal="center" vertical="center" wrapText="1"/>
    </xf>
    <xf numFmtId="173" fontId="16" fillId="12" borderId="13" xfId="0" applyNumberFormat="1" applyFont="1" applyFill="1" applyBorder="1" applyAlignment="1" applyProtection="1">
      <alignment horizontal="center" vertical="center" wrapText="1"/>
    </xf>
    <xf numFmtId="0" fontId="27" fillId="10" borderId="10" xfId="0" applyFont="1" applyFill="1" applyBorder="1" applyAlignment="1" applyProtection="1">
      <alignment horizontal="center" vertical="center" wrapText="1"/>
    </xf>
    <xf numFmtId="0" fontId="27" fillId="10" borderId="11" xfId="0" applyFont="1" applyFill="1" applyBorder="1" applyAlignment="1" applyProtection="1">
      <alignment horizontal="center" vertical="center" wrapText="1"/>
    </xf>
    <xf numFmtId="0" fontId="27" fillId="10" borderId="12" xfId="0" applyFont="1" applyFill="1" applyBorder="1" applyAlignment="1" applyProtection="1">
      <alignment horizontal="center" vertical="center" wrapText="1"/>
    </xf>
    <xf numFmtId="0" fontId="8" fillId="24" borderId="10" xfId="0" applyFont="1" applyFill="1" applyBorder="1" applyAlignment="1" applyProtection="1">
      <alignment horizontal="center" vertical="center" wrapText="1"/>
    </xf>
    <xf numFmtId="0" fontId="8" fillId="24" borderId="11" xfId="0" applyFont="1" applyFill="1" applyBorder="1" applyAlignment="1" applyProtection="1">
      <alignment horizontal="center" vertical="center" wrapText="1"/>
    </xf>
    <xf numFmtId="0" fontId="8" fillId="24" borderId="12" xfId="0" applyFont="1" applyFill="1" applyBorder="1" applyAlignment="1" applyProtection="1">
      <alignment horizontal="center" vertical="center" wrapText="1"/>
    </xf>
    <xf numFmtId="171" fontId="16" fillId="12" borderId="10" xfId="0" applyNumberFormat="1" applyFont="1" applyFill="1" applyBorder="1" applyAlignment="1" applyProtection="1">
      <alignment horizontal="center" vertical="center" wrapText="1"/>
    </xf>
    <xf numFmtId="171" fontId="16" fillId="12" borderId="11" xfId="0" quotePrefix="1" applyNumberFormat="1" applyFont="1" applyFill="1" applyBorder="1" applyAlignment="1" applyProtection="1">
      <alignment horizontal="center" vertical="center" wrapText="1"/>
    </xf>
    <xf numFmtId="171" fontId="16" fillId="12" borderId="12" xfId="0" quotePrefix="1" applyNumberFormat="1" applyFont="1" applyFill="1" applyBorder="1" applyAlignment="1" applyProtection="1">
      <alignment horizontal="center" vertical="center" wrapText="1"/>
    </xf>
    <xf numFmtId="170" fontId="8" fillId="3" borderId="10" xfId="0" applyNumberFormat="1" applyFont="1" applyFill="1" applyBorder="1" applyAlignment="1" applyProtection="1">
      <alignment horizontal="center" vertical="center" wrapText="1"/>
    </xf>
    <xf numFmtId="170" fontId="8" fillId="3" borderId="12" xfId="0" applyNumberFormat="1" applyFont="1" applyFill="1" applyBorder="1" applyAlignment="1" applyProtection="1">
      <alignment horizontal="center" vertical="center" wrapText="1"/>
    </xf>
    <xf numFmtId="171" fontId="16" fillId="12" borderId="11" xfId="0" applyNumberFormat="1" applyFont="1" applyFill="1" applyBorder="1" applyAlignment="1" applyProtection="1">
      <alignment horizontal="center" vertical="center" wrapText="1"/>
    </xf>
    <xf numFmtId="171" fontId="16" fillId="12" borderId="12" xfId="0" applyNumberFormat="1" applyFont="1" applyFill="1" applyBorder="1" applyAlignment="1" applyProtection="1">
      <alignment horizontal="center" vertical="center" wrapText="1"/>
    </xf>
    <xf numFmtId="173" fontId="15" fillId="12" borderId="10" xfId="0" applyNumberFormat="1" applyFont="1" applyFill="1" applyBorder="1" applyAlignment="1" applyProtection="1">
      <alignment horizontal="center" vertical="center" wrapText="1"/>
    </xf>
    <xf numFmtId="173" fontId="15" fillId="12" borderId="12" xfId="0" applyNumberFormat="1" applyFont="1" applyFill="1" applyBorder="1" applyAlignment="1" applyProtection="1">
      <alignment horizontal="center" vertical="center" wrapText="1"/>
    </xf>
    <xf numFmtId="172" fontId="16" fillId="12" borderId="31" xfId="0" applyNumberFormat="1" applyFont="1" applyFill="1" applyBorder="1" applyAlignment="1" applyProtection="1">
      <alignment horizontal="center" vertical="center" wrapText="1"/>
    </xf>
    <xf numFmtId="172" fontId="16" fillId="12" borderId="62" xfId="0" applyNumberFormat="1" applyFont="1" applyFill="1" applyBorder="1" applyAlignment="1" applyProtection="1">
      <alignment horizontal="center" vertical="center" wrapText="1"/>
    </xf>
    <xf numFmtId="172" fontId="16" fillId="12" borderId="100" xfId="0" applyNumberFormat="1" applyFont="1" applyFill="1" applyBorder="1" applyAlignment="1" applyProtection="1">
      <alignment horizontal="center" vertical="center" wrapText="1"/>
    </xf>
    <xf numFmtId="174" fontId="16" fillId="12" borderId="72" xfId="0" applyNumberFormat="1" applyFont="1" applyFill="1" applyBorder="1" applyAlignment="1" applyProtection="1">
      <alignment horizontal="center" vertical="center" wrapText="1"/>
    </xf>
    <xf numFmtId="174" fontId="16" fillId="12" borderId="80" xfId="0" applyNumberFormat="1" applyFont="1" applyFill="1" applyBorder="1" applyAlignment="1" applyProtection="1">
      <alignment horizontal="center" vertical="center" wrapText="1"/>
    </xf>
    <xf numFmtId="174" fontId="16" fillId="12" borderId="49" xfId="0" applyNumberFormat="1" applyFont="1" applyFill="1" applyBorder="1" applyAlignment="1" applyProtection="1">
      <alignment horizontal="center" vertical="center" wrapText="1"/>
    </xf>
    <xf numFmtId="171" fontId="16" fillId="12" borderId="14" xfId="0" applyNumberFormat="1" applyFont="1" applyFill="1" applyBorder="1" applyAlignment="1" applyProtection="1">
      <alignment horizontal="center" vertical="center" wrapText="1"/>
    </xf>
    <xf numFmtId="171" fontId="16" fillId="12" borderId="15" xfId="0" applyNumberFormat="1" applyFont="1" applyFill="1" applyBorder="1" applyAlignment="1" applyProtection="1">
      <alignment horizontal="center" vertical="center" wrapText="1"/>
    </xf>
    <xf numFmtId="171" fontId="16" fillId="12" borderId="16" xfId="0" applyNumberFormat="1" applyFont="1" applyFill="1" applyBorder="1" applyAlignment="1" applyProtection="1">
      <alignment horizontal="center" vertical="center" wrapText="1"/>
    </xf>
    <xf numFmtId="171" fontId="16" fillId="12" borderId="63" xfId="0" applyNumberFormat="1" applyFont="1" applyFill="1" applyBorder="1" applyAlignment="1" applyProtection="1">
      <alignment horizontal="center" vertical="center" wrapText="1"/>
    </xf>
    <xf numFmtId="171" fontId="16" fillId="12" borderId="0" xfId="0" applyNumberFormat="1" applyFont="1" applyFill="1" applyBorder="1" applyAlignment="1" applyProtection="1">
      <alignment horizontal="center" vertical="center" wrapText="1"/>
    </xf>
    <xf numFmtId="171" fontId="16" fillId="12" borderId="13" xfId="0" applyNumberFormat="1" applyFont="1" applyFill="1" applyBorder="1" applyAlignment="1" applyProtection="1">
      <alignment horizontal="center" vertical="center" wrapText="1"/>
    </xf>
    <xf numFmtId="0" fontId="12" fillId="4" borderId="14" xfId="0" applyNumberFormat="1" applyFont="1" applyFill="1" applyBorder="1" applyAlignment="1" applyProtection="1">
      <alignment horizontal="center" vertical="center" wrapText="1"/>
    </xf>
    <xf numFmtId="0" fontId="12" fillId="4" borderId="16" xfId="0" applyNumberFormat="1" applyFont="1" applyFill="1" applyBorder="1" applyAlignment="1" applyProtection="1">
      <alignment horizontal="center" vertical="center" wrapText="1"/>
    </xf>
    <xf numFmtId="0" fontId="12" fillId="4" borderId="10" xfId="0" applyNumberFormat="1" applyFont="1" applyFill="1" applyBorder="1" applyAlignment="1" applyProtection="1">
      <alignment horizontal="center" vertical="center" wrapText="1"/>
    </xf>
    <xf numFmtId="0" fontId="12" fillId="4" borderId="12" xfId="0" applyNumberFormat="1" applyFont="1" applyFill="1" applyBorder="1" applyAlignment="1" applyProtection="1">
      <alignment horizontal="center" vertical="center" wrapText="1"/>
    </xf>
    <xf numFmtId="168" fontId="27" fillId="10" borderId="14" xfId="0" applyNumberFormat="1" applyFont="1" applyFill="1" applyBorder="1" applyAlignment="1" applyProtection="1">
      <alignment horizontal="center" vertical="center" wrapText="1"/>
    </xf>
    <xf numFmtId="168" fontId="27" fillId="10" borderId="15" xfId="0" applyNumberFormat="1" applyFont="1" applyFill="1" applyBorder="1" applyAlignment="1" applyProtection="1">
      <alignment horizontal="center" vertical="center" wrapText="1"/>
    </xf>
    <xf numFmtId="168" fontId="27" fillId="10" borderId="16" xfId="0" applyNumberFormat="1" applyFont="1" applyFill="1" applyBorder="1" applyAlignment="1" applyProtection="1">
      <alignment horizontal="center" vertical="center" wrapText="1"/>
    </xf>
    <xf numFmtId="169" fontId="8" fillId="24" borderId="14" xfId="0" applyNumberFormat="1" applyFont="1" applyFill="1" applyBorder="1" applyAlignment="1" applyProtection="1">
      <alignment horizontal="center" vertical="center" wrapText="1"/>
    </xf>
    <xf numFmtId="169" fontId="8" fillId="24" borderId="15" xfId="0" applyNumberFormat="1" applyFont="1" applyFill="1" applyBorder="1" applyAlignment="1" applyProtection="1">
      <alignment horizontal="center" vertical="center" wrapText="1"/>
    </xf>
    <xf numFmtId="169" fontId="8" fillId="24" borderId="16" xfId="0" applyNumberFormat="1" applyFont="1" applyFill="1" applyBorder="1" applyAlignment="1" applyProtection="1">
      <alignment horizontal="center" vertical="center" wrapText="1"/>
    </xf>
    <xf numFmtId="170" fontId="8" fillId="3" borderId="14" xfId="0" applyNumberFormat="1" applyFont="1" applyFill="1" applyBorder="1" applyAlignment="1" applyProtection="1">
      <alignment horizontal="center" vertical="center" wrapText="1"/>
    </xf>
    <xf numFmtId="170" fontId="8" fillId="3" borderId="16" xfId="0" applyNumberFormat="1" applyFont="1" applyFill="1" applyBorder="1" applyAlignment="1" applyProtection="1">
      <alignment horizontal="center" vertical="center" wrapText="1"/>
    </xf>
    <xf numFmtId="164" fontId="2" fillId="4" borderId="22" xfId="0" applyNumberFormat="1" applyFont="1" applyFill="1" applyBorder="1" applyAlignment="1" applyProtection="1">
      <alignment horizontal="center" vertical="center" wrapText="1"/>
    </xf>
    <xf numFmtId="164" fontId="2" fillId="4" borderId="23" xfId="0" applyNumberFormat="1" applyFont="1" applyFill="1" applyBorder="1" applyAlignment="1" applyProtection="1">
      <alignment horizontal="center" vertical="center" wrapText="1"/>
    </xf>
    <xf numFmtId="0" fontId="3" fillId="4" borderId="17" xfId="0" applyFont="1" applyFill="1" applyBorder="1" applyAlignment="1" applyProtection="1">
      <alignment horizontal="right" vertical="center" wrapText="1"/>
    </xf>
    <xf numFmtId="0" fontId="3" fillId="4" borderId="26" xfId="0" applyFont="1" applyFill="1" applyBorder="1" applyAlignment="1" applyProtection="1">
      <alignment horizontal="right" vertical="center" wrapText="1"/>
    </xf>
    <xf numFmtId="0" fontId="3" fillId="4" borderId="31" xfId="0" applyFont="1" applyFill="1" applyBorder="1" applyAlignment="1" applyProtection="1">
      <alignment horizontal="right" vertical="center" wrapText="1"/>
    </xf>
    <xf numFmtId="0" fontId="3" fillId="4" borderId="100" xfId="0" applyFont="1" applyFill="1" applyBorder="1" applyAlignment="1" applyProtection="1">
      <alignment horizontal="right" vertical="center" wrapText="1"/>
    </xf>
    <xf numFmtId="3" fontId="7" fillId="3" borderId="120" xfId="0" applyNumberFormat="1" applyFont="1" applyFill="1" applyBorder="1" applyAlignment="1" applyProtection="1">
      <alignment horizontal="center" vertical="center" wrapText="1"/>
    </xf>
    <xf numFmtId="3" fontId="7" fillId="3" borderId="138" xfId="0" applyNumberFormat="1" applyFont="1" applyFill="1" applyBorder="1" applyAlignment="1" applyProtection="1">
      <alignment horizontal="center" vertical="center" wrapText="1"/>
    </xf>
    <xf numFmtId="0" fontId="3" fillId="4" borderId="27" xfId="0" applyFont="1" applyFill="1" applyBorder="1" applyAlignment="1" applyProtection="1">
      <alignment horizontal="right" vertical="center" wrapText="1"/>
    </xf>
    <xf numFmtId="0" fontId="30" fillId="17" borderId="22" xfId="0" applyFont="1" applyFill="1" applyBorder="1" applyAlignment="1" applyProtection="1">
      <alignment horizontal="right" vertical="center" wrapText="1"/>
    </xf>
    <xf numFmtId="0" fontId="30" fillId="17" borderId="23" xfId="0" applyFont="1" applyFill="1" applyBorder="1" applyAlignment="1" applyProtection="1">
      <alignment horizontal="right" vertical="center" wrapText="1"/>
    </xf>
    <xf numFmtId="3" fontId="6" fillId="24" borderId="17" xfId="0" applyNumberFormat="1" applyFont="1" applyFill="1" applyBorder="1" applyAlignment="1" applyProtection="1">
      <alignment horizontal="center" vertical="center" wrapText="1"/>
    </xf>
    <xf numFmtId="3" fontId="6" fillId="24" borderId="26" xfId="0" applyNumberFormat="1" applyFont="1" applyFill="1" applyBorder="1" applyAlignment="1" applyProtection="1">
      <alignment horizontal="center" vertical="center" wrapText="1"/>
    </xf>
    <xf numFmtId="3" fontId="7" fillId="3" borderId="72" xfId="0" applyNumberFormat="1" applyFont="1" applyFill="1" applyBorder="1" applyAlignment="1" applyProtection="1">
      <alignment horizontal="center" vertical="center" wrapText="1"/>
    </xf>
    <xf numFmtId="3" fontId="7" fillId="3" borderId="81" xfId="0" applyNumberFormat="1" applyFont="1" applyFill="1" applyBorder="1" applyAlignment="1" applyProtection="1">
      <alignment horizontal="center" vertical="center" wrapText="1"/>
    </xf>
    <xf numFmtId="0" fontId="6" fillId="17" borderId="23" xfId="0" applyFont="1" applyFill="1" applyBorder="1" applyAlignment="1" applyProtection="1">
      <alignment horizontal="left" vertical="center" wrapText="1"/>
    </xf>
    <xf numFmtId="0" fontId="6" fillId="17" borderId="24" xfId="0" applyFont="1" applyFill="1" applyBorder="1" applyAlignment="1" applyProtection="1">
      <alignment horizontal="left" vertical="center" wrapText="1"/>
    </xf>
    <xf numFmtId="0" fontId="3" fillId="4" borderId="10"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12" fillId="13" borderId="23" xfId="0" applyNumberFormat="1" applyFont="1" applyFill="1" applyBorder="1" applyAlignment="1" applyProtection="1">
      <alignment horizontal="center" vertical="center" wrapText="1"/>
    </xf>
    <xf numFmtId="0" fontId="12" fillId="13" borderId="24" xfId="0" applyNumberFormat="1" applyFont="1" applyFill="1" applyBorder="1" applyAlignment="1" applyProtection="1">
      <alignment horizontal="center" vertical="center" wrapText="1"/>
    </xf>
    <xf numFmtId="0" fontId="3" fillId="4" borderId="98" xfId="0" applyNumberFormat="1" applyFont="1" applyFill="1" applyBorder="1" applyAlignment="1" applyProtection="1">
      <alignment horizontal="center" vertical="center" wrapText="1"/>
    </xf>
    <xf numFmtId="0" fontId="3" fillId="4" borderId="99" xfId="0" applyNumberFormat="1" applyFont="1" applyFill="1" applyBorder="1" applyAlignment="1" applyProtection="1">
      <alignment horizontal="center" vertical="center" wrapText="1"/>
    </xf>
    <xf numFmtId="0" fontId="30" fillId="23" borderId="22" xfId="0" applyFont="1" applyFill="1" applyBorder="1" applyAlignment="1" applyProtection="1">
      <alignment horizontal="right" vertical="center" wrapText="1"/>
    </xf>
    <xf numFmtId="0" fontId="30" fillId="23" borderId="23" xfId="0" applyFont="1" applyFill="1" applyBorder="1" applyAlignment="1" applyProtection="1">
      <alignment horizontal="right" vertical="center" wrapText="1"/>
    </xf>
    <xf numFmtId="0" fontId="6" fillId="23" borderId="23" xfId="0" applyFont="1" applyFill="1" applyBorder="1" applyAlignment="1" applyProtection="1">
      <alignment horizontal="left" vertical="center" wrapText="1"/>
    </xf>
    <xf numFmtId="0" fontId="6" fillId="23" borderId="24" xfId="0" applyFont="1" applyFill="1" applyBorder="1" applyAlignment="1" applyProtection="1">
      <alignment horizontal="left" vertical="center" wrapText="1"/>
    </xf>
    <xf numFmtId="0" fontId="3" fillId="4" borderId="22" xfId="0" applyNumberFormat="1" applyFont="1" applyFill="1" applyBorder="1" applyAlignment="1" applyProtection="1">
      <alignment horizontal="center" vertical="center" wrapText="1"/>
    </xf>
    <xf numFmtId="0" fontId="3" fillId="4" borderId="24" xfId="0" applyNumberFormat="1" applyFont="1" applyFill="1" applyBorder="1" applyAlignment="1" applyProtection="1">
      <alignment horizontal="center" vertical="center" wrapText="1"/>
    </xf>
    <xf numFmtId="3" fontId="6" fillId="10" borderId="31" xfId="0" applyNumberFormat="1" applyFont="1" applyFill="1" applyBorder="1" applyAlignment="1" applyProtection="1">
      <alignment horizontal="center" vertical="center" wrapText="1"/>
    </xf>
    <xf numFmtId="3" fontId="6" fillId="10" borderId="100" xfId="0" applyNumberFormat="1" applyFont="1" applyFill="1" applyBorder="1" applyAlignment="1" applyProtection="1">
      <alignment horizontal="center" vertical="center" wrapText="1"/>
    </xf>
    <xf numFmtId="3" fontId="4" fillId="15" borderId="103" xfId="0" applyNumberFormat="1" applyFont="1" applyFill="1" applyBorder="1" applyAlignment="1" applyProtection="1">
      <alignment horizontal="center" vertical="center" wrapText="1"/>
      <protection locked="0"/>
    </xf>
    <xf numFmtId="3" fontId="4" fillId="15" borderId="96" xfId="0" applyNumberFormat="1" applyFont="1" applyFill="1" applyBorder="1" applyAlignment="1" applyProtection="1">
      <alignment horizontal="center" vertical="center" wrapText="1"/>
      <protection locked="0"/>
    </xf>
    <xf numFmtId="3" fontId="6" fillId="10" borderId="136" xfId="0" applyNumberFormat="1" applyFont="1" applyFill="1" applyBorder="1" applyAlignment="1" applyProtection="1">
      <alignment horizontal="center" vertical="center" wrapText="1"/>
    </xf>
    <xf numFmtId="3" fontId="6" fillId="10" borderId="139" xfId="0" applyNumberFormat="1" applyFont="1" applyFill="1" applyBorder="1" applyAlignment="1" applyProtection="1">
      <alignment horizontal="center" vertical="center" wrapText="1"/>
    </xf>
    <xf numFmtId="3" fontId="4" fillId="15" borderId="104" xfId="0" applyNumberFormat="1" applyFont="1" applyFill="1" applyBorder="1" applyAlignment="1" applyProtection="1">
      <alignment horizontal="center" vertical="center" wrapText="1"/>
      <protection locked="0"/>
    </xf>
    <xf numFmtId="3" fontId="4" fillId="15" borderId="105" xfId="0" applyNumberFormat="1" applyFont="1" applyFill="1" applyBorder="1" applyAlignment="1" applyProtection="1">
      <alignment horizontal="center" vertical="center" wrapText="1"/>
      <protection locked="0"/>
    </xf>
    <xf numFmtId="3" fontId="6" fillId="24" borderId="104" xfId="0" applyNumberFormat="1" applyFont="1" applyFill="1" applyBorder="1" applyAlignment="1" applyProtection="1">
      <alignment horizontal="center" vertical="center" wrapText="1"/>
    </xf>
    <xf numFmtId="3" fontId="6" fillId="24" borderId="137" xfId="0" applyNumberFormat="1" applyFont="1" applyFill="1" applyBorder="1" applyAlignment="1" applyProtection="1">
      <alignment horizontal="center" vertical="center" wrapText="1"/>
    </xf>
    <xf numFmtId="3" fontId="4" fillId="15" borderId="134" xfId="0" applyNumberFormat="1" applyFont="1" applyFill="1" applyBorder="1" applyAlignment="1" applyProtection="1">
      <alignment horizontal="center" vertical="center" wrapText="1"/>
      <protection locked="0"/>
    </xf>
    <xf numFmtId="3" fontId="4" fillId="15" borderId="135" xfId="0" applyNumberFormat="1" applyFont="1" applyFill="1" applyBorder="1" applyAlignment="1" applyProtection="1">
      <alignment horizontal="center" vertical="center" wrapText="1"/>
      <protection locked="0"/>
    </xf>
    <xf numFmtId="0" fontId="2" fillId="4" borderId="16" xfId="0" applyFont="1" applyFill="1" applyBorder="1" applyAlignment="1" applyProtection="1">
      <alignment horizontal="center" vertical="center" wrapText="1"/>
    </xf>
    <xf numFmtId="0" fontId="28" fillId="17" borderId="10" xfId="0" applyFont="1" applyFill="1" applyBorder="1" applyAlignment="1" applyProtection="1">
      <alignment horizontal="right" vertical="center" wrapText="1"/>
    </xf>
    <xf numFmtId="0" fontId="28" fillId="17" borderId="14" xfId="0" applyFont="1" applyFill="1" applyBorder="1" applyAlignment="1" applyProtection="1">
      <alignment horizontal="right" vertical="center" wrapText="1"/>
    </xf>
    <xf numFmtId="0" fontId="29" fillId="17" borderId="11" xfId="0" applyFont="1" applyFill="1" applyBorder="1" applyAlignment="1" applyProtection="1">
      <alignment horizontal="left" vertical="center" wrapText="1"/>
    </xf>
    <xf numFmtId="0" fontId="29" fillId="17" borderId="12" xfId="0" applyFont="1" applyFill="1" applyBorder="1" applyAlignment="1" applyProtection="1">
      <alignment horizontal="left" vertical="center" wrapText="1"/>
    </xf>
    <xf numFmtId="0" fontId="29" fillId="17" borderId="15" xfId="0" applyFont="1" applyFill="1" applyBorder="1" applyAlignment="1" applyProtection="1">
      <alignment horizontal="left" vertical="center" wrapText="1"/>
    </xf>
    <xf numFmtId="0" fontId="29" fillId="17" borderId="16" xfId="0" applyFont="1" applyFill="1" applyBorder="1" applyAlignment="1" applyProtection="1">
      <alignment horizontal="left" vertical="center" wrapText="1"/>
    </xf>
    <xf numFmtId="0" fontId="28" fillId="19" borderId="10" xfId="0" applyFont="1" applyFill="1" applyBorder="1" applyAlignment="1" applyProtection="1">
      <alignment horizontal="right" vertical="center" wrapText="1"/>
    </xf>
    <xf numFmtId="0" fontId="28" fillId="19" borderId="14" xfId="0" applyFont="1" applyFill="1" applyBorder="1" applyAlignment="1" applyProtection="1">
      <alignment horizontal="right" vertical="center" wrapText="1"/>
    </xf>
    <xf numFmtId="0" fontId="29" fillId="19" borderId="11" xfId="0" applyFont="1" applyFill="1" applyBorder="1" applyAlignment="1" applyProtection="1">
      <alignment horizontal="left" vertical="center" wrapText="1"/>
    </xf>
    <xf numFmtId="0" fontId="29" fillId="19" borderId="12" xfId="0" applyFont="1" applyFill="1" applyBorder="1" applyAlignment="1" applyProtection="1">
      <alignment horizontal="left" vertical="center" wrapText="1"/>
    </xf>
    <xf numFmtId="0" fontId="29" fillId="19" borderId="15" xfId="0" applyFont="1" applyFill="1" applyBorder="1" applyAlignment="1" applyProtection="1">
      <alignment horizontal="left" vertical="center" wrapText="1"/>
    </xf>
    <xf numFmtId="0" fontId="29" fillId="19" borderId="16" xfId="0" applyFont="1" applyFill="1" applyBorder="1" applyAlignment="1" applyProtection="1">
      <alignment horizontal="left" vertical="center" wrapText="1"/>
    </xf>
    <xf numFmtId="0" fontId="29" fillId="17" borderId="10" xfId="0" applyFont="1" applyFill="1" applyBorder="1" applyAlignment="1" applyProtection="1">
      <alignment horizontal="center" vertical="center" wrapText="1"/>
    </xf>
    <xf numFmtId="0" fontId="29" fillId="17" borderId="11" xfId="0" applyFont="1" applyFill="1" applyBorder="1" applyAlignment="1" applyProtection="1">
      <alignment horizontal="center" vertical="center" wrapText="1"/>
    </xf>
    <xf numFmtId="0" fontId="29" fillId="17" borderId="12" xfId="0" applyFont="1" applyFill="1" applyBorder="1" applyAlignment="1" applyProtection="1">
      <alignment horizontal="center" vertical="center" wrapText="1"/>
    </xf>
    <xf numFmtId="0" fontId="29" fillId="17" borderId="14" xfId="0" applyFont="1" applyFill="1" applyBorder="1" applyAlignment="1" applyProtection="1">
      <alignment horizontal="center" vertical="center" wrapText="1"/>
    </xf>
    <xf numFmtId="0" fontId="29" fillId="17" borderId="15" xfId="0" applyFont="1" applyFill="1" applyBorder="1" applyAlignment="1" applyProtection="1">
      <alignment horizontal="center" vertical="center" wrapText="1"/>
    </xf>
    <xf numFmtId="0" fontId="29" fillId="17" borderId="16" xfId="0" applyFont="1" applyFill="1" applyBorder="1" applyAlignment="1" applyProtection="1">
      <alignment horizontal="center" vertical="center" wrapText="1"/>
    </xf>
    <xf numFmtId="0" fontId="29" fillId="19" borderId="10" xfId="0" applyFont="1" applyFill="1" applyBorder="1" applyAlignment="1" applyProtection="1">
      <alignment horizontal="center" vertical="center" wrapText="1"/>
    </xf>
    <xf numFmtId="0" fontId="29" fillId="19" borderId="11" xfId="0" applyFont="1" applyFill="1" applyBorder="1" applyAlignment="1" applyProtection="1">
      <alignment horizontal="center" vertical="center" wrapText="1"/>
    </xf>
    <xf numFmtId="0" fontId="29" fillId="19" borderId="12" xfId="0" applyFont="1" applyFill="1" applyBorder="1" applyAlignment="1" applyProtection="1">
      <alignment horizontal="center" vertical="center" wrapText="1"/>
    </xf>
    <xf numFmtId="0" fontId="29" fillId="19" borderId="14" xfId="0" applyFont="1" applyFill="1" applyBorder="1" applyAlignment="1" applyProtection="1">
      <alignment horizontal="center" vertical="center" wrapText="1"/>
    </xf>
    <xf numFmtId="0" fontId="29" fillId="19" borderId="15" xfId="0" applyFont="1" applyFill="1" applyBorder="1" applyAlignment="1" applyProtection="1">
      <alignment horizontal="center" vertical="center" wrapText="1"/>
    </xf>
    <xf numFmtId="0" fontId="29" fillId="19" borderId="16" xfId="0" applyFont="1" applyFill="1" applyBorder="1" applyAlignment="1" applyProtection="1">
      <alignment horizontal="center" vertical="center" wrapText="1"/>
    </xf>
    <xf numFmtId="0" fontId="29" fillId="22" borderId="10" xfId="0" applyFont="1" applyFill="1" applyBorder="1" applyAlignment="1" applyProtection="1">
      <alignment horizontal="center" vertical="center" wrapText="1"/>
    </xf>
    <xf numFmtId="0" fontId="29" fillId="22" borderId="11" xfId="0" applyFont="1" applyFill="1" applyBorder="1" applyAlignment="1" applyProtection="1">
      <alignment horizontal="center" vertical="center" wrapText="1"/>
    </xf>
    <xf numFmtId="0" fontId="29" fillId="22" borderId="12" xfId="0" applyFont="1" applyFill="1" applyBorder="1" applyAlignment="1" applyProtection="1">
      <alignment horizontal="center" vertical="center" wrapText="1"/>
    </xf>
    <xf numFmtId="0" fontId="29" fillId="22" borderId="14" xfId="0" applyFont="1" applyFill="1" applyBorder="1" applyAlignment="1" applyProtection="1">
      <alignment horizontal="center" vertical="center" wrapText="1"/>
    </xf>
    <xf numFmtId="0" fontId="29" fillId="22" borderId="15" xfId="0" applyFont="1" applyFill="1" applyBorder="1" applyAlignment="1" applyProtection="1">
      <alignment horizontal="center" vertical="center" wrapText="1"/>
    </xf>
    <xf numFmtId="0" fontId="29" fillId="22" borderId="16" xfId="0" applyFont="1" applyFill="1" applyBorder="1" applyAlignment="1" applyProtection="1">
      <alignment horizontal="center" vertical="center" wrapText="1"/>
    </xf>
    <xf numFmtId="0" fontId="29" fillId="23" borderId="10" xfId="0" applyFont="1" applyFill="1" applyBorder="1" applyAlignment="1" applyProtection="1">
      <alignment horizontal="center" vertical="center" wrapText="1"/>
    </xf>
    <xf numFmtId="0" fontId="29" fillId="23" borderId="11" xfId="0" applyFont="1" applyFill="1" applyBorder="1" applyAlignment="1" applyProtection="1">
      <alignment horizontal="center" vertical="center" wrapText="1"/>
    </xf>
    <xf numFmtId="0" fontId="29" fillId="23" borderId="12" xfId="0" applyFont="1" applyFill="1" applyBorder="1" applyAlignment="1" applyProtection="1">
      <alignment horizontal="center" vertical="center" wrapText="1"/>
    </xf>
    <xf numFmtId="0" fontId="29" fillId="23" borderId="14" xfId="0" applyFont="1" applyFill="1" applyBorder="1" applyAlignment="1" applyProtection="1">
      <alignment horizontal="center" vertical="center" wrapText="1"/>
    </xf>
    <xf numFmtId="0" fontId="29" fillId="23" borderId="15" xfId="0" applyFont="1" applyFill="1" applyBorder="1" applyAlignment="1" applyProtection="1">
      <alignment horizontal="center" vertical="center" wrapText="1"/>
    </xf>
    <xf numFmtId="0" fontId="29" fillId="23" borderId="16" xfId="0" applyFont="1" applyFill="1" applyBorder="1" applyAlignment="1" applyProtection="1">
      <alignment horizontal="center" vertical="center" wrapText="1"/>
    </xf>
    <xf numFmtId="0" fontId="3" fillId="4" borderId="72" xfId="0" applyFont="1" applyFill="1" applyBorder="1" applyAlignment="1" applyProtection="1">
      <alignment horizontal="right" vertical="center" wrapText="1"/>
    </xf>
    <xf numFmtId="0" fontId="3" fillId="4" borderId="81" xfId="0" applyFont="1" applyFill="1" applyBorder="1" applyAlignment="1" applyProtection="1">
      <alignment horizontal="right" vertical="center" wrapText="1"/>
    </xf>
    <xf numFmtId="0" fontId="3" fillId="4" borderId="63" xfId="0" applyFont="1" applyFill="1" applyBorder="1" applyAlignment="1" applyProtection="1">
      <alignment horizontal="center" vertical="center" wrapText="1"/>
    </xf>
    <xf numFmtId="0" fontId="3" fillId="4" borderId="0" xfId="0" applyFont="1" applyFill="1" applyBorder="1" applyAlignment="1" applyProtection="1">
      <alignment horizontal="center" vertical="center" wrapText="1"/>
    </xf>
    <xf numFmtId="0" fontId="4" fillId="13" borderId="14" xfId="0" applyFont="1" applyFill="1" applyBorder="1" applyAlignment="1" applyProtection="1">
      <alignment horizontal="center" vertical="center" wrapText="1"/>
    </xf>
    <xf numFmtId="0" fontId="4" fillId="13" borderId="15" xfId="0" applyFont="1" applyFill="1" applyBorder="1" applyAlignment="1" applyProtection="1">
      <alignment horizontal="center" vertical="center" wrapText="1"/>
    </xf>
    <xf numFmtId="0" fontId="3" fillId="4" borderId="22" xfId="0" applyFont="1" applyFill="1" applyBorder="1" applyAlignment="1" applyProtection="1">
      <alignment horizontal="right" vertical="center" wrapText="1"/>
    </xf>
    <xf numFmtId="0" fontId="3" fillId="4" borderId="24" xfId="0" applyFont="1" applyFill="1" applyBorder="1" applyAlignment="1" applyProtection="1">
      <alignment horizontal="right" vertical="center" wrapText="1"/>
    </xf>
    <xf numFmtId="0" fontId="3" fillId="4" borderId="28" xfId="0" applyFont="1" applyFill="1" applyBorder="1" applyAlignment="1" applyProtection="1">
      <alignment horizontal="right" vertical="center" wrapText="1"/>
    </xf>
    <xf numFmtId="0" fontId="3" fillId="4" borderId="58" xfId="0" applyFont="1" applyFill="1" applyBorder="1" applyAlignment="1" applyProtection="1">
      <alignment horizontal="right" vertical="center" wrapText="1"/>
    </xf>
    <xf numFmtId="0" fontId="13" fillId="13" borderId="19" xfId="0" applyFont="1" applyFill="1" applyBorder="1" applyAlignment="1" applyProtection="1">
      <alignment horizontal="center" vertical="center" wrapText="1"/>
    </xf>
    <xf numFmtId="0" fontId="13" fillId="13" borderId="57" xfId="0" applyFont="1" applyFill="1" applyBorder="1" applyAlignment="1" applyProtection="1">
      <alignment horizontal="center" vertical="center" wrapText="1"/>
    </xf>
    <xf numFmtId="0" fontId="3" fillId="4" borderId="13" xfId="0" applyFont="1" applyFill="1" applyBorder="1" applyAlignment="1" applyProtection="1">
      <alignment horizontal="center" vertical="center" wrapText="1"/>
    </xf>
    <xf numFmtId="0" fontId="4" fillId="13" borderId="146" xfId="0" applyFont="1" applyFill="1" applyBorder="1" applyAlignment="1" applyProtection="1">
      <alignment horizontal="center" vertical="center" wrapText="1"/>
    </xf>
    <xf numFmtId="0" fontId="4" fillId="13" borderId="16" xfId="0" applyFont="1" applyFill="1" applyBorder="1" applyAlignment="1" applyProtection="1">
      <alignment horizontal="center" vertical="center" wrapText="1"/>
    </xf>
    <xf numFmtId="0" fontId="3" fillId="4" borderId="121" xfId="0" applyFont="1" applyFill="1" applyBorder="1" applyAlignment="1" applyProtection="1">
      <alignment horizontal="center" vertical="center" wrapText="1"/>
    </xf>
    <xf numFmtId="0" fontId="0" fillId="15" borderId="101" xfId="0" applyNumberFormat="1" applyFill="1" applyBorder="1" applyAlignment="1" applyProtection="1">
      <alignment horizontal="center" vertical="center" wrapText="1"/>
      <protection locked="0"/>
    </xf>
    <xf numFmtId="0" fontId="0" fillId="15" borderId="102" xfId="0" applyNumberFormat="1" applyFill="1" applyBorder="1" applyAlignment="1" applyProtection="1">
      <alignment horizontal="center" vertical="center" wrapText="1"/>
      <protection locked="0"/>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8" fillId="4" borderId="63" xfId="0" applyFont="1" applyFill="1" applyBorder="1" applyAlignment="1">
      <alignment horizontal="center" vertical="center" wrapText="1"/>
    </xf>
    <xf numFmtId="0" fontId="8" fillId="4" borderId="0" xfId="0" applyFont="1" applyFill="1" applyBorder="1" applyAlignment="1">
      <alignment horizontal="center" vertical="center" wrapText="1"/>
    </xf>
    <xf numFmtId="0" fontId="0" fillId="0" borderId="23" xfId="0" applyBorder="1" applyAlignment="1">
      <alignment horizontal="center" vertical="center" wrapText="1"/>
    </xf>
    <xf numFmtId="0" fontId="0" fillId="0" borderId="23" xfId="0" applyBorder="1" applyAlignment="1">
      <alignment wrapText="1"/>
    </xf>
    <xf numFmtId="0" fontId="0" fillId="0" borderId="24" xfId="0" applyBorder="1" applyAlignment="1">
      <alignment wrapText="1"/>
    </xf>
    <xf numFmtId="0" fontId="0" fillId="0" borderId="24" xfId="0" applyBorder="1" applyAlignment="1">
      <alignment horizontal="center" vertical="center" wrapText="1"/>
    </xf>
    <xf numFmtId="0" fontId="3" fillId="4" borderId="22"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63"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12" fillId="10" borderId="22" xfId="0" applyFont="1" applyFill="1" applyBorder="1" applyAlignment="1">
      <alignment horizontal="center" vertical="center" wrapText="1"/>
    </xf>
    <xf numFmtId="0" fontId="12" fillId="10" borderId="23" xfId="0" applyFont="1" applyFill="1" applyBorder="1" applyAlignment="1">
      <alignment horizontal="center" vertical="center" wrapText="1"/>
    </xf>
    <xf numFmtId="0" fontId="12" fillId="10" borderId="24" xfId="0" applyFont="1" applyFill="1" applyBorder="1" applyAlignment="1">
      <alignment horizontal="center" vertical="center" wrapText="1"/>
    </xf>
    <xf numFmtId="0" fontId="12" fillId="24" borderId="22" xfId="0" applyFont="1" applyFill="1" applyBorder="1" applyAlignment="1">
      <alignment horizontal="center" vertical="center" wrapText="1"/>
    </xf>
    <xf numFmtId="0" fontId="12" fillId="24" borderId="23" xfId="0" applyFont="1" applyFill="1" applyBorder="1" applyAlignment="1">
      <alignment horizontal="center" vertical="center" wrapText="1"/>
    </xf>
    <xf numFmtId="0" fontId="12" fillId="24" borderId="24"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2" fillId="3" borderId="24"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3" fillId="4" borderId="22" xfId="0" applyFont="1" applyFill="1" applyBorder="1" applyAlignment="1">
      <alignment horizontal="center" vertical="center"/>
    </xf>
    <xf numFmtId="0" fontId="3" fillId="4" borderId="24" xfId="0" applyFont="1" applyFill="1" applyBorder="1" applyAlignment="1">
      <alignment horizontal="center" vertical="center"/>
    </xf>
    <xf numFmtId="0" fontId="12" fillId="3" borderId="63"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31" fillId="4" borderId="22" xfId="0" applyFont="1" applyFill="1" applyBorder="1" applyAlignment="1">
      <alignment horizontal="center" vertical="center" wrapText="1"/>
    </xf>
    <xf numFmtId="0" fontId="31" fillId="4" borderId="24" xfId="0" applyFont="1" applyFill="1" applyBorder="1" applyAlignment="1">
      <alignment horizontal="center" vertical="center" wrapText="1"/>
    </xf>
    <xf numFmtId="0" fontId="26" fillId="4" borderId="142" xfId="0" applyFont="1" applyFill="1" applyBorder="1" applyAlignment="1" applyProtection="1">
      <alignment horizontal="center" vertical="center" wrapText="1"/>
    </xf>
    <xf numFmtId="0" fontId="26" fillId="4" borderId="143" xfId="0" applyFont="1" applyFill="1" applyBorder="1" applyAlignment="1" applyProtection="1">
      <alignment horizontal="center" vertical="center" wrapText="1"/>
    </xf>
    <xf numFmtId="0" fontId="26" fillId="4" borderId="144" xfId="0" applyFont="1" applyFill="1" applyBorder="1" applyAlignment="1" applyProtection="1">
      <alignment horizontal="center" vertical="center" wrapText="1"/>
    </xf>
    <xf numFmtId="0" fontId="6" fillId="9" borderId="63" xfId="0" applyFont="1" applyFill="1" applyBorder="1" applyAlignment="1" applyProtection="1">
      <alignment vertical="center" wrapText="1"/>
    </xf>
    <xf numFmtId="0" fontId="6" fillId="9" borderId="13" xfId="0" applyFont="1" applyFill="1" applyBorder="1" applyAlignment="1" applyProtection="1">
      <alignment vertical="center" wrapText="1"/>
    </xf>
    <xf numFmtId="0" fontId="6" fillId="9" borderId="14" xfId="0" applyFont="1" applyFill="1" applyBorder="1" applyAlignment="1" applyProtection="1">
      <alignment vertical="center" wrapText="1"/>
    </xf>
    <xf numFmtId="0" fontId="6" fillId="9" borderId="16" xfId="0" applyFont="1" applyFill="1" applyBorder="1" applyAlignment="1" applyProtection="1">
      <alignment vertical="center" wrapText="1"/>
    </xf>
    <xf numFmtId="0" fontId="26" fillId="4" borderId="117" xfId="0" applyFont="1" applyFill="1" applyBorder="1" applyAlignment="1" applyProtection="1">
      <alignment horizontal="center" vertical="center" wrapText="1"/>
    </xf>
    <xf numFmtId="0" fontId="26" fillId="4" borderId="118" xfId="0" applyFont="1" applyFill="1" applyBorder="1" applyAlignment="1" applyProtection="1">
      <alignment horizontal="center" vertical="center" wrapText="1"/>
    </xf>
    <xf numFmtId="0" fontId="26" fillId="4" borderId="119" xfId="0" applyFont="1" applyFill="1" applyBorder="1" applyAlignment="1" applyProtection="1">
      <alignment horizontal="center" vertical="center" wrapText="1"/>
    </xf>
    <xf numFmtId="0" fontId="6" fillId="9" borderId="10" xfId="0" applyFont="1" applyFill="1" applyBorder="1" applyAlignment="1" applyProtection="1">
      <alignment horizontal="left" vertical="center" wrapText="1"/>
    </xf>
    <xf numFmtId="0" fontId="6" fillId="9" borderId="12" xfId="0" applyFont="1" applyFill="1" applyBorder="1" applyAlignment="1" applyProtection="1">
      <alignment horizontal="left" vertical="center" wrapText="1"/>
    </xf>
    <xf numFmtId="0" fontId="6" fillId="9" borderId="63" xfId="0" applyFont="1" applyFill="1" applyBorder="1" applyAlignment="1" applyProtection="1">
      <alignment horizontal="left" vertical="center" wrapText="1"/>
    </xf>
    <xf numFmtId="0" fontId="6" fillId="9" borderId="13" xfId="0" applyFont="1" applyFill="1" applyBorder="1" applyAlignment="1" applyProtection="1">
      <alignment horizontal="left" vertical="center" wrapText="1"/>
    </xf>
    <xf numFmtId="0" fontId="28" fillId="19" borderId="63" xfId="0" applyFont="1" applyFill="1" applyBorder="1" applyAlignment="1" applyProtection="1">
      <alignment horizontal="right" vertical="center" wrapText="1"/>
    </xf>
    <xf numFmtId="0" fontId="29" fillId="19" borderId="13" xfId="0" applyFont="1" applyFill="1" applyBorder="1" applyAlignment="1" applyProtection="1">
      <alignment horizontal="left" vertical="center" wrapText="1"/>
    </xf>
    <xf numFmtId="0" fontId="28" fillId="17" borderId="63" xfId="0" applyFont="1" applyFill="1" applyBorder="1" applyAlignment="1" applyProtection="1">
      <alignment horizontal="right" vertical="center" wrapText="1"/>
    </xf>
    <xf numFmtId="0" fontId="29" fillId="17" borderId="13" xfId="0" applyFont="1" applyFill="1" applyBorder="1" applyAlignment="1" applyProtection="1">
      <alignment horizontal="left" vertical="center" wrapText="1"/>
    </xf>
    <xf numFmtId="0" fontId="28" fillId="26" borderId="10" xfId="0" applyFont="1" applyFill="1" applyBorder="1" applyAlignment="1" applyProtection="1">
      <alignment horizontal="right" vertical="center" wrapText="1"/>
    </xf>
    <xf numFmtId="0" fontId="28" fillId="26" borderId="63" xfId="0" applyFont="1" applyFill="1" applyBorder="1" applyAlignment="1" applyProtection="1">
      <alignment horizontal="right" vertical="center" wrapText="1"/>
    </xf>
    <xf numFmtId="0" fontId="28" fillId="26" borderId="14" xfId="0" applyFont="1" applyFill="1" applyBorder="1" applyAlignment="1" applyProtection="1">
      <alignment horizontal="right" vertical="center" wrapText="1"/>
    </xf>
    <xf numFmtId="0" fontId="29" fillId="26" borderId="12" xfId="0" applyFont="1" applyFill="1" applyBorder="1" applyAlignment="1" applyProtection="1">
      <alignment horizontal="left" vertical="center" wrapText="1"/>
    </xf>
    <xf numFmtId="0" fontId="29" fillId="26" borderId="13" xfId="0" applyFont="1" applyFill="1" applyBorder="1" applyAlignment="1" applyProtection="1">
      <alignment horizontal="left" vertical="center" wrapText="1"/>
    </xf>
    <xf numFmtId="0" fontId="29" fillId="26" borderId="16" xfId="0" applyFont="1" applyFill="1" applyBorder="1" applyAlignment="1" applyProtection="1">
      <alignment horizontal="left" vertical="center" wrapText="1"/>
    </xf>
    <xf numFmtId="0" fontId="3" fillId="4" borderId="125" xfId="0" quotePrefix="1" applyFont="1" applyFill="1" applyBorder="1" applyAlignment="1" applyProtection="1">
      <alignment horizontal="center" vertical="center" wrapText="1"/>
    </xf>
    <xf numFmtId="0" fontId="3" fillId="4" borderId="126" xfId="0" quotePrefix="1" applyFont="1" applyFill="1" applyBorder="1" applyAlignment="1" applyProtection="1">
      <alignment horizontal="center" vertical="center" wrapText="1"/>
    </xf>
    <xf numFmtId="0" fontId="3" fillId="4" borderId="117" xfId="0" applyFont="1" applyFill="1" applyBorder="1" applyAlignment="1" applyProtection="1">
      <alignment horizontal="center" vertical="center" wrapText="1"/>
    </xf>
    <xf numFmtId="0" fontId="3" fillId="4" borderId="119" xfId="0" applyFont="1" applyFill="1" applyBorder="1" applyAlignment="1" applyProtection="1">
      <alignment horizontal="center" vertical="center" wrapText="1"/>
    </xf>
    <xf numFmtId="0" fontId="26" fillId="4" borderId="149" xfId="0" applyFont="1" applyFill="1" applyBorder="1" applyAlignment="1" applyProtection="1">
      <alignment horizontal="center" vertical="center" wrapText="1"/>
    </xf>
    <xf numFmtId="0" fontId="3" fillId="4" borderId="63" xfId="0" applyFont="1" applyFill="1" applyBorder="1" applyAlignment="1">
      <alignment horizontal="left" vertical="center" wrapText="1"/>
    </xf>
    <xf numFmtId="0" fontId="3" fillId="4" borderId="0" xfId="0" applyFont="1" applyFill="1" applyBorder="1" applyAlignment="1">
      <alignment horizontal="left" vertical="center" wrapText="1"/>
    </xf>
    <xf numFmtId="0" fontId="3" fillId="4" borderId="60" xfId="0" applyFont="1" applyFill="1" applyBorder="1" applyAlignment="1">
      <alignment horizontal="left" vertical="center" wrapText="1"/>
    </xf>
    <xf numFmtId="0" fontId="3" fillId="4" borderId="14" xfId="0" applyFont="1" applyFill="1" applyBorder="1" applyAlignment="1">
      <alignment horizontal="left" vertical="center" wrapText="1"/>
    </xf>
    <xf numFmtId="0" fontId="3" fillId="4" borderId="15" xfId="0" applyFont="1" applyFill="1" applyBorder="1" applyAlignment="1">
      <alignment horizontal="left" vertical="center" wrapText="1"/>
    </xf>
    <xf numFmtId="0" fontId="3" fillId="4" borderId="46"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3" fillId="4" borderId="77" xfId="0" applyFont="1" applyFill="1" applyBorder="1" applyAlignment="1">
      <alignment horizontal="left" vertical="center" wrapText="1"/>
    </xf>
    <xf numFmtId="2" fontId="6" fillId="12" borderId="14" xfId="0" applyNumberFormat="1" applyFont="1" applyFill="1" applyBorder="1" applyAlignment="1">
      <alignment horizontal="center" vertical="center" wrapText="1"/>
    </xf>
    <xf numFmtId="2" fontId="6" fillId="12" borderId="16" xfId="0" applyNumberFormat="1" applyFont="1" applyFill="1" applyBorder="1" applyAlignment="1">
      <alignment horizontal="center" vertical="center" wrapText="1"/>
    </xf>
    <xf numFmtId="0" fontId="0" fillId="0" borderId="23" xfId="0" applyBorder="1" applyAlignment="1">
      <alignment vertical="center" wrapText="1"/>
    </xf>
    <xf numFmtId="0" fontId="0" fillId="0" borderId="24" xfId="0" applyBorder="1" applyAlignment="1">
      <alignment vertical="center" wrapText="1"/>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0" borderId="23" xfId="0" applyBorder="1"/>
    <xf numFmtId="0" fontId="0" fillId="0" borderId="24" xfId="0" applyBorder="1"/>
    <xf numFmtId="11" fontId="3" fillId="4" borderId="41" xfId="0" applyNumberFormat="1" applyFont="1" applyFill="1" applyBorder="1" applyAlignment="1">
      <alignment horizontal="center" vertical="center" wrapText="1"/>
    </xf>
    <xf numFmtId="14" fontId="3" fillId="4" borderId="41" xfId="0" applyNumberFormat="1" applyFont="1" applyFill="1" applyBorder="1" applyAlignment="1">
      <alignment horizontal="center" vertical="center" wrapText="1"/>
    </xf>
    <xf numFmtId="11" fontId="6" fillId="9" borderId="41" xfId="0" quotePrefix="1" applyNumberFormat="1" applyFont="1" applyFill="1" applyBorder="1" applyAlignment="1">
      <alignment horizontal="left" vertical="center" wrapText="1"/>
    </xf>
  </cellXfs>
  <cellStyles count="13">
    <cellStyle name="Activity" xfId="5"/>
    <cellStyle name="Label" xfId="4"/>
    <cellStyle name="Lien hypertexte" xfId="9" builtinId="8"/>
    <cellStyle name="Lien hypertexte 2" xfId="12"/>
    <cellStyle name="Milliers" xfId="10" builtinId="3"/>
    <cellStyle name="Normal" xfId="0" builtinId="0"/>
    <cellStyle name="Normal 2" xfId="2"/>
    <cellStyle name="Normal 3" xfId="11"/>
    <cellStyle name="Percent Complete" xfId="6"/>
    <cellStyle name="Period Headers" xfId="8"/>
    <cellStyle name="Period Highlight Control" xfId="3"/>
    <cellStyle name="Project Headers" xfId="7"/>
    <cellStyle name="Titre 1 2" xfId="1"/>
  </cellStyles>
  <dxfs count="1749">
    <dxf>
      <font>
        <b val="0"/>
        <i val="0"/>
        <strike val="0"/>
        <condense val="0"/>
        <extend val="0"/>
        <outline val="0"/>
        <shadow val="0"/>
        <u val="none"/>
        <vertAlign val="baseline"/>
        <sz val="8"/>
        <color theme="1"/>
        <name val="Calibri"/>
        <scheme val="minor"/>
      </font>
      <fill>
        <patternFill patternType="solid">
          <fgColor indexed="64"/>
          <bgColor theme="5" tint="0.59999389629810485"/>
        </patternFill>
      </fill>
      <alignment horizontal="center"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15" formatCode="0.00E+00"/>
      <fill>
        <patternFill patternType="solid">
          <fgColor indexed="64"/>
          <bgColor theme="8" tint="0.3999755851924192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15" formatCode="0.00E+00"/>
      <fill>
        <patternFill patternType="solid">
          <fgColor indexed="64"/>
          <bgColor theme="8" tint="0.3999755851924192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15" formatCode="0.00E+00"/>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8"/>
        <color theme="1"/>
        <name val="Calibri"/>
        <scheme val="minor"/>
      </font>
      <fill>
        <patternFill>
          <fgColor indexed="64"/>
          <bgColor theme="0"/>
        </patternFill>
      </fill>
      <alignment horizontal="center" vertical="center" textRotation="0" wrapText="1" indent="0" justifyLastLine="0" shrinkToFit="0" readingOrder="0"/>
    </dxf>
    <dxf>
      <border>
        <bottom style="medium">
          <color indexed="64"/>
        </bottom>
      </border>
    </dxf>
    <dxf>
      <font>
        <b val="0"/>
        <i val="0"/>
        <strike val="0"/>
        <condense val="0"/>
        <extend val="0"/>
        <outline val="0"/>
        <shadow val="0"/>
        <u val="none"/>
        <vertAlign val="baseline"/>
        <sz val="10"/>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auto="1"/>
        </left>
        <right style="thin">
          <color auto="1"/>
        </right>
        <top/>
        <bottom/>
        <vertical style="thin">
          <color auto="1"/>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relative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left style="medium">
          <color indexed="64"/>
        </left>
        <right style="medium">
          <color indexed="64"/>
        </right>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left style="medium">
          <color indexed="64"/>
        </left>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top style="thin">
          <color indexed="64"/>
        </top>
      </border>
    </dxf>
    <dxf>
      <border outline="0">
        <left style="medium">
          <color indexed="64"/>
        </left>
        <right style="medium">
          <color indexed="64"/>
        </right>
        <top style="thin">
          <color indexed="64"/>
        </top>
        <bottom style="medium">
          <color indexed="64"/>
        </bottom>
      </border>
    </dxf>
    <dxf>
      <border>
        <bottom style="medium">
          <color indexed="64"/>
        </bottom>
        <vertical/>
        <horizontal/>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vertical/>
        <horizontal/>
      </border>
    </dxf>
    <dxf>
      <border diagonalUp="0" diagonalDown="0">
        <left/>
        <right/>
        <top/>
        <bottom/>
        <vertical/>
        <horizontal/>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medium">
          <color auto="1"/>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medium">
          <color auto="1"/>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medium">
          <color auto="1"/>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medium">
          <color auto="1"/>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vertical/>
        <horizontal style="medium">
          <color auto="1"/>
        </horizontal>
      </border>
    </dxf>
    <dxf>
      <border>
        <top style="thin">
          <color indexed="64"/>
        </top>
      </border>
    </dxf>
    <dxf>
      <border outline="0">
        <left style="medium">
          <color indexed="64"/>
        </left>
        <right style="medium">
          <color indexed="64"/>
        </right>
        <top style="medium">
          <color indexed="64"/>
        </top>
        <bottom style="medium">
          <color indexed="64"/>
        </bottom>
      </border>
    </dxf>
    <dxf>
      <border>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color auto="1"/>
      </font>
      <fill>
        <patternFill patternType="solid">
          <fgColor auto="1"/>
          <bgColor rgb="FFFFFF00"/>
        </patternFill>
      </fill>
    </dxf>
    <dxf>
      <fill>
        <patternFill>
          <bgColor rgb="FFFF0000"/>
        </patternFill>
      </fill>
    </dxf>
    <dxf>
      <fill>
        <patternFill>
          <bgColor rgb="FF00B050"/>
        </patternFill>
      </fill>
    </dxf>
    <dxf>
      <fill>
        <patternFill>
          <bgColor theme="9" tint="-0.24994659260841701"/>
        </patternFill>
      </fill>
    </dxf>
    <dxf>
      <fill>
        <patternFill>
          <bgColor rgb="FFFF0000"/>
        </patternFill>
      </fill>
    </dxf>
    <dxf>
      <font>
        <color theme="0" tint="-0.24994659260841701"/>
      </font>
    </dxf>
    <dxf>
      <font>
        <color rgb="FFFF0000"/>
      </font>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177" formatCode="dd/mm&quot;-&quot;hh"/>
      <fill>
        <patternFill patternType="solid">
          <fgColor indexed="64"/>
          <bgColor rgb="FF92D050"/>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border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8"/>
        <color theme="1"/>
        <name val="Calibri"/>
        <scheme val="minor"/>
      </font>
      <numFmt numFmtId="177" formatCode="dd/mm&quot;-&quot;hh"/>
      <fill>
        <patternFill patternType="solid">
          <fgColor indexed="64"/>
          <bgColor rgb="FF92D050"/>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medium">
          <color auto="1"/>
        </left>
        <right/>
        <top style="thin">
          <color indexed="64"/>
        </top>
        <bottom style="thin">
          <color indexed="64"/>
        </bottom>
        <vertical style="medium">
          <color auto="1"/>
        </vertical>
        <horizontal style="thin">
          <color indexed="64"/>
        </horizontal>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style="medium">
          <color auto="1"/>
        </left>
        <right style="medium">
          <color auto="1"/>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medium">
          <color auto="1"/>
        </left>
        <right style="medium">
          <color auto="1"/>
        </right>
        <top style="thin">
          <color indexed="64"/>
        </top>
        <bottom style="thin">
          <color indexed="64"/>
        </bottom>
        <vertical style="medium">
          <color auto="1"/>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auto="1"/>
        </right>
        <top style="thin">
          <color indexed="64"/>
        </top>
        <bottom style="thin">
          <color indexed="64"/>
        </bottom>
        <vertical style="medium">
          <color auto="1"/>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medium">
          <color auto="1"/>
        </left>
        <right/>
        <top style="thin">
          <color indexed="64"/>
        </top>
        <bottom style="thin">
          <color indexed="64"/>
        </bottom>
        <vertical style="medium">
          <color auto="1"/>
        </vertical>
        <horizontal style="thin">
          <color indexed="64"/>
        </horizontal>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style="medium">
          <color auto="1"/>
        </left>
        <right style="medium">
          <color auto="1"/>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medium">
          <color auto="1"/>
        </left>
        <right style="medium">
          <color auto="1"/>
        </right>
        <top style="thin">
          <color indexed="64"/>
        </top>
        <bottom style="thin">
          <color indexed="64"/>
        </bottom>
        <vertical style="medium">
          <color auto="1"/>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auto="1"/>
        </right>
        <top style="thin">
          <color indexed="64"/>
        </top>
        <bottom style="thin">
          <color indexed="64"/>
        </bottom>
        <vertical style="medium">
          <color auto="1"/>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auto="1"/>
        </left>
        <right/>
        <top style="medium">
          <color auto="1"/>
        </top>
        <bottom style="medium">
          <color auto="1"/>
        </bottom>
        <vertical style="thin">
          <color auto="1"/>
        </vertical>
        <horizontal style="medium">
          <color auto="1"/>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right style="thin">
          <color auto="1"/>
        </right>
        <top style="medium">
          <color auto="1"/>
        </top>
        <bottom style="medium">
          <color auto="1"/>
        </bottom>
        <vertical style="thin">
          <color auto="1"/>
        </vertical>
        <horizontal style="medium">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thin">
          <color auto="1"/>
        </left>
        <right style="thin">
          <color auto="1"/>
        </right>
        <top/>
        <bottom/>
        <vertical style="thin">
          <color auto="1"/>
        </vertical>
        <horizontal style="medium">
          <color auto="1"/>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auto="1"/>
        </left>
        <right style="medium">
          <color auto="1"/>
        </right>
        <top style="thin">
          <color auto="1"/>
        </top>
        <bottom style="thin">
          <color auto="1"/>
        </bottom>
        <vertical style="thin">
          <color auto="1"/>
        </vertical>
        <horizontal style="thin">
          <color auto="1"/>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auto="1"/>
        </left>
        <right style="thin">
          <color auto="1"/>
        </right>
        <top style="thin">
          <color auto="1"/>
        </top>
        <bottom style="thin">
          <color auto="1"/>
        </bottom>
        <vertical style="thin">
          <color auto="1"/>
        </vertical>
        <horizontal style="thin">
          <color auto="1"/>
        </horizontal>
      </border>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auto="1"/>
        </left>
        <right style="medium">
          <color auto="1"/>
        </right>
        <top/>
        <bottom/>
        <vertical style="medium">
          <color auto="1"/>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name val="Calibri"/>
        <scheme val="minor"/>
      </font>
      <numFmt numFmtId="3" formatCode="#,##0"/>
      <fill>
        <patternFill patternType="solid">
          <fgColor indexed="64"/>
          <bgColor rgb="FF7030A0"/>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right style="medium">
          <color indexed="64"/>
        </right>
        <top/>
        <bottom/>
        <vertical/>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right style="medium">
          <color indexed="64"/>
        </right>
        <top/>
        <bottom/>
        <vertical/>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180" formatCode="mm:ss.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auto="1"/>
        <name val="Calibri"/>
        <scheme val="minor"/>
      </font>
      <numFmt numFmtId="3" formatCode="#,##0"/>
      <fill>
        <patternFill patternType="solid">
          <fgColor indexed="64"/>
          <bgColor theme="8" tint="-0.249977111117893"/>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13" formatCode="0%"/>
      <fill>
        <patternFill patternType="solid">
          <fgColor indexed="64"/>
          <bgColor rgb="FF92D050"/>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auto="1"/>
        <name val="Calibri"/>
        <scheme val="minor"/>
      </font>
      <numFmt numFmtId="3" formatCode="#,##0"/>
      <fill>
        <patternFill patternType="solid">
          <fgColor indexed="64"/>
          <bgColor theme="8" tint="-0.249977111117893"/>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justifyLastLine="0" shrinkToFit="0" readingOrder="0"/>
    </dxf>
    <dxf>
      <border>
        <bottom style="thin">
          <color indexed="64"/>
        </bottom>
      </border>
    </dxf>
    <dxf>
      <font>
        <strike val="0"/>
        <outline val="0"/>
        <shadow val="0"/>
        <u val="none"/>
        <vertAlign val="baseline"/>
        <sz val="8"/>
        <color theme="1"/>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Calibri"/>
        <scheme val="minor"/>
      </font>
      <numFmt numFmtId="3" formatCode="#,##0"/>
      <fill>
        <patternFill patternType="solid">
          <fgColor indexed="64"/>
          <bgColor theme="9" tint="0.59999389629810485"/>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justifyLastLine="0" shrinkToFit="0" readingOrder="0"/>
    </dxf>
    <dxf>
      <border>
        <bottom style="thin">
          <color indexed="64"/>
        </bottom>
      </border>
    </dxf>
    <dxf>
      <font>
        <strike val="0"/>
        <outline val="0"/>
        <shadow val="0"/>
        <u val="none"/>
        <vertAlign val="baseline"/>
        <sz val="8"/>
        <color theme="1"/>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relative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thin">
          <color indexed="64"/>
        </bottom>
        <vertical/>
        <horizontal/>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Calibri"/>
        <scheme val="minor"/>
      </font>
      <numFmt numFmtId="3" formatCode="#,##0"/>
      <fill>
        <patternFill patternType="solid">
          <fgColor indexed="64"/>
          <bgColor theme="6" tint="-0.249977111117893"/>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outline="0">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outline="0">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left style="medium">
          <color indexed="64"/>
        </left>
        <right style="medium">
          <color indexed="64"/>
        </right>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left style="medium">
          <color indexed="64"/>
        </left>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thin">
          <color indexed="64"/>
        </top>
        <bottom style="medium">
          <color indexed="64"/>
        </bottom>
      </border>
    </dxf>
    <dxf>
      <border outline="0">
        <bottom style="thin">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auto="1"/>
        </left>
        <right style="medium">
          <color auto="1"/>
        </right>
        <top/>
        <bottom/>
        <vertical style="medium">
          <color auto="1"/>
        </vertical>
        <horizontal/>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style="medium">
          <color auto="1"/>
        </top>
        <bottom style="medium">
          <color auto="1"/>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medium">
          <color auto="1"/>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medium">
          <color auto="1"/>
        </top>
        <bottom style="medium">
          <color auto="1"/>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medium">
          <color indexed="64"/>
        </left>
        <right style="thin">
          <color indexed="64"/>
        </right>
        <top style="medium">
          <color auto="1"/>
        </top>
        <bottom style="medium">
          <color auto="1"/>
        </bottom>
        <vertical style="thin">
          <color indexed="64"/>
        </vertical>
        <horizontal style="medium">
          <color auto="1"/>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medium">
          <color auto="1"/>
        </top>
        <bottom style="medium">
          <color auto="1"/>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medium">
          <color indexed="64"/>
        </left>
        <right style="thin">
          <color indexed="64"/>
        </right>
        <top style="medium">
          <color auto="1"/>
        </top>
        <bottom style="medium">
          <color auto="1"/>
        </bottom>
        <vertical style="thin">
          <color indexed="64"/>
        </vertical>
        <horizontal style="medium">
          <color auto="1"/>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thin">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medium">
          <color auto="1"/>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outline="0">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outline="0">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bottom/>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style="medium">
          <color auto="1"/>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59999389629810485"/>
          <bgColor theme="8" tint="0.39997558519241921"/>
        </patternFill>
      </fill>
      <alignment horizontal="center" vertical="center" textRotation="0" wrapText="1" relativeIndent="0" justifyLastLine="0" shrinkToFit="0" readingOrder="0"/>
      <border diagonalUp="0" diagonalDown="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medium">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medium">
          <color indexed="64"/>
        </bottom>
      </border>
    </dxf>
    <dxf>
      <font>
        <b/>
        <strike val="0"/>
        <outline val="0"/>
        <shadow val="0"/>
        <u val="none"/>
        <vertAlign val="baseline"/>
        <sz val="8"/>
        <color rgb="FFC00000"/>
        <name val="Calibri"/>
        <scheme val="minor"/>
      </font>
      <fill>
        <patternFill patternType="solid">
          <fgColor theme="4" tint="0.59999389629810485"/>
          <bgColor theme="9" tint="0.39997558519241921"/>
        </patternFill>
      </fill>
      <alignment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ill>
        <patternFill patternType="solid">
          <fgColor theme="4" tint="0.59999389629810485"/>
          <bgColor theme="9" tint="0.39997558519241921"/>
        </patternFill>
      </fill>
      <alignment vertical="center" textRotation="0" wrapText="1"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b/>
        <strike val="0"/>
        <outline val="0"/>
        <shadow val="0"/>
        <u val="none"/>
        <vertAlign val="baseline"/>
        <sz val="8"/>
        <color rgb="FFC00000"/>
        <name val="Calibri"/>
        <scheme val="minor"/>
      </font>
      <fill>
        <patternFill patternType="solid">
          <fgColor theme="4" tint="0.59999389629810485"/>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theme="4" tint="0.59999389629810485"/>
          <bgColor theme="9" tint="0.39997558519241921"/>
        </patternFill>
      </fill>
      <alignment vertical="center" textRotation="0" wrapText="1" indent="0" justifyLastLine="0" shrinkToFit="0" readingOrder="0"/>
      <border diagonalUp="0" diagonalDown="0" outline="0">
        <left/>
        <right/>
        <top style="thin">
          <color indexed="64"/>
        </top>
        <bottom style="thin">
          <color indexed="64"/>
        </bottom>
      </border>
    </dxf>
    <dxf>
      <font>
        <b/>
        <strike val="0"/>
        <outline val="0"/>
        <shadow val="0"/>
        <u val="none"/>
        <vertAlign val="baseline"/>
        <sz val="8"/>
        <color rgb="FFC00000"/>
        <name val="Calibri"/>
        <scheme val="minor"/>
      </font>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none"/>
      </font>
      <numFmt numFmtId="0" formatCode="General"/>
      <fill>
        <patternFill>
          <bgColor theme="0"/>
        </patternFill>
      </fill>
      <alignment vertical="center" textRotation="0" wrapText="1" indent="0" justifyLastLine="0" shrinkToFit="0" readingOrder="0"/>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outline="0">
        <left style="thin">
          <color indexed="64"/>
        </left>
        <right style="thin">
          <color indexed="64"/>
        </right>
        <top style="thin">
          <color indexed="64"/>
        </top>
        <bottom style="medium">
          <color indexed="64"/>
        </bottom>
      </border>
    </dxf>
    <dxf>
      <font>
        <b/>
        <strike val="0"/>
        <outline val="0"/>
        <shadow val="0"/>
        <u val="none"/>
        <vertAlign val="baseline"/>
        <sz val="8"/>
        <color rgb="FFC00000"/>
        <name val="Calibri"/>
        <scheme val="none"/>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color auto="1"/>
        <name val="Calibri"/>
        <scheme val="none"/>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indexed="64"/>
        </left>
        <right style="medium">
          <color indexed="64"/>
        </right>
        <top style="medium">
          <color indexed="64"/>
        </top>
        <bottom style="medium">
          <color indexed="64"/>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sz val="8"/>
        <color rgb="FFC00000"/>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z val="8"/>
        <color auto="1"/>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none"/>
      </font>
      <numFmt numFmtId="0" formatCode="General"/>
      <fill>
        <patternFill patternType="solid">
          <bgColor theme="8" tint="0.39997558519241921"/>
        </patternFill>
      </fill>
      <alignment vertical="center" textRotation="0" wrapText="1" indent="0" justifyLastLine="0" shrinkToFit="0" readingOrder="0"/>
      <border>
        <left style="thin">
          <color indexed="64"/>
        </left>
      </border>
    </dxf>
    <dxf>
      <font>
        <strike val="0"/>
        <outline val="0"/>
        <shadow val="0"/>
        <u val="none"/>
        <vertAlign val="baseline"/>
        <sz val="8"/>
        <name val="Calibri"/>
        <scheme val="none"/>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bottom/>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style="medium">
          <color auto="1"/>
        </horizontal>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theme="0"/>
        <name val="Calibri"/>
        <scheme val="minor"/>
      </font>
      <numFmt numFmtId="165" formatCode="&quot;+&quot;0"/>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Helvetica"/>
        <scheme val="none"/>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Helvetica"/>
        <scheme val="none"/>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rgb="FF3A3A3A"/>
        <name val="Helvetica"/>
        <scheme val="none"/>
      </font>
      <fill>
        <patternFill patternType="solid">
          <fgColor indexed="64"/>
          <bgColor theme="0"/>
        </patternFill>
      </fill>
      <alignment horizontal="center"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fill>
        <patternFill patternType="solid">
          <bgColor theme="9" tint="0.39997558519241921"/>
        </patternFill>
      </fill>
    </dxf>
    <dxf>
      <font>
        <strike val="0"/>
        <outline val="0"/>
        <shadow val="0"/>
        <u val="none"/>
        <vertAlign val="baseline"/>
        <sz val="8"/>
        <name val="Calibri"/>
        <scheme val="minor"/>
      </font>
      <fill>
        <patternFill patternType="solid">
          <bgColor theme="9" tint="0.39997558519241921"/>
        </patternFill>
      </fill>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theme="0"/>
        </patternFill>
      </fill>
      <alignment horizontal="center" vertical="center" textRotation="0" wrapText="1" indent="0" justifyLastLine="0" shrinkToFit="0" readingOrder="0"/>
      <border diagonalUp="0" diagonalDown="0" outline="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fill>
        <patternFill patternType="solid">
          <bgColor theme="9" tint="0.39997558519241921"/>
        </patternFill>
      </fill>
    </dxf>
    <dxf>
      <font>
        <strike val="0"/>
        <outline val="0"/>
        <shadow val="0"/>
        <u val="none"/>
        <vertAlign val="baseline"/>
        <sz val="8"/>
        <name val="Calibri"/>
        <scheme val="minor"/>
      </font>
      <fill>
        <patternFill patternType="solid">
          <bgColor theme="9" tint="0.39997558519241921"/>
        </patternFill>
      </fill>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border diagonalUp="0" diagonalDown="0">
        <left/>
        <right style="thin">
          <color indexed="64"/>
        </right>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style="medium">
          <color auto="1"/>
        </top>
        <bottom style="medium">
          <color auto="1"/>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0"/>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0"/>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color theme="9" tint="-0.499984740745262"/>
      </font>
      <fill>
        <patternFill>
          <bgColor theme="9" tint="-0.499984740745262"/>
        </patternFill>
      </fill>
    </dxf>
    <dxf>
      <font>
        <color rgb="FFFF0000"/>
      </font>
      <fill>
        <patternFill>
          <bgColor rgb="FFFF0000"/>
        </patternFill>
      </fill>
    </dxf>
    <dxf>
      <fill>
        <patternFill>
          <bgColor theme="9" tint="-0.24994659260841701"/>
        </patternFill>
      </fill>
    </dxf>
    <dxf>
      <font>
        <color rgb="FFFF0000"/>
      </font>
      <fill>
        <patternFill>
          <bgColor rgb="FFFF0000"/>
        </patternFill>
      </fill>
    </dxf>
    <dxf>
      <font>
        <color rgb="FFC00000"/>
      </font>
      <fill>
        <patternFill>
          <bgColor rgb="FFC00000"/>
        </patternFill>
      </fill>
    </dxf>
    <dxf>
      <fill>
        <patternFill>
          <bgColor theme="9" tint="-0.24994659260841701"/>
        </patternFill>
      </fill>
    </dxf>
    <dxf>
      <font>
        <color rgb="FFC00000"/>
      </font>
      <fill>
        <patternFill>
          <bgColor rgb="FFC00000"/>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theme="9" tint="-0.24994659260841701"/>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rgb="FFFFFF00"/>
        </patternFill>
      </fill>
    </dxf>
    <dxf>
      <font>
        <color rgb="FFFF0000"/>
      </font>
      <fill>
        <patternFill>
          <bgColor rgb="FFFF0000"/>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theme="9" tint="-0.24994659260841701"/>
        </patternFill>
      </fill>
    </dxf>
    <dxf>
      <font>
        <color rgb="FFFF0000"/>
      </font>
      <fill>
        <patternFill>
          <bgColor rgb="FFFF0000"/>
        </patternFill>
      </fill>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8"/>
        <name val="Calibri"/>
        <scheme val="minor"/>
      </font>
      <numFmt numFmtId="14" formatCode="0.00%"/>
      <fill>
        <patternFill>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font>
        <b/>
        <strike val="0"/>
        <outline val="0"/>
        <shadow val="0"/>
        <u val="none"/>
        <vertAlign val="baseline"/>
        <sz val="8"/>
        <color theme="0"/>
        <name val="Calibri"/>
        <scheme val="minor"/>
      </font>
      <fill>
        <patternFill patternType="solid">
          <fgColor indexed="64"/>
          <bgColor rgb="FF002060"/>
        </patternFill>
      </fill>
      <alignmen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protection locked="1" hidden="0"/>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protection locked="1" hidden="0"/>
    </dxf>
    <dxf>
      <border>
        <bottom style="medium">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auto="1"/>
        </left>
        <right style="medium">
          <color auto="1"/>
        </right>
        <top/>
        <bottom/>
      </border>
      <protection locked="1" hidden="0"/>
    </dxf>
    <dxf>
      <fill>
        <patternFill>
          <bgColor theme="9" tint="-0.24994659260841701"/>
        </patternFill>
      </fill>
    </dxf>
    <dxf>
      <font>
        <color auto="1"/>
      </font>
      <fill>
        <patternFill>
          <bgColor theme="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ont>
        <color rgb="FFFF0000"/>
      </font>
      <fill>
        <patternFill>
          <bgColor rgb="FFFF0000"/>
        </patternFill>
      </fill>
    </dxf>
    <dxf>
      <font>
        <color rgb="FFC00000"/>
      </font>
      <fill>
        <patternFill>
          <bgColor rgb="FFC00000"/>
        </patternFill>
      </fill>
    </dxf>
    <dxf>
      <font>
        <color theme="9" tint="-0.499984740745262"/>
      </font>
      <fill>
        <patternFill>
          <bgColor theme="9" tint="-0.499984740745262"/>
        </patternFill>
      </fill>
    </dxf>
    <dxf>
      <font>
        <color rgb="FFFF0000"/>
      </font>
      <fill>
        <patternFill>
          <bgColor rgb="FFFF0000"/>
        </patternFill>
      </fill>
    </dxf>
    <dxf>
      <fill>
        <patternFill>
          <bgColor theme="9" tint="-0.24994659260841701"/>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b val="0"/>
        <i val="0"/>
        <color auto="1"/>
      </font>
      <fill>
        <patternFill>
          <bgColor rgb="FFFFFF00"/>
        </patternFill>
      </fill>
    </dxf>
    <dxf>
      <fill>
        <patternFill>
          <bgColor rgb="FFFFFF00"/>
        </patternFill>
      </fill>
    </dxf>
    <dxf>
      <font>
        <color theme="9" tint="-0.499984740745262"/>
      </font>
      <fill>
        <patternFill>
          <bgColor theme="9" tint="-0.499984740745262"/>
        </patternFill>
      </fill>
    </dxf>
    <dxf>
      <font>
        <color rgb="FFC00000"/>
      </font>
      <fill>
        <patternFill>
          <bgColor rgb="FFC00000"/>
        </patternFill>
      </fill>
    </dxf>
    <dxf>
      <font>
        <color rgb="FFFF0000"/>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F0"/>
        </patternFill>
      </fill>
    </dxf>
    <dxf>
      <font>
        <color theme="0"/>
      </font>
      <fill>
        <patternFill>
          <bgColor rgb="FF002060"/>
        </patternFill>
      </fill>
    </dxf>
    <dxf>
      <fill>
        <patternFill>
          <bgColor rgb="FFFF0000"/>
        </patternFill>
      </fill>
    </dxf>
    <dxf>
      <fill>
        <patternFill>
          <bgColor rgb="FF00B0F0"/>
        </patternFill>
      </fill>
    </dxf>
    <dxf>
      <fill>
        <patternFill>
          <bgColor rgb="FFFF0000"/>
        </patternFill>
      </fill>
    </dxf>
    <dxf>
      <font>
        <color theme="0"/>
      </font>
      <fill>
        <patternFill>
          <bgColor theme="0"/>
        </patternFill>
      </fill>
    </dxf>
    <dxf>
      <font>
        <color theme="0" tint="-4.9989318521683403E-2"/>
      </font>
      <fill>
        <patternFill>
          <bgColor theme="0" tint="-4.9989318521683403E-2"/>
        </patternFill>
      </fill>
    </dxf>
    <dxf>
      <font>
        <color theme="0"/>
      </font>
      <fill>
        <patternFill patternType="lightUp">
          <fgColor rgb="FF0070C0"/>
        </patternFill>
      </fill>
      <border>
        <left/>
        <right/>
        <top style="thin">
          <color rgb="FF002060"/>
        </top>
        <bottom style="thin">
          <color rgb="FF002060"/>
        </bottom>
      </border>
    </dxf>
    <dxf>
      <font>
        <color rgb="FFFFFFFF"/>
      </font>
      <fill>
        <patternFill patternType="lightGray">
          <fgColor rgb="FFFF0000"/>
          <bgColor auto="1"/>
        </patternFill>
      </fill>
      <border>
        <left/>
        <right/>
        <top style="thin">
          <color rgb="FFFF0000"/>
        </top>
        <bottom style="thin">
          <color rgb="FFFF0000"/>
        </bottom>
      </border>
    </dxf>
    <dxf>
      <font>
        <color rgb="FFFF9F9F"/>
      </font>
      <fill>
        <patternFill patternType="lightUp">
          <fgColor rgb="FF0070C0"/>
          <bgColor rgb="FFFF9F9F"/>
        </patternFill>
      </fill>
      <border>
        <left/>
        <right/>
        <top style="thin">
          <color rgb="FFFF3399"/>
        </top>
        <bottom style="thin">
          <color rgb="FFFF3399"/>
        </bottom>
      </border>
    </dxf>
    <dxf>
      <font>
        <color rgb="FF009682"/>
      </font>
      <fill>
        <patternFill patternType="solid">
          <fgColor auto="1"/>
          <bgColor rgb="FF009682"/>
        </patternFill>
      </fill>
      <border>
        <left/>
        <right/>
        <top style="thin">
          <color rgb="FF007864"/>
        </top>
        <bottom style="thin">
          <color rgb="FF007864"/>
        </bottom>
      </border>
    </dxf>
    <dxf>
      <font>
        <color rgb="FF00B050"/>
      </font>
      <fill>
        <patternFill patternType="solid">
          <fgColor auto="1"/>
          <bgColor rgb="FF00B050"/>
        </patternFill>
      </fill>
      <border>
        <left/>
        <right/>
        <top style="thin">
          <color rgb="FF008C3C"/>
        </top>
        <bottom style="thin">
          <color rgb="FF008C3C"/>
        </bottom>
      </border>
    </dxf>
    <dxf>
      <font>
        <color theme="4" tint="0.39994506668294322"/>
      </font>
      <fill>
        <patternFill>
          <bgColor theme="4" tint="0.39994506668294322"/>
        </patternFill>
      </fill>
      <border>
        <left style="thin">
          <color rgb="FF0070C0"/>
        </left>
        <right style="thin">
          <color rgb="FF0070C0"/>
        </right>
        <top/>
        <bottom/>
        <vertical/>
        <horizontal/>
      </border>
    </dxf>
    <dxf>
      <font>
        <color theme="0"/>
      </font>
      <fill>
        <patternFill>
          <bgColor rgb="FF002060"/>
        </patternFill>
      </fill>
    </dxf>
    <dxf>
      <fill>
        <patternFill>
          <bgColor rgb="FFFF0000"/>
        </patternFill>
      </fill>
    </dxf>
    <dxf>
      <fill>
        <patternFill>
          <bgColor rgb="FF00B0F0"/>
        </patternFill>
      </fill>
    </dxf>
  </dxfs>
  <tableStyles count="1" defaultTableStyle="TableStyleMedium9" defaultPivotStyle="PivotStyleLight16">
    <tableStyle name="Style de tableau 1" pivot="0" count="0"/>
  </tableStyles>
  <colors>
    <mruColors>
      <color rgb="FFA41EB2"/>
      <color rgb="FFB8D0E4"/>
      <color rgb="FFFF3399"/>
      <color rgb="FF0070C0"/>
      <color rgb="FF002060"/>
      <color rgb="FF007864"/>
      <color rgb="FF008C3C"/>
      <color rgb="FF009682"/>
      <color rgb="FFFF5A9F"/>
      <color rgb="FFFF78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100">
                <a:solidFill>
                  <a:schemeClr val="bg1"/>
                </a:solidFill>
              </a:defRPr>
            </a:pPr>
            <a:r>
              <a:rPr lang="fr-FR">
                <a:solidFill>
                  <a:sysClr val="windowText" lastClr="000000"/>
                </a:solidFill>
              </a:rPr>
              <a:t>Ressources Nécessaires</a:t>
            </a:r>
          </a:p>
        </c:rich>
      </c:tx>
      <c:overlay val="0"/>
      <c:spPr>
        <a:noFill/>
        <a:ln>
          <a:solidFill>
            <a:schemeClr val="accent5">
              <a:lumMod val="20000"/>
              <a:lumOff val="80000"/>
            </a:schemeClr>
          </a:solidFill>
        </a:ln>
      </c:spPr>
    </c:title>
    <c:autoTitleDeleted val="0"/>
    <c:view3D>
      <c:rotX val="50"/>
      <c:rotY val="0"/>
      <c:rAngAx val="0"/>
      <c:perspective val="10"/>
    </c:view3D>
    <c:floor>
      <c:thickness val="0"/>
    </c:floor>
    <c:sideWall>
      <c:thickness val="0"/>
    </c:sideWall>
    <c:backWall>
      <c:thickness val="0"/>
    </c:backWall>
    <c:plotArea>
      <c:layout>
        <c:manualLayout>
          <c:layoutTarget val="inner"/>
          <c:xMode val="edge"/>
          <c:yMode val="edge"/>
          <c:x val="7.2029930257229133E-2"/>
          <c:y val="0.17578387114050001"/>
          <c:w val="0.68639384932463732"/>
          <c:h val="0.81532325135226236"/>
        </c:manualLayout>
      </c:layout>
      <c:pie3DChart>
        <c:varyColors val="1"/>
        <c:ser>
          <c:idx val="0"/>
          <c:order val="0"/>
          <c:spPr>
            <a:solidFill>
              <a:srgbClr val="4F81BD"/>
            </a:solidFill>
          </c:spPr>
          <c:dPt>
            <c:idx val="0"/>
            <c:bubble3D val="0"/>
            <c:spPr>
              <a:solidFill>
                <a:srgbClr val="FFC000"/>
              </a:solidFill>
            </c:spPr>
          </c:dPt>
          <c:dPt>
            <c:idx val="1"/>
            <c:bubble3D val="0"/>
            <c:spPr>
              <a:solidFill>
                <a:srgbClr val="A41EB2"/>
              </a:solidFill>
            </c:spPr>
          </c:dPt>
          <c:dPt>
            <c:idx val="2"/>
            <c:bubble3D val="0"/>
            <c:spPr>
              <a:solidFill>
                <a:schemeClr val="tx1"/>
              </a:solidFill>
            </c:spPr>
          </c:dPt>
          <c:dLbls>
            <c:dLbl>
              <c:idx val="0"/>
              <c:layout>
                <c:manualLayout>
                  <c:x val="-0.15792206173784759"/>
                  <c:y val="-0.19675151158495338"/>
                </c:manualLayout>
              </c:layout>
              <c:showLegendKey val="0"/>
              <c:showVal val="1"/>
              <c:showCatName val="0"/>
              <c:showSerName val="0"/>
              <c:showPercent val="0"/>
              <c:showBubbleSize val="0"/>
              <c:extLst>
                <c:ext xmlns:c15="http://schemas.microsoft.com/office/drawing/2012/chart" uri="{CE6537A1-D6FC-4f65-9D91-7224C49458BB}"/>
              </c:extLst>
            </c:dLbl>
            <c:dLbl>
              <c:idx val="1"/>
              <c:spPr/>
              <c:txPr>
                <a:bodyPr/>
                <a:lstStyle/>
                <a:p>
                  <a:pPr>
                    <a:defRPr>
                      <a:solidFill>
                        <a:schemeClr val="tx2">
                          <a:lumMod val="40000"/>
                          <a:lumOff val="60000"/>
                        </a:schemeClr>
                      </a:solidFill>
                    </a:defRPr>
                  </a:pPr>
                  <a:endParaRPr lang="fr-FR"/>
                </a:p>
              </c:txPr>
              <c:showLegendKey val="0"/>
              <c:showVal val="1"/>
              <c:showCatName val="0"/>
              <c:showSerName val="0"/>
              <c:showPercent val="0"/>
              <c:showBubbleSize val="0"/>
            </c:dLbl>
            <c:dLbl>
              <c:idx val="2"/>
              <c:layout>
                <c:manualLayout>
                  <c:x val="0.11189248770837858"/>
                  <c:y val="-2.2779717176498733E-3"/>
                </c:manualLayout>
              </c:layout>
              <c:spPr/>
              <c:txPr>
                <a:bodyPr/>
                <a:lstStyle/>
                <a:p>
                  <a:pPr>
                    <a:defRPr>
                      <a:solidFill>
                        <a:srgbClr val="00B0F0"/>
                      </a:solidFill>
                    </a:defRPr>
                  </a:pPr>
                  <a:endParaRPr lang="fr-FR"/>
                </a:p>
              </c:txPr>
              <c:showLegendKey val="0"/>
              <c:showVal val="1"/>
              <c:showCatName val="0"/>
              <c:showSerName val="0"/>
              <c:showPercent val="0"/>
              <c:showBubbleSize val="0"/>
              <c:extLst>
                <c:ext xmlns:c15="http://schemas.microsoft.com/office/drawing/2012/chart" uri="{CE6537A1-D6FC-4f65-9D91-7224C49458BB}"/>
              </c:extLst>
            </c:dLbl>
            <c:spPr>
              <a:noFill/>
              <a:ln>
                <a:noFill/>
              </a:ln>
              <a:effectLst/>
            </c:spPr>
            <c:showLegendKey val="0"/>
            <c:showVal val="1"/>
            <c:showCatName val="0"/>
            <c:showSerName val="0"/>
            <c:showPercent val="0"/>
            <c:showBubbleSize val="0"/>
            <c:showLeaderLines val="1"/>
            <c:extLst>
              <c:ext xmlns:c15="http://schemas.microsoft.com/office/drawing/2012/chart" uri="{CE6537A1-D6FC-4f65-9D91-7224C49458BB}"/>
            </c:extLst>
          </c:dLbls>
          <c:cat>
            <c:strRef>
              <c:f>'À Faire - Récapitulatif'!$Y$3:$Y$5</c:f>
              <c:strCache>
                <c:ptCount val="3"/>
                <c:pt idx="0">
                  <c:v>Or</c:v>
                </c:pt>
                <c:pt idx="1">
                  <c:v>Élixir</c:v>
                </c:pt>
                <c:pt idx="2">
                  <c:v>Élixir Noir</c:v>
                </c:pt>
              </c:strCache>
            </c:strRef>
          </c:cat>
          <c:val>
            <c:numRef>
              <c:f>'À Faire - Récapitulatif'!$Z$3:$Z$5</c:f>
              <c:numCache>
                <c:formatCode>#,##0</c:formatCode>
                <c:ptCount val="3"/>
                <c:pt idx="0">
                  <c:v>3250</c:v>
                </c:pt>
                <c:pt idx="1">
                  <c:v>4700</c:v>
                </c:pt>
                <c:pt idx="2">
                  <c:v>0</c:v>
                </c:pt>
              </c:numCache>
            </c:numRef>
          </c:val>
        </c:ser>
        <c:dLbls>
          <c:showLegendKey val="0"/>
          <c:showVal val="1"/>
          <c:showCatName val="0"/>
          <c:showSerName val="0"/>
          <c:showPercent val="0"/>
          <c:showBubbleSize val="0"/>
          <c:showLeaderLines val="1"/>
        </c:dLbls>
      </c:pie3DChart>
      <c:spPr>
        <a:noFill/>
        <a:ln w="25400">
          <a:noFill/>
        </a:ln>
      </c:spPr>
    </c:plotArea>
    <c:legend>
      <c:legendPos val="r"/>
      <c:legendEntry>
        <c:idx val="1"/>
        <c:txPr>
          <a:bodyPr/>
          <a:lstStyle/>
          <a:p>
            <a:pPr rtl="0">
              <a:defRPr sz="800">
                <a:solidFill>
                  <a:schemeClr val="tx2">
                    <a:lumMod val="40000"/>
                    <a:lumOff val="60000"/>
                  </a:schemeClr>
                </a:solidFill>
              </a:defRPr>
            </a:pPr>
            <a:endParaRPr lang="fr-FR"/>
          </a:p>
        </c:txPr>
      </c:legendEntry>
      <c:legendEntry>
        <c:idx val="2"/>
        <c:txPr>
          <a:bodyPr/>
          <a:lstStyle/>
          <a:p>
            <a:pPr rtl="0">
              <a:defRPr sz="800">
                <a:solidFill>
                  <a:srgbClr val="00B0F0"/>
                </a:solidFill>
              </a:defRPr>
            </a:pPr>
            <a:endParaRPr lang="fr-FR"/>
          </a:p>
        </c:txPr>
      </c:legendEntry>
      <c:overlay val="0"/>
      <c:txPr>
        <a:bodyPr/>
        <a:lstStyle/>
        <a:p>
          <a:pPr rtl="0">
            <a:defRPr sz="800"/>
          </a:pPr>
          <a:endParaRPr lang="fr-FR"/>
        </a:p>
      </c:txPr>
    </c:legend>
    <c:plotVisOnly val="1"/>
    <c:dispBlanksAs val="zero"/>
    <c:showDLblsOverMax val="0"/>
  </c:chart>
  <c:spPr>
    <a:solidFill>
      <a:schemeClr val="accent5">
        <a:lumMod val="20000"/>
        <a:lumOff val="80000"/>
      </a:schemeClr>
    </a:solidFill>
    <a:ln>
      <a:solidFill>
        <a:schemeClr val="tx1"/>
      </a:solidFill>
    </a:ln>
  </c:spPr>
  <c:printSettings>
    <c:headerFooter/>
    <c:pageMargins b="0.75000000000001465" l="0.70000000000000062" r="0.70000000000000062" t="0.75000000000001465"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17</xdr:col>
      <xdr:colOff>92766</xdr:colOff>
      <xdr:row>0</xdr:row>
      <xdr:rowOff>19050</xdr:rowOff>
    </xdr:from>
    <xdr:to>
      <xdr:col>17</xdr:col>
      <xdr:colOff>371133</xdr:colOff>
      <xdr:row>0</xdr:row>
      <xdr:rowOff>296778</xdr:rowOff>
    </xdr:to>
    <xdr:pic macro="[0]!Cout_Periode">
      <xdr:nvPicPr>
        <xdr:cNvPr id="6" name="Image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27166" y="19050"/>
          <a:ext cx="278367" cy="2777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5</xdr:col>
          <xdr:colOff>19050</xdr:colOff>
          <xdr:row>0</xdr:row>
          <xdr:rowOff>9525</xdr:rowOff>
        </xdr:from>
        <xdr:to>
          <xdr:col>6</xdr:col>
          <xdr:colOff>504825</xdr:colOff>
          <xdr:row>0</xdr:row>
          <xdr:rowOff>228600</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Calibri"/>
                </a:rPr>
                <a:t>Créer Planning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0</xdr:row>
          <xdr:rowOff>276225</xdr:rowOff>
        </xdr:from>
        <xdr:to>
          <xdr:col>6</xdr:col>
          <xdr:colOff>504825</xdr:colOff>
          <xdr:row>1</xdr:row>
          <xdr:rowOff>180975</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FF0000"/>
                  </a:solidFill>
                  <a:latin typeface="Calibri"/>
                </a:rPr>
                <a:t>Réinitialiser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13</xdr:col>
      <xdr:colOff>247650</xdr:colOff>
      <xdr:row>27</xdr:row>
      <xdr:rowOff>57150</xdr:rowOff>
    </xdr:from>
    <xdr:to>
      <xdr:col>22</xdr:col>
      <xdr:colOff>47624</xdr:colOff>
      <xdr:row>40</xdr:row>
      <xdr:rowOff>81998</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2" name="GAINS" displayName="GAINS" ref="I17:K25" totalsRowShown="0" headerRowDxfId="1701" dataDxfId="1699" headerRowBorderDxfId="1700" tableBorderDxfId="1698" totalsRowBorderDxfId="1697">
  <autoFilter ref="I17:K25"/>
  <tableColumns count="3">
    <tableColumn id="1" name="Type" dataDxfId="1696"/>
    <tableColumn id="2" name="%" dataDxfId="1695"/>
    <tableColumn id="3" name="Gain Maximum" dataDxfId="1694"/>
  </tableColumns>
  <tableStyleInfo name="TableStyleMedium9" showFirstColumn="0" showLastColumn="0" showRowStripes="1" showColumnStripes="0"/>
</table>
</file>

<file path=xl/tables/table2.xml><?xml version="1.0" encoding="utf-8"?>
<table xmlns="http://schemas.openxmlformats.org/spreadsheetml/2006/main" id="4" name="CHANGES_Buildings_Resource" displayName="CHANGES_Buildings_Resource" ref="O2:AA14" totalsRowShown="0" headerRowDxfId="1655" dataDxfId="1653" headerRowBorderDxfId="1654" tableBorderDxfId="1652">
  <autoFilter ref="O2:AA14"/>
  <tableColumns count="13">
    <tableColumn id="1" name="LVL HdV" dataDxfId="1651"/>
    <tableColumn id="2" name="Mine d'Or" dataDxfId="1650"/>
    <tableColumn id="3" name="LVL Max" dataDxfId="1649"/>
    <tableColumn id="4" name="Extracteur d'Élixir" dataDxfId="1648"/>
    <tableColumn id="5" name="LVL Max2" dataDxfId="1647"/>
    <tableColumn id="6" name="Foreuse d'Élixir Noir" dataDxfId="1646"/>
    <tableColumn id="7" name="LVL Max3" dataDxfId="1645"/>
    <tableColumn id="8" name="Réserve d'Or" dataDxfId="1644"/>
    <tableColumn id="9" name="LVL Max4" dataDxfId="1643"/>
    <tableColumn id="10" name="Réservoir d'Élixir" dataDxfId="1642"/>
    <tableColumn id="11" name="LVL Max5" dataDxfId="1641"/>
    <tableColumn id="12" name="Réservoir d'Élixir Noir" dataDxfId="1640"/>
    <tableColumn id="13" name="LVL Max6" dataDxfId="1639"/>
  </tableColumns>
  <tableStyleInfo name="TableStyleMedium9" showFirstColumn="0" showLastColumn="0" showRowStripes="1" showColumnStripes="0"/>
</table>
</file>

<file path=xl/tables/table3.xml><?xml version="1.0" encoding="utf-8"?>
<table xmlns="http://schemas.openxmlformats.org/spreadsheetml/2006/main" id="5" name="AVAILABLE_Buildings_Resource" displayName="AVAILABLE_Buildings_Resource" ref="A2:M14" totalsRowShown="0" headerRowDxfId="1638" dataDxfId="1636" headerRowBorderDxfId="1637" tableBorderDxfId="1635">
  <autoFilter ref="A2:M14"/>
  <tableColumns count="13">
    <tableColumn id="1" name="LVL HdV" dataDxfId="1634"/>
    <tableColumn id="2" name="Mine d'Or" dataDxfId="1633"/>
    <tableColumn id="3" name="LVL Max" dataDxfId="1632"/>
    <tableColumn id="4" name="Extracteur d'Élixir" dataDxfId="1631"/>
    <tableColumn id="5" name="LVL Max2" dataDxfId="1630"/>
    <tableColumn id="6" name="Foreuse d'Élixir Noir" dataDxfId="1629"/>
    <tableColumn id="7" name="LVL Max3" dataDxfId="1628"/>
    <tableColumn id="8" name="Réserve d'Or" dataDxfId="1627"/>
    <tableColumn id="9" name="LVL Max4" dataDxfId="1626"/>
    <tableColumn id="10" name="Réservoir d'Élixir" dataDxfId="1625"/>
    <tableColumn id="11" name="LVL Max5" dataDxfId="1624"/>
    <tableColumn id="12" name="Réservoir d'Élixir Noir" dataDxfId="1623"/>
    <tableColumn id="13" name="LVL Max6" dataDxfId="1622"/>
  </tableColumns>
  <tableStyleInfo name="TableStyleMedium9" showFirstColumn="0" showLastColumn="0" showRowStripes="1" showColumnStripes="0"/>
</table>
</file>

<file path=xl/tables/table4.xml><?xml version="1.0" encoding="utf-8"?>
<table xmlns="http://schemas.openxmlformats.org/spreadsheetml/2006/main" id="46" name="CHANGES_Buildings_Army" displayName="CHANGES_Buildings_Army" ref="O17:AA29" totalsRowShown="0" headerRowDxfId="1621" dataDxfId="1619" headerRowBorderDxfId="1620" tableBorderDxfId="1618">
  <autoFilter ref="O17:AA29"/>
  <tableColumns count="13">
    <tableColumn id="1" name="LVL HdV" dataDxfId="1617"/>
    <tableColumn id="14" name="Caserne" dataDxfId="1616"/>
    <tableColumn id="15" name="LVL Max" dataDxfId="1615"/>
    <tableColumn id="16" name="Caserne Noire" dataDxfId="1614"/>
    <tableColumn id="17" name="LVL Max2" dataDxfId="1613"/>
    <tableColumn id="18" name="Camp Militaire" dataDxfId="1612"/>
    <tableColumn id="19" name="LVL Max3" dataDxfId="1611"/>
    <tableColumn id="20" name="Laboratoire" dataDxfId="1610"/>
    <tableColumn id="21" name="LVL Max4" dataDxfId="1609"/>
    <tableColumn id="22" name="Usine de Sorts" dataDxfId="1608"/>
    <tableColumn id="23" name="LVL Max5" dataDxfId="1607"/>
    <tableColumn id="2" name="Usine de Sorts Noirs" dataDxfId="1606"/>
    <tableColumn id="3" name="LVL Max7" dataDxfId="1605"/>
  </tableColumns>
  <tableStyleInfo name="TableStyleMedium9" showFirstColumn="0" showLastColumn="0" showRowStripes="1" showColumnStripes="0"/>
</table>
</file>

<file path=xl/tables/table5.xml><?xml version="1.0" encoding="utf-8"?>
<table xmlns="http://schemas.openxmlformats.org/spreadsheetml/2006/main" id="42" name="AVAILABLE_Buildings_Army" displayName="AVAILABLE_Buildings_Army" ref="A17:M29" totalsRowShown="0" headerRowDxfId="1604" dataDxfId="1602" headerRowBorderDxfId="1603" tableBorderDxfId="1601">
  <autoFilter ref="A17:M29"/>
  <tableColumns count="13">
    <tableColumn id="1" name="LVL HdV" dataDxfId="1600"/>
    <tableColumn id="14" name="Caserne" dataDxfId="1599"/>
    <tableColumn id="15" name="LVL Max" dataDxfId="1598"/>
    <tableColumn id="16" name="Caserne Noire" dataDxfId="1597"/>
    <tableColumn id="17" name="LVL Max2" dataDxfId="1596"/>
    <tableColumn id="18" name="Camp Militaire" dataDxfId="1595"/>
    <tableColumn id="19" name="LVL Max3" dataDxfId="1594"/>
    <tableColumn id="20" name="Laboratoire" dataDxfId="1593"/>
    <tableColumn id="21" name="LVL Max4" dataDxfId="1592"/>
    <tableColumn id="22" name="Usine de Sorts" dataDxfId="1591"/>
    <tableColumn id="23" name="LVL Max5" dataDxfId="1590"/>
    <tableColumn id="2" name="Usine de Sorts Noirs" dataDxfId="1589"/>
    <tableColumn id="3" name="LVL Max7" dataDxfId="1588"/>
  </tableColumns>
  <tableStyleInfo name="TableStyleMedium9" showFirstColumn="0" showLastColumn="0" showRowStripes="1" showColumnStripes="0"/>
</table>
</file>

<file path=xl/tables/table6.xml><?xml version="1.0" encoding="utf-8"?>
<table xmlns="http://schemas.openxmlformats.org/spreadsheetml/2006/main" id="47" name="CHANGES_Buildings_Other" displayName="CHANGES_Buildings_Other" ref="G62:K74" totalsRowShown="0" headerRowDxfId="1587" dataDxfId="1585" headerRowBorderDxfId="1586" tableBorderDxfId="1584">
  <autoFilter ref="G62:K74"/>
  <tableColumns count="5">
    <tableColumn id="1" name="LVL HdV" dataDxfId="1583"/>
    <tableColumn id="24" name="Château de Clan" dataDxfId="1582"/>
    <tableColumn id="25" name="LVL Max" dataDxfId="1581"/>
    <tableColumn id="26" name="Hôtel de Ville" dataDxfId="1580">
      <calculatedColumnFormula>D63-D62</calculatedColumnFormula>
    </tableColumn>
    <tableColumn id="27" name="LVL Max2" dataDxfId="1579">
      <calculatedColumnFormula>E63-E62</calculatedColumnFormula>
    </tableColumn>
  </tableColumns>
  <tableStyleInfo name="TableStyleMedium9" showFirstColumn="0" showLastColumn="0" showRowStripes="1" showColumnStripes="0"/>
</table>
</file>

<file path=xl/tables/table7.xml><?xml version="1.0" encoding="utf-8"?>
<table xmlns="http://schemas.openxmlformats.org/spreadsheetml/2006/main" id="48" name="AVAILABLE_Buildings_Other" displayName="AVAILABLE_Buildings_Other" ref="A62:E74" totalsRowShown="0" headerRowDxfId="1578" dataDxfId="1576" headerRowBorderDxfId="1577" tableBorderDxfId="1575">
  <autoFilter ref="A62:E74"/>
  <tableColumns count="5">
    <tableColumn id="1" name="LVL HdV" dataDxfId="1574"/>
    <tableColumn id="24" name="Château de Clan" dataDxfId="1573"/>
    <tableColumn id="25" name="LVL Max" dataDxfId="1572"/>
    <tableColumn id="26" name="Hôtel de Ville" dataDxfId="1571"/>
    <tableColumn id="27" name="LVL Max2" dataDxfId="1570"/>
  </tableColumns>
  <tableStyleInfo name="TableStyleMedium9" showFirstColumn="0" showLastColumn="0" showRowStripes="1" showColumnStripes="0"/>
</table>
</file>

<file path=xl/tables/table8.xml><?xml version="1.0" encoding="utf-8"?>
<table xmlns="http://schemas.openxmlformats.org/spreadsheetml/2006/main" id="1" name="AVAILABLE_Buildings_Defensive" displayName="AVAILABLE_Buildings_Defensive" ref="A32:W44" totalsRowShown="0" headerRowDxfId="1569" dataDxfId="1567" headerRowBorderDxfId="1568" tableBorderDxfId="1566">
  <autoFilter ref="A32:W44"/>
  <tableColumns count="23">
    <tableColumn id="1" name="LVL HdV" dataDxfId="1565"/>
    <tableColumn id="2" name="Rempart" dataDxfId="1564"/>
    <tableColumn id="3" name="LVL Max" dataDxfId="1563"/>
    <tableColumn id="4" name="Canon" dataDxfId="1562"/>
    <tableColumn id="5" name="LVL Max2" dataDxfId="1561"/>
    <tableColumn id="6" name="Tour d'Archers" dataDxfId="1560"/>
    <tableColumn id="7" name="LVL Max3" dataDxfId="1559"/>
    <tableColumn id="8" name="Mortier" dataDxfId="1558"/>
    <tableColumn id="9" name="LVL Max4" dataDxfId="1557"/>
    <tableColumn id="10" name="Défense Antiaérienne" dataDxfId="1556"/>
    <tableColumn id="11" name="LVL Max5" dataDxfId="1555"/>
    <tableColumn id="12" name="Tour de Sorciers" dataDxfId="1554"/>
    <tableColumn id="13" name="LVL Max6" dataDxfId="1553"/>
    <tableColumn id="21" name="Propulseur d'air" dataDxfId="1552"/>
    <tableColumn id="20" name="LVL Max62" dataDxfId="1551"/>
    <tableColumn id="14" name="Tesla Camouflée" dataDxfId="1550"/>
    <tableColumn id="15" name="LVL Max7" dataDxfId="1549"/>
    <tableColumn id="16" name="Arc-X" dataDxfId="1548"/>
    <tableColumn id="17" name="LVL Max8" dataDxfId="1547"/>
    <tableColumn id="18" name="Tour de l'Enfer" dataDxfId="1546"/>
    <tableColumn id="19" name="LVL Max9" dataDxfId="1545"/>
    <tableColumn id="23" name="Aigle Artilleur" dataDxfId="1544"/>
    <tableColumn id="24" name="LVL Max11" dataDxfId="1543"/>
  </tableColumns>
  <tableStyleInfo name="TableStyleMedium9" showFirstColumn="0" showLastColumn="0" showRowStripes="1" showColumnStripes="0"/>
</table>
</file>

<file path=xl/tables/table9.xml><?xml version="1.0" encoding="utf-8"?>
<table xmlns="http://schemas.openxmlformats.org/spreadsheetml/2006/main" id="2" name="AVAILABLE_Traps" displayName="AVAILABLE_Traps" ref="A47:M59" totalsRowShown="0" headerRowDxfId="1542" headerRowBorderDxfId="1541" tableBorderDxfId="1540">
  <autoFilter ref="A47:M59"/>
  <tableColumns count="13">
    <tableColumn id="13" name="LVL HdV" dataDxfId="1539"/>
    <tableColumn id="1" name="Bombe" dataDxfId="1538"/>
    <tableColumn id="2" name="LVL Max33" dataDxfId="1537"/>
    <tableColumn id="3" name="Piège à ressort" dataDxfId="1536"/>
    <tableColumn id="4" name="LVL Max35" dataDxfId="1535"/>
    <tableColumn id="5" name="Bombe géante" dataDxfId="1534"/>
    <tableColumn id="6" name="LVL Max37" dataDxfId="1533"/>
    <tableColumn id="7" name="Bombe aérienne" dataDxfId="1532"/>
    <tableColumn id="8" name="LVL Max39" dataDxfId="1531"/>
    <tableColumn id="9" name="Tête chercheuse" dataDxfId="1530"/>
    <tableColumn id="10" name="LVL Max41" dataDxfId="1529"/>
    <tableColumn id="11" name="Piège squelettique" dataDxfId="1528"/>
    <tableColumn id="12" name="LVL Max43" dataDxfId="1527"/>
  </tableColumns>
  <tableStyleInfo name="TableStyleMedium9" showFirstColumn="0" showLastColumn="0" showRowStripes="1" showColumnStripes="0"/>
</table>
</file>

<file path=xl/tables/table10.xml><?xml version="1.0" encoding="utf-8"?>
<table xmlns="http://schemas.openxmlformats.org/spreadsheetml/2006/main" id="3" name="CHANGES_Buildings_Defensive" displayName="CHANGES_Buildings_Defensive" ref="AA32:AW44" totalsRowShown="0" headerRowDxfId="1526" dataDxfId="1524" headerRowBorderDxfId="1525" tableBorderDxfId="1523">
  <autoFilter ref="AA32:AW44"/>
  <tableColumns count="23">
    <tableColumn id="1" name="LVL HdV" dataDxfId="1522"/>
    <tableColumn id="2" name="Rempart" dataDxfId="1521">
      <calculatedColumnFormula>"+"&amp;Bâtiments!B34-Bâtiments!B32</calculatedColumnFormula>
    </tableColumn>
    <tableColumn id="3" name="LVL Max" dataDxfId="1520">
      <calculatedColumnFormula>"+"&amp;Bâtiments!C34-Bâtiments!C32</calculatedColumnFormula>
    </tableColumn>
    <tableColumn id="4" name="Canon" dataDxfId="1519"/>
    <tableColumn id="5" name="LVL Max2" dataDxfId="1518"/>
    <tableColumn id="6" name="Tour d'Archers" dataDxfId="1517"/>
    <tableColumn id="7" name="LVL Max3" dataDxfId="1516"/>
    <tableColumn id="39" name="Mortier" dataDxfId="1515">
      <calculatedColumnFormula>P33-P32</calculatedColumnFormula>
    </tableColumn>
    <tableColumn id="40" name="LVL Max43" dataDxfId="1514">
      <calculatedColumnFormula>Q33-Q32</calculatedColumnFormula>
    </tableColumn>
    <tableColumn id="41" name="Défense Antiaérienne" dataDxfId="1513">
      <calculatedColumnFormula>R33-R32</calculatedColumnFormula>
    </tableColumn>
    <tableColumn id="42" name="LVL Max55" dataDxfId="1512">
      <calculatedColumnFormula>S33-S32</calculatedColumnFormula>
    </tableColumn>
    <tableColumn id="43" name="Tour de Sorciers" dataDxfId="1511">
      <calculatedColumnFormula>L33-L32</calculatedColumnFormula>
    </tableColumn>
    <tableColumn id="44" name="LVL Max6" dataDxfId="1510">
      <calculatedColumnFormula>M33-M32</calculatedColumnFormula>
    </tableColumn>
    <tableColumn id="8" name="Propulsion d'air" dataDxfId="1509"/>
    <tableColumn id="9" name="LVL Max6." dataDxfId="1508"/>
    <tableColumn id="45" name="Tesla Camouflée" dataDxfId="1507">
      <calculatedColumnFormula>P33-P32</calculatedColumnFormula>
    </tableColumn>
    <tableColumn id="46" name="LVL Max7" dataDxfId="1506">
      <calculatedColumnFormula>Q33-Q32</calculatedColumnFormula>
    </tableColumn>
    <tableColumn id="47" name="Arc-X" dataDxfId="1505">
      <calculatedColumnFormula>R33-R32</calculatedColumnFormula>
    </tableColumn>
    <tableColumn id="48" name="LVL Max8" dataDxfId="1504">
      <calculatedColumnFormula>S33-S32</calculatedColumnFormula>
    </tableColumn>
    <tableColumn id="49" name="Tour de l'Enfer" dataDxfId="1503">
      <calculatedColumnFormula>T33-T32</calculatedColumnFormula>
    </tableColumn>
    <tableColumn id="50" name="LVL Max4" dataDxfId="1502">
      <calculatedColumnFormula>U33-U32</calculatedColumnFormula>
    </tableColumn>
    <tableColumn id="10" name="Aigle Artilleur" dataDxfId="1501"/>
    <tableColumn id="11" name="LVL Max5" dataDxfId="1500"/>
  </tableColumns>
  <tableStyleInfo name="TableStyleMedium9" showFirstColumn="0" showLastColumn="0" showRowStripes="1" showColumnStripes="0"/>
</table>
</file>

<file path=xl/tables/table11.xml><?xml version="1.0" encoding="utf-8"?>
<table xmlns="http://schemas.openxmlformats.org/spreadsheetml/2006/main" id="89" name="CHANGE_Traps" displayName="CHANGE_Traps" ref="O47:AA59" totalsRowShown="0" headerRowDxfId="1499" headerRowBorderDxfId="1498" tableBorderDxfId="1497" totalsRowBorderDxfId="1496">
  <autoFilter ref="O47:AA59"/>
  <tableColumns count="13">
    <tableColumn id="13" name="LVL HdV" dataDxfId="1495"/>
    <tableColumn id="1" name="Bombe" dataDxfId="1494">
      <calculatedColumnFormula>B48-B47</calculatedColumnFormula>
    </tableColumn>
    <tableColumn id="2" name="LVL Max" dataDxfId="1493">
      <calculatedColumnFormula>C48-C47</calculatedColumnFormula>
    </tableColumn>
    <tableColumn id="3" name="Piège à ressort" dataDxfId="1492">
      <calculatedColumnFormula>D48-D47</calculatedColumnFormula>
    </tableColumn>
    <tableColumn id="4" name="LVL Max2" dataDxfId="1491">
      <calculatedColumnFormula>E48-E47</calculatedColumnFormula>
    </tableColumn>
    <tableColumn id="5" name="Bombe géante" dataDxfId="1490">
      <calculatedColumnFormula>F48-F47</calculatedColumnFormula>
    </tableColumn>
    <tableColumn id="6" name="LVL Max3" dataDxfId="1489">
      <calculatedColumnFormula>G48-G47</calculatedColumnFormula>
    </tableColumn>
    <tableColumn id="12" name="Bombe aérienne" dataDxfId="1488">
      <calculatedColumnFormula>G48</calculatedColumnFormula>
    </tableColumn>
    <tableColumn id="11" name="LVL Max32" dataDxfId="1487"/>
    <tableColumn id="7" name="Tête chercheuse" dataDxfId="1486">
      <calculatedColumnFormula>H48-H47</calculatedColumnFormula>
    </tableColumn>
    <tableColumn id="8" name="LVL Max4" dataDxfId="1485">
      <calculatedColumnFormula>I48-I47</calculatedColumnFormula>
    </tableColumn>
    <tableColumn id="9" name="Piège squelettique" dataDxfId="1484">
      <calculatedColumnFormula>J48-J47</calculatedColumnFormula>
    </tableColumn>
    <tableColumn id="10" name="LVL Max5" dataDxfId="1483">
      <calculatedColumnFormula>K48-K47</calculatedColumnFormula>
    </tableColumn>
  </tableColumns>
  <tableStyleInfo name="TableStyleLight1" showFirstColumn="0" showLastColumn="0" showRowStripes="1" showColumnStripes="0"/>
</table>
</file>

<file path=xl/tables/table12.xml><?xml version="1.0" encoding="utf-8"?>
<table xmlns="http://schemas.openxmlformats.org/spreadsheetml/2006/main" id="38" name="AVAILABLE_Upgrades_Spells" displayName="AVAILABLE_Upgrades_Spells" ref="A2:K14" totalsRowShown="0" headerRowDxfId="1482" dataDxfId="1480" headerRowBorderDxfId="1481" tableBorderDxfId="1479">
  <autoFilter ref="A2:K14"/>
  <tableColumns count="11">
    <tableColumn id="1" name="LVL" dataDxfId="1478"/>
    <tableColumn id="2" name="Sort de Foudre" dataDxfId="1477">
      <calculatedColumnFormula>IF(Paramètres!$L$46=0,0,VLOOKUP(Paramètres!$L$47,SPELLFACTORY_Spells[#All],2))</calculatedColumnFormula>
    </tableColumn>
    <tableColumn id="3" name="LVL Max" dataDxfId="1476">
      <calculatedColumnFormula>IF($B3=0,0,IF(SUM(Paramètres!$K$6:$K$45)&lt;&gt;Paramètres!$K$3,0,VLOOKUP(MATCH(1,Paramètres!$K$6:$K$45,0),LABO_Spells[#All],2)))</calculatedColumnFormula>
    </tableColumn>
    <tableColumn id="4" name="Sort de Guérison" dataDxfId="1475">
      <calculatedColumnFormula>IF(Paramètres!$L$46=0,0,VLOOKUP(Paramètres!$L$47,SPELLFACTORY_Spells[#All],3))</calculatedColumnFormula>
    </tableColumn>
    <tableColumn id="5" name="LVL Max2" dataDxfId="1474">
      <calculatedColumnFormula>IF($D3=0,0,IF(SUM(Paramètres!$K$6:$K$45)&lt;&gt;Paramètres!$K$3,0,VLOOKUP(MATCH(1,Paramètres!$K$6:$K$45,0),LABO_Spells[#All],3)))</calculatedColumnFormula>
    </tableColumn>
    <tableColumn id="6" name="Sort de Rage" dataDxfId="1473">
      <calculatedColumnFormula>IF(Paramètres!$L$46=0,0,VLOOKUP(Paramètres!$L$47,SPELLFACTORY_Spells[#All],4))</calculatedColumnFormula>
    </tableColumn>
    <tableColumn id="7" name="LVL Max3" dataDxfId="1472">
      <calculatedColumnFormula>IF($F3=0,0,IF(SUM(Paramètres!$K$6:$K$45)&lt;&gt;Paramètres!$K$3,0,VLOOKUP(MATCH(1,Paramètres!$K$6:$K$45,0),LABO_Spells[#All],4)))</calculatedColumnFormula>
    </tableColumn>
    <tableColumn id="8" name="Sort de Saut" dataDxfId="1471">
      <calculatedColumnFormula>IF(Paramètres!$L$46=0,0,VLOOKUP(Paramètres!$L$47,SPELLFACTORY_Spells[#All],5))</calculatedColumnFormula>
    </tableColumn>
    <tableColumn id="9" name="LVL Max4" dataDxfId="1470">
      <calculatedColumnFormula>IF($H3=0,0,IF(SUM(Paramètres!$K$6:$K$45)&lt;&gt;Paramètres!$K$3,0,VLOOKUP(MATCH(1,Paramètres!$K$6:$K$45,0),LABO_Spells[#All],5)))</calculatedColumnFormula>
    </tableColumn>
    <tableColumn id="10" name="Sort de Gel" dataDxfId="1469">
      <calculatedColumnFormula>IF(Paramètres!$L$46=0,0,VLOOKUP(Paramètres!$L$47,SPELLFACTORY_Spells[#All],6))</calculatedColumnFormula>
    </tableColumn>
    <tableColumn id="11" name="LVL Max5" dataDxfId="1468">
      <calculatedColumnFormula>IF($J3=0,0,IF(SUM(Paramètres!$K$6:$K$45)&lt;&gt;Paramètres!$K$3,0,VLOOKUP(MATCH(1,Paramètres!$K$6:$K$45,0),LABO_Spells[#All],6)))</calculatedColumnFormula>
    </tableColumn>
  </tableColumns>
  <tableStyleInfo name="TableStyleMedium9" showFirstColumn="0" showLastColumn="0" showRowStripes="1" showColumnStripes="0"/>
</table>
</file>

<file path=xl/tables/table13.xml><?xml version="1.0" encoding="utf-8"?>
<table xmlns="http://schemas.openxmlformats.org/spreadsheetml/2006/main" id="39" name="CHANGES_Upgrades_Spells" displayName="CHANGES_Upgrades_Spells" ref="M2:W14" totalsRowShown="0" headerRowDxfId="1467" dataDxfId="1465" headerRowBorderDxfId="1466" tableBorderDxfId="1464">
  <autoFilter ref="M2:W14"/>
  <tableColumns count="11">
    <tableColumn id="1" name="LVL" dataDxfId="1463"/>
    <tableColumn id="2" name="Sort de Foudre" dataDxfId="1462"/>
    <tableColumn id="3" name="LVL Max" dataDxfId="1461"/>
    <tableColumn id="4" name="Sort de Guérison" dataDxfId="1460"/>
    <tableColumn id="5" name="LVL Max2" dataDxfId="1459"/>
    <tableColumn id="6" name="Sort de Rage" dataDxfId="1458"/>
    <tableColumn id="7" name="LVL Max3" dataDxfId="1457"/>
    <tableColumn id="8" name="Sort de Saut" dataDxfId="1456"/>
    <tableColumn id="9" name="LVL Max4" dataDxfId="1455"/>
    <tableColumn id="10" name="Sort de Gel" dataDxfId="1454"/>
    <tableColumn id="11" name="LVL Max5" dataDxfId="1453"/>
  </tableColumns>
  <tableStyleInfo name="TableStyleMedium9" showFirstColumn="0" showLastColumn="0" showRowStripes="1" showColumnStripes="0"/>
</table>
</file>

<file path=xl/tables/table14.xml><?xml version="1.0" encoding="utf-8"?>
<table xmlns="http://schemas.openxmlformats.org/spreadsheetml/2006/main" id="32" name="AVAILABLE_Upgrades_Normal_Troops" displayName="AVAILABLE_Upgrades_Normal_Troops" ref="A32:U44" totalsRowShown="0" headerRowDxfId="1452" dataDxfId="1450" headerRowBorderDxfId="1451" tableBorderDxfId="1449">
  <autoFilter ref="A32:U44"/>
  <tableColumns count="21">
    <tableColumn id="1" name="LVL HdV" dataDxfId="1448"/>
    <tableColumn id="2" name="Barbare" dataDxfId="1447">
      <calculatedColumnFormula>IF(Paramètres!$H$46=0,0,VLOOKUP(Paramètres!$H$47,BARRACK_Normal_Troops[#All],2))</calculatedColumnFormula>
    </tableColumn>
    <tableColumn id="3" name="LVL Max" dataDxfId="1446">
      <calculatedColumnFormula>IF($B33=0,0,IF($A33&lt;3,1,IF(SUM(Paramètres!$K$6:$K$45)&lt;&gt;Paramètres!$K$3,0,VLOOKUP(MATCH(1,Paramètres!$K$6:$K$45,0),LABO_Normal_Troops[#All],2))))</calculatedColumnFormula>
    </tableColumn>
    <tableColumn id="4" name="Archer" dataDxfId="1445">
      <calculatedColumnFormula>IF(Paramètres!$H$46=0,0,VLOOKUP(Paramètres!$H$47,BARRACK_Normal_Troops[#All],3))</calculatedColumnFormula>
    </tableColumn>
    <tableColumn id="5" name="LVL Max2" dataDxfId="1444">
      <calculatedColumnFormula>IF($D33=0,0,IF($A33&lt;3,1,IF(SUM(Paramètres!$K$6:$K$45)&lt;&gt;Paramètres!$K$3,0,VLOOKUP(MATCH(1,Paramètres!$K$6:$K$45,0),LABO_Normal_Troops[#All],3))))</calculatedColumnFormula>
    </tableColumn>
    <tableColumn id="6" name="Géant" dataDxfId="1443">
      <calculatedColumnFormula>IF(Paramètres!$H$46=0,0,VLOOKUP(Paramètres!$H$47,BARRACK_Normal_Troops[#All],4))</calculatedColumnFormula>
    </tableColumn>
    <tableColumn id="7" name="LVL Max3" dataDxfId="1442">
      <calculatedColumnFormula>IF($F33=0,0,IF($A33&lt;3,1,IF(SUM(Paramètres!$K$6:$K$45)&lt;&gt;Paramètres!$K$3,0,VLOOKUP(MATCH(1,Paramètres!$K$6:$K$45,0),LABO_Normal_Troops[#All],4))))</calculatedColumnFormula>
    </tableColumn>
    <tableColumn id="8" name="Gobelin" dataDxfId="1441">
      <calculatedColumnFormula>IF(Paramètres!$H$46=0,0,VLOOKUP(Paramètres!$H$47,BARRACK_Normal_Troops[#All],5))</calculatedColumnFormula>
    </tableColumn>
    <tableColumn id="9" name="LVL Max4" dataDxfId="1440">
      <calculatedColumnFormula>IF($H33=0,0,IF($A33&lt;3,1,IF(SUM(Paramètres!$K$6:$K$45)&lt;&gt;Paramètres!$K$3,0,VLOOKUP(MATCH(1,Paramètres!$K$6:$K$45,0),LABO_Normal_Troops[#All],5))))</calculatedColumnFormula>
    </tableColumn>
    <tableColumn id="10" name="Sapeur" dataDxfId="1439">
      <calculatedColumnFormula>IF(Paramètres!$H$46=0,0,VLOOKUP(Paramètres!$H$47,BARRACK_Normal_Troops[#All],6))</calculatedColumnFormula>
    </tableColumn>
    <tableColumn id="11" name="LVL Max5" dataDxfId="1438">
      <calculatedColumnFormula>IF($J33=0,0,IF(SUM(Paramètres!$K$6:$K$45)&lt;&gt;Paramètres!$K$3,0,VLOOKUP(MATCH(1,Paramètres!$K$6:$K$45,0),LABO_Normal_Troops[#All],6)))</calculatedColumnFormula>
    </tableColumn>
    <tableColumn id="12" name="Ballon" dataDxfId="1437">
      <calculatedColumnFormula>IF(Paramètres!$H$46=0,0,VLOOKUP(Paramètres!$H$47,BARRACK_Normal_Troops[#All],7))</calculatedColumnFormula>
    </tableColumn>
    <tableColumn id="13" name="LVL Max6" dataDxfId="1436">
      <calculatedColumnFormula>IF($L33=0,0,IF(SUM(Paramètres!$K$6:$K$45)&lt;&gt;Paramètres!$K$3,0,VLOOKUP(MATCH(1,Paramètres!$K$6:$K$45,0),LABO_Normal_Troops[#All],7)))</calculatedColumnFormula>
    </tableColumn>
    <tableColumn id="14" name="Sorcier" dataDxfId="1435">
      <calculatedColumnFormula>IF(Paramètres!$H$46=0,0,VLOOKUP(Paramètres!$H$47,BARRACK_Normal_Troops[#All],8))</calculatedColumnFormula>
    </tableColumn>
    <tableColumn id="15" name="LVL Max7" dataDxfId="1434">
      <calculatedColumnFormula>IF($N33=0,0,IF(SUM(Paramètres!$K$6:$K$45)&lt;&gt;Paramètres!$K$3,0,VLOOKUP(MATCH(1,Paramètres!$K$6:$K$45,0),LABO_Normal_Troops[#All],8)))</calculatedColumnFormula>
    </tableColumn>
    <tableColumn id="16" name="Guérisseuse" dataDxfId="1433">
      <calculatedColumnFormula>IF(Paramètres!$H$46=0,0,VLOOKUP(Paramètres!$H$47,BARRACK_Normal_Troops[#All],9))</calculatedColumnFormula>
    </tableColumn>
    <tableColumn id="17" name="LVL Max8" dataDxfId="1432">
      <calculatedColumnFormula>IF($P33=0,0,IF(SUM(Paramètres!$K$6:$K$45)&lt;&gt;Paramètres!$K$3,0,VLOOKUP(MATCH(1,Paramètres!$K$6:$K$45,0),LABO_Normal_Troops[#All],9)))</calculatedColumnFormula>
    </tableColumn>
    <tableColumn id="18" name="Dragon" dataDxfId="1431">
      <calculatedColumnFormula>IF(Paramètres!$H$46=0,0,VLOOKUP(Paramètres!$H$47,BARRACK_Normal_Troops[#All],10))</calculatedColumnFormula>
    </tableColumn>
    <tableColumn id="19" name="LVL Max9" dataDxfId="1430">
      <calculatedColumnFormula>IF($R33=0,0,IF(SUM(Paramètres!$K$6:$K$45)&lt;&gt;Paramètres!$K$3,0,VLOOKUP(MATCH(1,Paramètres!$K$6:$K$45,0),LABO_Normal_Troops[#All],10)))</calculatedColumnFormula>
    </tableColumn>
    <tableColumn id="20" name="P.E.K.K.A" dataDxfId="1429">
      <calculatedColumnFormula>IF(Paramètres!$H$46=0,0,VLOOKUP(Paramètres!$H$47,BARRACK_Normal_Troops[#All],11))</calculatedColumnFormula>
    </tableColumn>
    <tableColumn id="21" name="LVL Max10" dataDxfId="1428">
      <calculatedColumnFormula>IF($T33=0,0,IF(SUM(Paramètres!$K$6:$K$45)&lt;&gt;Paramètres!$K$3,0,VLOOKUP(MATCH(1,Paramètres!$K$6:$K$45,0),LABO_Normal_Troops[#All],11)))</calculatedColumnFormula>
    </tableColumn>
  </tableColumns>
  <tableStyleInfo name="TableStyleMedium9" showFirstColumn="0" showLastColumn="0" showRowStripes="1" showColumnStripes="0"/>
</table>
</file>

<file path=xl/tables/table15.xml><?xml version="1.0" encoding="utf-8"?>
<table xmlns="http://schemas.openxmlformats.org/spreadsheetml/2006/main" id="33" name="CHANGES_Upgrades_Normal_Troops" displayName="CHANGES_Upgrades_Normal_Troops" ref="W32:AQ44" totalsRowShown="0" headerRowDxfId="1427" dataDxfId="1425" headerRowBorderDxfId="1426" tableBorderDxfId="1424">
  <autoFilter ref="W32:AQ44"/>
  <tableColumns count="21">
    <tableColumn id="1" name="LVL HdV" dataDxfId="1423"/>
    <tableColumn id="2" name="Barbare" dataDxfId="1422">
      <calculatedColumnFormula>'Améliorations - Sorts &amp; Troupes'!B33-'Améliorations - Sorts &amp; Troupes'!B32</calculatedColumnFormula>
    </tableColumn>
    <tableColumn id="3" name="LVL Max" dataDxfId="1421">
      <calculatedColumnFormula>'Améliorations - Sorts &amp; Troupes'!C33-'Améliorations - Sorts &amp; Troupes'!C32</calculatedColumnFormula>
    </tableColumn>
    <tableColumn id="4" name="Archer" dataDxfId="1420">
      <calculatedColumnFormula>'Améliorations - Sorts &amp; Troupes'!D33-'Améliorations - Sorts &amp; Troupes'!D32</calculatedColumnFormula>
    </tableColumn>
    <tableColumn id="5" name="LVL Max2" dataDxfId="1419">
      <calculatedColumnFormula>'Améliorations - Sorts &amp; Troupes'!E33-'Améliorations - Sorts &amp; Troupes'!E32</calculatedColumnFormula>
    </tableColumn>
    <tableColumn id="6" name="Géant" dataDxfId="1418">
      <calculatedColumnFormula>'Améliorations - Sorts &amp; Troupes'!F33-'Améliorations - Sorts &amp; Troupes'!F32</calculatedColumnFormula>
    </tableColumn>
    <tableColumn id="7" name="LVL Max3" dataDxfId="1417">
      <calculatedColumnFormula>'Améliorations - Sorts &amp; Troupes'!G33-'Améliorations - Sorts &amp; Troupes'!G32</calculatedColumnFormula>
    </tableColumn>
    <tableColumn id="8" name="Gobelin" dataDxfId="1416">
      <calculatedColumnFormula>'Améliorations - Sorts &amp; Troupes'!H33-'Améliorations - Sorts &amp; Troupes'!H32</calculatedColumnFormula>
    </tableColumn>
    <tableColumn id="9" name="LVL Max4" dataDxfId="1415">
      <calculatedColumnFormula>'Améliorations - Sorts &amp; Troupes'!I33-'Améliorations - Sorts &amp; Troupes'!I32</calculatedColumnFormula>
    </tableColumn>
    <tableColumn id="10" name="Sapeur" dataDxfId="1414">
      <calculatedColumnFormula>'Améliorations - Sorts &amp; Troupes'!J33-'Améliorations - Sorts &amp; Troupes'!J32</calculatedColumnFormula>
    </tableColumn>
    <tableColumn id="11" name="LVL Max5" dataDxfId="1413">
      <calculatedColumnFormula>'Améliorations - Sorts &amp; Troupes'!K33-'Améliorations - Sorts &amp; Troupes'!K32</calculatedColumnFormula>
    </tableColumn>
    <tableColumn id="12" name="Ballon" dataDxfId="1412">
      <calculatedColumnFormula>'Améliorations - Sorts &amp; Troupes'!L33-'Améliorations - Sorts &amp; Troupes'!L32</calculatedColumnFormula>
    </tableColumn>
    <tableColumn id="13" name="LVL Max6" dataDxfId="1411">
      <calculatedColumnFormula>'Améliorations - Sorts &amp; Troupes'!M33-'Améliorations - Sorts &amp; Troupes'!M32</calculatedColumnFormula>
    </tableColumn>
    <tableColumn id="14" name="Sorcier" dataDxfId="1410">
      <calculatedColumnFormula>'Améliorations - Sorts &amp; Troupes'!N33-'Améliorations - Sorts &amp; Troupes'!N32</calculatedColumnFormula>
    </tableColumn>
    <tableColumn id="15" name="LVL Max7" dataDxfId="1409">
      <calculatedColumnFormula>'Améliorations - Sorts &amp; Troupes'!O33-'Améliorations - Sorts &amp; Troupes'!O32</calculatedColumnFormula>
    </tableColumn>
    <tableColumn id="16" name="Guérisseuse" dataDxfId="1408">
      <calculatedColumnFormula>'Améliorations - Sorts &amp; Troupes'!P33-'Améliorations - Sorts &amp; Troupes'!P32</calculatedColumnFormula>
    </tableColumn>
    <tableColumn id="17" name="LVL Max8" dataDxfId="1407">
      <calculatedColumnFormula>'Améliorations - Sorts &amp; Troupes'!Q34-'Améliorations - Sorts &amp; Troupes'!Q32</calculatedColumnFormula>
    </tableColumn>
    <tableColumn id="18" name="Dragon" dataDxfId="1406">
      <calculatedColumnFormula>'Améliorations - Sorts &amp; Troupes'!R33-'Améliorations - Sorts &amp; Troupes'!R32</calculatedColumnFormula>
    </tableColumn>
    <tableColumn id="19" name="LVL Max9" dataDxfId="1405">
      <calculatedColumnFormula>'Améliorations - Sorts &amp; Troupes'!S33-'Améliorations - Sorts &amp; Troupes'!S32</calculatedColumnFormula>
    </tableColumn>
    <tableColumn id="20" name="P.E.K.K.A" dataDxfId="1404">
      <calculatedColumnFormula>'Améliorations - Sorts &amp; Troupes'!T33-'Améliorations - Sorts &amp; Troupes'!T32</calculatedColumnFormula>
    </tableColumn>
    <tableColumn id="21" name="LVL Max10" dataDxfId="1403">
      <calculatedColumnFormula>'Améliorations - Sorts &amp; Troupes'!U33-'Améliorations - Sorts &amp; Troupes'!U32</calculatedColumnFormula>
    </tableColumn>
  </tableColumns>
  <tableStyleInfo name="TableStyleMedium9" showFirstColumn="0" showLastColumn="0" showRowStripes="1" showColumnStripes="0"/>
</table>
</file>

<file path=xl/tables/table16.xml><?xml version="1.0" encoding="utf-8"?>
<table xmlns="http://schemas.openxmlformats.org/spreadsheetml/2006/main" id="50" name="AVAILABLE_Upgrades_Dark_Troops" displayName="AVAILABLE_Upgrades_Dark_Troops" ref="A47:O59" totalsRowShown="0" headerRowDxfId="1402" dataDxfId="1400" headerRowBorderDxfId="1401" tableBorderDxfId="1399">
  <autoFilter ref="A47:O59"/>
  <tableColumns count="15">
    <tableColumn id="1" name="LVL Labo" dataDxfId="1398"/>
    <tableColumn id="2" name="Serviteur" dataDxfId="1397">
      <calculatedColumnFormula>IF(Paramètres!$I$46=0,0,VLOOKUP(Paramètres!$I$47,BARRACK_DARK_Troops[#All],2))</calculatedColumnFormula>
    </tableColumn>
    <tableColumn id="3" name="LVL Max" dataDxfId="1396">
      <calculatedColumnFormula>IF($B48=0,0,IF(SUM(Paramètres!$K$6:$K$45)&lt;&gt;Paramètres!$K$3,0,VLOOKUP(MATCH(1,Paramètres!$K$6:$K$45,0),LABO_Dark_Troops[#All],2)))</calculatedColumnFormula>
    </tableColumn>
    <tableColumn id="4" name="Chevaucheur de Cochon" dataDxfId="1395">
      <calculatedColumnFormula>IF(Paramètres!$I$46=0,0,VLOOKUP(Paramètres!$I$47,BARRACK_DARK_Troops[#All],3))</calculatedColumnFormula>
    </tableColumn>
    <tableColumn id="5" name="LVL Max2" dataDxfId="1394">
      <calculatedColumnFormula>IF($D48=0,0,IF(SUM(Paramètres!$K$6:$K$45)&lt;&gt;Paramètres!$K$3,0,VLOOKUP(MATCH(1,Paramètres!$K$6:$K$45,0),LABO_Dark_Troops[#All],3)))</calculatedColumnFormula>
    </tableColumn>
    <tableColumn id="6" name="Valkyrie" dataDxfId="1393">
      <calculatedColumnFormula>IF(Paramètres!$I$46=0,0,VLOOKUP(Paramètres!$I$47,BARRACK_DARK_Troops[#All],4))</calculatedColumnFormula>
    </tableColumn>
    <tableColumn id="7" name="LVL Max3" dataDxfId="1392">
      <calculatedColumnFormula>IF($F48=0,0,IF(SUM(Paramètres!$K$6:$K$45)&lt;&gt;Paramètres!$K$3,0,VLOOKUP(MATCH(1,Paramètres!$K$6:$K$45,0),LABO_Dark_Troops[#All],4)))</calculatedColumnFormula>
    </tableColumn>
    <tableColumn id="8" name="Golem" dataDxfId="1391">
      <calculatedColumnFormula>IF(Paramètres!$I$46=0,0,VLOOKUP(Paramètres!$I$47,BARRACK_DARK_Troops[#All],5))</calculatedColumnFormula>
    </tableColumn>
    <tableColumn id="9" name="LVL Max4" dataDxfId="1390">
      <calculatedColumnFormula>IF($H48=0,0,IF(SUM(Paramètres!$K$6:$K$45)&lt;&gt;Paramètres!$K$3,0,VLOOKUP(MATCH(1,Paramètres!$K$6:$K$45,0),LABO_Dark_Troops[#All],5)))</calculatedColumnFormula>
    </tableColumn>
    <tableColumn id="12" name="Sorcière" dataDxfId="1389">
      <calculatedColumnFormula>IF(Paramètres!$I$46=0,0,VLOOKUP(Paramètres!$I$47,BARRACK_DARK_Troops[#All],6))</calculatedColumnFormula>
    </tableColumn>
    <tableColumn id="13" name="LVL Max43" dataDxfId="1388">
      <calculatedColumnFormula>IF($J48=0,0,IF(SUM(Paramètres!$K$6:$K$45)&lt;&gt;Paramètres!$K$3,0,VLOOKUP(MATCH(1,Paramètres!$K$6:$K$45,0),LABO_Dark_Troops[#All],6)))</calculatedColumnFormula>
    </tableColumn>
    <tableColumn id="10" name="Molosse de lave" dataDxfId="1387">
      <calculatedColumnFormula>IF(Paramètres!$I$46=0,0,VLOOKUP(Paramètres!$I$47,BARRACK_DARK_Troops[#All],7))</calculatedColumnFormula>
    </tableColumn>
    <tableColumn id="11" name="LVL Max5" dataDxfId="1386">
      <calculatedColumnFormula>IF($L48=0,0,IF(SUM(Paramètres!$K$6:$K$45)&lt;&gt;Paramètres!$K$3,0,VLOOKUP(MATCH(1,Paramètres!$K$6:$K$45,0),LABO_Dark_Troops[#All],7)))</calculatedColumnFormula>
    </tableColumn>
    <tableColumn id="14" name="Bouliste" dataDxfId="1385">
      <calculatedColumnFormula>IF(Paramètres!$I$46=0,0,VLOOKUP(Paramètres!$I$47,BARRACK_DARK_Troops[#All],8))</calculatedColumnFormula>
    </tableColumn>
    <tableColumn id="15" name="LVL Max6" dataDxfId="1384">
      <calculatedColumnFormula>IF($N48=0,0,IF(SUM(Paramètres!$K$6:$K$45)&lt;&gt;Paramètres!$K$3,0,VLOOKUP(MATCH(1,Paramètres!$K$6:$K$45,0),LABO_Dark_Troops[#All],8)))</calculatedColumnFormula>
    </tableColumn>
  </tableColumns>
  <tableStyleInfo name="TableStyleMedium9" showFirstColumn="0" showLastColumn="0" showRowStripes="1" showColumnStripes="0"/>
</table>
</file>

<file path=xl/tables/table17.xml><?xml version="1.0" encoding="utf-8"?>
<table xmlns="http://schemas.openxmlformats.org/spreadsheetml/2006/main" id="51" name="CHANGES_Upgrades_Dark_Troops" displayName="CHANGES_Upgrades_Dark_Troops" ref="Q47:AE59" totalsRowShown="0" headerRowDxfId="1383" dataDxfId="1381" headerRowBorderDxfId="1382" tableBorderDxfId="1380">
  <autoFilter ref="Q47:AE59"/>
  <tableColumns count="15">
    <tableColumn id="1" name="LVL Labo" dataDxfId="1379"/>
    <tableColumn id="2" name="Serviteur" dataDxfId="1378">
      <calculatedColumnFormula>'Améliorations - Sorts &amp; Troupes'!B48-'Améliorations - Sorts &amp; Troupes'!B47</calculatedColumnFormula>
    </tableColumn>
    <tableColumn id="3" name="LVL Max" dataDxfId="1377">
      <calculatedColumnFormula>'Améliorations - Sorts &amp; Troupes'!C48-'Améliorations - Sorts &amp; Troupes'!C47</calculatedColumnFormula>
    </tableColumn>
    <tableColumn id="4" name="Chevaucheur de Cochon" dataDxfId="1376">
      <calculatedColumnFormula>'Améliorations - Sorts &amp; Troupes'!D48-'Améliorations - Sorts &amp; Troupes'!D47</calculatedColumnFormula>
    </tableColumn>
    <tableColumn id="5" name="LVL Max2" dataDxfId="1375">
      <calculatedColumnFormula>'Améliorations - Sorts &amp; Troupes'!E48-'Améliorations - Sorts &amp; Troupes'!E47</calculatedColumnFormula>
    </tableColumn>
    <tableColumn id="6" name="Valkyrie" dataDxfId="1374">
      <calculatedColumnFormula>'Améliorations - Sorts &amp; Troupes'!F48-'Améliorations - Sorts &amp; Troupes'!F47</calculatedColumnFormula>
    </tableColumn>
    <tableColumn id="7" name="LVL Max3" dataDxfId="1373">
      <calculatedColumnFormula>'Améliorations - Sorts &amp; Troupes'!G48-'Améliorations - Sorts &amp; Troupes'!G47</calculatedColumnFormula>
    </tableColumn>
    <tableColumn id="8" name="Golem" dataDxfId="1372">
      <calculatedColumnFormula>'Améliorations - Sorts &amp; Troupes'!H48-'Améliorations - Sorts &amp; Troupes'!H47</calculatedColumnFormula>
    </tableColumn>
    <tableColumn id="9" name="LVL Max4" dataDxfId="1371">
      <calculatedColumnFormula>'Améliorations - Sorts &amp; Troupes'!I48-'Améliorations - Sorts &amp; Troupes'!I47</calculatedColumnFormula>
    </tableColumn>
    <tableColumn id="12" name="Sorcière" dataDxfId="1370"/>
    <tableColumn id="13" name="LVL Max5" dataDxfId="1369"/>
    <tableColumn id="10" name="Molosse de lave" dataDxfId="1368">
      <calculatedColumnFormula>'Améliorations - Sorts &amp; Troupes'!L48-'Améliorations - Sorts &amp; Troupes'!L47</calculatedColumnFormula>
    </tableColumn>
    <tableColumn id="11" name="LVL Max53" dataDxfId="1367">
      <calculatedColumnFormula>'Améliorations - Sorts &amp; Troupes'!M48-'Améliorations - Sorts &amp; Troupes'!M47</calculatedColumnFormula>
    </tableColumn>
    <tableColumn id="14" name="Bouliste" dataDxfId="1366">
      <calculatedColumnFormula>N48-N47</calculatedColumnFormula>
    </tableColumn>
    <tableColumn id="15" name="LVL Max54" dataDxfId="1365">
      <calculatedColumnFormula>O48-O47</calculatedColumnFormula>
    </tableColumn>
  </tableColumns>
  <tableStyleInfo name="TableStyleMedium9" showFirstColumn="0" showLastColumn="0" showRowStripes="1" showColumnStripes="0"/>
</table>
</file>

<file path=xl/tables/table18.xml><?xml version="1.0" encoding="utf-8"?>
<table xmlns="http://schemas.openxmlformats.org/spreadsheetml/2006/main" id="87" name="LABO_Spells" displayName="LABO_Spells" ref="AF2:AK12" totalsRowShown="0" headerRowDxfId="1364" dataDxfId="1362" headerRowBorderDxfId="1363" tableBorderDxfId="1361" totalsRowBorderDxfId="1360">
  <autoFilter ref="AF2:AK12"/>
  <tableColumns count="6">
    <tableColumn id="1" name="LVL Laboratory" dataDxfId="1359"/>
    <tableColumn id="2" name="Sort de Foudre" dataDxfId="1358"/>
    <tableColumn id="3" name="Sort de Guérison" dataDxfId="1357"/>
    <tableColumn id="4" name="Sort de Rage" dataDxfId="1356"/>
    <tableColumn id="5" name="Sort de Saut" dataDxfId="1355"/>
    <tableColumn id="6" name="Sort de Gel" dataDxfId="1354"/>
  </tableColumns>
  <tableStyleInfo name="TableStyleMedium9" showFirstColumn="0" showLastColumn="0" showRowStripes="1" showColumnStripes="0"/>
</table>
</file>

<file path=xl/tables/table19.xml><?xml version="1.0" encoding="utf-8"?>
<table xmlns="http://schemas.openxmlformats.org/spreadsheetml/2006/main" id="88" name="LABO_Normal_Troops" displayName="LABO_Normal_Troops" ref="BE32:BO42" totalsRowShown="0" headerRowDxfId="1353" dataDxfId="1351" headerRowBorderDxfId="1352" tableBorderDxfId="1350" totalsRowBorderDxfId="1349">
  <autoFilter ref="BE32:BO42"/>
  <tableColumns count="11">
    <tableColumn id="1" name="LVL Labo" dataDxfId="1348"/>
    <tableColumn id="2" name="Barbare" dataDxfId="1347"/>
    <tableColumn id="3" name="Archer" dataDxfId="1346"/>
    <tableColumn id="4" name="Géant" dataDxfId="1345"/>
    <tableColumn id="5" name="Gobelin" dataDxfId="1344"/>
    <tableColumn id="6" name="Sapeur" dataDxfId="1343"/>
    <tableColumn id="7" name="Ballon" dataDxfId="1342"/>
    <tableColumn id="8" name="Sorcier" dataDxfId="1341"/>
    <tableColumn id="9" name="Guérisseuse" dataDxfId="1340"/>
    <tableColumn id="10" name="Dragon" dataDxfId="1339"/>
    <tableColumn id="11" name="P.E.K.K.A" dataDxfId="1338"/>
  </tableColumns>
  <tableStyleInfo name="TableStyleMedium9" showFirstColumn="0" showLastColumn="0" showRowStripes="1" showColumnStripes="0"/>
</table>
</file>

<file path=xl/tables/table20.xml><?xml version="1.0" encoding="utf-8"?>
<table xmlns="http://schemas.openxmlformats.org/spreadsheetml/2006/main" id="91" name="SPELLFACTORY_Spells" displayName="SPELLFACTORY_Spells" ref="Y2:AD10" totalsRowShown="0" headerRowDxfId="1337" dataDxfId="1335" headerRowBorderDxfId="1336" tableBorderDxfId="1334" totalsRowBorderDxfId="1333">
  <autoFilter ref="Y2:AD10"/>
  <tableColumns count="6">
    <tableColumn id="1" name="LVL Spell Factory" dataDxfId="1332"/>
    <tableColumn id="2" name="Sort de Foudre" dataDxfId="1331"/>
    <tableColumn id="3" name="Sort de Guérison" dataDxfId="1330"/>
    <tableColumn id="4" name="Sort de Rage" dataDxfId="1329"/>
    <tableColumn id="5" name="Sort de Saut" dataDxfId="1328"/>
    <tableColumn id="6" name="Sort de Gel" dataDxfId="1327"/>
  </tableColumns>
  <tableStyleInfo name="TableStyleMedium9" showFirstColumn="0" showLastColumn="0" showRowStripes="1" showColumnStripes="0"/>
</table>
</file>

<file path=xl/tables/table21.xml><?xml version="1.0" encoding="utf-8"?>
<table xmlns="http://schemas.openxmlformats.org/spreadsheetml/2006/main" id="92" name="BARRACK_Normal_Troops" displayName="BARRACK_Normal_Troops" ref="AS32:BC44" totalsRowShown="0" headerRowDxfId="1326" dataDxfId="1324" headerRowBorderDxfId="1325" tableBorderDxfId="1323" totalsRowBorderDxfId="1322">
  <autoFilter ref="AS32:BC44"/>
  <tableColumns count="11">
    <tableColumn id="1" name="LVL Barrack" dataDxfId="1321"/>
    <tableColumn id="2" name="Barbare" dataDxfId="1320"/>
    <tableColumn id="3" name="Archer" dataDxfId="1319"/>
    <tableColumn id="4" name="Géant" dataDxfId="1318"/>
    <tableColumn id="5" name="Gobelin" dataDxfId="1317"/>
    <tableColumn id="6" name="Sapeur" dataDxfId="1316"/>
    <tableColumn id="7" name="Ballon" dataDxfId="1315"/>
    <tableColumn id="8" name="Sorcier" dataDxfId="1314"/>
    <tableColumn id="9" name="Guérisseuse" dataDxfId="1313"/>
    <tableColumn id="10" name="Dragon" dataDxfId="1312"/>
    <tableColumn id="11" name="P.E.K.K.A" dataDxfId="1311"/>
  </tableColumns>
  <tableStyleInfo name="TableStyleMedium9" showFirstColumn="0" showLastColumn="0" showRowStripes="1" showColumnStripes="0"/>
</table>
</file>

<file path=xl/tables/table22.xml><?xml version="1.0" encoding="utf-8"?>
<table xmlns="http://schemas.openxmlformats.org/spreadsheetml/2006/main" id="94" name="BARRACK_DARK_Troops" displayName="BARRACK_DARK_Troops" ref="AH47:AO55" totalsRowShown="0" headerRowDxfId="1310" dataDxfId="1308" headerRowBorderDxfId="1309" tableBorderDxfId="1307" totalsRowBorderDxfId="1306">
  <autoFilter ref="AH47:AO55"/>
  <tableColumns count="8">
    <tableColumn id="1" name="LVL Dark Barrack" dataDxfId="1305"/>
    <tableColumn id="2" name="Serviteur" dataDxfId="1304"/>
    <tableColumn id="3" name="Chevaucheur de Cochon" dataDxfId="1303"/>
    <tableColumn id="4" name="Valkyrie" dataDxfId="1302"/>
    <tableColumn id="5" name="Golem" dataDxfId="1301"/>
    <tableColumn id="6" name="Sorcière" dataDxfId="1300"/>
    <tableColumn id="7" name="Molosse de lave" dataDxfId="1299"/>
    <tableColumn id="8" name="Bouliste" dataDxfId="1298"/>
  </tableColumns>
  <tableStyleInfo name="TableStyleMedium9" showFirstColumn="0" showLastColumn="0" showRowStripes="1" showColumnStripes="0"/>
</table>
</file>

<file path=xl/tables/table23.xml><?xml version="1.0" encoding="utf-8"?>
<table xmlns="http://schemas.openxmlformats.org/spreadsheetml/2006/main" id="93" name="LABO_Dark_Troops" displayName="LABO_Dark_Troops" ref="AQ47:AX57" totalsRowShown="0" headerRowDxfId="1297" dataDxfId="1295" headerRowBorderDxfId="1296" tableBorderDxfId="1294" totalsRowBorderDxfId="1293">
  <autoFilter ref="AQ47:AX57"/>
  <tableColumns count="8">
    <tableColumn id="1" name="LVL Labo" dataDxfId="1292"/>
    <tableColumn id="2" name="Serviteur" dataDxfId="1291"/>
    <tableColumn id="3" name="Chevaucheur de Cochon" dataDxfId="1290"/>
    <tableColumn id="4" name="Valkyrie" dataDxfId="1289"/>
    <tableColumn id="5" name="Golem" dataDxfId="1288"/>
    <tableColumn id="6" name="Sorcière" dataDxfId="1287"/>
    <tableColumn id="7" name="Molosse de lave" dataDxfId="1286"/>
    <tableColumn id="8" name="Bouliste" dataDxfId="1285"/>
  </tableColumns>
  <tableStyleInfo name="TableStyleMedium9" showFirstColumn="0" showLastColumn="0" showRowStripes="1" showColumnStripes="0"/>
</table>
</file>

<file path=xl/tables/table24.xml><?xml version="1.0" encoding="utf-8"?>
<table xmlns="http://schemas.openxmlformats.org/spreadsheetml/2006/main" id="96" name="SPELLFACTORY_DarkSpells" displayName="SPELLFACTORY_DarkSpells" ref="Q17:T24" totalsRowShown="0" headerRowDxfId="1284" dataDxfId="1282" headerRowBorderDxfId="1283" tableBorderDxfId="1281" totalsRowBorderDxfId="1280">
  <autoFilter ref="Q17:T24"/>
  <tableColumns count="4">
    <tableColumn id="1" name="LVL  Dark Spell Factory" dataDxfId="1279"/>
    <tableColumn id="2" name="Sort de Poison" dataDxfId="1278"/>
    <tableColumn id="3" name="Sort de Séisme" dataDxfId="1277"/>
    <tableColumn id="4" name="Sort de Hâte" dataDxfId="1276"/>
  </tableColumns>
  <tableStyleInfo name="TableStyleMedium9" showFirstColumn="0" showLastColumn="0" showRowStripes="1" showColumnStripes="0"/>
</table>
</file>

<file path=xl/tables/table25.xml><?xml version="1.0" encoding="utf-8"?>
<table xmlns="http://schemas.openxmlformats.org/spreadsheetml/2006/main" id="135" name="AVAILABLE_Upgrades_Dark_Spells" displayName="AVAILABLE_Upgrades_Dark_Spells" ref="A17:G29" totalsRowShown="0" headerRowDxfId="1275" dataDxfId="1273" headerRowBorderDxfId="1274" tableBorderDxfId="1272">
  <autoFilter ref="A17:G29"/>
  <tableColumns count="7">
    <tableColumn id="1" name="LVL" dataDxfId="1271"/>
    <tableColumn id="2" name="Sort de Poison" dataDxfId="1270">
      <calculatedColumnFormula>IF(Paramètres!$M$46=0,0,VLOOKUP(Paramètres!$M$47,SPELLFACTORY_DarkSpells[#All],2))</calculatedColumnFormula>
    </tableColumn>
    <tableColumn id="3" name="LVL Max" dataDxfId="1269">
      <calculatedColumnFormula>IF($B18=0,0,IF(SUM(Paramètres!$K$6:$K$45)&lt;&gt;Paramètres!$K$3,0,VLOOKUP(MATCH(1,Paramètres!$K$6:$K$45,0),LABO_Dark_Spells[#All],2)))</calculatedColumnFormula>
    </tableColumn>
    <tableColumn id="4" name="Sort de Séisme" dataDxfId="1268">
      <calculatedColumnFormula>IF(Paramètres!$M$46=0,0,VLOOKUP(Paramètres!$M$47,SPELLFACTORY_DarkSpells[#All],3))</calculatedColumnFormula>
    </tableColumn>
    <tableColumn id="5" name="LVL Max2" dataDxfId="1267">
      <calculatedColumnFormula>IF($D18=0,0,IF(SUM(Paramètres!$K$6:$K$45)&lt;&gt;Paramètres!$K$3,0,VLOOKUP(MATCH(1,Paramètres!$K$6:$K$45,0),LABO_Dark_Spells[#All],3)))</calculatedColumnFormula>
    </tableColumn>
    <tableColumn id="6" name="Sort de Hâte" dataDxfId="1266">
      <calculatedColumnFormula>IF(Paramètres!$M$46=0,0,VLOOKUP(Paramètres!$M$47,SPELLFACTORY_DarkSpells[#All],4))</calculatedColumnFormula>
    </tableColumn>
    <tableColumn id="7" name="LVL Max3" dataDxfId="1265">
      <calculatedColumnFormula>IF($F18=0,0,IF(SUM(Paramètres!$K$6:$K$45)&lt;&gt;Paramètres!$K$3,0,VLOOKUP(MATCH(1,Paramètres!$K$6:$K$45,0),LABO_Dark_Spells[#All],4)))</calculatedColumnFormula>
    </tableColumn>
  </tableColumns>
  <tableStyleInfo name="TableStyleMedium9" showFirstColumn="0" showLastColumn="0" showRowStripes="1" showColumnStripes="0"/>
</table>
</file>

<file path=xl/tables/table26.xml><?xml version="1.0" encoding="utf-8"?>
<table xmlns="http://schemas.openxmlformats.org/spreadsheetml/2006/main" id="136" name="CHANGES_Upgrades_Dark_Spells" displayName="CHANGES_Upgrades_Dark_Spells" ref="I17:O29" totalsRowShown="0" headerRowDxfId="1264" dataDxfId="1262" headerRowBorderDxfId="1263" tableBorderDxfId="1261">
  <autoFilter ref="I17:O29"/>
  <tableColumns count="7">
    <tableColumn id="1" name="LVL" dataDxfId="1260"/>
    <tableColumn id="2" name="Sort de Poison" dataDxfId="1259"/>
    <tableColumn id="3" name="LVL Max" dataDxfId="1258"/>
    <tableColumn id="4" name="Sort de Séisme" dataDxfId="1257"/>
    <tableColumn id="5" name="LVL Max2" dataDxfId="1256"/>
    <tableColumn id="6" name="Sort de Hâte" dataDxfId="1255"/>
    <tableColumn id="7" name="LVL Max3" dataDxfId="1254"/>
  </tableColumns>
  <tableStyleInfo name="TableStyleMedium9" showFirstColumn="0" showLastColumn="0" showRowStripes="1" showColumnStripes="0"/>
</table>
</file>

<file path=xl/tables/table27.xml><?xml version="1.0" encoding="utf-8"?>
<table xmlns="http://schemas.openxmlformats.org/spreadsheetml/2006/main" id="137" name="LABO_Dark_Spells" displayName="LABO_Dark_Spells" ref="V17:Y27" totalsRowShown="0" headerRowDxfId="1253" dataDxfId="1251" headerRowBorderDxfId="1252" tableBorderDxfId="1250" totalsRowBorderDxfId="1249">
  <autoFilter ref="V17:Y27"/>
  <tableColumns count="4">
    <tableColumn id="1" name="LVL Laboratory" dataDxfId="1248"/>
    <tableColumn id="2" name="Sort de Poison" dataDxfId="1247"/>
    <tableColumn id="3" name="Sort de Séisme" dataDxfId="1246"/>
    <tableColumn id="4" name="Sort de Hâte" dataDxfId="1245"/>
  </tableColumns>
  <tableStyleInfo name="TableStyleMedium9" showFirstColumn="0" showLastColumn="0" showRowStripes="1" showColumnStripes="0"/>
</table>
</file>

<file path=xl/tables/table28.xml><?xml version="1.0" encoding="utf-8"?>
<table xmlns="http://schemas.openxmlformats.org/spreadsheetml/2006/main" id="22" name="AVAILABLE_Heroes" displayName="AVAILABLE_Heroes" ref="A2:G14" totalsRowShown="0" headerRowDxfId="1244" dataDxfId="1242" headerRowBorderDxfId="1243" tableBorderDxfId="1241">
  <autoFilter ref="A2:G14"/>
  <tableColumns count="7">
    <tableColumn id="1" name="LVL HdV" dataDxfId="1240"/>
    <tableColumn id="2" name="Roi des Barbares" dataDxfId="1239"/>
    <tableColumn id="3" name="LVL Max" dataDxfId="1238"/>
    <tableColumn id="4" name="Reine des Archers" dataDxfId="1237"/>
    <tableColumn id="5" name="LVL Max2" dataDxfId="1236"/>
    <tableColumn id="6" name="Grand Gardien" dataDxfId="1235"/>
    <tableColumn id="7" name="LVL Max4" dataDxfId="1234"/>
  </tableColumns>
  <tableStyleInfo name="TableStyleMedium9" showFirstColumn="0" showLastColumn="0" showRowStripes="1" showColumnStripes="0"/>
</table>
</file>

<file path=xl/tables/table29.xml><?xml version="1.0" encoding="utf-8"?>
<table xmlns="http://schemas.openxmlformats.org/spreadsheetml/2006/main" id="30" name="CHANGES_Heroes" displayName="CHANGES_Heroes" ref="I2:O14" totalsRowShown="0" headerRowDxfId="1233" dataDxfId="1231" headerRowBorderDxfId="1232" tableBorderDxfId="1230">
  <autoFilter ref="I2:O14"/>
  <tableColumns count="7">
    <tableColumn id="1" name="LVL HdV" dataDxfId="1229"/>
    <tableColumn id="2" name="Roi des Barbares" dataDxfId="1228">
      <calculatedColumnFormula>B3-B2</calculatedColumnFormula>
    </tableColumn>
    <tableColumn id="3" name="LVL Max" dataDxfId="1227">
      <calculatedColumnFormula>C3-C2</calculatedColumnFormula>
    </tableColumn>
    <tableColumn id="4" name="Reine des Archers" dataDxfId="1226">
      <calculatedColumnFormula>D3-D2</calculatedColumnFormula>
    </tableColumn>
    <tableColumn id="5" name="LVL Max2" dataDxfId="1225">
      <calculatedColumnFormula>E3-E2</calculatedColumnFormula>
    </tableColumn>
    <tableColumn id="6" name="Grand Gardien" dataDxfId="1224"/>
    <tableColumn id="7" name="LVL Max4" dataDxfId="1223"/>
  </tableColumns>
  <tableStyleInfo name="TableStyleMedium9" showFirstColumn="0" showLastColumn="0" showRowStripes="1" showColumnStripes="0"/>
</table>
</file>

<file path=xl/tables/table30.xml><?xml version="1.0" encoding="utf-8"?>
<table xmlns="http://schemas.openxmlformats.org/spreadsheetml/2006/main" id="6" name="COSTS_Barrack" displayName="COSTS_Barrack" ref="D20:F30" totalsRowShown="0" headerRowDxfId="1222" dataDxfId="1220" headerRowBorderDxfId="1221" tableBorderDxfId="1219">
  <autoFilter ref="D20:F30"/>
  <tableColumns count="3">
    <tableColumn id="1" name="LVL" dataDxfId="1218"/>
    <tableColumn id="2" name="Coût" dataDxfId="1217"/>
    <tableColumn id="3" name="Temps" dataDxfId="1216"/>
  </tableColumns>
  <tableStyleInfo name="TableStyleMedium9" showFirstColumn="0" showLastColumn="0" showRowStripes="1" showColumnStripes="0"/>
</table>
</file>

<file path=xl/tables/table31.xml><?xml version="1.0" encoding="utf-8"?>
<table xmlns="http://schemas.openxmlformats.org/spreadsheetml/2006/main" id="7" name="COSTS_Dark_Elixir_Storage" displayName="COSTS_Dark_Elixir_Storage" ref="J3:L9" totalsRowShown="0" headerRowDxfId="1215" dataDxfId="1213" headerRowBorderDxfId="1214" tableBorderDxfId="1212">
  <autoFilter ref="J3:L9"/>
  <tableColumns count="3">
    <tableColumn id="1" name="LVL" dataDxfId="1211"/>
    <tableColumn id="2" name="Coût" dataDxfId="1210"/>
    <tableColumn id="4" name="Temps" dataDxfId="1209"/>
  </tableColumns>
  <tableStyleInfo name="TableStyleMedium9" showFirstColumn="0" showLastColumn="0" showRowStripes="1" showColumnStripes="0"/>
</table>
</file>

<file path=xl/tables/table32.xml><?xml version="1.0" encoding="utf-8"?>
<table xmlns="http://schemas.openxmlformats.org/spreadsheetml/2006/main" id="9" name="COSTS_Dark_Barrack" displayName="COSTS_Dark_Barrack" ref="A20:C27" totalsRowShown="0" headerRowDxfId="1208" dataDxfId="1206" headerRowBorderDxfId="1207" tableBorderDxfId="1205" totalsRowBorderDxfId="1204">
  <autoFilter ref="A20:C27"/>
  <tableColumns count="3">
    <tableColumn id="1" name="LVL" dataDxfId="1203"/>
    <tableColumn id="2" name="Coût" dataDxfId="1202"/>
    <tableColumn id="4" name="Temps" dataDxfId="1201"/>
  </tableColumns>
  <tableStyleInfo name="TableStyleMedium9" showFirstColumn="0" showLastColumn="0" showRowStripes="1" showColumnStripes="0"/>
</table>
</file>

<file path=xl/tables/table33.xml><?xml version="1.0" encoding="utf-8"?>
<table xmlns="http://schemas.openxmlformats.org/spreadsheetml/2006/main" id="10" name="COSTS_Gold_Mine" displayName="COSTS_Gold_Mine" ref="A3:C15" totalsRowShown="0" headerRowDxfId="1200" dataDxfId="1198" headerRowBorderDxfId="1199" tableBorderDxfId="1197" totalsRowBorderDxfId="1196">
  <autoFilter ref="A3:C15"/>
  <tableColumns count="3">
    <tableColumn id="1" name="LVL" dataDxfId="1195"/>
    <tableColumn id="2" name="Coût" dataDxfId="1194"/>
    <tableColumn id="4" name="Temps" dataDxfId="1193"/>
  </tableColumns>
  <tableStyleInfo name="TableStyleMedium9" showFirstColumn="0" showLastColumn="0" showRowStripes="1" showColumnStripes="0"/>
</table>
</file>

<file path=xl/tables/table34.xml><?xml version="1.0" encoding="utf-8"?>
<table xmlns="http://schemas.openxmlformats.org/spreadsheetml/2006/main" id="11" name="COSTS_Elixir_Collector" displayName="COSTS_Elixir_Collector" ref="M3:O15" totalsRowShown="0" headerRowDxfId="1192" dataDxfId="1190" headerRowBorderDxfId="1191" tableBorderDxfId="1189" totalsRowBorderDxfId="1188">
  <autoFilter ref="M3:O15"/>
  <tableColumns count="3">
    <tableColumn id="1" name="LVL" dataDxfId="1187"/>
    <tableColumn id="2" name="Coût" dataDxfId="1186"/>
    <tableColumn id="4" name="Temps" dataDxfId="1185"/>
  </tableColumns>
  <tableStyleInfo name="TableStyleMedium9" showFirstColumn="0" showLastColumn="0" showRowStripes="1" showColumnStripes="0"/>
</table>
</file>

<file path=xl/tables/table35.xml><?xml version="1.0" encoding="utf-8"?>
<table xmlns="http://schemas.openxmlformats.org/spreadsheetml/2006/main" id="12" name="COSTS_Dark_Elixir_Drill" displayName="COSTS_Dark_Elixir_Drill" ref="D3:F9" totalsRowShown="0" headerRowDxfId="1184" dataDxfId="1182" headerRowBorderDxfId="1183" tableBorderDxfId="1181" totalsRowBorderDxfId="1180">
  <autoFilter ref="D3:F9"/>
  <tableColumns count="3">
    <tableColumn id="1" name="LVL" dataDxfId="1179"/>
    <tableColumn id="2" name="Coût" dataDxfId="1178"/>
    <tableColumn id="4" name="Temps" dataDxfId="1177"/>
  </tableColumns>
  <tableStyleInfo name="TableStyleMedium9" showFirstColumn="0" showLastColumn="0" showRowStripes="1" showColumnStripes="0"/>
</table>
</file>

<file path=xl/tables/table36.xml><?xml version="1.0" encoding="utf-8"?>
<table xmlns="http://schemas.openxmlformats.org/spreadsheetml/2006/main" id="13" name="COSTS_Gold_Storage" displayName="COSTS_Gold_Storage" ref="G3:I15" totalsRowShown="0" headerRowDxfId="1176" dataDxfId="1174" headerRowBorderDxfId="1175" tableBorderDxfId="1173" totalsRowBorderDxfId="1172">
  <autoFilter ref="G3:I15"/>
  <tableColumns count="3">
    <tableColumn id="1" name="LVL" dataDxfId="1171"/>
    <tableColumn id="2" name="Coût" dataDxfId="1170"/>
    <tableColumn id="4" name="Temps" dataDxfId="1169"/>
  </tableColumns>
  <tableStyleInfo name="TableStyleMedium9" showFirstColumn="0" showLastColumn="0" showRowStripes="1" showColumnStripes="0"/>
</table>
</file>

<file path=xl/tables/table37.xml><?xml version="1.0" encoding="utf-8"?>
<table xmlns="http://schemas.openxmlformats.org/spreadsheetml/2006/main" id="14" name="COSTS_Elixir_Storage" displayName="COSTS_Elixir_Storage" ref="P3:R15" totalsRowShown="0" headerRowDxfId="1168" dataDxfId="1166" headerRowBorderDxfId="1167" tableBorderDxfId="1165" totalsRowBorderDxfId="1164">
  <autoFilter ref="P3:R15"/>
  <tableColumns count="3">
    <tableColumn id="1" name="LVL" dataDxfId="1163"/>
    <tableColumn id="2" name="Coût" dataDxfId="1162"/>
    <tableColumn id="4" name="Temps" dataDxfId="1161"/>
  </tableColumns>
  <tableStyleInfo name="TableStyleMedium9" showFirstColumn="0" showLastColumn="0" showRowStripes="1" showColumnStripes="0"/>
</table>
</file>

<file path=xl/tables/table38.xml><?xml version="1.0" encoding="utf-8"?>
<table xmlns="http://schemas.openxmlformats.org/spreadsheetml/2006/main" id="15" name="COSTS_Army_Camp" displayName="COSTS_Army_Camp" ref="G20:I28" totalsRowShown="0" headerRowDxfId="1160" dataDxfId="1158" headerRowBorderDxfId="1159" tableBorderDxfId="1157" totalsRowBorderDxfId="1156">
  <autoFilter ref="G20:I28"/>
  <tableColumns count="3">
    <tableColumn id="1" name="LVL" dataDxfId="1155"/>
    <tableColumn id="2" name="Coût" dataDxfId="1154"/>
    <tableColumn id="4" name="Temps" dataDxfId="1153"/>
  </tableColumns>
  <tableStyleInfo name="TableStyleMedium9" showFirstColumn="0" showLastColumn="0" showRowStripes="1" showColumnStripes="0"/>
</table>
</file>

<file path=xl/tables/table39.xml><?xml version="1.0" encoding="utf-8"?>
<table xmlns="http://schemas.openxmlformats.org/spreadsheetml/2006/main" id="16" name="COSTS_Laboratory" displayName="COSTS_Laboratory" ref="J20:L29" totalsRowShown="0" headerRowDxfId="1152" dataDxfId="1150" headerRowBorderDxfId="1151" tableBorderDxfId="1149" totalsRowBorderDxfId="1148">
  <autoFilter ref="J20:L29"/>
  <tableColumns count="3">
    <tableColumn id="1" name="LVL" dataDxfId="1147"/>
    <tableColumn id="2" name="Coût" dataDxfId="1146"/>
    <tableColumn id="4" name="Temps" dataDxfId="1145"/>
  </tableColumns>
  <tableStyleInfo name="TableStyleMedium9" showFirstColumn="0" showLastColumn="0" showRowStripes="1" showColumnStripes="0"/>
</table>
</file>

<file path=xl/tables/table40.xml><?xml version="1.0" encoding="utf-8"?>
<table xmlns="http://schemas.openxmlformats.org/spreadsheetml/2006/main" id="17" name="COSTS_Spell_Factory" displayName="COSTS_Spell_Factory" ref="M20:O25" totalsRowShown="0" headerRowDxfId="1144" dataDxfId="1142" headerRowBorderDxfId="1143" tableBorderDxfId="1141" totalsRowBorderDxfId="1140">
  <autoFilter ref="M20:O25"/>
  <tableColumns count="3">
    <tableColumn id="1" name="LVL" dataDxfId="1139"/>
    <tableColumn id="2" name="Coût" dataDxfId="1138"/>
    <tableColumn id="4" name="Temps" dataDxfId="1137"/>
  </tableColumns>
  <tableStyleInfo name="TableStyleMedium9" showFirstColumn="0" showLastColumn="0" showRowStripes="1" showColumnStripes="0"/>
</table>
</file>

<file path=xl/tables/table41.xml><?xml version="1.0" encoding="utf-8"?>
<table xmlns="http://schemas.openxmlformats.org/spreadsheetml/2006/main" id="18" name="COSTS_Clan_Castle" displayName="COSTS_Clan_Castle" ref="A64:C70" totalsRowShown="0" headerRowDxfId="1136" dataDxfId="1134" headerRowBorderDxfId="1135" tableBorderDxfId="1133" totalsRowBorderDxfId="1132">
  <autoFilter ref="A64:C70"/>
  <tableColumns count="3">
    <tableColumn id="1" name="LVL" dataDxfId="1131"/>
    <tableColumn id="2" name="Coût" dataDxfId="1130"/>
    <tableColumn id="4" name="Temps" dataDxfId="1129"/>
  </tableColumns>
  <tableStyleInfo name="TableStyleMedium9" showFirstColumn="0" showLastColumn="0" showRowStripes="1" showColumnStripes="0"/>
</table>
</file>

<file path=xl/tables/table42.xml><?xml version="1.0" encoding="utf-8"?>
<table xmlns="http://schemas.openxmlformats.org/spreadsheetml/2006/main" id="8" name="COSTS_Wizard_Tower" displayName="COSTS_Wizard_Tower" ref="P35:R44" totalsRowShown="0" headerRowDxfId="1128" dataDxfId="1126" headerRowBorderDxfId="1127" tableBorderDxfId="1125">
  <autoFilter ref="P35:R44"/>
  <tableColumns count="3">
    <tableColumn id="1" name="LVL" dataDxfId="1124"/>
    <tableColumn id="2" name="Coût" dataDxfId="1123"/>
    <tableColumn id="3" name="Temps" dataDxfId="1122"/>
  </tableColumns>
  <tableStyleInfo name="TableStyleMedium9" showFirstColumn="0" showLastColumn="0" showRowStripes="1" showColumnStripes="0"/>
</table>
</file>

<file path=xl/tables/table43.xml><?xml version="1.0" encoding="utf-8"?>
<table xmlns="http://schemas.openxmlformats.org/spreadsheetml/2006/main" id="19" name="COSTS_Mortar" displayName="COSTS_Mortar" ref="J35:L44" totalsRowShown="0" headerRowDxfId="1121" dataDxfId="1119" headerRowBorderDxfId="1120" tableBorderDxfId="1118">
  <autoFilter ref="J35:L44"/>
  <tableColumns count="3">
    <tableColumn id="1" name="LVL" dataDxfId="1117"/>
    <tableColumn id="2" name="Coût" dataDxfId="1116"/>
    <tableColumn id="4" name="Temps" dataDxfId="1115"/>
  </tableColumns>
  <tableStyleInfo name="TableStyleMedium9" showFirstColumn="0" showLastColumn="0" showRowStripes="1" showColumnStripes="0"/>
</table>
</file>

<file path=xl/tables/table44.xml><?xml version="1.0" encoding="utf-8"?>
<table xmlns="http://schemas.openxmlformats.org/spreadsheetml/2006/main" id="20" name="COSTS_Air_Defense" displayName="COSTS_Air_Defense" ref="M35:O43" totalsRowShown="0" headerRowDxfId="1114" headerRowBorderDxfId="1113" tableBorderDxfId="1112">
  <autoFilter ref="M35:O43"/>
  <tableColumns count="3">
    <tableColumn id="1" name="LVL" dataDxfId="1111"/>
    <tableColumn id="2" name="Coût" dataDxfId="1110"/>
    <tableColumn id="4" name="Temps" dataDxfId="1109"/>
  </tableColumns>
  <tableStyleInfo name="TableStyleMedium9" showFirstColumn="0" showLastColumn="0" showRowStripes="1" showColumnStripes="0"/>
</table>
</file>

<file path=xl/tables/table45.xml><?xml version="1.0" encoding="utf-8"?>
<table xmlns="http://schemas.openxmlformats.org/spreadsheetml/2006/main" id="21" name="COSTS_Cannon" displayName="COSTS_Cannon" ref="D35:F48" totalsRowShown="0" headerRowDxfId="1108" dataDxfId="1106" headerRowBorderDxfId="1107" tableBorderDxfId="1105" totalsRowBorderDxfId="1104">
  <autoFilter ref="D35:F48"/>
  <tableColumns count="3">
    <tableColumn id="1" name="LVL" dataDxfId="1103"/>
    <tableColumn id="2" name="Coût" dataDxfId="1102"/>
    <tableColumn id="4" name="Temps" dataDxfId="1101"/>
  </tableColumns>
  <tableStyleInfo name="TableStyleMedium9" showFirstColumn="0" showLastColumn="0" showRowStripes="1" showColumnStripes="0"/>
</table>
</file>

<file path=xl/tables/table46.xml><?xml version="1.0" encoding="utf-8"?>
<table xmlns="http://schemas.openxmlformats.org/spreadsheetml/2006/main" id="23" name="COSTS_Archer_Tower" displayName="COSTS_Archer_Tower" ref="G35:I48" totalsRowShown="0" headerRowDxfId="1100" dataDxfId="1098" headerRowBorderDxfId="1099" tableBorderDxfId="1097" totalsRowBorderDxfId="1096">
  <autoFilter ref="G35:I48"/>
  <tableColumns count="3">
    <tableColumn id="1" name="LVL" dataDxfId="1095"/>
    <tableColumn id="2" name="Coût" dataDxfId="1094"/>
    <tableColumn id="4" name="Temps" dataDxfId="1093"/>
  </tableColumns>
  <tableStyleInfo name="TableStyleMedium9" showFirstColumn="0" showLastColumn="0" showRowStripes="1" showColumnStripes="0"/>
</table>
</file>

<file path=xl/tables/table47.xml><?xml version="1.0" encoding="utf-8"?>
<table xmlns="http://schemas.openxmlformats.org/spreadsheetml/2006/main" id="24" name="COSTS_Wall" displayName="COSTS_Wall" ref="A35:C46" totalsRowShown="0" headerRowDxfId="1092" dataDxfId="1090" headerRowBorderDxfId="1091" tableBorderDxfId="1089" totalsRowBorderDxfId="1088">
  <autoFilter ref="A35:C46"/>
  <tableColumns count="3">
    <tableColumn id="1" name="LVL" dataDxfId="1087"/>
    <tableColumn id="2" name="Coût" dataDxfId="1086"/>
    <tableColumn id="4" name="Temps" dataDxfId="1085"/>
  </tableColumns>
  <tableStyleInfo name="TableStyleMedium9" showFirstColumn="0" showLastColumn="0" showRowStripes="1" showColumnStripes="0"/>
</table>
</file>

<file path=xl/tables/table48.xml><?xml version="1.0" encoding="utf-8"?>
<table xmlns="http://schemas.openxmlformats.org/spreadsheetml/2006/main" id="26" name="COSTS_Hidden_Tesla" displayName="COSTS_Hidden_Tesla" ref="V35:X43" totalsRowShown="0" headerRowDxfId="1084" dataDxfId="1082" headerRowBorderDxfId="1083" tableBorderDxfId="1081" totalsRowBorderDxfId="1080">
  <autoFilter ref="V35:X43"/>
  <tableColumns count="3">
    <tableColumn id="1" name="LVL" dataDxfId="1079"/>
    <tableColumn id="2" name="Coût" dataDxfId="1078"/>
    <tableColumn id="4" name="Temps" dataDxfId="1077"/>
  </tableColumns>
  <tableStyleInfo name="TableStyleMedium9" showFirstColumn="0" showLastColumn="0" showRowStripes="1" showColumnStripes="0"/>
</table>
</file>

<file path=xl/tables/table49.xml><?xml version="1.0" encoding="utf-8"?>
<table xmlns="http://schemas.openxmlformats.org/spreadsheetml/2006/main" id="27" name="COSTS_XBow" displayName="COSTS_XBow" ref="Y35:AA39" totalsRowShown="0" headerRowDxfId="1076" dataDxfId="1074" headerRowBorderDxfId="1075" tableBorderDxfId="1073" totalsRowBorderDxfId="1072">
  <autoFilter ref="Y35:AA39"/>
  <tableColumns count="3">
    <tableColumn id="1" name="LVL" dataDxfId="1071"/>
    <tableColumn id="2" name="Coût" dataDxfId="1070"/>
    <tableColumn id="4" name="Temps" dataDxfId="1069"/>
  </tableColumns>
  <tableStyleInfo name="TableStyleMedium9" showFirstColumn="0" showLastColumn="0" showRowStripes="1" showColumnStripes="0"/>
</table>
</file>

<file path=xl/tables/table50.xml><?xml version="1.0" encoding="utf-8"?>
<table xmlns="http://schemas.openxmlformats.org/spreadsheetml/2006/main" id="28" name="COSTS_Inferno_Tower" displayName="COSTS_Inferno_Tower" ref="AB35:AD39" totalsRowShown="0" headerRowDxfId="1068" dataDxfId="1066" headerRowBorderDxfId="1067" tableBorderDxfId="1065" totalsRowBorderDxfId="1064">
  <autoFilter ref="AB35:AD39"/>
  <tableColumns count="3">
    <tableColumn id="1" name="LVL" dataDxfId="1063"/>
    <tableColumn id="2" name="Coût" dataDxfId="1062"/>
    <tableColumn id="4" name="Temps" dataDxfId="1061"/>
  </tableColumns>
  <tableStyleInfo name="TableStyleMedium9" showFirstColumn="0" showLastColumn="0" showRowStripes="1" showColumnStripes="0"/>
</table>
</file>

<file path=xl/tables/table51.xml><?xml version="1.0" encoding="utf-8"?>
<table xmlns="http://schemas.openxmlformats.org/spreadsheetml/2006/main" id="25" name="COSTS_Barbarian_King" displayName="COSTS_Barbarian_King" ref="A123:C163" totalsRowShown="0" headerRowDxfId="1060" dataDxfId="1058" headerRowBorderDxfId="1059" tableBorderDxfId="1057" totalsRowBorderDxfId="1056">
  <autoFilter ref="A123:C163"/>
  <tableColumns count="3">
    <tableColumn id="1" name="LVL" dataDxfId="1055"/>
    <tableColumn id="2" name="Coût" dataDxfId="1054"/>
    <tableColumn id="4" name="Temps" dataDxfId="1053"/>
  </tableColumns>
  <tableStyleInfo name="TableStyleMedium9" showFirstColumn="0" showLastColumn="0" showRowStripes="1" showColumnStripes="0"/>
</table>
</file>

<file path=xl/tables/table52.xml><?xml version="1.0" encoding="utf-8"?>
<table xmlns="http://schemas.openxmlformats.org/spreadsheetml/2006/main" id="29" name="COSTS_Archer_Queen" displayName="COSTS_Archer_Queen" ref="D123:F163" totalsRowShown="0" headerRowDxfId="1052" dataDxfId="1050" headerRowBorderDxfId="1051" tableBorderDxfId="1049" totalsRowBorderDxfId="1048">
  <autoFilter ref="D123:F163"/>
  <tableColumns count="3">
    <tableColumn id="1" name="LVL" dataDxfId="1047"/>
    <tableColumn id="2" name="Coût" dataDxfId="1046"/>
    <tableColumn id="4" name="Temps" dataDxfId="1045"/>
  </tableColumns>
  <tableStyleInfo name="TableStyleMedium9" showFirstColumn="0" showLastColumn="0" showRowStripes="1" showColumnStripes="0"/>
</table>
</file>

<file path=xl/tables/table53.xml><?xml version="1.0" encoding="utf-8"?>
<table xmlns="http://schemas.openxmlformats.org/spreadsheetml/2006/main" id="31" name="COSTS_Town_Home" displayName="COSTS_Town_Home" ref="D64:F75" totalsRowShown="0" headerRowDxfId="1044" dataDxfId="1042" headerRowBorderDxfId="1043" tableBorderDxfId="1041" totalsRowBorderDxfId="1040">
  <autoFilter ref="D64:F75"/>
  <tableColumns count="3">
    <tableColumn id="1" name="LVL" dataDxfId="1039"/>
    <tableColumn id="2" name="Coût" dataDxfId="1038"/>
    <tableColumn id="4" name="Temps" dataDxfId="1037"/>
  </tableColumns>
  <tableStyleInfo name="TableStyleMedium9" showFirstColumn="0" showLastColumn="0" showRowStripes="1" showColumnStripes="0"/>
</table>
</file>

<file path=xl/tables/table54.xml><?xml version="1.0" encoding="utf-8"?>
<table xmlns="http://schemas.openxmlformats.org/spreadsheetml/2006/main" id="53" name="COSTS_Balloon" displayName="COSTS_Balloon" ref="P91:R97" totalsRowShown="0" headerRowDxfId="1036" dataDxfId="1034" headerRowBorderDxfId="1035" tableBorderDxfId="1033">
  <autoFilter ref="P91:R97"/>
  <tableColumns count="3">
    <tableColumn id="1" name="LVL" dataDxfId="1032"/>
    <tableColumn id="2" name="Coût" dataDxfId="1031"/>
    <tableColumn id="3" name="Temps" dataDxfId="1030"/>
  </tableColumns>
  <tableStyleInfo name="TableStyleMedium9" showFirstColumn="0" showLastColumn="0" showRowStripes="1" showColumnStripes="0"/>
</table>
</file>

<file path=xl/tables/table55.xml><?xml version="1.0" encoding="utf-8"?>
<table xmlns="http://schemas.openxmlformats.org/spreadsheetml/2006/main" id="54" name="COSTS_Giant" displayName="COSTS_Giant" ref="J91:L98" totalsRowShown="0" headerRowDxfId="1029" dataDxfId="1027" headerRowBorderDxfId="1028" tableBorderDxfId="1026">
  <autoFilter ref="J91:L98"/>
  <tableColumns count="3">
    <tableColumn id="1" name="LVL" dataDxfId="1025"/>
    <tableColumn id="2" name="Coût" dataDxfId="1024"/>
    <tableColumn id="4" name="Temps" dataDxfId="1023"/>
  </tableColumns>
  <tableStyleInfo name="TableStyleMedium9" showFirstColumn="0" showLastColumn="0" showRowStripes="1" showColumnStripes="0"/>
</table>
</file>

<file path=xl/tables/table56.xml><?xml version="1.0" encoding="utf-8"?>
<table xmlns="http://schemas.openxmlformats.org/spreadsheetml/2006/main" id="55" name="COSTS_Wall_Breaker" displayName="COSTS_Wall_Breaker" ref="M91:O97" totalsRowShown="0" headerRowDxfId="1022" dataDxfId="1020" headerRowBorderDxfId="1021" tableBorderDxfId="1019">
  <autoFilter ref="M91:O97"/>
  <tableColumns count="3">
    <tableColumn id="1" name="LVL" dataDxfId="1018"/>
    <tableColumn id="2" name="Coût" dataDxfId="1017"/>
    <tableColumn id="4" name="Temps" dataDxfId="1016"/>
  </tableColumns>
  <tableStyleInfo name="TableStyleMedium9" showFirstColumn="0" showLastColumn="0" showRowStripes="1" showColumnStripes="0"/>
</table>
</file>

<file path=xl/tables/table57.xml><?xml version="1.0" encoding="utf-8"?>
<table xmlns="http://schemas.openxmlformats.org/spreadsheetml/2006/main" id="56" name="COSTS_Barbarian" displayName="COSTS_Barbarian" ref="A91:C98" totalsRowShown="0" headerRowDxfId="1015" dataDxfId="1013" headerRowBorderDxfId="1014" tableBorderDxfId="1012" totalsRowBorderDxfId="1011">
  <autoFilter ref="A91:C98"/>
  <tableColumns count="3">
    <tableColumn id="1" name="LVL" dataDxfId="1010"/>
    <tableColumn id="2" name="Coût" dataDxfId="1009"/>
    <tableColumn id="4" name="Temps" dataDxfId="1008"/>
  </tableColumns>
  <tableStyleInfo name="TableStyleMedium9" showFirstColumn="0" showLastColumn="0" showRowStripes="1" showColumnStripes="0"/>
</table>
</file>

<file path=xl/tables/table58.xml><?xml version="1.0" encoding="utf-8"?>
<table xmlns="http://schemas.openxmlformats.org/spreadsheetml/2006/main" id="58" name="COSTS_Archer" displayName="COSTS_Archer" ref="D91:F98" totalsRowShown="0" headerRowDxfId="1007" dataDxfId="1005" headerRowBorderDxfId="1006" tableBorderDxfId="1004" totalsRowBorderDxfId="1003">
  <autoFilter ref="D91:F98"/>
  <tableColumns count="3">
    <tableColumn id="1" name="LVL" dataDxfId="1002"/>
    <tableColumn id="2" name="Coût" dataDxfId="1001"/>
    <tableColumn id="4" name="Temps" dataDxfId="1000"/>
  </tableColumns>
  <tableStyleInfo name="TableStyleMedium9" showFirstColumn="0" showLastColumn="0" showRowStripes="1" showColumnStripes="0"/>
</table>
</file>

<file path=xl/tables/table59.xml><?xml version="1.0" encoding="utf-8"?>
<table xmlns="http://schemas.openxmlformats.org/spreadsheetml/2006/main" id="59" name="COSTS_Goblin" displayName="COSTS_Goblin" ref="G91:I98" totalsRowShown="0" headerRowDxfId="999" dataDxfId="997" headerRowBorderDxfId="998" tableBorderDxfId="996" totalsRowBorderDxfId="995">
  <autoFilter ref="G91:I98"/>
  <tableColumns count="3">
    <tableColumn id="1" name="LVL" dataDxfId="994"/>
    <tableColumn id="2" name="Coût" dataDxfId="993"/>
    <tableColumn id="4" name="Temps" dataDxfId="992"/>
  </tableColumns>
  <tableStyleInfo name="TableStyleMedium9" showFirstColumn="0" showLastColumn="0" showRowStripes="1" showColumnStripes="0"/>
</table>
</file>

<file path=xl/tables/table60.xml><?xml version="1.0" encoding="utf-8"?>
<table xmlns="http://schemas.openxmlformats.org/spreadsheetml/2006/main" id="61" name="COSTS_Wizard" displayName="COSTS_Wizard" ref="S91:U97" totalsRowShown="0" headerRowDxfId="991" dataDxfId="989" headerRowBorderDxfId="990" tableBorderDxfId="988" totalsRowBorderDxfId="987">
  <autoFilter ref="S91:U97"/>
  <tableColumns count="3">
    <tableColumn id="1" name="LVL" dataDxfId="986"/>
    <tableColumn id="2" name="Coût" dataDxfId="985"/>
    <tableColumn id="4" name="Temps" dataDxfId="984"/>
  </tableColumns>
  <tableStyleInfo name="TableStyleMedium9" showFirstColumn="0" showLastColumn="0" showRowStripes="1" showColumnStripes="0"/>
</table>
</file>

<file path=xl/tables/table61.xml><?xml version="1.0" encoding="utf-8"?>
<table xmlns="http://schemas.openxmlformats.org/spreadsheetml/2006/main" id="62" name="COSTS_Healer" displayName="COSTS_Healer" ref="V91:X95" totalsRowShown="0" headerRowDxfId="983" dataDxfId="981" headerRowBorderDxfId="982" tableBorderDxfId="980" totalsRowBorderDxfId="979">
  <autoFilter ref="V91:X95"/>
  <tableColumns count="3">
    <tableColumn id="1" name="LVL" dataDxfId="978"/>
    <tableColumn id="2" name="Coût" dataDxfId="977"/>
    <tableColumn id="4" name="Temps" dataDxfId="976"/>
  </tableColumns>
  <tableStyleInfo name="TableStyleMedium9" showFirstColumn="0" showLastColumn="0" showRowStripes="1" showColumnStripes="0"/>
</table>
</file>

<file path=xl/tables/table62.xml><?xml version="1.0" encoding="utf-8"?>
<table xmlns="http://schemas.openxmlformats.org/spreadsheetml/2006/main" id="63" name="COSTS_Dragon" displayName="COSTS_Dragon" ref="Y91:AA96" totalsRowShown="0" headerRowDxfId="975" dataDxfId="973" headerRowBorderDxfId="974" tableBorderDxfId="972" totalsRowBorderDxfId="971">
  <autoFilter ref="Y91:AA96"/>
  <tableColumns count="3">
    <tableColumn id="1" name="LVL" dataDxfId="970"/>
    <tableColumn id="2" name="Coût" dataDxfId="969"/>
    <tableColumn id="4" name="Temps" dataDxfId="968"/>
  </tableColumns>
  <tableStyleInfo name="TableStyleMedium9" showFirstColumn="0" showLastColumn="0" showRowStripes="1" showColumnStripes="0"/>
</table>
</file>

<file path=xl/tables/table63.xml><?xml version="1.0" encoding="utf-8"?>
<table xmlns="http://schemas.openxmlformats.org/spreadsheetml/2006/main" id="66" name="COSTS_PEKKA" displayName="COSTS_PEKKA" ref="AB91:AD96" totalsRowShown="0" headerRowDxfId="967" dataDxfId="965" headerRowBorderDxfId="966" tableBorderDxfId="964" totalsRowBorderDxfId="963">
  <autoFilter ref="AB91:AD96"/>
  <tableColumns count="3">
    <tableColumn id="1" name="LVL" dataDxfId="962"/>
    <tableColumn id="2" name="Coût" dataDxfId="961"/>
    <tableColumn id="4" name="Temps" dataDxfId="960"/>
  </tableColumns>
  <tableStyleInfo name="TableStyleMedium9" showFirstColumn="0" showLastColumn="0" showRowStripes="1" showColumnStripes="0"/>
</table>
</file>

<file path=xl/tables/table64.xml><?xml version="1.0" encoding="utf-8"?>
<table xmlns="http://schemas.openxmlformats.org/spreadsheetml/2006/main" id="34" name="COSTS_Spell_Lightning" displayName="COSTS_Spell_Lightning" ref="A79:C86" totalsRowShown="0" headerRowDxfId="959" dataDxfId="957" headerRowBorderDxfId="958" tableBorderDxfId="956" totalsRowBorderDxfId="955">
  <autoFilter ref="A79:C86"/>
  <tableColumns count="3">
    <tableColumn id="1" name="LVL" dataDxfId="954"/>
    <tableColumn id="2" name="Coût" dataDxfId="953"/>
    <tableColumn id="4" name="Temps" dataDxfId="952"/>
  </tableColumns>
  <tableStyleInfo name="TableStyleMedium9" showFirstColumn="0" showLastColumn="0" showRowStripes="1" showColumnStripes="0"/>
</table>
</file>

<file path=xl/tables/table65.xml><?xml version="1.0" encoding="utf-8"?>
<table xmlns="http://schemas.openxmlformats.org/spreadsheetml/2006/main" id="35" name="COSTS_Spell_Healing" displayName="COSTS_Spell_Healing" ref="D79:F85" totalsRowShown="0" headerRowDxfId="951" dataDxfId="949" headerRowBorderDxfId="950" tableBorderDxfId="948" totalsRowBorderDxfId="947">
  <autoFilter ref="D79:F85"/>
  <tableColumns count="3">
    <tableColumn id="1" name="LVL" dataDxfId="946"/>
    <tableColumn id="2" name="Coût" dataDxfId="945"/>
    <tableColumn id="4" name="Temps" dataDxfId="944"/>
  </tableColumns>
  <tableStyleInfo name="TableStyleMedium9" showFirstColumn="0" showLastColumn="0" showRowStripes="1" showColumnStripes="0"/>
</table>
</file>

<file path=xl/tables/table66.xml><?xml version="1.0" encoding="utf-8"?>
<table xmlns="http://schemas.openxmlformats.org/spreadsheetml/2006/main" id="36" name="COSTS_Spell_Rage" displayName="COSTS_Spell_Rage" ref="G79:I84" totalsRowShown="0" headerRowDxfId="943" dataDxfId="941" headerRowBorderDxfId="942" tableBorderDxfId="940" totalsRowBorderDxfId="939">
  <autoFilter ref="G79:I84"/>
  <tableColumns count="3">
    <tableColumn id="1" name="LVL" dataDxfId="938"/>
    <tableColumn id="2" name="Coût" dataDxfId="937"/>
    <tableColumn id="4" name="Temps" dataDxfId="936"/>
  </tableColumns>
  <tableStyleInfo name="TableStyleMedium9" showFirstColumn="0" showLastColumn="0" showRowStripes="1" showColumnStripes="0"/>
</table>
</file>

<file path=xl/tables/table67.xml><?xml version="1.0" encoding="utf-8"?>
<table xmlns="http://schemas.openxmlformats.org/spreadsheetml/2006/main" id="37" name="COSTS_Spell_Jump" displayName="COSTS_Spell_Jump" ref="J79:L82" totalsRowShown="0" headerRowDxfId="935" dataDxfId="933" headerRowBorderDxfId="934" tableBorderDxfId="932" totalsRowBorderDxfId="931">
  <autoFilter ref="J79:L82"/>
  <tableColumns count="3">
    <tableColumn id="1" name="LVL" dataDxfId="930"/>
    <tableColumn id="2" name="Coût" dataDxfId="929"/>
    <tableColumn id="4" name="Temps" dataDxfId="928"/>
  </tableColumns>
  <tableStyleInfo name="TableStyleMedium9" showFirstColumn="0" showLastColumn="0" showRowStripes="1" showColumnStripes="0"/>
</table>
</file>

<file path=xl/tables/table68.xml><?xml version="1.0" encoding="utf-8"?>
<table xmlns="http://schemas.openxmlformats.org/spreadsheetml/2006/main" id="41" name="COSTS_Golem" displayName="COSTS_Golem" ref="J112:L117" totalsRowShown="0" headerRowDxfId="927" dataDxfId="925" headerRowBorderDxfId="926" tableBorderDxfId="924">
  <autoFilter ref="J112:L117"/>
  <tableColumns count="3">
    <tableColumn id="1" name="LVL" dataDxfId="923"/>
    <tableColumn id="2" name="Coût" dataDxfId="922"/>
    <tableColumn id="4" name="Temps" dataDxfId="921"/>
  </tableColumns>
  <tableStyleInfo name="TableStyleMedium9" showFirstColumn="0" showLastColumn="0" showRowStripes="1" showColumnStripes="0"/>
</table>
</file>

<file path=xl/tables/table69.xml><?xml version="1.0" encoding="utf-8"?>
<table xmlns="http://schemas.openxmlformats.org/spreadsheetml/2006/main" id="43" name="COSTS_Minion" displayName="COSTS_Minion" ref="A112:C119" totalsRowShown="0" headerRowDxfId="920" dataDxfId="918" headerRowBorderDxfId="919" tableBorderDxfId="917" totalsRowBorderDxfId="916">
  <autoFilter ref="A112:C119"/>
  <tableColumns count="3">
    <tableColumn id="1" name="LVL" dataDxfId="915"/>
    <tableColumn id="2" name="Coût" dataDxfId="914"/>
    <tableColumn id="4" name="Temps" dataDxfId="913"/>
  </tableColumns>
  <tableStyleInfo name="TableStyleMedium9" showFirstColumn="0" showLastColumn="0" showRowStripes="1" showColumnStripes="0"/>
</table>
</file>

<file path=xl/tables/table70.xml><?xml version="1.0" encoding="utf-8"?>
<table xmlns="http://schemas.openxmlformats.org/spreadsheetml/2006/main" id="44" name="COSTS_Hog_Rider" displayName="COSTS_Hog_Rider" ref="D112:F118" totalsRowShown="0" headerRowDxfId="912" dataDxfId="910" headerRowBorderDxfId="911" tableBorderDxfId="909" totalsRowBorderDxfId="908">
  <autoFilter ref="D112:F118"/>
  <tableColumns count="3">
    <tableColumn id="1" name="LVL" dataDxfId="907"/>
    <tableColumn id="2" name="Coût" dataDxfId="906"/>
    <tableColumn id="4" name="Temps" dataDxfId="905"/>
  </tableColumns>
  <tableStyleInfo name="TableStyleMedium9" showFirstColumn="0" showLastColumn="0" showRowStripes="1" showColumnStripes="0"/>
</table>
</file>

<file path=xl/tables/table71.xml><?xml version="1.0" encoding="utf-8"?>
<table xmlns="http://schemas.openxmlformats.org/spreadsheetml/2006/main" id="45" name="COSTS_Valkyrie" displayName="COSTS_Valkyrie" ref="G112:I117" totalsRowShown="0" headerRowDxfId="904" dataDxfId="902" headerRowBorderDxfId="903" tableBorderDxfId="901" totalsRowBorderDxfId="900">
  <autoFilter ref="G112:I117"/>
  <tableColumns count="3">
    <tableColumn id="1" name="LVL" dataDxfId="899"/>
    <tableColumn id="2" name="Coût" dataDxfId="898"/>
    <tableColumn id="4" name="Temps" dataDxfId="897"/>
  </tableColumns>
  <tableStyleInfo name="TableStyleMedium9" showFirstColumn="0" showLastColumn="0" showRowStripes="1" showColumnStripes="0"/>
</table>
</file>

<file path=xl/tables/table72.xml><?xml version="1.0" encoding="utf-8"?>
<table xmlns="http://schemas.openxmlformats.org/spreadsheetml/2006/main" id="40" name="COSTS_Spell_Freeze" displayName="COSTS_Spell_Freeze" ref="M79:O84" totalsRowShown="0" headerRowDxfId="896" dataDxfId="894" headerRowBorderDxfId="895" tableBorderDxfId="893" totalsRowBorderDxfId="892">
  <autoFilter ref="M79:O84"/>
  <tableColumns count="3">
    <tableColumn id="1" name="LVL" dataDxfId="891"/>
    <tableColumn id="2" name="Coût" dataDxfId="890"/>
    <tableColumn id="4" name="Temps" dataDxfId="889"/>
  </tableColumns>
  <tableStyleInfo name="TableStyleMedium9" showFirstColumn="0" showLastColumn="0" showRowStripes="1" showColumnStripes="0"/>
</table>
</file>

<file path=xl/tables/table73.xml><?xml version="1.0" encoding="utf-8"?>
<table xmlns="http://schemas.openxmlformats.org/spreadsheetml/2006/main" id="75" name="COSTS_Witch" displayName="COSTS_Witch" ref="M112:O115" totalsRowShown="0" headerRowDxfId="888" dataDxfId="886" headerRowBorderDxfId="887" tableBorderDxfId="885">
  <autoFilter ref="M112:O115"/>
  <tableColumns count="3">
    <tableColumn id="1" name="LVL" dataDxfId="884"/>
    <tableColumn id="2" name="Coût" dataDxfId="883"/>
    <tableColumn id="4" name="Temps" dataDxfId="882"/>
  </tableColumns>
  <tableStyleInfo name="TableStyleMedium9" showFirstColumn="0" showLastColumn="0" showRowStripes="1" showColumnStripes="0"/>
</table>
</file>

<file path=xl/tables/table74.xml><?xml version="1.0" encoding="utf-8"?>
<table xmlns="http://schemas.openxmlformats.org/spreadsheetml/2006/main" id="79" name="COSTS_Giant_Bomb" displayName="COSTS_Giant_Bomb" ref="G53:I57" totalsRowShown="0" headerRowDxfId="881" headerRowBorderDxfId="880" tableBorderDxfId="879">
  <autoFilter ref="G53:I57"/>
  <tableColumns count="3">
    <tableColumn id="1" name="LVL" dataDxfId="878"/>
    <tableColumn id="2" name="Coût" dataDxfId="877"/>
    <tableColumn id="4" name="Temps" dataDxfId="876"/>
  </tableColumns>
  <tableStyleInfo name="TableStyleMedium9" showFirstColumn="0" showLastColumn="0" showRowStripes="1" showColumnStripes="0"/>
</table>
</file>

<file path=xl/tables/table75.xml><?xml version="1.0" encoding="utf-8"?>
<table xmlns="http://schemas.openxmlformats.org/spreadsheetml/2006/main" id="81" name="COSTS_Spring_Trap" displayName="COSTS_Spring_Trap" ref="D53:F54" totalsRowShown="0" headerRowDxfId="875" headerRowBorderDxfId="874" tableBorderDxfId="873">
  <autoFilter ref="D53:F54"/>
  <tableColumns count="3">
    <tableColumn id="1" name="LVL" dataDxfId="872"/>
    <tableColumn id="2" name="Coût" dataDxfId="871"/>
    <tableColumn id="4" name="Temps" dataDxfId="870"/>
  </tableColumns>
  <tableStyleInfo name="TableStyleMedium9" showFirstColumn="0" showLastColumn="0" showRowStripes="1" showColumnStripes="0"/>
</table>
</file>

<file path=xl/tables/table76.xml><?xml version="1.0" encoding="utf-8"?>
<table xmlns="http://schemas.openxmlformats.org/spreadsheetml/2006/main" id="80" name="COSTS_Bomb" displayName="COSTS_Bomb" ref="A53:C59" totalsRowShown="0" headerRowDxfId="869" headerRowBorderDxfId="868" tableBorderDxfId="867" totalsRowBorderDxfId="866">
  <autoFilter ref="A53:C59"/>
  <tableColumns count="3">
    <tableColumn id="1" name="LVL" dataDxfId="865"/>
    <tableColumn id="2" name="Coût" dataDxfId="864"/>
    <tableColumn id="3" name="Temps" dataDxfId="863"/>
  </tableColumns>
  <tableStyleInfo name="TableStyleMedium15" showFirstColumn="0" showLastColumn="0" showRowStripes="1" showColumnStripes="0"/>
</table>
</file>

<file path=xl/tables/table77.xml><?xml version="1.0" encoding="utf-8"?>
<table xmlns="http://schemas.openxmlformats.org/spreadsheetml/2006/main" id="82" name="COST_Air_Bomb" displayName="COST_Air_Bomb" ref="J53:L57" totalsRowShown="0" headerRowBorderDxfId="862" tableBorderDxfId="861">
  <autoFilter ref="J53:L57"/>
  <tableColumns count="3">
    <tableColumn id="1" name="LVL" dataDxfId="860"/>
    <tableColumn id="2" name="Coût" dataDxfId="859"/>
    <tableColumn id="3" name="Temps" dataDxfId="858"/>
  </tableColumns>
  <tableStyleInfo name="TableStyleLight9" showFirstColumn="0" showLastColumn="0" showRowStripes="1" showColumnStripes="0"/>
</table>
</file>

<file path=xl/tables/table78.xml><?xml version="1.0" encoding="utf-8"?>
<table xmlns="http://schemas.openxmlformats.org/spreadsheetml/2006/main" id="83" name="COST_Seeking_Air_Mine" displayName="COST_Seeking_Air_Mine" ref="M53:O56" totalsRowShown="0" headerRowBorderDxfId="857" tableBorderDxfId="856">
  <autoFilter ref="M53:O56"/>
  <tableColumns count="3">
    <tableColumn id="1" name="LVL" dataDxfId="855"/>
    <tableColumn id="2" name="Coût" dataDxfId="854"/>
    <tableColumn id="3" name="Temps" dataDxfId="853"/>
  </tableColumns>
  <tableStyleInfo name="TableStyleLight9" showFirstColumn="0" showLastColumn="0" showRowStripes="1" showColumnStripes="0"/>
</table>
</file>

<file path=xl/tables/table79.xml><?xml version="1.0" encoding="utf-8"?>
<table xmlns="http://schemas.openxmlformats.org/spreadsheetml/2006/main" id="84" name="COST_Skeleton_Trap" displayName="COST_Skeleton_Trap" ref="P53:R56" totalsRowShown="0" headerRowBorderDxfId="852" tableBorderDxfId="851">
  <autoFilter ref="P53:R56"/>
  <tableColumns count="3">
    <tableColumn id="1" name="LVL" dataDxfId="850"/>
    <tableColumn id="2" name="Coût" dataDxfId="849"/>
    <tableColumn id="3" name="Temps" dataDxfId="848"/>
  </tableColumns>
  <tableStyleInfo name="TableStyleLight9" showFirstColumn="0" showLastColumn="0" showRowStripes="1" showColumnStripes="0"/>
</table>
</file>

<file path=xl/tables/table80.xml><?xml version="1.0" encoding="utf-8"?>
<table xmlns="http://schemas.openxmlformats.org/spreadsheetml/2006/main" id="90" name="COSTS_Lava_Hound" displayName="COSTS_Lava_Hound" ref="P112:R115" totalsRowShown="0" headerRowBorderDxfId="847" tableBorderDxfId="846">
  <autoFilter ref="P112:R115"/>
  <tableColumns count="3">
    <tableColumn id="1" name="LVL" dataDxfId="845"/>
    <tableColumn id="2" name="Coût" dataDxfId="844"/>
    <tableColumn id="3" name="Temps" dataDxfId="843"/>
  </tableColumns>
  <tableStyleInfo name="TableStyleLight1" showFirstColumn="0" showLastColumn="0" showRowStripes="1" showColumnStripes="0"/>
</table>
</file>

<file path=xl/tables/table81.xml><?xml version="1.0" encoding="utf-8"?>
<table xmlns="http://schemas.openxmlformats.org/spreadsheetml/2006/main" id="86" name="COSTS_Air_Sweeper" displayName="COSTS_Air_Sweeper" ref="S35:U41" totalsRowShown="0" headerRowDxfId="842" dataDxfId="840" headerRowBorderDxfId="841" tableBorderDxfId="839" totalsRowBorderDxfId="838">
  <autoFilter ref="S35:U41"/>
  <tableColumns count="3">
    <tableColumn id="1" name="LVL" dataDxfId="837"/>
    <tableColumn id="2" name="Coût" dataDxfId="836"/>
    <tableColumn id="4" name="Temps" dataDxfId="835"/>
  </tableColumns>
  <tableStyleInfo name="TableStyleMedium9" showFirstColumn="0" showLastColumn="0" showRowStripes="1" showColumnStripes="0"/>
</table>
</file>

<file path=xl/tables/table82.xml><?xml version="1.0" encoding="utf-8"?>
<table xmlns="http://schemas.openxmlformats.org/spreadsheetml/2006/main" id="138" name="COSTS_Dark_Spell_Factory" displayName="COSTS_Dark_Spell_Factory" ref="P20:R23" totalsRowShown="0" headerRowDxfId="834" dataDxfId="832" headerRowBorderDxfId="833" tableBorderDxfId="831" totalsRowBorderDxfId="830">
  <autoFilter ref="P20:R23"/>
  <tableColumns count="3">
    <tableColumn id="1" name="LVL" dataDxfId="829"/>
    <tableColumn id="2" name="Coût" dataDxfId="828"/>
    <tableColumn id="4" name="Temps" dataDxfId="827"/>
  </tableColumns>
  <tableStyleInfo name="TableStyleMedium9" showFirstColumn="0" showLastColumn="0" showRowStripes="1" showColumnStripes="0"/>
</table>
</file>

<file path=xl/tables/table83.xml><?xml version="1.0" encoding="utf-8"?>
<table xmlns="http://schemas.openxmlformats.org/spreadsheetml/2006/main" id="141" name="COSTS_Spell_Poison" displayName="COSTS_Spell_Poison" ref="A103:C107" totalsRowShown="0" headerRowDxfId="826" dataDxfId="824" headerRowBorderDxfId="825" tableBorderDxfId="823" totalsRowBorderDxfId="822">
  <autoFilter ref="A103:C107"/>
  <tableColumns count="3">
    <tableColumn id="1" name="LVL" dataDxfId="821"/>
    <tableColumn id="2" name="Coût" dataDxfId="820"/>
    <tableColumn id="4" name="Temps" dataDxfId="819"/>
  </tableColumns>
  <tableStyleInfo name="TableStyleMedium9" showFirstColumn="0" showLastColumn="0" showRowStripes="1" showColumnStripes="0"/>
</table>
</file>

<file path=xl/tables/table84.xml><?xml version="1.0" encoding="utf-8"?>
<table xmlns="http://schemas.openxmlformats.org/spreadsheetml/2006/main" id="142" name="COSTS_Spell_Earthquake" displayName="COSTS_Spell_Earthquake" ref="D103:F107" totalsRowShown="0" headerRowDxfId="818" dataDxfId="816" headerRowBorderDxfId="817" tableBorderDxfId="815" totalsRowBorderDxfId="814">
  <autoFilter ref="D103:F107"/>
  <tableColumns count="3">
    <tableColumn id="1" name="LVL" dataDxfId="813"/>
    <tableColumn id="2" name="Coût" dataDxfId="812"/>
    <tableColumn id="4" name="Temps" dataDxfId="811"/>
  </tableColumns>
  <tableStyleInfo name="TableStyleMedium9" showFirstColumn="0" showLastColumn="0" showRowStripes="1" showColumnStripes="0"/>
</table>
</file>

<file path=xl/tables/table85.xml><?xml version="1.0" encoding="utf-8"?>
<table xmlns="http://schemas.openxmlformats.org/spreadsheetml/2006/main" id="143" name="COSTS_Spell_Haste" displayName="COSTS_Spell_Haste" ref="G103:I107" totalsRowShown="0" headerRowDxfId="810" dataDxfId="808" headerRowBorderDxfId="809" tableBorderDxfId="807" totalsRowBorderDxfId="806">
  <autoFilter ref="G103:I107"/>
  <tableColumns count="3">
    <tableColumn id="1" name="LVL" dataDxfId="805"/>
    <tableColumn id="2" name="Coût" dataDxfId="804"/>
    <tableColumn id="4" name="Temps" dataDxfId="803"/>
  </tableColumns>
  <tableStyleInfo name="TableStyleMedium9" showFirstColumn="0" showLastColumn="0" showRowStripes="1" showColumnStripes="0"/>
</table>
</file>

<file path=xl/tables/table86.xml><?xml version="1.0" encoding="utf-8"?>
<table xmlns="http://schemas.openxmlformats.org/spreadsheetml/2006/main" id="155" name="COSTS_Grand_Warden" displayName="COSTS_Grand_Warden" ref="G123:I143" totalsRowShown="0" headerRowDxfId="802" dataDxfId="800" headerRowBorderDxfId="801" tableBorderDxfId="799" totalsRowBorderDxfId="798">
  <autoFilter ref="G123:I143"/>
  <tableColumns count="3">
    <tableColumn id="1" name="LVL" dataDxfId="797"/>
    <tableColumn id="2" name="Coût" dataDxfId="796"/>
    <tableColumn id="4" name="Temps" dataDxfId="795"/>
  </tableColumns>
  <tableStyleInfo name="TableStyleMedium9" showFirstColumn="0" showLastColumn="0" showRowStripes="1" showColumnStripes="0"/>
</table>
</file>

<file path=xl/tables/table87.xml><?xml version="1.0" encoding="utf-8"?>
<table xmlns="http://schemas.openxmlformats.org/spreadsheetml/2006/main" id="153" name="COSTS_Defense_Aigle" displayName="COSTS_Defense_Aigle" ref="AE35:AG37" totalsRowShown="0" headerRowDxfId="794" dataDxfId="792" headerRowBorderDxfId="793" tableBorderDxfId="791" totalsRowBorderDxfId="790">
  <autoFilter ref="AE35:AG37"/>
  <tableColumns count="3">
    <tableColumn id="1" name="LVL" dataDxfId="789"/>
    <tableColumn id="2" name="Coût" dataDxfId="788"/>
    <tableColumn id="4" name="Temps" dataDxfId="787"/>
  </tableColumns>
  <tableStyleInfo name="TableStyleMedium9" showFirstColumn="0" showLastColumn="0" showRowStripes="1" showColumnStripes="0"/>
</table>
</file>

<file path=xl/tables/table88.xml><?xml version="1.0" encoding="utf-8"?>
<table xmlns="http://schemas.openxmlformats.org/spreadsheetml/2006/main" id="154" name="COSTS_Bouliste" displayName="COSTS_Bouliste" ref="S112:U115" totalsRowShown="0" headerRowBorderDxfId="786" tableBorderDxfId="785">
  <autoFilter ref="S112:U115"/>
  <tableColumns count="3">
    <tableColumn id="1" name="LVL" dataDxfId="784"/>
    <tableColumn id="2" name="Coût" dataDxfId="783"/>
    <tableColumn id="3" name="Temps" dataDxfId="782"/>
  </tableColumns>
  <tableStyleInfo name="TableStyleLight1" showFirstColumn="0" showLastColumn="0" showRowStripes="1" showColumnStripes="0"/>
</table>
</file>

<file path=xl/tables/table89.xml><?xml version="1.0" encoding="utf-8"?>
<table xmlns="http://schemas.openxmlformats.org/spreadsheetml/2006/main" id="57" name="EARNINGS_Gold_Mine" displayName="EARNINGS_Gold_Mine" ref="A4:C16" totalsRowShown="0" headerRowDxfId="781" dataDxfId="779" headerRowBorderDxfId="780" tableBorderDxfId="778" totalsRowBorderDxfId="777">
  <autoFilter ref="A4:C16"/>
  <tableColumns count="3">
    <tableColumn id="1" name="LVL" dataDxfId="776"/>
    <tableColumn id="2" name="Production" dataDxfId="775"/>
    <tableColumn id="4" name="Capacité" dataDxfId="774"/>
  </tableColumns>
  <tableStyleInfo name="TableStyleMedium9" showFirstColumn="0" showLastColumn="0" showRowStripes="1" showColumnStripes="0"/>
</table>
</file>

<file path=xl/tables/table90.xml><?xml version="1.0" encoding="utf-8"?>
<table xmlns="http://schemas.openxmlformats.org/spreadsheetml/2006/main" id="60" name="EARNINGS_Elixir_Collector" displayName="EARNINGS_Elixir_Collector" ref="F4:H16" totalsRowShown="0" headerRowDxfId="773" dataDxfId="771" headerRowBorderDxfId="772" tableBorderDxfId="770" totalsRowBorderDxfId="769">
  <autoFilter ref="F4:H16"/>
  <tableColumns count="3">
    <tableColumn id="1" name="LVL" dataDxfId="768"/>
    <tableColumn id="2" name="Production" dataDxfId="767"/>
    <tableColumn id="4" name="Capacité" dataDxfId="766"/>
  </tableColumns>
  <tableStyleInfo name="TableStyleMedium9" showFirstColumn="0" showLastColumn="0" showRowStripes="1" showColumnStripes="0"/>
</table>
</file>

<file path=xl/tables/table91.xml><?xml version="1.0" encoding="utf-8"?>
<table xmlns="http://schemas.openxmlformats.org/spreadsheetml/2006/main" id="64" name="EARNINGS_Dark_Elixir_Drill" displayName="EARNINGS_Dark_Elixir_Drill" ref="K4:M10" totalsRowShown="0" headerRowDxfId="765" dataDxfId="763" headerRowBorderDxfId="764" tableBorderDxfId="762" totalsRowBorderDxfId="761">
  <autoFilter ref="K4:M10"/>
  <tableColumns count="3">
    <tableColumn id="1" name="LVL" dataDxfId="760"/>
    <tableColumn id="2" name="Production" dataDxfId="759"/>
    <tableColumn id="4" name="Capacité" dataDxfId="758"/>
  </tableColumns>
  <tableStyleInfo name="TableStyleMedium9" showFirstColumn="0" showLastColumn="0" showRowStripes="1" showColumnStripes="0"/>
</table>
</file>

<file path=xl/tables/table92.xml><?xml version="1.0" encoding="utf-8"?>
<table xmlns="http://schemas.openxmlformats.org/spreadsheetml/2006/main" id="65" name="EARNINGS_Gold_Storage" displayName="EARNINGS_Gold_Storage" ref="D4:E16" totalsRowShown="0" headerRowDxfId="757" dataDxfId="755" headerRowBorderDxfId="756" tableBorderDxfId="754" totalsRowBorderDxfId="753">
  <autoFilter ref="D4:E16"/>
  <tableColumns count="2">
    <tableColumn id="1" name="LVL" dataDxfId="752"/>
    <tableColumn id="4" name="Capacité" dataDxfId="751"/>
  </tableColumns>
  <tableStyleInfo name="TableStyleMedium9" showFirstColumn="0" showLastColumn="0" showRowStripes="1" showColumnStripes="0"/>
</table>
</file>

<file path=xl/tables/table93.xml><?xml version="1.0" encoding="utf-8"?>
<table xmlns="http://schemas.openxmlformats.org/spreadsheetml/2006/main" id="67" name="EARNINGS_Elixir_Storage" displayName="EARNINGS_Elixir_Storage" ref="I4:J16" totalsRowShown="0" headerRowDxfId="750" dataDxfId="748" headerRowBorderDxfId="749" tableBorderDxfId="747" totalsRowBorderDxfId="746">
  <autoFilter ref="I4:J16"/>
  <tableColumns count="2">
    <tableColumn id="1" name="LVL" dataDxfId="745"/>
    <tableColumn id="4" name="Capacité" dataDxfId="744"/>
  </tableColumns>
  <tableStyleInfo name="TableStyleMedium9" showFirstColumn="0" showLastColumn="0" showRowStripes="1" showColumnStripes="0"/>
</table>
</file>

<file path=xl/tables/table94.xml><?xml version="1.0" encoding="utf-8"?>
<table xmlns="http://schemas.openxmlformats.org/spreadsheetml/2006/main" id="68" name="EARNINGS_Dark_Elixir_Storage" displayName="EARNINGS_Dark_Elixir_Storage" ref="N4:O10" totalsRowShown="0" headerRowDxfId="743" dataDxfId="741" headerRowBorderDxfId="742" tableBorderDxfId="740" totalsRowBorderDxfId="739">
  <autoFilter ref="N4:O10"/>
  <tableColumns count="2">
    <tableColumn id="1" name="LVL" dataDxfId="738"/>
    <tableColumn id="4" name="Capacité" dataDxfId="737"/>
  </tableColumns>
  <tableStyleInfo name="TableStyleMedium9" showFirstColumn="0" showLastColumn="0" showRowStripes="1" showColumnStripes="0"/>
</table>
</file>

<file path=xl/tables/table95.xml><?xml version="1.0" encoding="utf-8"?>
<table xmlns="http://schemas.openxmlformats.org/spreadsheetml/2006/main" id="152" name="EARNINGS_HDV" displayName="EARNINGS_HDV" ref="P3:S14" totalsRowShown="0" headerRowDxfId="736" dataDxfId="734" headerRowBorderDxfId="735" tableBorderDxfId="733" totalsRowBorderDxfId="732">
  <autoFilter ref="P3:S14"/>
  <tableColumns count="4">
    <tableColumn id="1" name="LVL" dataDxfId="731"/>
    <tableColumn id="4" name="Or" dataDxfId="730"/>
    <tableColumn id="3" name="Elixir rose" dataDxfId="729">
      <calculatedColumnFormula>EARNINGS_HDV[[#This Row],[Or]]</calculatedColumnFormula>
    </tableColumn>
    <tableColumn id="2" name="Elixir noir" dataDxfId="728"/>
  </tableColumns>
  <tableStyleInfo name="TableStyleMedium9" showFirstColumn="0" showLastColumn="0" showRowStripes="1" showColumnStripes="0"/>
</table>
</file>

<file path=xl/tables/table96.xml><?xml version="1.0" encoding="utf-8"?>
<table xmlns="http://schemas.openxmlformats.org/spreadsheetml/2006/main" id="69" name="LEAGUES_Bonus" displayName="LEAGUES_Bonus" ref="A2:E25" totalsRowShown="0" headerRowDxfId="727" dataDxfId="725" headerRowBorderDxfId="726" tableBorderDxfId="724" totalsRowBorderDxfId="723">
  <autoFilter ref="A2:E25"/>
  <tableColumns count="5">
    <tableColumn id="1" name="Classement" dataDxfId="722">
      <calculatedColumnFormula>IF(AND(Paramètres!$BM$2&gt;=B3,Paramètres!$BM$2&lt;B4),1,"")</calculatedColumnFormula>
    </tableColumn>
    <tableColumn id="2" name="Trophy" dataDxfId="721"/>
    <tableColumn id="3" name="Bonus d'Or" dataDxfId="720"/>
    <tableColumn id="4" name="Bonus d'Élixir" dataDxfId="719">
      <calculatedColumnFormula>LEAGUES_Bonus[[#This Row],[Bonus d''Or]]</calculatedColumnFormula>
    </tableColumn>
    <tableColumn id="5" name="Bonus d'Élixir Noir" dataDxfId="718"/>
  </tableColumns>
  <tableStyleInfo name="TableStyleMedium9" showFirstColumn="0" showLastColumn="0" showRowStripes="1" showColumnStripes="0"/>
</table>
</file>

<file path=xl/tables/table97.xml><?xml version="1.0" encoding="utf-8"?>
<table xmlns="http://schemas.openxmlformats.org/spreadsheetml/2006/main" id="70" name="LEAGUES_Loot_Multiplier" displayName="LEAGUES_Loot_Multiplier" ref="G2:I23" totalsRowShown="0" headerRowDxfId="717" dataDxfId="715" headerRowBorderDxfId="716" tableBorderDxfId="714" totalsRowBorderDxfId="713">
  <autoFilter ref="G2:I23"/>
  <tableColumns count="3">
    <tableColumn id="1" name="Classement" dataDxfId="712">
      <calculatedColumnFormula>IF(AND('Combats - Loots'!$D$2&gt;=H3,'Combats - Loots'!$D$2&lt;H4),1,"")</calculatedColumnFormula>
    </tableColumn>
    <tableColumn id="2" name="Trophy Difference" dataDxfId="711"/>
    <tableColumn id="4" name="Multiplicateur de Loot" dataDxfId="710"/>
  </tableColumns>
  <tableStyleInfo name="TableStyleMedium9" showFirstColumn="0" showLastColumn="0" showRowStripes="1" showColumnStripes="0"/>
</table>
</file>

<file path=xl/tables/table98.xml><?xml version="1.0" encoding="utf-8"?>
<table xmlns="http://schemas.openxmlformats.org/spreadsheetml/2006/main" id="95" name="LEAGUES_Find" displayName="LEAGUES_Find" ref="K2:L13" totalsRowShown="0" headerRowDxfId="709" dataDxfId="707" headerRowBorderDxfId="708" tableBorderDxfId="706" totalsRowBorderDxfId="705">
  <autoFilter ref="K2:L13"/>
  <tableColumns count="2">
    <tableColumn id="1" name="HDV" dataDxfId="704">
      <calculatedColumnFormula>IF(AND('Combats - Loots'!$D$2&gt;=L3,'Combats - Loots'!$D$2&lt;L4),1,"")</calculatedColumnFormula>
    </tableColumn>
    <tableColumn id="2" name="Coût en or" dataDxfId="703"/>
  </tableColumns>
  <tableStyleInfo name="TableStyleMedium9" showFirstColumn="0" showLastColumn="0" showRowStripes="1" showColumnStripes="0"/>
</table>
</file>

<file path=xl/tables/table99.xml><?xml version="1.0" encoding="utf-8"?>
<table xmlns="http://schemas.openxmlformats.org/spreadsheetml/2006/main" id="98" name="TRAINING_Barbarian" displayName="TRAINING_Barbarian" ref="A16:D23" totalsRowShown="0" headerRowDxfId="702" dataDxfId="700" headerRowBorderDxfId="701" tableBorderDxfId="699" totalsRowBorderDxfId="698">
  <autoFilter ref="A16:D23"/>
  <tableColumns count="4">
    <tableColumn id="1" name="LVL" dataDxfId="697"/>
    <tableColumn id="3" name="Espace" dataDxfId="696"/>
    <tableColumn id="2" name="Coût" dataDxfId="695"/>
    <tableColumn id="4" name="Temps" dataDxfId="694"/>
  </tableColumns>
  <tableStyleInfo name="TableStyleMedium9" showFirstColumn="0" showLastColumn="0" showRowStripes="1" showColumnStripes="0"/>
</table>
</file>

<file path=xl/tables/table100.xml><?xml version="1.0" encoding="utf-8"?>
<table xmlns="http://schemas.openxmlformats.org/spreadsheetml/2006/main" id="114" name="TRAINING_Archer" displayName="TRAINING_Archer" ref="E16:H23" totalsRowShown="0" headerRowDxfId="693" dataDxfId="691" headerRowBorderDxfId="692" tableBorderDxfId="690">
  <autoFilter ref="E16:H23"/>
  <tableColumns count="4">
    <tableColumn id="1" name="LVL" dataDxfId="689"/>
    <tableColumn id="3" name="Espace" dataDxfId="688"/>
    <tableColumn id="2" name="Coût" dataDxfId="687"/>
    <tableColumn id="4" name="Temps" dataDxfId="686"/>
  </tableColumns>
  <tableStyleInfo name="TableStyleMedium9" showFirstColumn="0" showLastColumn="0" showRowStripes="1" showColumnStripes="0"/>
</table>
</file>

<file path=xl/tables/table101.xml><?xml version="1.0" encoding="utf-8"?>
<table xmlns="http://schemas.openxmlformats.org/spreadsheetml/2006/main" id="115" name="TRAINING_Goblin" displayName="TRAINING_Goblin" ref="I16:L23" totalsRowShown="0" headerRowDxfId="685" dataDxfId="683" headerRowBorderDxfId="684" tableBorderDxfId="682">
  <autoFilter ref="I16:L23"/>
  <tableColumns count="4">
    <tableColumn id="1" name="LVL" dataDxfId="681"/>
    <tableColumn id="3" name="Espace" dataDxfId="680"/>
    <tableColumn id="2" name="Coût" dataDxfId="679"/>
    <tableColumn id="4" name="Temps" dataDxfId="678"/>
  </tableColumns>
  <tableStyleInfo name="TableStyleMedium9" showFirstColumn="0" showLastColumn="0" showRowStripes="1" showColumnStripes="0"/>
</table>
</file>

<file path=xl/tables/table102.xml><?xml version="1.0" encoding="utf-8"?>
<table xmlns="http://schemas.openxmlformats.org/spreadsheetml/2006/main" id="116" name="TRAINING_Giant" displayName="TRAINING_Giant" ref="M16:P23" totalsRowShown="0" headerRowDxfId="677" dataDxfId="675" headerRowBorderDxfId="676" tableBorderDxfId="674">
  <autoFilter ref="M16:P23"/>
  <tableColumns count="4">
    <tableColumn id="1" name="LVL" dataDxfId="673"/>
    <tableColumn id="3" name="Espace" dataDxfId="672"/>
    <tableColumn id="2" name="Coût" dataDxfId="671"/>
    <tableColumn id="4" name="Temps" dataDxfId="670"/>
  </tableColumns>
  <tableStyleInfo name="TableStyleMedium9" showFirstColumn="0" showLastColumn="0" showRowStripes="1" showColumnStripes="0"/>
</table>
</file>

<file path=xl/tables/table103.xml><?xml version="1.0" encoding="utf-8"?>
<table xmlns="http://schemas.openxmlformats.org/spreadsheetml/2006/main" id="117" name="TRAINING_Wall_Breaker" displayName="TRAINING_Wall_Breaker" ref="Q16:T22" totalsRowShown="0" headerRowDxfId="669" dataDxfId="667" headerRowBorderDxfId="668" tableBorderDxfId="666">
  <autoFilter ref="Q16:T22"/>
  <tableColumns count="4">
    <tableColumn id="1" name="LVL" dataDxfId="665"/>
    <tableColumn id="3" name="Espace" dataDxfId="664"/>
    <tableColumn id="2" name="Coût" dataDxfId="663"/>
    <tableColumn id="4" name="Temps" dataDxfId="662"/>
  </tableColumns>
  <tableStyleInfo name="TableStyleMedium9" showFirstColumn="0" showLastColumn="0" showRowStripes="1" showColumnStripes="0"/>
</table>
</file>

<file path=xl/tables/table104.xml><?xml version="1.0" encoding="utf-8"?>
<table xmlns="http://schemas.openxmlformats.org/spreadsheetml/2006/main" id="118" name="TRAINING_Balloon" displayName="TRAINING_Balloon" ref="U16:X22" totalsRowShown="0" headerRowDxfId="661" dataDxfId="659" headerRowBorderDxfId="660" tableBorderDxfId="658">
  <autoFilter ref="U16:X22"/>
  <tableColumns count="4">
    <tableColumn id="1" name="LVL" dataDxfId="657"/>
    <tableColumn id="3" name="Espace" dataDxfId="656"/>
    <tableColumn id="2" name="Coût" dataDxfId="655"/>
    <tableColumn id="4" name="Temps" dataDxfId="654"/>
  </tableColumns>
  <tableStyleInfo name="TableStyleMedium9" showFirstColumn="0" showLastColumn="0" showRowStripes="1" showColumnStripes="0"/>
</table>
</file>

<file path=xl/tables/table105.xml><?xml version="1.0" encoding="utf-8"?>
<table xmlns="http://schemas.openxmlformats.org/spreadsheetml/2006/main" id="119" name="TRAINING_Wizard" displayName="TRAINING_Wizard" ref="Y16:AB22" totalsRowShown="0" headerRowDxfId="653" dataDxfId="651" headerRowBorderDxfId="652" tableBorderDxfId="650">
  <autoFilter ref="Y16:AB22"/>
  <tableColumns count="4">
    <tableColumn id="1" name="LVL" dataDxfId="649"/>
    <tableColumn id="3" name="Espace" dataDxfId="648"/>
    <tableColumn id="2" name="Coût" dataDxfId="647"/>
    <tableColumn id="4" name="Temps" dataDxfId="646"/>
  </tableColumns>
  <tableStyleInfo name="TableStyleMedium9" showFirstColumn="0" showLastColumn="0" showRowStripes="1" showColumnStripes="0"/>
</table>
</file>

<file path=xl/tables/table106.xml><?xml version="1.0" encoding="utf-8"?>
<table xmlns="http://schemas.openxmlformats.org/spreadsheetml/2006/main" id="120" name="TRAINING_Healer" displayName="TRAINING_Healer" ref="AC16:AF20" totalsRowShown="0" headerRowDxfId="645" dataDxfId="643" headerRowBorderDxfId="644" tableBorderDxfId="642">
  <autoFilter ref="AC16:AF20"/>
  <tableColumns count="4">
    <tableColumn id="1" name="LVL" dataDxfId="641"/>
    <tableColumn id="3" name="Espace" dataDxfId="640"/>
    <tableColumn id="2" name="Coût" dataDxfId="639"/>
    <tableColumn id="4" name="Temps" dataDxfId="638"/>
  </tableColumns>
  <tableStyleInfo name="TableStyleMedium9" showFirstColumn="0" showLastColumn="0" showRowStripes="1" showColumnStripes="0"/>
</table>
</file>

<file path=xl/tables/table107.xml><?xml version="1.0" encoding="utf-8"?>
<table xmlns="http://schemas.openxmlformats.org/spreadsheetml/2006/main" id="121" name="TRAINING_Dragon" displayName="TRAINING_Dragon" ref="AG16:AJ21" totalsRowShown="0" headerRowDxfId="637" dataDxfId="635" headerRowBorderDxfId="636" tableBorderDxfId="634" totalsRowBorderDxfId="633">
  <autoFilter ref="AG16:AJ21"/>
  <tableColumns count="4">
    <tableColumn id="1" name="LVL" dataDxfId="632"/>
    <tableColumn id="3" name="Espace" dataDxfId="631"/>
    <tableColumn id="2" name="Coût" dataDxfId="630"/>
    <tableColumn id="4" name="Temps" dataDxfId="629"/>
  </tableColumns>
  <tableStyleInfo name="TableStyleMedium9" showFirstColumn="0" showLastColumn="0" showRowStripes="1" showColumnStripes="0"/>
</table>
</file>

<file path=xl/tables/table108.xml><?xml version="1.0" encoding="utf-8"?>
<table xmlns="http://schemas.openxmlformats.org/spreadsheetml/2006/main" id="122" name="TRAINING_PEKKA" displayName="TRAINING_PEKKA" ref="AK16:AN21" totalsRowShown="0" headerRowDxfId="628" dataDxfId="626" headerRowBorderDxfId="627" tableBorderDxfId="625">
  <autoFilter ref="AK16:AN21"/>
  <tableColumns count="4">
    <tableColumn id="1" name="LVL" dataDxfId="624"/>
    <tableColumn id="3" name="Espace" dataDxfId="623"/>
    <tableColumn id="2" name="Coût" dataDxfId="622"/>
    <tableColumn id="4" name="Temps" dataDxfId="621"/>
  </tableColumns>
  <tableStyleInfo name="TableStyleMedium9" showFirstColumn="0" showLastColumn="0" showRowStripes="1" showColumnStripes="0"/>
</table>
</file>

<file path=xl/tables/table109.xml><?xml version="1.0" encoding="utf-8"?>
<table xmlns="http://schemas.openxmlformats.org/spreadsheetml/2006/main" id="123" name="TRAINING_Minion" displayName="TRAINING_Minion" ref="A29:D36" totalsRowShown="0" headerRowDxfId="620" dataDxfId="618" headerRowBorderDxfId="619" tableBorderDxfId="617">
  <autoFilter ref="A29:D36"/>
  <tableColumns count="4">
    <tableColumn id="1" name="LVL" dataDxfId="616"/>
    <tableColumn id="3" name="Espace" dataDxfId="615"/>
    <tableColumn id="2" name="Coût" dataDxfId="614"/>
    <tableColumn id="4" name="Temps" dataDxfId="613"/>
  </tableColumns>
  <tableStyleInfo name="TableStyleMedium9" showFirstColumn="0" showLastColumn="0" showRowStripes="1" showColumnStripes="0"/>
</table>
</file>

<file path=xl/tables/table110.xml><?xml version="1.0" encoding="utf-8"?>
<table xmlns="http://schemas.openxmlformats.org/spreadsheetml/2006/main" id="124" name="TRAINING_Hog_Rider" displayName="TRAINING_Hog_Rider" ref="E29:H35" totalsRowShown="0" headerRowDxfId="612" dataDxfId="610" headerRowBorderDxfId="611" tableBorderDxfId="609">
  <autoFilter ref="E29:H35"/>
  <tableColumns count="4">
    <tableColumn id="1" name="LVL" dataDxfId="608"/>
    <tableColumn id="3" name="Espace" dataDxfId="607"/>
    <tableColumn id="2" name="Coût" dataDxfId="606"/>
    <tableColumn id="4" name="Temps" dataDxfId="605"/>
  </tableColumns>
  <tableStyleInfo name="TableStyleMedium9" showFirstColumn="0" showLastColumn="0" showRowStripes="1" showColumnStripes="0"/>
</table>
</file>

<file path=xl/tables/table111.xml><?xml version="1.0" encoding="utf-8"?>
<table xmlns="http://schemas.openxmlformats.org/spreadsheetml/2006/main" id="125" name="TRAINING_Valkyrie" displayName="TRAINING_Valkyrie" ref="I29:L34" totalsRowShown="0" headerRowDxfId="604" dataDxfId="602" headerRowBorderDxfId="603" tableBorderDxfId="601">
  <autoFilter ref="I29:L34"/>
  <tableColumns count="4">
    <tableColumn id="1" name="LVL" dataDxfId="600"/>
    <tableColumn id="3" name="Espace" dataDxfId="599"/>
    <tableColumn id="2" name="Coût" dataDxfId="598"/>
    <tableColumn id="4" name="Temps" dataDxfId="597"/>
  </tableColumns>
  <tableStyleInfo name="TableStyleMedium9" showFirstColumn="0" showLastColumn="0" showRowStripes="1" showColumnStripes="0"/>
</table>
</file>

<file path=xl/tables/table112.xml><?xml version="1.0" encoding="utf-8"?>
<table xmlns="http://schemas.openxmlformats.org/spreadsheetml/2006/main" id="126" name="TRAINING_Golem" displayName="TRAINING_Golem" ref="M29:P34" totalsRowShown="0" headerRowDxfId="596" dataDxfId="594" headerRowBorderDxfId="595" tableBorderDxfId="593">
  <autoFilter ref="M29:P34"/>
  <tableColumns count="4">
    <tableColumn id="1" name="LVL" dataDxfId="592"/>
    <tableColumn id="3" name="Espace" dataDxfId="591"/>
    <tableColumn id="2" name="Coût" dataDxfId="590"/>
    <tableColumn id="4" name="Temps" dataDxfId="589"/>
  </tableColumns>
  <tableStyleInfo name="TableStyleMedium9" showFirstColumn="0" showLastColumn="0" showRowStripes="1" showColumnStripes="0"/>
</table>
</file>

<file path=xl/tables/table113.xml><?xml version="1.0" encoding="utf-8"?>
<table xmlns="http://schemas.openxmlformats.org/spreadsheetml/2006/main" id="127" name="TRAINING_Spell_Lightning" displayName="TRAINING_Spell_Lightning" ref="A4:D11" totalsRowShown="0" headerRowDxfId="588" dataDxfId="586" headerRowBorderDxfId="587" tableBorderDxfId="585">
  <autoFilter ref="A4:D11"/>
  <tableColumns count="4">
    <tableColumn id="1" name="LVL" dataDxfId="584"/>
    <tableColumn id="3" name="Espace" dataDxfId="583"/>
    <tableColumn id="2" name="Coût" dataDxfId="582"/>
    <tableColumn id="4" name="Temps" dataDxfId="581"/>
  </tableColumns>
  <tableStyleInfo name="TableStyleMedium9" showFirstColumn="0" showLastColumn="0" showRowStripes="1" showColumnStripes="0"/>
</table>
</file>

<file path=xl/tables/table114.xml><?xml version="1.0" encoding="utf-8"?>
<table xmlns="http://schemas.openxmlformats.org/spreadsheetml/2006/main" id="128" name="TRAINING_Spell_Healing" displayName="TRAINING_Spell_Healing" ref="E4:H10" totalsRowShown="0" headerRowDxfId="580" dataDxfId="578" headerRowBorderDxfId="579" tableBorderDxfId="577">
  <autoFilter ref="E4:H10"/>
  <tableColumns count="4">
    <tableColumn id="1" name="LVL" dataDxfId="576"/>
    <tableColumn id="3" name="Espace" dataDxfId="575"/>
    <tableColumn id="2" name="Coût" dataDxfId="574"/>
    <tableColumn id="4" name="Temps" dataDxfId="573"/>
  </tableColumns>
  <tableStyleInfo name="TableStyleMedium9" showFirstColumn="0" showLastColumn="0" showRowStripes="1" showColumnStripes="0"/>
</table>
</file>

<file path=xl/tables/table115.xml><?xml version="1.0" encoding="utf-8"?>
<table xmlns="http://schemas.openxmlformats.org/spreadsheetml/2006/main" id="129" name="TRAINING_Spell_Rage" displayName="TRAINING_Spell_Rage" ref="I4:L9" totalsRowShown="0" headerRowDxfId="572" dataDxfId="570" headerRowBorderDxfId="571" tableBorderDxfId="569">
  <autoFilter ref="I4:L9"/>
  <tableColumns count="4">
    <tableColumn id="1" name="LVL" dataDxfId="568"/>
    <tableColumn id="3" name="Espace" dataDxfId="567"/>
    <tableColumn id="2" name="Coût" dataDxfId="566"/>
    <tableColumn id="4" name="Temps" dataDxfId="565"/>
  </tableColumns>
  <tableStyleInfo name="TableStyleMedium9" showFirstColumn="0" showLastColumn="0" showRowStripes="1" showColumnStripes="0"/>
</table>
</file>

<file path=xl/tables/table116.xml><?xml version="1.0" encoding="utf-8"?>
<table xmlns="http://schemas.openxmlformats.org/spreadsheetml/2006/main" id="130" name="TRAINING_Spell_Jump" displayName="TRAINING_Spell_Jump" ref="M4:P7" totalsRowShown="0" headerRowDxfId="564" dataDxfId="562" headerRowBorderDxfId="563" tableBorderDxfId="561">
  <autoFilter ref="M4:P7"/>
  <tableColumns count="4">
    <tableColumn id="1" name="LVL" dataDxfId="560"/>
    <tableColumn id="3" name="Espace" dataDxfId="559"/>
    <tableColumn id="2" name="Coût" dataDxfId="558"/>
    <tableColumn id="4" name="Temps" dataDxfId="557"/>
  </tableColumns>
  <tableStyleInfo name="TableStyleMedium9" showFirstColumn="0" showLastColumn="0" showRowStripes="1" showColumnStripes="0"/>
</table>
</file>

<file path=xl/tables/table117.xml><?xml version="1.0" encoding="utf-8"?>
<table xmlns="http://schemas.openxmlformats.org/spreadsheetml/2006/main" id="131" name="TRAINING_Spell_Freeze" displayName="TRAINING_Spell_Freeze" ref="Q4:T9" totalsRowShown="0" headerRowDxfId="556" dataDxfId="554" headerRowBorderDxfId="555" tableBorderDxfId="553">
  <autoFilter ref="Q4:T9"/>
  <tableColumns count="4">
    <tableColumn id="1" name="LVL" dataDxfId="552"/>
    <tableColumn id="3" name="Espace" dataDxfId="551"/>
    <tableColumn id="2" name="Coût" dataDxfId="550"/>
    <tableColumn id="4" name="Temps" dataDxfId="549"/>
  </tableColumns>
  <tableStyleInfo name="TableStyleMedium9" showFirstColumn="0" showLastColumn="0" showRowStripes="1" showColumnStripes="0"/>
</table>
</file>

<file path=xl/tables/table118.xml><?xml version="1.0" encoding="utf-8"?>
<table xmlns="http://schemas.openxmlformats.org/spreadsheetml/2006/main" id="71" name="TRAINING_Barrack" displayName="TRAINING_Barrack" ref="AM29:AN40" totalsRowShown="0" headerRowDxfId="548" dataDxfId="546" headerRowBorderDxfId="547">
  <autoFilter ref="AM29:AN40"/>
  <tableColumns count="2">
    <tableColumn id="1" name="LVL" dataDxfId="545"/>
    <tableColumn id="2" name="Capacité" dataDxfId="544"/>
  </tableColumns>
  <tableStyleInfo name="TableStyleMedium9" showFirstColumn="0" showLastColumn="0" showRowStripes="1" showColumnStripes="0"/>
</table>
</file>

<file path=xl/tables/table119.xml><?xml version="1.0" encoding="utf-8"?>
<table xmlns="http://schemas.openxmlformats.org/spreadsheetml/2006/main" id="72" name="TRAINING_Spell_Factory" displayName="TRAINING_Spell_Factory" ref="AG29:AH35" totalsRowShown="0" headerRowDxfId="543" dataDxfId="541" headerRowBorderDxfId="542">
  <autoFilter ref="AG29:AH35"/>
  <tableColumns count="2">
    <tableColumn id="1" name="LVL" dataDxfId="540"/>
    <tableColumn id="2" name="Capacité" dataDxfId="539"/>
  </tableColumns>
  <tableStyleInfo name="TableStyleMedium9" showFirstColumn="0" showLastColumn="0" showRowStripes="1" showColumnStripes="0"/>
</table>
</file>

<file path=xl/tables/table120.xml><?xml version="1.0" encoding="utf-8"?>
<table xmlns="http://schemas.openxmlformats.org/spreadsheetml/2006/main" id="73" name="TRAINING_Dark_Barrack" displayName="TRAINING_Dark_Barrack" ref="AI29:AJ37" totalsRowShown="0" headerRowDxfId="538" headerRowBorderDxfId="537">
  <autoFilter ref="AI29:AJ37"/>
  <tableColumns count="2">
    <tableColumn id="1" name="LVL" dataDxfId="536"/>
    <tableColumn id="2" name="Capacité" dataDxfId="535"/>
  </tableColumns>
  <tableStyleInfo name="TableStyleMedium9" showFirstColumn="0" showLastColumn="0" showRowStripes="1" showColumnStripes="0"/>
</table>
</file>

<file path=xl/tables/table121.xml><?xml version="1.0" encoding="utf-8"?>
<table xmlns="http://schemas.openxmlformats.org/spreadsheetml/2006/main" id="74" name="TRAINING_Army_Camp" displayName="TRAINING_Army_Camp" ref="AK29:AL38" totalsRowShown="0" headerRowDxfId="534" dataDxfId="532" headerRowBorderDxfId="533">
  <autoFilter ref="AK29:AL38"/>
  <tableColumns count="2">
    <tableColumn id="1" name="LVL" dataDxfId="531"/>
    <tableColumn id="2" name="Capacité" dataDxfId="530"/>
  </tableColumns>
  <tableStyleInfo name="TableStyleMedium9" showFirstColumn="0" showLastColumn="0" showRowStripes="1" showColumnStripes="0"/>
</table>
</file>

<file path=xl/tables/table122.xml><?xml version="1.0" encoding="utf-8"?>
<table xmlns="http://schemas.openxmlformats.org/spreadsheetml/2006/main" id="78" name="TRAINING_Witch" displayName="TRAINING_Witch" ref="Q29:T32" totalsRowShown="0" headerRowDxfId="529" dataDxfId="527" headerRowBorderDxfId="528" tableBorderDxfId="526">
  <autoFilter ref="Q29:T32"/>
  <tableColumns count="4">
    <tableColumn id="1" name="LVL" dataDxfId="525"/>
    <tableColumn id="3" name="Espace" dataDxfId="524"/>
    <tableColumn id="2" name="Coût" dataDxfId="523"/>
    <tableColumn id="4" name="Temps" dataDxfId="522"/>
  </tableColumns>
  <tableStyleInfo name="TableStyleMedium9" showFirstColumn="0" showLastColumn="0" showRowStripes="1" showColumnStripes="0"/>
</table>
</file>

<file path=xl/tables/table123.xml><?xml version="1.0" encoding="utf-8"?>
<table xmlns="http://schemas.openxmlformats.org/spreadsheetml/2006/main" id="49" name="TRAINING_Lava_Hound" displayName="TRAINING_Lava_Hound" ref="U29:X32" totalsRowShown="0" headerRowDxfId="521" dataDxfId="519" headerRowBorderDxfId="520" tableBorderDxfId="518">
  <autoFilter ref="U29:X32"/>
  <tableColumns count="4">
    <tableColumn id="1" name="LVL" dataDxfId="517"/>
    <tableColumn id="3" name="Espace" dataDxfId="516"/>
    <tableColumn id="2" name="Coût" dataDxfId="515"/>
    <tableColumn id="4" name="Temps" dataDxfId="514"/>
  </tableColumns>
  <tableStyleInfo name="TableStyleMedium9" showFirstColumn="0" showLastColumn="0" showRowStripes="1" showColumnStripes="0"/>
</table>
</file>

<file path=xl/tables/table124.xml><?xml version="1.0" encoding="utf-8"?>
<table xmlns="http://schemas.openxmlformats.org/spreadsheetml/2006/main" id="146" name="TRAINING_Spell_Poison" displayName="TRAINING_Spell_Poison" ref="Y4:AB8" totalsRowShown="0" headerRowDxfId="513" dataDxfId="511" headerRowBorderDxfId="512" tableBorderDxfId="510">
  <autoFilter ref="Y4:AB8"/>
  <tableColumns count="4">
    <tableColumn id="1" name="LVL" dataDxfId="509"/>
    <tableColumn id="3" name="Espace" dataDxfId="508"/>
    <tableColumn id="2" name="Coût" dataDxfId="507"/>
    <tableColumn id="4" name="Temps" dataDxfId="506"/>
  </tableColumns>
  <tableStyleInfo name="TableStyleMedium9" showFirstColumn="0" showLastColumn="0" showRowStripes="1" showColumnStripes="0"/>
</table>
</file>

<file path=xl/tables/table125.xml><?xml version="1.0" encoding="utf-8"?>
<table xmlns="http://schemas.openxmlformats.org/spreadsheetml/2006/main" id="147" name="TRAINING_Spell_Earthquake" displayName="TRAINING_Spell_Earthquake" ref="AC4:AF8" totalsRowShown="0" headerRowDxfId="505" dataDxfId="503" headerRowBorderDxfId="504" tableBorderDxfId="502">
  <autoFilter ref="AC4:AF8"/>
  <tableColumns count="4">
    <tableColumn id="1" name="LVL" dataDxfId="501"/>
    <tableColumn id="3" name="Espace" dataDxfId="500"/>
    <tableColumn id="2" name="Coût" dataDxfId="499"/>
    <tableColumn id="4" name="Temps" dataDxfId="498"/>
  </tableColumns>
  <tableStyleInfo name="TableStyleMedium9" showFirstColumn="0" showLastColumn="0" showRowStripes="1" showColumnStripes="0"/>
</table>
</file>

<file path=xl/tables/table126.xml><?xml version="1.0" encoding="utf-8"?>
<table xmlns="http://schemas.openxmlformats.org/spreadsheetml/2006/main" id="148" name="TRAINING_Spell_Haste" displayName="TRAINING_Spell_Haste" ref="AG4:AJ8" totalsRowShown="0" headerRowDxfId="497" dataDxfId="495" headerRowBorderDxfId="496" tableBorderDxfId="494">
  <autoFilter ref="AG4:AJ8"/>
  <tableColumns count="4">
    <tableColumn id="1" name="LVL" dataDxfId="493"/>
    <tableColumn id="3" name="Espace" dataDxfId="492"/>
    <tableColumn id="2" name="Coût" dataDxfId="491"/>
    <tableColumn id="4" name="Temps" dataDxfId="490"/>
  </tableColumns>
  <tableStyleInfo name="TableStyleMedium9" showFirstColumn="0" showLastColumn="0" showRowStripes="1" showColumnStripes="0"/>
</table>
</file>

<file path=xl/tables/table127.xml><?xml version="1.0" encoding="utf-8"?>
<table xmlns="http://schemas.openxmlformats.org/spreadsheetml/2006/main" id="151" name="TRAINING_Dark_Spell_Factory" displayName="TRAINING_Dark_Spell_Factory" ref="AE29:AF33" totalsRowShown="0" headerRowDxfId="489" dataDxfId="487" headerRowBorderDxfId="488">
  <autoFilter ref="AE29:AF33"/>
  <tableColumns count="2">
    <tableColumn id="1" name="LVL" dataDxfId="486"/>
    <tableColumn id="2" name="Capacité" dataDxfId="485"/>
  </tableColumns>
  <tableStyleInfo name="TableStyleMedium9" showFirstColumn="0" showLastColumn="0" showRowStripes="1" showColumnStripes="0"/>
</table>
</file>

<file path=xl/tables/table128.xml><?xml version="1.0" encoding="utf-8"?>
<table xmlns="http://schemas.openxmlformats.org/spreadsheetml/2006/main" id="156" name="TRAINING_Bouliste" displayName="TRAINING_Bouliste" ref="Y29:AB32" totalsRowShown="0" headerRowDxfId="484" dataDxfId="482" headerRowBorderDxfId="483" tableBorderDxfId="481">
  <autoFilter ref="Y29:AB32"/>
  <tableColumns count="4">
    <tableColumn id="1" name="LVL" dataDxfId="480"/>
    <tableColumn id="3" name="Espace" dataDxfId="479"/>
    <tableColumn id="2" name="Coût" dataDxfId="478"/>
    <tableColumn id="4" name="Temps" dataDxfId="477"/>
  </tableColumns>
  <tableStyleInfo name="TableStyleMedium9" showFirstColumn="0" showLastColumn="0" showRowStripes="1" showColumnStripes="0"/>
</table>
</file>

<file path=xl/tables/table129.xml><?xml version="1.0" encoding="utf-8"?>
<table xmlns="http://schemas.openxmlformats.org/spreadsheetml/2006/main" id="76" name="CALENDRIER" displayName="CALENDRIER" ref="A1:A1000" totalsRowShown="0" headerRowDxfId="476" dataDxfId="474" headerRowBorderDxfId="475" tableBorderDxfId="473">
  <autoFilter ref="A1:A1000"/>
  <tableColumns count="1">
    <tableColumn id="1" name="Calendrier" dataDxfId="472">
      <calculatedColumnFormula>$A1+#REF!</calculatedColumnFormula>
    </tableColumn>
  </tableColumns>
  <tableStyleInfo name="TableStyleMedium9" showFirstColumn="0" showLastColumn="0" showRowStripes="1" showColumnStripes="0"/>
</table>
</file>

<file path=xl/tables/table130.xml><?xml version="1.0" encoding="utf-8"?>
<table xmlns="http://schemas.openxmlformats.org/spreadsheetml/2006/main" id="77" name="TRANSLATION" displayName="TRANSLATION" ref="A2:B270" totalsRowShown="0" headerRowDxfId="471" dataDxfId="469" headerRowBorderDxfId="470" tableBorderDxfId="468" totalsRowBorderDxfId="467">
  <autoFilter ref="A2:B270"/>
  <sortState ref="A3:B267">
    <sortCondition ref="A2:A267"/>
  </sortState>
  <tableColumns count="2">
    <tableColumn id="1" name="Français - FR" dataDxfId="466"/>
    <tableColumn id="2" name="English - EN" dataDxfId="465"/>
  </tableColumns>
  <tableStyleInfo name="TableStyleMedium9" showFirstColumn="0" showLastColumn="0" showRowStripes="1" showColumnStripes="0"/>
</table>
</file>

<file path=xl/tables/table131.xml><?xml version="1.0" encoding="utf-8"?>
<table xmlns="http://schemas.openxmlformats.org/spreadsheetml/2006/main" id="97" name="VALUE_Barbarian" displayName="VALUE_Barbarian" ref="A27:D34" totalsRowShown="0" headerRowDxfId="457" headerRowBorderDxfId="456" tableBorderDxfId="455" totalsRowBorderDxfId="454">
  <autoFilter ref="A27:D34"/>
  <tableColumns count="4">
    <tableColumn id="1" name="LVL" dataDxfId="453"/>
    <tableColumn id="3" name="Rang" dataDxfId="452">
      <calculatedColumnFormula>Paramètres!AO6</calculatedColumnFormula>
    </tableColumn>
    <tableColumn id="2" name="Valeur" dataDxfId="451" dataCellStyle="Milliers"/>
    <tableColumn id="4" name="Total" dataDxfId="450">
      <calculatedColumnFormula>VALUE_Barbarian[[#This Row],[Valeur]]*VALUE_Barbarian[[#This Row],[Rang]]</calculatedColumnFormula>
    </tableColumn>
  </tableColumns>
  <tableStyleInfo name="TableStyleMedium9" showFirstColumn="0" showLastColumn="0" showRowStripes="1" showColumnStripes="0"/>
</table>
</file>

<file path=xl/tables/table132.xml><?xml version="1.0" encoding="utf-8"?>
<table xmlns="http://schemas.openxmlformats.org/spreadsheetml/2006/main" id="99" name="VALUE_Archer" displayName="VALUE_Archer" ref="E27:H34" totalsRowShown="0" headerRowDxfId="449" dataDxfId="447" headerRowBorderDxfId="448" tableBorderDxfId="446">
  <autoFilter ref="E27:H34"/>
  <tableColumns count="4">
    <tableColumn id="1" name="LVL" dataDxfId="445"/>
    <tableColumn id="3" name="Rang" dataDxfId="444">
      <calculatedColumnFormula>Paramètres!AP6</calculatedColumnFormula>
    </tableColumn>
    <tableColumn id="2" name="Valeur" dataDxfId="443" dataCellStyle="Milliers"/>
    <tableColumn id="4" name="Total" dataDxfId="442">
      <calculatedColumnFormula>VALUE_Archer[[#This Row],[Valeur]]*VALUE_Archer[[#This Row],[Rang]]</calculatedColumnFormula>
    </tableColumn>
  </tableColumns>
  <tableStyleInfo name="TableStyleMedium9" showFirstColumn="0" showLastColumn="0" showRowStripes="1" showColumnStripes="0"/>
</table>
</file>

<file path=xl/tables/table133.xml><?xml version="1.0" encoding="utf-8"?>
<table xmlns="http://schemas.openxmlformats.org/spreadsheetml/2006/main" id="100" name="VALUE_Goblin" displayName="VALUE_Goblin" ref="I27:L33" totalsRowShown="0" headerRowDxfId="441" headerRowBorderDxfId="440" tableBorderDxfId="439">
  <autoFilter ref="I27:L33"/>
  <tableColumns count="4">
    <tableColumn id="1" name="LVL" dataDxfId="438"/>
    <tableColumn id="3" name="Rang" dataDxfId="437">
      <calculatedColumnFormula>Paramètres!AQ6</calculatedColumnFormula>
    </tableColumn>
    <tableColumn id="2" name="Valeur" dataDxfId="436" dataCellStyle="Milliers"/>
    <tableColumn id="4" name="Total" dataDxfId="435">
      <calculatedColumnFormula>VALUE_Goblin[[#This Row],[Valeur]]*VALUE_Goblin[[#This Row],[Rang]]</calculatedColumnFormula>
    </tableColumn>
  </tableColumns>
  <tableStyleInfo name="TableStyleMedium9" showFirstColumn="0" showLastColumn="0" showRowStripes="1" showColumnStripes="0"/>
</table>
</file>

<file path=xl/tables/table134.xml><?xml version="1.0" encoding="utf-8"?>
<table xmlns="http://schemas.openxmlformats.org/spreadsheetml/2006/main" id="101" name="VALUE_Giant" displayName="VALUE_Giant" ref="M27:P34" totalsRowShown="0" headerRowDxfId="434" dataDxfId="432" headerRowBorderDxfId="433" tableBorderDxfId="431">
  <autoFilter ref="M27:P34"/>
  <tableColumns count="4">
    <tableColumn id="1" name="LVL" dataDxfId="430"/>
    <tableColumn id="3" name="Rang" dataDxfId="429">
      <calculatedColumnFormula>Paramètres!AR6</calculatedColumnFormula>
    </tableColumn>
    <tableColumn id="2" name="Valeur" dataDxfId="428" dataCellStyle="Milliers"/>
    <tableColumn id="4" name="Total" dataDxfId="427">
      <calculatedColumnFormula>VALUE_Giant[[#This Row],[Valeur]]*VALUE_Giant[[#This Row],[Rang]]</calculatedColumnFormula>
    </tableColumn>
  </tableColumns>
  <tableStyleInfo name="TableStyleMedium9" showFirstColumn="0" showLastColumn="0" showRowStripes="1" showColumnStripes="0"/>
</table>
</file>

<file path=xl/tables/table135.xml><?xml version="1.0" encoding="utf-8"?>
<table xmlns="http://schemas.openxmlformats.org/spreadsheetml/2006/main" id="102" name="VALUE_Wall_Breaker" displayName="VALUE_Wall_Breaker" ref="Q27:T33" totalsRowShown="0" headerRowDxfId="426" dataDxfId="424" headerRowBorderDxfId="425" tableBorderDxfId="423">
  <autoFilter ref="Q27:T33"/>
  <tableColumns count="4">
    <tableColumn id="1" name="LVL" dataDxfId="422"/>
    <tableColumn id="3" name="Rang" dataDxfId="421">
      <calculatedColumnFormula>Paramètres!AS6</calculatedColumnFormula>
    </tableColumn>
    <tableColumn id="2" name="Valeur" dataDxfId="420" dataCellStyle="Milliers"/>
    <tableColumn id="4" name="Total" dataDxfId="419">
      <calculatedColumnFormula>VALUE_Wall_Breaker[[#This Row],[Valeur]]*VALUE_Wall_Breaker[[#This Row],[Rang]]</calculatedColumnFormula>
    </tableColumn>
  </tableColumns>
  <tableStyleInfo name="TableStyleMedium9" showFirstColumn="0" showLastColumn="0" showRowStripes="1" showColumnStripes="0"/>
</table>
</file>

<file path=xl/tables/table136.xml><?xml version="1.0" encoding="utf-8"?>
<table xmlns="http://schemas.openxmlformats.org/spreadsheetml/2006/main" id="103" name="VALUE_Balloon" displayName="VALUE_Balloon" ref="U27:X33" totalsRowShown="0" headerRowDxfId="418" dataDxfId="416" headerRowBorderDxfId="417" tableBorderDxfId="415">
  <autoFilter ref="U27:X33"/>
  <tableColumns count="4">
    <tableColumn id="1" name="LVL" dataDxfId="414"/>
    <tableColumn id="3" name="Rang" dataDxfId="413">
      <calculatedColumnFormula>Paramètres!AT6</calculatedColumnFormula>
    </tableColumn>
    <tableColumn id="2" name="Valeur" dataDxfId="412" dataCellStyle="Milliers"/>
    <tableColumn id="4" name="Total" dataDxfId="411">
      <calculatedColumnFormula>VALUE_Balloon[[#This Row],[Valeur]]*VALUE_Balloon[[#This Row],[Rang]]</calculatedColumnFormula>
    </tableColumn>
  </tableColumns>
  <tableStyleInfo name="TableStyleMedium9" showFirstColumn="0" showLastColumn="0" showRowStripes="1" showColumnStripes="0"/>
</table>
</file>

<file path=xl/tables/table137.xml><?xml version="1.0" encoding="utf-8"?>
<table xmlns="http://schemas.openxmlformats.org/spreadsheetml/2006/main" id="104" name="VALUE_Wizard" displayName="VALUE_Wizard" ref="Y27:AB33" totalsRowShown="0" headerRowDxfId="410" dataDxfId="408" headerRowBorderDxfId="409" tableBorderDxfId="407">
  <autoFilter ref="Y27:AB33"/>
  <tableColumns count="4">
    <tableColumn id="1" name="LVL" dataDxfId="406"/>
    <tableColumn id="3" name="Rang" dataDxfId="405">
      <calculatedColumnFormula>Paramètres!AU6</calculatedColumnFormula>
    </tableColumn>
    <tableColumn id="2" name="Valeur" dataDxfId="404" dataCellStyle="Milliers"/>
    <tableColumn id="4" name="Total" dataDxfId="403">
      <calculatedColumnFormula>VALUE_Wizard[[#This Row],[Valeur]]*VALUE_Wizard[[#This Row],[Rang]]</calculatedColumnFormula>
    </tableColumn>
  </tableColumns>
  <tableStyleInfo name="TableStyleMedium9" showFirstColumn="0" showLastColumn="0" showRowStripes="1" showColumnStripes="0"/>
</table>
</file>

<file path=xl/tables/table138.xml><?xml version="1.0" encoding="utf-8"?>
<table xmlns="http://schemas.openxmlformats.org/spreadsheetml/2006/main" id="105" name="VALUE_Healer" displayName="VALUE_Healer" ref="AC27:AF31" totalsRowShown="0" headerRowDxfId="402" dataDxfId="400" headerRowBorderDxfId="401" tableBorderDxfId="399">
  <autoFilter ref="AC27:AF31"/>
  <tableColumns count="4">
    <tableColumn id="1" name="LVL" dataDxfId="398"/>
    <tableColumn id="3" name="Rang" dataDxfId="397">
      <calculatedColumnFormula>Paramètres!AV6</calculatedColumnFormula>
    </tableColumn>
    <tableColumn id="2" name="Valeur" dataDxfId="396" dataCellStyle="Milliers"/>
    <tableColumn id="4" name="Total" dataDxfId="395">
      <calculatedColumnFormula>VALUE_Healer[[#This Row],[Valeur]]*VALUE_Healer[[#This Row],[Rang]]</calculatedColumnFormula>
    </tableColumn>
  </tableColumns>
  <tableStyleInfo name="TableStyleMedium9" showFirstColumn="0" showLastColumn="0" showRowStripes="1" showColumnStripes="0"/>
</table>
</file>

<file path=xl/tables/table139.xml><?xml version="1.0" encoding="utf-8"?>
<table xmlns="http://schemas.openxmlformats.org/spreadsheetml/2006/main" id="106" name="VALUE_Dragon" displayName="VALUE_Dragon" ref="AG27:AJ32" totalsRowShown="0" headerRowDxfId="394" headerRowBorderDxfId="393" tableBorderDxfId="392" totalsRowBorderDxfId="391">
  <autoFilter ref="AG27:AJ32"/>
  <tableColumns count="4">
    <tableColumn id="1" name="LVL" dataDxfId="390"/>
    <tableColumn id="3" name="Rang" dataDxfId="389">
      <calculatedColumnFormula>Paramètres!AW6</calculatedColumnFormula>
    </tableColumn>
    <tableColumn id="2" name="Valeur" dataDxfId="388" dataCellStyle="Milliers"/>
    <tableColumn id="4" name="Total" dataDxfId="387">
      <calculatedColumnFormula>VALUE_Dragon[[#This Row],[Valeur]]*VALUE_Dragon[[#This Row],[Rang]]</calculatedColumnFormula>
    </tableColumn>
  </tableColumns>
  <tableStyleInfo name="TableStyleMedium9" showFirstColumn="0" showLastColumn="0" showRowStripes="1" showColumnStripes="0"/>
</table>
</file>

<file path=xl/tables/table140.xml><?xml version="1.0" encoding="utf-8"?>
<table xmlns="http://schemas.openxmlformats.org/spreadsheetml/2006/main" id="107" name="VALUE_PEKKA" displayName="VALUE_PEKKA" ref="AK27:AN32" totalsRowShown="0" headerRowDxfId="386" dataDxfId="384" headerRowBorderDxfId="385" tableBorderDxfId="383">
  <autoFilter ref="AK27:AN32"/>
  <tableColumns count="4">
    <tableColumn id="1" name="LVL" dataDxfId="382"/>
    <tableColumn id="3" name="Rang" dataDxfId="381">
      <calculatedColumnFormula>Paramètres!AX6</calculatedColumnFormula>
    </tableColumn>
    <tableColumn id="2" name="Valeur" dataDxfId="380"/>
    <tableColumn id="4" name="Total" dataDxfId="379">
      <calculatedColumnFormula>VALUE_PEKKA[[#This Row],[Valeur]]*VALUE_PEKKA[[#This Row],[Rang]]</calculatedColumnFormula>
    </tableColumn>
  </tableColumns>
  <tableStyleInfo name="TableStyleMedium9" showFirstColumn="0" showLastColumn="0" showRowStripes="1" showColumnStripes="0"/>
</table>
</file>

<file path=xl/tables/table141.xml><?xml version="1.0" encoding="utf-8"?>
<table xmlns="http://schemas.openxmlformats.org/spreadsheetml/2006/main" id="108" name="VALUE_Minion" displayName="VALUE_Minion" ref="A39:D45" totalsRowShown="0" headerRowDxfId="378" dataDxfId="376" headerRowBorderDxfId="377" tableBorderDxfId="375">
  <autoFilter ref="A39:D45"/>
  <tableColumns count="4">
    <tableColumn id="1" name="LVL" dataDxfId="374"/>
    <tableColumn id="3" name="Rang" dataDxfId="373">
      <calculatedColumnFormula>Paramètres!AY6</calculatedColumnFormula>
    </tableColumn>
    <tableColumn id="2" name="Valeur" dataDxfId="372" dataCellStyle="Milliers"/>
    <tableColumn id="4" name="Total" dataDxfId="371">
      <calculatedColumnFormula>VALUE_Minion[[#This Row],[Valeur]]*VALUE_Minion[[#This Row],[Rang]]</calculatedColumnFormula>
    </tableColumn>
  </tableColumns>
  <tableStyleInfo name="TableStyleMedium9" showFirstColumn="0" showLastColumn="0" showRowStripes="1" showColumnStripes="0"/>
</table>
</file>

<file path=xl/tables/table142.xml><?xml version="1.0" encoding="utf-8"?>
<table xmlns="http://schemas.openxmlformats.org/spreadsheetml/2006/main" id="109" name="VALUE_Hog_Rider" displayName="VALUE_Hog_Rider" ref="E39:H44" totalsRowShown="0" headerRowDxfId="370" dataDxfId="368" headerRowBorderDxfId="369" tableBorderDxfId="367">
  <autoFilter ref="E39:H44"/>
  <tableColumns count="4">
    <tableColumn id="1" name="LVL" dataDxfId="366"/>
    <tableColumn id="3" name="Rang" dataDxfId="365">
      <calculatedColumnFormula>Paramètres!AZ6</calculatedColumnFormula>
    </tableColumn>
    <tableColumn id="2" name="Valeur" dataDxfId="364" dataCellStyle="Milliers"/>
    <tableColumn id="4" name="Total" dataDxfId="363">
      <calculatedColumnFormula>VALUE_Hog_Rider[[#This Row],[Valeur]]*VALUE_Hog_Rider[[#This Row],[Rang]]</calculatedColumnFormula>
    </tableColumn>
  </tableColumns>
  <tableStyleInfo name="TableStyleMedium9" showFirstColumn="0" showLastColumn="0" showRowStripes="1" showColumnStripes="0"/>
</table>
</file>

<file path=xl/tables/table143.xml><?xml version="1.0" encoding="utf-8"?>
<table xmlns="http://schemas.openxmlformats.org/spreadsheetml/2006/main" id="110" name="VALUE_Valkyrie" displayName="VALUE_Valkyrie" ref="I39:L43" totalsRowShown="0" headerRowDxfId="362" dataDxfId="360" headerRowBorderDxfId="361" tableBorderDxfId="359">
  <autoFilter ref="I39:L43"/>
  <tableColumns count="4">
    <tableColumn id="1" name="LVL" dataDxfId="358"/>
    <tableColumn id="3" name="Rang" dataDxfId="357">
      <calculatedColumnFormula>Paramètres!BA6</calculatedColumnFormula>
    </tableColumn>
    <tableColumn id="2" name="Valeur" dataDxfId="356" dataCellStyle="Milliers"/>
    <tableColumn id="4" name="Total" dataDxfId="355">
      <calculatedColumnFormula>VALUE_Valkyrie[[#This Row],[Valeur]]*VALUE_Valkyrie[[#This Row],[Rang]]</calculatedColumnFormula>
    </tableColumn>
  </tableColumns>
  <tableStyleInfo name="TableStyleMedium9" showFirstColumn="0" showLastColumn="0" showRowStripes="1" showColumnStripes="0"/>
</table>
</file>

<file path=xl/tables/table144.xml><?xml version="1.0" encoding="utf-8"?>
<table xmlns="http://schemas.openxmlformats.org/spreadsheetml/2006/main" id="111" name="VALUE_Golem" displayName="VALUE_Golem" ref="M39:P44" totalsRowShown="0" headerRowDxfId="354" dataDxfId="352" headerRowBorderDxfId="353" tableBorderDxfId="351">
  <autoFilter ref="M39:P44"/>
  <tableColumns count="4">
    <tableColumn id="1" name="LVL" dataDxfId="350"/>
    <tableColumn id="3" name="Rang" dataDxfId="349">
      <calculatedColumnFormula>Paramètres!BB6</calculatedColumnFormula>
    </tableColumn>
    <tableColumn id="2" name="Valeur" dataDxfId="348"/>
    <tableColumn id="4" name="Total" dataDxfId="347">
      <calculatedColumnFormula>VALUE_Golem[[#This Row],[Valeur]]*VALUE_Golem[[#This Row],[Rang]]</calculatedColumnFormula>
    </tableColumn>
  </tableColumns>
  <tableStyleInfo name="TableStyleMedium9" showFirstColumn="0" showLastColumn="0" showRowStripes="1" showColumnStripes="0"/>
</table>
</file>

<file path=xl/tables/table145.xml><?xml version="1.0" encoding="utf-8"?>
<table xmlns="http://schemas.openxmlformats.org/spreadsheetml/2006/main" id="112" name="VALUE_Spell_Lightning" displayName="VALUE_Spell_Lightning" ref="A15:D22" totalsRowShown="0" headerRowDxfId="346" dataDxfId="344" headerRowBorderDxfId="345" tableBorderDxfId="343">
  <autoFilter ref="A15:D22"/>
  <tableColumns count="4">
    <tableColumn id="1" name="LVL" dataDxfId="342"/>
    <tableColumn id="3" name="Rang" dataDxfId="341">
      <calculatedColumnFormula>Paramètres!AG6</calculatedColumnFormula>
    </tableColumn>
    <tableColumn id="2" name="Valeur" dataDxfId="340"/>
    <tableColumn id="4" name="Total" dataDxfId="339">
      <calculatedColumnFormula>VALUE_Spell_Lightning[[#This Row],[Valeur]]*VALUE_Spell_Lightning[[#This Row],[Rang]]</calculatedColumnFormula>
    </tableColumn>
  </tableColumns>
  <tableStyleInfo name="TableStyleMedium9" showFirstColumn="0" showLastColumn="0" showRowStripes="1" showColumnStripes="0"/>
</table>
</file>

<file path=xl/tables/table146.xml><?xml version="1.0" encoding="utf-8"?>
<table xmlns="http://schemas.openxmlformats.org/spreadsheetml/2006/main" id="113" name="VALUE_Spell_Healing" displayName="VALUE_Spell_Healing" ref="E15:H21" totalsRowShown="0" headerRowDxfId="338" dataDxfId="336" headerRowBorderDxfId="337" tableBorderDxfId="335">
  <autoFilter ref="E15:H21"/>
  <tableColumns count="4">
    <tableColumn id="1" name="LVL" dataDxfId="334"/>
    <tableColumn id="3" name="Rang" dataDxfId="333">
      <calculatedColumnFormula>Paramètres!AH6</calculatedColumnFormula>
    </tableColumn>
    <tableColumn id="2" name="Valeur" dataDxfId="332"/>
    <tableColumn id="4" name="Total" dataDxfId="331">
      <calculatedColumnFormula>VALUE_Spell_Healing[[#This Row],[Valeur]]*VALUE_Spell_Healing[[#This Row],[Rang]]</calculatedColumnFormula>
    </tableColumn>
  </tableColumns>
  <tableStyleInfo name="TableStyleMedium9" showFirstColumn="0" showLastColumn="0" showRowStripes="1" showColumnStripes="0"/>
</table>
</file>

<file path=xl/tables/table147.xml><?xml version="1.0" encoding="utf-8"?>
<table xmlns="http://schemas.openxmlformats.org/spreadsheetml/2006/main" id="132" name="VALUE_Spell_Rage" displayName="VALUE_Spell_Rage" ref="I15:L20" totalsRowShown="0" headerRowDxfId="330" dataDxfId="328" headerRowBorderDxfId="329" tableBorderDxfId="327">
  <autoFilter ref="I15:L20"/>
  <tableColumns count="4">
    <tableColumn id="1" name="LVL" dataDxfId="326"/>
    <tableColumn id="3" name="Rang" dataDxfId="325">
      <calculatedColumnFormula>Paramètres!AI6</calculatedColumnFormula>
    </tableColumn>
    <tableColumn id="2" name="Valeur" dataDxfId="324"/>
    <tableColumn id="4" name="Total" dataDxfId="323">
      <calculatedColumnFormula>VALUE_Spell_Rage[[#This Row],[Valeur]]*VALUE_Spell_Rage[[#This Row],[Rang]]</calculatedColumnFormula>
    </tableColumn>
  </tableColumns>
  <tableStyleInfo name="TableStyleMedium9" showFirstColumn="0" showLastColumn="0" showRowStripes="1" showColumnStripes="0"/>
</table>
</file>

<file path=xl/tables/table148.xml><?xml version="1.0" encoding="utf-8"?>
<table xmlns="http://schemas.openxmlformats.org/spreadsheetml/2006/main" id="133" name="VALUE_Spell_Jump" displayName="VALUE_Spell_Jump" ref="M15:P18" totalsRowShown="0" headerRowDxfId="322" dataDxfId="320" headerRowBorderDxfId="321" tableBorderDxfId="319">
  <autoFilter ref="M15:P18"/>
  <tableColumns count="4">
    <tableColumn id="1" name="LVL" dataDxfId="318"/>
    <tableColumn id="3" name="Rang" dataDxfId="317">
      <calculatedColumnFormula>Paramètres!AJ6</calculatedColumnFormula>
    </tableColumn>
    <tableColumn id="2" name="Valeur" dataDxfId="316" dataCellStyle="Milliers"/>
    <tableColumn id="4" name="Total" dataDxfId="315">
      <calculatedColumnFormula>VALUE_Spell_Jump[[#This Row],[Valeur]]*VALUE_Spell_Jump[[#This Row],[Rang]]</calculatedColumnFormula>
    </tableColumn>
  </tableColumns>
  <tableStyleInfo name="TableStyleMedium9" showFirstColumn="0" showLastColumn="0" showRowStripes="1" showColumnStripes="0"/>
</table>
</file>

<file path=xl/tables/table149.xml><?xml version="1.0" encoding="utf-8"?>
<table xmlns="http://schemas.openxmlformats.org/spreadsheetml/2006/main" id="134" name="VALUE_Spell_Freeze" displayName="VALUE_Spell_Freeze" ref="Q15:T20" totalsRowShown="0" headerRowDxfId="314" dataDxfId="312" headerRowBorderDxfId="313" tableBorderDxfId="311">
  <autoFilter ref="Q15:T20"/>
  <tableColumns count="4">
    <tableColumn id="1" name="LVL" dataDxfId="310"/>
    <tableColumn id="3" name="Rang" dataDxfId="309">
      <calculatedColumnFormula>Paramètres!AK6</calculatedColumnFormula>
    </tableColumn>
    <tableColumn id="2" name="Valeur" dataDxfId="308"/>
    <tableColumn id="4" name="Total" dataDxfId="307">
      <calculatedColumnFormula>VALUE_Spell_Freeze[[#This Row],[Valeur]]*VALUE_Spell_Freeze[[#This Row],[Rang]]</calculatedColumnFormula>
    </tableColumn>
  </tableColumns>
  <tableStyleInfo name="TableStyleMedium9" showFirstColumn="0" showLastColumn="0" showRowStripes="1" showColumnStripes="0"/>
</table>
</file>

<file path=xl/tables/table150.xml><?xml version="1.0" encoding="utf-8"?>
<table xmlns="http://schemas.openxmlformats.org/spreadsheetml/2006/main" id="139" name="VALUE_Witch" displayName="VALUE_Witch" ref="Q39:T41" totalsRowShown="0" headerRowDxfId="306" dataDxfId="304" headerRowBorderDxfId="305" tableBorderDxfId="303">
  <autoFilter ref="Q39:T41"/>
  <tableColumns count="4">
    <tableColumn id="1" name="LVL" dataDxfId="302"/>
    <tableColumn id="3" name="Rang" dataDxfId="301">
      <calculatedColumnFormula>Paramètres!BC6</calculatedColumnFormula>
    </tableColumn>
    <tableColumn id="2" name="Valeur" dataDxfId="300" dataCellStyle="Milliers"/>
    <tableColumn id="4" name="Total" dataDxfId="299">
      <calculatedColumnFormula>VALUE_Witch[[#This Row],[Valeur]]*VALUE_Witch[[#This Row],[Rang]]</calculatedColumnFormula>
    </tableColumn>
  </tableColumns>
  <tableStyleInfo name="TableStyleMedium9" showFirstColumn="0" showLastColumn="0" showRowStripes="1" showColumnStripes="0"/>
</table>
</file>

<file path=xl/tables/table151.xml><?xml version="1.0" encoding="utf-8"?>
<table xmlns="http://schemas.openxmlformats.org/spreadsheetml/2006/main" id="140" name="VALUE_Lava_Hound" displayName="VALUE_Lava_Hound" ref="U39:X42" totalsRowShown="0" headerRowDxfId="298" dataDxfId="296" headerRowBorderDxfId="297" tableBorderDxfId="295">
  <autoFilter ref="U39:X42"/>
  <tableColumns count="4">
    <tableColumn id="1" name="LVL" dataDxfId="294"/>
    <tableColumn id="3" name="Rang" dataDxfId="293">
      <calculatedColumnFormula>Paramètres!BD6</calculatedColumnFormula>
    </tableColumn>
    <tableColumn id="2" name="Valeur" dataDxfId="292" dataCellStyle="Milliers"/>
    <tableColumn id="4" name="Total" dataDxfId="291">
      <calculatedColumnFormula>VALUE_Lava_Hound[[#This Row],[Valeur]]*VALUE_Lava_Hound[[#This Row],[Rang]]</calculatedColumnFormula>
    </tableColumn>
  </tableColumns>
  <tableStyleInfo name="TableStyleMedium9" showFirstColumn="0" showLastColumn="0" showRowStripes="1" showColumnStripes="0"/>
</table>
</file>

<file path=xl/tables/table152.xml><?xml version="1.0" encoding="utf-8"?>
<table xmlns="http://schemas.openxmlformats.org/spreadsheetml/2006/main" id="193" name="VALUE_Barrack" displayName="VALUE_Barrack" ref="Q96:T106" totalsRowShown="0" dataDxfId="289" headerRowBorderDxfId="290" tableBorderDxfId="288">
  <autoFilter ref="Q96:T106"/>
  <tableColumns count="4">
    <tableColumn id="1" name="LVL" dataDxfId="287"/>
    <tableColumn id="4" name="Rang" dataDxfId="286">
      <calculatedColumnFormula>Paramètres!H6</calculatedColumnFormula>
    </tableColumn>
    <tableColumn id="2" name="Valeur" dataDxfId="285"/>
    <tableColumn id="3" name="Total" dataDxfId="284">
      <calculatedColumnFormula>VALUE_Barrack[[#This Row],[Valeur]]*VALUE_Barrack[[#This Row],[Rang]]</calculatedColumnFormula>
    </tableColumn>
  </tableColumns>
  <tableStyleInfo name="TableStyleMedium9" showFirstColumn="0" showLastColumn="0" showRowStripes="1" showColumnStripes="0"/>
</table>
</file>

<file path=xl/tables/table153.xml><?xml version="1.0" encoding="utf-8"?>
<table xmlns="http://schemas.openxmlformats.org/spreadsheetml/2006/main" id="194" name="VALUE_Dark_Elixir_Storage" displayName="VALUE_Dark_Elixir_Storage" ref="Y79:AB85" totalsRowShown="0" dataDxfId="282" headerRowBorderDxfId="283" tableBorderDxfId="281">
  <autoFilter ref="Y79:AB85"/>
  <tableColumns count="4">
    <tableColumn id="1" name="LVL" dataDxfId="280"/>
    <tableColumn id="3" name="Rang" dataDxfId="279">
      <calculatedColumnFormula>Paramètres!G6</calculatedColumnFormula>
    </tableColumn>
    <tableColumn id="2" name="Valeur" dataDxfId="278"/>
    <tableColumn id="4" name="Total" dataDxfId="277">
      <calculatedColumnFormula>VALUE_Dark_Elixir_Storage[[#This Row],[Valeur]]*VALUE_Dark_Elixir_Storage[[#This Row],[Rang]]</calculatedColumnFormula>
    </tableColumn>
  </tableColumns>
  <tableStyleInfo name="TableStyleMedium9" showFirstColumn="0" showLastColumn="0" showRowStripes="1" showColumnStripes="0"/>
</table>
</file>

<file path=xl/tables/table154.xml><?xml version="1.0" encoding="utf-8"?>
<table xmlns="http://schemas.openxmlformats.org/spreadsheetml/2006/main" id="195" name="VALUE_Dark_Barrack" displayName="VALUE_Dark_Barrack" ref="M96:P102" totalsRowShown="0" dataDxfId="275" headerRowBorderDxfId="276" tableBorderDxfId="274" totalsRowBorderDxfId="273">
  <autoFilter ref="M96:P102"/>
  <tableColumns count="4">
    <tableColumn id="1" name="LVL" dataDxfId="272"/>
    <tableColumn id="3" name="Rang" dataDxfId="271">
      <calculatedColumnFormula>Paramètres!I6</calculatedColumnFormula>
    </tableColumn>
    <tableColumn id="2" name="Valeur" dataDxfId="270"/>
    <tableColumn id="4" name="Total" dataDxfId="269">
      <calculatedColumnFormula>VALUE_Dark_Barrack[[#This Row],[Valeur]]*VALUE_Dark_Barrack[[#This Row],[Rang]]</calculatedColumnFormula>
    </tableColumn>
  </tableColumns>
  <tableStyleInfo name="TableStyleMedium9" showFirstColumn="0" showLastColumn="0" showRowStripes="1" showColumnStripes="0"/>
</table>
</file>

<file path=xl/tables/table155.xml><?xml version="1.0" encoding="utf-8"?>
<table xmlns="http://schemas.openxmlformats.org/spreadsheetml/2006/main" id="196" name="VALUE_Gold_Mine" displayName="VALUE_Gold_Mine" ref="M79:P91" totalsRowShown="0" headerRowDxfId="268" dataDxfId="266" headerRowBorderDxfId="267" tableBorderDxfId="265" totalsRowBorderDxfId="264">
  <autoFilter ref="M79:P91"/>
  <tableColumns count="4">
    <tableColumn id="1" name="LVL" dataDxfId="263"/>
    <tableColumn id="3" name="Rang" dataDxfId="262">
      <calculatedColumnFormula>Paramètres!B6</calculatedColumnFormula>
    </tableColumn>
    <tableColumn id="2" name="Valeur" dataDxfId="261"/>
    <tableColumn id="4" name="Total" dataDxfId="260">
      <calculatedColumnFormula>VALUE_Gold_Mine[[#This Row],[Valeur]]*VALUE_Gold_Mine[[#This Row],[Rang]]</calculatedColumnFormula>
    </tableColumn>
  </tableColumns>
  <tableStyleInfo name="TableStyleMedium9" showFirstColumn="0" showLastColumn="0" showRowStripes="1" showColumnStripes="0"/>
</table>
</file>

<file path=xl/tables/table156.xml><?xml version="1.0" encoding="utf-8"?>
<table xmlns="http://schemas.openxmlformats.org/spreadsheetml/2006/main" id="197" name="VALUE_Elixir_Collector" displayName="VALUE_Elixir_Collector" ref="AC79:AF91" totalsRowShown="0" dataDxfId="258" headerRowBorderDxfId="259" tableBorderDxfId="257" totalsRowBorderDxfId="256">
  <autoFilter ref="AC79:AF91"/>
  <tableColumns count="4">
    <tableColumn id="1" name="LVL" dataDxfId="255"/>
    <tableColumn id="3" name="Rang" dataDxfId="254">
      <calculatedColumnFormula>Paramètres!C6</calculatedColumnFormula>
    </tableColumn>
    <tableColumn id="2" name="Valeur" dataDxfId="253"/>
    <tableColumn id="4" name="Total" dataDxfId="252">
      <calculatedColumnFormula>VALUE_Elixir_Collector[[#This Row],[Valeur]]*VALUE_Elixir_Collector[[#This Row],[Rang]]</calculatedColumnFormula>
    </tableColumn>
  </tableColumns>
  <tableStyleInfo name="TableStyleMedium9" showFirstColumn="0" showLastColumn="0" showRowStripes="1" showColumnStripes="0"/>
</table>
</file>

<file path=xl/tables/table157.xml><?xml version="1.0" encoding="utf-8"?>
<table xmlns="http://schemas.openxmlformats.org/spreadsheetml/2006/main" id="198" name="VALUE_Dark_Elixir_Drill" displayName="VALUE_Dark_Elixir_Drill" ref="Q79:T85" totalsRowShown="0" dataDxfId="250" headerRowBorderDxfId="251" tableBorderDxfId="249" totalsRowBorderDxfId="248">
  <autoFilter ref="Q79:T85"/>
  <tableColumns count="4">
    <tableColumn id="1" name="LVL" dataDxfId="247"/>
    <tableColumn id="3" name="Rang" dataDxfId="246">
      <calculatedColumnFormula>Paramètres!D6</calculatedColumnFormula>
    </tableColumn>
    <tableColumn id="2" name="Valeur" dataDxfId="245"/>
    <tableColumn id="4" name="Total" dataDxfId="244">
      <calculatedColumnFormula>VALUE_Dark_Elixir_Drill[[#This Row],[Valeur]]*VALUE_Dark_Elixir_Drill[[#This Row],[Rang]]</calculatedColumnFormula>
    </tableColumn>
  </tableColumns>
  <tableStyleInfo name="TableStyleMedium9" showFirstColumn="0" showLastColumn="0" showRowStripes="1" showColumnStripes="0"/>
</table>
</file>

<file path=xl/tables/table158.xml><?xml version="1.0" encoding="utf-8"?>
<table xmlns="http://schemas.openxmlformats.org/spreadsheetml/2006/main" id="199" name="VALUE_Gold_Storage" displayName="VALUE_Gold_Storage" ref="U79:X90" totalsRowShown="0" dataDxfId="242" headerRowBorderDxfId="243" tableBorderDxfId="241" totalsRowBorderDxfId="240">
  <autoFilter ref="U79:X90"/>
  <tableColumns count="4">
    <tableColumn id="1" name="LVL" dataDxfId="239"/>
    <tableColumn id="3" name="Rang" dataDxfId="238">
      <calculatedColumnFormula>Paramètres!E6</calculatedColumnFormula>
    </tableColumn>
    <tableColumn id="2" name="Valeur" dataDxfId="237"/>
    <tableColumn id="4" name="Total" dataDxfId="236">
      <calculatedColumnFormula>VALUE_Gold_Storage[[#This Row],[Valeur]]*VALUE_Gold_Storage[[#This Row],[Rang]]</calculatedColumnFormula>
    </tableColumn>
  </tableColumns>
  <tableStyleInfo name="TableStyleMedium9" showFirstColumn="0" showLastColumn="0" showRowStripes="1" showColumnStripes="0"/>
</table>
</file>

<file path=xl/tables/table159.xml><?xml version="1.0" encoding="utf-8"?>
<table xmlns="http://schemas.openxmlformats.org/spreadsheetml/2006/main" id="200" name="VALUE_Elixir_Storage" displayName="VALUE_Elixir_Storage" ref="AG79:AJ90" totalsRowShown="0" dataDxfId="234" headerRowBorderDxfId="235" tableBorderDxfId="233" totalsRowBorderDxfId="232">
  <autoFilter ref="AG79:AJ90"/>
  <tableColumns count="4">
    <tableColumn id="1" name="LVL" dataDxfId="231"/>
    <tableColumn id="3" name="Rang" dataDxfId="230">
      <calculatedColumnFormula>Paramètres!F6</calculatedColumnFormula>
    </tableColumn>
    <tableColumn id="2" name="Valeur" dataDxfId="229"/>
    <tableColumn id="4" name="Total" dataDxfId="228">
      <calculatedColumnFormula>VALUE_Elixir_Storage[[#This Row],[Valeur]]*VALUE_Elixir_Storage[[#This Row],[Rang]]</calculatedColumnFormula>
    </tableColumn>
  </tableColumns>
  <tableStyleInfo name="TableStyleMedium9" showFirstColumn="0" showLastColumn="0" showRowStripes="1" showColumnStripes="0"/>
</table>
</file>

<file path=xl/tables/table160.xml><?xml version="1.0" encoding="utf-8"?>
<table xmlns="http://schemas.openxmlformats.org/spreadsheetml/2006/main" id="201" name="VALUE_Army_Camp" displayName="VALUE_Army_Camp" ref="U96:X104" totalsRowShown="0" dataDxfId="226" headerRowBorderDxfId="227" tableBorderDxfId="225" totalsRowBorderDxfId="224">
  <autoFilter ref="U96:X104"/>
  <tableColumns count="4">
    <tableColumn id="1" name="LVL" dataDxfId="223"/>
    <tableColumn id="3" name="Rang" dataDxfId="222">
      <calculatedColumnFormula>Paramètres!J6</calculatedColumnFormula>
    </tableColumn>
    <tableColumn id="2" name="Valeur" dataDxfId="221"/>
    <tableColumn id="4" name="Total" dataDxfId="220">
      <calculatedColumnFormula>VALUE_Army_Camp[[#This Row],[Valeur]]*VALUE_Army_Camp[[#This Row],[Rang]]</calculatedColumnFormula>
    </tableColumn>
  </tableColumns>
  <tableStyleInfo name="TableStyleMedium9" showFirstColumn="0" showLastColumn="0" showRowStripes="1" showColumnStripes="0"/>
</table>
</file>

<file path=xl/tables/table161.xml><?xml version="1.0" encoding="utf-8"?>
<table xmlns="http://schemas.openxmlformats.org/spreadsheetml/2006/main" id="202" name="VALUE_Laboratory" displayName="VALUE_Laboratory" ref="Y96:AB104" totalsRowShown="0" dataDxfId="218" headerRowBorderDxfId="219" tableBorderDxfId="217" totalsRowBorderDxfId="216">
  <autoFilter ref="Y96:AB104"/>
  <tableColumns count="4">
    <tableColumn id="1" name="LVL" dataDxfId="215"/>
    <tableColumn id="3" name="Rang" dataDxfId="214">
      <calculatedColumnFormula>Paramètres!K6</calculatedColumnFormula>
    </tableColumn>
    <tableColumn id="2" name="Valeur" dataDxfId="213"/>
    <tableColumn id="4" name="Total" dataDxfId="212">
      <calculatedColumnFormula>VALUE_Laboratory[[#This Row],[Valeur]]*VALUE_Laboratory[[#This Row],[Rang]]</calculatedColumnFormula>
    </tableColumn>
  </tableColumns>
  <tableStyleInfo name="TableStyleMedium9" showFirstColumn="0" showLastColumn="0" showRowStripes="1" showColumnStripes="0"/>
</table>
</file>

<file path=xl/tables/table162.xml><?xml version="1.0" encoding="utf-8"?>
<table xmlns="http://schemas.openxmlformats.org/spreadsheetml/2006/main" id="203" name="VALUE_Spell_Factory" displayName="VALUE_Spell_Factory" ref="AC96:AF101" totalsRowShown="0" headerRowBorderDxfId="211" tableBorderDxfId="210" totalsRowBorderDxfId="209">
  <autoFilter ref="AC96:AF101"/>
  <tableColumns count="4">
    <tableColumn id="1" name="LVL" dataDxfId="208"/>
    <tableColumn id="3" name="Rang" dataDxfId="207">
      <calculatedColumnFormula>Paramètres!L6</calculatedColumnFormula>
    </tableColumn>
    <tableColumn id="2" name="Valeur" dataDxfId="206" dataCellStyle="Milliers"/>
    <tableColumn id="4" name="Total" dataDxfId="205">
      <calculatedColumnFormula>VALUE_Spell_Factory[[#This Row],[Valeur]]*VALUE_Spell_Factory[[#This Row],[Rang]]</calculatedColumnFormula>
    </tableColumn>
  </tableColumns>
  <tableStyleInfo name="TableStyleMedium9" showFirstColumn="0" showLastColumn="0" showRowStripes="1" showColumnStripes="0"/>
</table>
</file>

<file path=xl/tables/table163.xml><?xml version="1.0" encoding="utf-8"?>
<table xmlns="http://schemas.openxmlformats.org/spreadsheetml/2006/main" id="204" name="VALUE_Clan_Castle" displayName="VALUE_Clan_Castle" ref="AC109:AF115" totalsRowShown="0" dataDxfId="203" headerRowBorderDxfId="204" tableBorderDxfId="202" totalsRowBorderDxfId="201">
  <autoFilter ref="AC109:AF115"/>
  <tableColumns count="4">
    <tableColumn id="1" name="LVL" dataDxfId="200"/>
    <tableColumn id="3" name="Rang" dataDxfId="199">
      <calculatedColumnFormula>Paramètres!AE6</calculatedColumnFormula>
    </tableColumn>
    <tableColumn id="2" name="Valeur" dataDxfId="198"/>
    <tableColumn id="4" name="Total" dataDxfId="197">
      <calculatedColumnFormula>VALUE_Clan_Castle[[#This Row],[Valeur]]*VALUE_Clan_Castle[[#This Row],[Rang]]</calculatedColumnFormula>
    </tableColumn>
  </tableColumns>
  <tableStyleInfo name="TableStyleMedium9" showFirstColumn="0" showLastColumn="0" showRowStripes="1" showColumnStripes="0"/>
</table>
</file>

<file path=xl/tables/table164.xml><?xml version="1.0" encoding="utf-8"?>
<table xmlns="http://schemas.openxmlformats.org/spreadsheetml/2006/main" id="205" name="VALUE_Wizard_Tower" displayName="VALUE_Wizard_Tower" ref="U50:X58" totalsRowShown="0" headerRowDxfId="196" dataDxfId="194" headerRowBorderDxfId="195" tableBorderDxfId="193">
  <autoFilter ref="U50:X58"/>
  <tableColumns count="4">
    <tableColumn id="1" name="LVL" dataDxfId="192"/>
    <tableColumn id="4" name="Rang" dataDxfId="191">
      <calculatedColumnFormula>Paramètres!S6</calculatedColumnFormula>
    </tableColumn>
    <tableColumn id="2" name="Valeur" dataDxfId="190" dataCellStyle="Milliers"/>
    <tableColumn id="3" name="Total" dataDxfId="189">
      <calculatedColumnFormula>VALUE_Wizard_Tower[[#This Row],[Valeur]]*VALUE_Wizard_Tower[[#This Row],[Rang]]</calculatedColumnFormula>
    </tableColumn>
  </tableColumns>
  <tableStyleInfo name="TableStyleMedium9" showFirstColumn="0" showLastColumn="0" showRowStripes="1" showColumnStripes="0"/>
</table>
</file>

<file path=xl/tables/table165.xml><?xml version="1.0" encoding="utf-8"?>
<table xmlns="http://schemas.openxmlformats.org/spreadsheetml/2006/main" id="206" name="VALUE_Mortar" displayName="VALUE_Mortar" ref="M50:P58" totalsRowShown="0" headerRowDxfId="188" dataDxfId="186" headerRowBorderDxfId="187" tableBorderDxfId="185">
  <autoFilter ref="M50:P58"/>
  <tableColumns count="4">
    <tableColumn id="1" name="LVL" dataDxfId="184"/>
    <tableColumn id="3" name="Rang" dataDxfId="183">
      <calculatedColumnFormula>Paramètres!Q6</calculatedColumnFormula>
    </tableColumn>
    <tableColumn id="2" name="Valeur" dataDxfId="182" dataCellStyle="Milliers"/>
    <tableColumn id="4" name="Total" dataDxfId="181">
      <calculatedColumnFormula>VALUE_Mortar[[#This Row],[Valeur]]*VALUE_Mortar[[#This Row],[Rang]]</calculatedColumnFormula>
    </tableColumn>
  </tableColumns>
  <tableStyleInfo name="TableStyleMedium9" showFirstColumn="0" showLastColumn="0" showRowStripes="1" showColumnStripes="0"/>
</table>
</file>

<file path=xl/tables/table166.xml><?xml version="1.0" encoding="utf-8"?>
<table xmlns="http://schemas.openxmlformats.org/spreadsheetml/2006/main" id="207" name="VALUE_Air_Defense" displayName="VALUE_Air_Defense" ref="Q50:T58" totalsRowShown="0" headerRowDxfId="180" headerRowBorderDxfId="179" tableBorderDxfId="178">
  <autoFilter ref="Q50:T58"/>
  <tableColumns count="4">
    <tableColumn id="1" name="LVL" dataDxfId="177"/>
    <tableColumn id="3" name="Rang" dataDxfId="176">
      <calculatedColumnFormula>Paramètres!R6</calculatedColumnFormula>
    </tableColumn>
    <tableColumn id="2" name="Valeur" dataDxfId="175" dataCellStyle="Milliers"/>
    <tableColumn id="4" name="Total" dataDxfId="174">
      <calculatedColumnFormula>VALUE_Air_Defense[[#This Row],[Valeur]]*VALUE_Air_Defense[[#This Row],[Rang]]</calculatedColumnFormula>
    </tableColumn>
  </tableColumns>
  <tableStyleInfo name="TableStyleMedium9" showFirstColumn="0" showLastColumn="0" showRowStripes="1" showColumnStripes="0"/>
</table>
</file>

<file path=xl/tables/table167.xml><?xml version="1.0" encoding="utf-8"?>
<table xmlns="http://schemas.openxmlformats.org/spreadsheetml/2006/main" id="208" name="VALUE_Cannon" displayName="VALUE_Cannon" ref="E50:H63" totalsRowShown="0" headerRowDxfId="173" dataDxfId="171" headerRowBorderDxfId="172" tableBorderDxfId="170" totalsRowBorderDxfId="169">
  <autoFilter ref="E50:H63"/>
  <tableColumns count="4">
    <tableColumn id="1" name="LVL" dataDxfId="168"/>
    <tableColumn id="3" name="Rang" dataDxfId="167">
      <calculatedColumnFormula>Paramètres!O6</calculatedColumnFormula>
    </tableColumn>
    <tableColumn id="2" name="Valeur" dataDxfId="166" dataCellStyle="Milliers"/>
    <tableColumn id="4" name="Total" dataDxfId="165">
      <calculatedColumnFormula>VALUE_Cannon[[#This Row],[Valeur]]*VALUE_Cannon[[#This Row],[Rang]]</calculatedColumnFormula>
    </tableColumn>
  </tableColumns>
  <tableStyleInfo name="TableStyleMedium9" showFirstColumn="0" showLastColumn="0" showRowStripes="1" showColumnStripes="0"/>
</table>
</file>

<file path=xl/tables/table168.xml><?xml version="1.0" encoding="utf-8"?>
<table xmlns="http://schemas.openxmlformats.org/spreadsheetml/2006/main" id="209" name="VALUE_Archer_Tower" displayName="VALUE_Archer_Tower" ref="I50:L63" totalsRowShown="0" headerRowDxfId="164" dataDxfId="162" headerRowBorderDxfId="163" tableBorderDxfId="161" totalsRowBorderDxfId="160">
  <autoFilter ref="I50:L63"/>
  <tableColumns count="4">
    <tableColumn id="1" name="LVL" dataDxfId="159"/>
    <tableColumn id="3" name="Rang" dataDxfId="158">
      <calculatedColumnFormula>Paramètres!P6</calculatedColumnFormula>
    </tableColumn>
    <tableColumn id="2" name="Valeur" dataDxfId="157" dataCellStyle="Milliers"/>
    <tableColumn id="4" name="Total" dataDxfId="156">
      <calculatedColumnFormula>VALUE_Archer_Tower[[#This Row],[Valeur]]*VALUE_Archer_Tower[[#This Row],[Rang]]</calculatedColumnFormula>
    </tableColumn>
  </tableColumns>
  <tableStyleInfo name="TableStyleMedium9" showFirstColumn="0" showLastColumn="0" showRowStripes="1" showColumnStripes="0"/>
</table>
</file>

<file path=xl/tables/table169.xml><?xml version="1.0" encoding="utf-8"?>
<table xmlns="http://schemas.openxmlformats.org/spreadsheetml/2006/main" id="210" name="VALUE_Wall" displayName="VALUE_Wall" ref="A50:D61" totalsRowShown="0" headerRowDxfId="155" dataDxfId="153" headerRowBorderDxfId="154" tableBorderDxfId="152" totalsRowBorderDxfId="151">
  <autoFilter ref="A50:D61"/>
  <tableColumns count="4">
    <tableColumn id="1" name="LVL" dataDxfId="150"/>
    <tableColumn id="3" name="Rang" dataDxfId="149">
      <calculatedColumnFormula>Paramètres!N6</calculatedColumnFormula>
    </tableColumn>
    <tableColumn id="2" name="Valeur" dataDxfId="148" dataCellStyle="Milliers"/>
    <tableColumn id="4" name="Total" dataDxfId="147">
      <calculatedColumnFormula>VALUE_Wall[[#This Row],[Valeur]]*VALUE_Wall[[#This Row],[Rang]]</calculatedColumnFormula>
    </tableColumn>
  </tableColumns>
  <tableStyleInfo name="TableStyleMedium9" showFirstColumn="0" showLastColumn="0" showRowStripes="1" showColumnStripes="0"/>
</table>
</file>

<file path=xl/tables/table170.xml><?xml version="1.0" encoding="utf-8"?>
<table xmlns="http://schemas.openxmlformats.org/spreadsheetml/2006/main" id="211" name="VALUE_Hidden_Tesla" displayName="VALUE_Hidden_Tesla" ref="AC50:AF58" totalsRowShown="0" headerRowDxfId="146" dataDxfId="144" headerRowBorderDxfId="145" tableBorderDxfId="143" totalsRowBorderDxfId="142">
  <autoFilter ref="AC50:AF58"/>
  <tableColumns count="4">
    <tableColumn id="1" name="LVL" dataDxfId="141"/>
    <tableColumn id="3" name="Rang" dataDxfId="140">
      <calculatedColumnFormula>Paramètres!U6</calculatedColumnFormula>
    </tableColumn>
    <tableColumn id="2" name="Valeur" dataDxfId="139" dataCellStyle="Milliers"/>
    <tableColumn id="4" name="Total" dataDxfId="138">
      <calculatedColumnFormula>VALUE_Hidden_Tesla[[#This Row],[Valeur]]*VALUE_Hidden_Tesla[[#This Row],[Rang]]</calculatedColumnFormula>
    </tableColumn>
  </tableColumns>
  <tableStyleInfo name="TableStyleMedium9" showFirstColumn="0" showLastColumn="0" showRowStripes="1" showColumnStripes="0"/>
</table>
</file>

<file path=xl/tables/table171.xml><?xml version="1.0" encoding="utf-8"?>
<table xmlns="http://schemas.openxmlformats.org/spreadsheetml/2006/main" id="212" name="VALUE_XBow" displayName="VALUE_XBow" ref="AG50:AJ54" totalsRowShown="0" headerRowDxfId="137" dataDxfId="135" headerRowBorderDxfId="136" tableBorderDxfId="134" totalsRowBorderDxfId="133">
  <autoFilter ref="AG50:AJ54"/>
  <tableColumns count="4">
    <tableColumn id="1" name="LVL" dataDxfId="132"/>
    <tableColumn id="3" name="Rang" dataDxfId="131">
      <calculatedColumnFormula>Paramètres!V6</calculatedColumnFormula>
    </tableColumn>
    <tableColumn id="2" name="Valeur" dataDxfId="130" dataCellStyle="Milliers"/>
    <tableColumn id="4" name="Total" dataDxfId="129">
      <calculatedColumnFormula>VALUE_XBow[[#This Row],[Valeur]]*VALUE_XBow[[#This Row],[Rang]]</calculatedColumnFormula>
    </tableColumn>
  </tableColumns>
  <tableStyleInfo name="TableStyleMedium9" showFirstColumn="0" showLastColumn="0" showRowStripes="1" showColumnStripes="0"/>
</table>
</file>

<file path=xl/tables/table172.xml><?xml version="1.0" encoding="utf-8"?>
<table xmlns="http://schemas.openxmlformats.org/spreadsheetml/2006/main" id="213" name="VALUE_Inferno_Tower" displayName="VALUE_Inferno_Tower" ref="AK50:AN53" totalsRowShown="0" headerRowDxfId="128" dataDxfId="126" headerRowBorderDxfId="127" tableBorderDxfId="125" totalsRowBorderDxfId="124">
  <autoFilter ref="AK50:AN53"/>
  <tableColumns count="4">
    <tableColumn id="1" name="LVL" dataDxfId="123"/>
    <tableColumn id="3" name="Rang" dataDxfId="122">
      <calculatedColumnFormula>Paramètres!X6</calculatedColumnFormula>
    </tableColumn>
    <tableColumn id="2" name="Valeur" dataDxfId="121" dataCellStyle="Milliers"/>
    <tableColumn id="4" name="Total" dataDxfId="120">
      <calculatedColumnFormula>VALUE_Inferno_Tower[[#This Row],[Valeur]]*VALUE_Inferno_Tower[[#This Row],[Rang]]</calculatedColumnFormula>
    </tableColumn>
  </tableColumns>
  <tableStyleInfo name="TableStyleMedium9" showFirstColumn="0" showLastColumn="0" showRowStripes="1" showColumnStripes="0"/>
</table>
</file>

<file path=xl/tables/table173.xml><?xml version="1.0" encoding="utf-8"?>
<table xmlns="http://schemas.openxmlformats.org/spreadsheetml/2006/main" id="214" name="VALUE_Barbarian_King" displayName="VALUE_Barbarian_King" ref="A79:D119" totalsRowShown="0" headerRowDxfId="119" dataDxfId="117" headerRowBorderDxfId="118" tableBorderDxfId="116" totalsRowBorderDxfId="115">
  <autoFilter ref="A79:D119"/>
  <tableColumns count="4">
    <tableColumn id="1" name="LVL" dataDxfId="114"/>
    <tableColumn id="3" name="Rang" dataDxfId="113">
      <calculatedColumnFormula>Paramètres!BF6</calculatedColumnFormula>
    </tableColumn>
    <tableColumn id="2" name="Valeur" dataDxfId="112" dataCellStyle="Milliers"/>
    <tableColumn id="4" name="Total" dataDxfId="111">
      <calculatedColumnFormula>VALUE_Barbarian_King[[#This Row],[Valeur]]*VALUE_Barbarian_King[[#This Row],[Rang]]</calculatedColumnFormula>
    </tableColumn>
  </tableColumns>
  <tableStyleInfo name="TableStyleMedium9" showFirstColumn="0" showLastColumn="0" showRowStripes="1" showColumnStripes="0"/>
</table>
</file>

<file path=xl/tables/table174.xml><?xml version="1.0" encoding="utf-8"?>
<table xmlns="http://schemas.openxmlformats.org/spreadsheetml/2006/main" id="215" name="VALUE_Archer_Queen" displayName="VALUE_Archer_Queen" ref="E79:H119" totalsRowShown="0" headerRowDxfId="110" dataDxfId="108" headerRowBorderDxfId="109" tableBorderDxfId="107" totalsRowBorderDxfId="106">
  <autoFilter ref="E79:H119"/>
  <tableColumns count="4">
    <tableColumn id="1" name="LVL" dataDxfId="105"/>
    <tableColumn id="3" name="Rang" dataDxfId="104">
      <calculatedColumnFormula>Paramètres!BH6</calculatedColumnFormula>
    </tableColumn>
    <tableColumn id="2" name="Valeur" dataDxfId="103" dataCellStyle="Milliers"/>
    <tableColumn id="4" name="Total" dataDxfId="102">
      <calculatedColumnFormula>VALUE_Archer_Queen[[#This Row],[Valeur]]*VALUE_Archer_Queen[[#This Row],[Rang]]</calculatedColumnFormula>
    </tableColumn>
  </tableColumns>
  <tableStyleInfo name="TableStyleMedium9" showFirstColumn="0" showLastColumn="0" showRowStripes="1" showColumnStripes="0"/>
</table>
</file>

<file path=xl/tables/table175.xml><?xml version="1.0" encoding="utf-8"?>
<table xmlns="http://schemas.openxmlformats.org/spreadsheetml/2006/main" id="216" name="VALUE_Town_Home" displayName="VALUE_Town_Home" ref="AG109:AJ119" totalsRowShown="0" dataDxfId="100" headerRowBorderDxfId="101" tableBorderDxfId="99" totalsRowBorderDxfId="98">
  <autoFilter ref="AG109:AJ119"/>
  <tableColumns count="4">
    <tableColumn id="1" name="LVL" dataDxfId="97"/>
    <tableColumn id="3" name="Rang" dataDxfId="96">
      <calculatedColumnFormula>Paramètres!AF6</calculatedColumnFormula>
    </tableColumn>
    <tableColumn id="2" name="Valeur" dataDxfId="95"/>
    <tableColumn id="4" name="Total" dataDxfId="94">
      <calculatedColumnFormula>VALUE_Town_Home[[#This Row],[Valeur]]*VALUE_Town_Home[[#This Row],[Rang]]</calculatedColumnFormula>
    </tableColumn>
  </tableColumns>
  <tableStyleInfo name="TableStyleMedium9" showFirstColumn="0" showLastColumn="0" showRowStripes="1" showColumnStripes="0"/>
</table>
</file>

<file path=xl/tables/table176.xml><?xml version="1.0" encoding="utf-8"?>
<table xmlns="http://schemas.openxmlformats.org/spreadsheetml/2006/main" id="237" name="VALUE_Giant_Bomb" displayName="VALUE_Giant_Bomb" ref="I68:L72" totalsRowShown="0" headerRowDxfId="93" headerRowBorderDxfId="92" tableBorderDxfId="91">
  <autoFilter ref="I68:L72"/>
  <tableColumns count="4">
    <tableColumn id="1" name="LVL" dataDxfId="90"/>
    <tableColumn id="3" name="Rang" dataDxfId="89">
      <calculatedColumnFormula>Paramètres!AA6</calculatedColumnFormula>
    </tableColumn>
    <tableColumn id="2" name="Valeur" dataDxfId="88" dataCellStyle="Milliers"/>
    <tableColumn id="4" name="Total" dataDxfId="87">
      <calculatedColumnFormula>VALUE_Giant_Bomb[[#This Row],[Valeur]]*VALUE_Giant_Bomb[[#This Row],[Rang]]</calculatedColumnFormula>
    </tableColumn>
  </tableColumns>
  <tableStyleInfo name="TableStyleMedium9" showFirstColumn="0" showLastColumn="0" showRowStripes="1" showColumnStripes="0"/>
</table>
</file>

<file path=xl/tables/table177.xml><?xml version="1.0" encoding="utf-8"?>
<table xmlns="http://schemas.openxmlformats.org/spreadsheetml/2006/main" id="238" name="VALUE_Spring_Trap" displayName="VALUE_Spring_Trap" ref="E68:H69" totalsRowShown="0" headerRowDxfId="86" headerRowBorderDxfId="85" tableBorderDxfId="84">
  <autoFilter ref="E68:H69"/>
  <tableColumns count="4">
    <tableColumn id="1" name="LVL" dataDxfId="83"/>
    <tableColumn id="3" name="Rang" dataDxfId="82">
      <calculatedColumnFormula>Paramètres!Z6</calculatedColumnFormula>
    </tableColumn>
    <tableColumn id="2" name="Valeur" dataDxfId="81" dataCellStyle="Milliers"/>
    <tableColumn id="4" name="Total" dataDxfId="80">
      <calculatedColumnFormula>VALUE_Spring_Trap[Valeur]*VALUE_Spring_Trap[Rang]</calculatedColumnFormula>
    </tableColumn>
  </tableColumns>
  <tableStyleInfo name="TableStyleMedium9" showFirstColumn="0" showLastColumn="0" showRowStripes="1" showColumnStripes="0"/>
</table>
</file>

<file path=xl/tables/table178.xml><?xml version="1.0" encoding="utf-8"?>
<table xmlns="http://schemas.openxmlformats.org/spreadsheetml/2006/main" id="239" name="VALUE_Bomb" displayName="VALUE_Bomb" ref="A68:D74" totalsRowShown="0" headerRowDxfId="79" headerRowBorderDxfId="78" tableBorderDxfId="77" totalsRowBorderDxfId="76">
  <autoFilter ref="A68:D74"/>
  <tableColumns count="4">
    <tableColumn id="1" name="LVL" dataDxfId="75"/>
    <tableColumn id="4" name="Rang" dataDxfId="74">
      <calculatedColumnFormula>Paramètres!Y6</calculatedColumnFormula>
    </tableColumn>
    <tableColumn id="2" name="Valeur" dataDxfId="73" dataCellStyle="Milliers"/>
    <tableColumn id="3" name="Total" dataDxfId="72">
      <calculatedColumnFormula>VALUE_Bomb[[#This Row],[Valeur]]*VALUE_Bomb[[#This Row],[Rang]]</calculatedColumnFormula>
    </tableColumn>
  </tableColumns>
  <tableStyleInfo name="TableStyleMedium15" showFirstColumn="0" showLastColumn="0" showRowStripes="1" showColumnStripes="0"/>
</table>
</file>

<file path=xl/tables/table179.xml><?xml version="1.0" encoding="utf-8"?>
<table xmlns="http://schemas.openxmlformats.org/spreadsheetml/2006/main" id="240" name="VALUE_Air_Bomb" displayName="VALUE_Air_Bomb" ref="M68:P72" totalsRowShown="0" headerRowDxfId="71" headerRowBorderDxfId="70" tableBorderDxfId="69">
  <autoFilter ref="M68:P72"/>
  <tableColumns count="4">
    <tableColumn id="1" name="LVL" dataDxfId="68"/>
    <tableColumn id="4" name="Rang" dataDxfId="67">
      <calculatedColumnFormula>Paramètres!AB6</calculatedColumnFormula>
    </tableColumn>
    <tableColumn id="2" name="Valeur" dataDxfId="66" dataCellStyle="Milliers"/>
    <tableColumn id="3" name="Total" dataDxfId="65">
      <calculatedColumnFormula>VALUE_Air_Bomb[[#This Row],[Valeur]]*VALUE_Air_Bomb[[#This Row],[Rang]]</calculatedColumnFormula>
    </tableColumn>
  </tableColumns>
  <tableStyleInfo name="TableStyleLight9" showFirstColumn="0" showLastColumn="0" showRowStripes="1" showColumnStripes="0"/>
</table>
</file>

<file path=xl/tables/table180.xml><?xml version="1.0" encoding="utf-8"?>
<table xmlns="http://schemas.openxmlformats.org/spreadsheetml/2006/main" id="241" name="VALUE_Seeking_Air_Mine" displayName="VALUE_Seeking_Air_Mine" ref="Q68:T71" totalsRowShown="0" headerRowDxfId="64" headerRowBorderDxfId="63" tableBorderDxfId="62">
  <autoFilter ref="Q68:T71"/>
  <tableColumns count="4">
    <tableColumn id="1" name="LVL" dataDxfId="61"/>
    <tableColumn id="4" name="Rang" dataDxfId="60">
      <calculatedColumnFormula>Paramètres!AC6</calculatedColumnFormula>
    </tableColumn>
    <tableColumn id="2" name="Valeur" dataDxfId="59" dataCellStyle="Milliers"/>
    <tableColumn id="3" name="Total" dataDxfId="58">
      <calculatedColumnFormula>VALUE_Seeking_Air_Mine[[#This Row],[Valeur]]*VALUE_Seeking_Air_Mine[[#This Row],[Rang]]</calculatedColumnFormula>
    </tableColumn>
  </tableColumns>
  <tableStyleInfo name="TableStyleLight9" showFirstColumn="0" showLastColumn="0" showRowStripes="1" showColumnStripes="0"/>
</table>
</file>

<file path=xl/tables/table181.xml><?xml version="1.0" encoding="utf-8"?>
<table xmlns="http://schemas.openxmlformats.org/spreadsheetml/2006/main" id="242" name="VALUE_Skeleton_Trap" displayName="VALUE_Skeleton_Trap" ref="U68:X71" totalsRowShown="0" headerRowDxfId="57" headerRowBorderDxfId="56" tableBorderDxfId="55">
  <autoFilter ref="U68:X71"/>
  <tableColumns count="4">
    <tableColumn id="1" name="LVL" dataDxfId="54"/>
    <tableColumn id="4" name="Rang" dataDxfId="53">
      <calculatedColumnFormula>Paramètres!AD6</calculatedColumnFormula>
    </tableColumn>
    <tableColumn id="2" name="Valeur" dataDxfId="52" dataCellStyle="Milliers"/>
    <tableColumn id="3" name="Total" dataDxfId="51">
      <calculatedColumnFormula>VALUE_Skeleton_Trap[[#This Row],[Valeur]]*VALUE_Skeleton_Trap[[#This Row],[Rang]]</calculatedColumnFormula>
    </tableColumn>
  </tableColumns>
  <tableStyleInfo name="TableStyleLight9" showFirstColumn="0" showLastColumn="0" showRowStripes="1" showColumnStripes="0"/>
</table>
</file>

<file path=xl/tables/table182.xml><?xml version="1.0" encoding="utf-8"?>
<table xmlns="http://schemas.openxmlformats.org/spreadsheetml/2006/main" id="244" name="VALUE_Air_Sweeper" displayName="VALUE_Air_Sweeper" ref="Y50:AB56" totalsRowShown="0" headerRowDxfId="50" dataDxfId="48" headerRowBorderDxfId="49" tableBorderDxfId="47" totalsRowBorderDxfId="46">
  <autoFilter ref="Y50:AB56"/>
  <tableColumns count="4">
    <tableColumn id="1" name="LVL" dataDxfId="45"/>
    <tableColumn id="3" name="Rang" dataDxfId="44">
      <calculatedColumnFormula>Paramètres!T6</calculatedColumnFormula>
    </tableColumn>
    <tableColumn id="2" name="Valeur" dataDxfId="43" dataCellStyle="Milliers"/>
    <tableColumn id="4" name="Total" dataDxfId="42">
      <calculatedColumnFormula>VALUE_Air_Sweeper[[#This Row],[Valeur]]*VALUE_Air_Sweeper[[#This Row],[Rang]]</calculatedColumnFormula>
    </tableColumn>
  </tableColumns>
  <tableStyleInfo name="TableStyleMedium9" showFirstColumn="0" showLastColumn="0" showRowStripes="1" showColumnStripes="0"/>
</table>
</file>

<file path=xl/tables/table183.xml><?xml version="1.0" encoding="utf-8"?>
<table xmlns="http://schemas.openxmlformats.org/spreadsheetml/2006/main" id="144" name="VALUE_Dark_Spell_Factory" displayName="VALUE_Dark_Spell_Factory" ref="AG96:AJ99" totalsRowShown="0" headerRowBorderDxfId="41" tableBorderDxfId="40" totalsRowBorderDxfId="39">
  <autoFilter ref="AG96:AJ99"/>
  <tableColumns count="4">
    <tableColumn id="1" name="LVL" dataDxfId="38"/>
    <tableColumn id="3" name="Rang" dataDxfId="37">
      <calculatedColumnFormula>Paramètres!M6</calculatedColumnFormula>
    </tableColumn>
    <tableColumn id="2" name="Valeur" dataDxfId="36" dataCellStyle="Milliers"/>
    <tableColumn id="4" name="Total" dataDxfId="35">
      <calculatedColumnFormula>VALUE_Dark_Spell_Factory[[#This Row],[Valeur]]*VALUE_Dark_Spell_Factory[[#This Row],[Rang]]</calculatedColumnFormula>
    </tableColumn>
  </tableColumns>
  <tableStyleInfo name="TableStyleMedium9" showFirstColumn="0" showLastColumn="0" showRowStripes="1" showColumnStripes="0"/>
</table>
</file>

<file path=xl/tables/table184.xml><?xml version="1.0" encoding="utf-8"?>
<table xmlns="http://schemas.openxmlformats.org/spreadsheetml/2006/main" id="145" name="VALUE_Spell_Poison" displayName="VALUE_Spell_Poison" ref="M111:P115" totalsRowShown="0" headerRowDxfId="34" dataDxfId="32" headerRowBorderDxfId="33" tableBorderDxfId="31">
  <autoFilter ref="M111:P115"/>
  <tableColumns count="4">
    <tableColumn id="1" name="LVL" dataDxfId="30"/>
    <tableColumn id="3" name="Rang" dataDxfId="29">
      <calculatedColumnFormula>Paramètres!AL6</calculatedColumnFormula>
    </tableColumn>
    <tableColumn id="2" name="Valeur" dataDxfId="28"/>
    <tableColumn id="4" name="Total" dataDxfId="27">
      <calculatedColumnFormula>VALUE_Spell_Poison[[#This Row],[Valeur]]*VALUE_Spell_Poison[[#This Row],[Rang]]</calculatedColumnFormula>
    </tableColumn>
  </tableColumns>
  <tableStyleInfo name="TableStyleMedium9" showFirstColumn="0" showLastColumn="0" showRowStripes="1" showColumnStripes="0"/>
</table>
</file>

<file path=xl/tables/table185.xml><?xml version="1.0" encoding="utf-8"?>
<table xmlns="http://schemas.openxmlformats.org/spreadsheetml/2006/main" id="149" name="VALUE_Spell_Earthquake" displayName="VALUE_Spell_Earthquake" ref="Q111:T115" totalsRowShown="0" headerRowDxfId="26" dataDxfId="24" headerRowBorderDxfId="25" tableBorderDxfId="23">
  <autoFilter ref="Q111:T115"/>
  <tableColumns count="4">
    <tableColumn id="1" name="LVL" dataDxfId="22"/>
    <tableColumn id="3" name="Rang" dataDxfId="21">
      <calculatedColumnFormula>Paramètres!AM6</calculatedColumnFormula>
    </tableColumn>
    <tableColumn id="2" name="Valeur" dataDxfId="20"/>
    <tableColumn id="4" name="Total" dataDxfId="19">
      <calculatedColumnFormula>VALUE_Spell_Earthquake[[#This Row],[Valeur]]*VALUE_Spell_Earthquake[[#This Row],[Rang]]</calculatedColumnFormula>
    </tableColumn>
  </tableColumns>
  <tableStyleInfo name="TableStyleMedium9" showFirstColumn="0" showLastColumn="0" showRowStripes="1" showColumnStripes="0"/>
</table>
</file>

<file path=xl/tables/table186.xml><?xml version="1.0" encoding="utf-8"?>
<table xmlns="http://schemas.openxmlformats.org/spreadsheetml/2006/main" id="150" name="VALUE_Spell_Haste" displayName="VALUE_Spell_Haste" ref="U111:X115" totalsRowShown="0" headerRowDxfId="18" dataDxfId="16" headerRowBorderDxfId="17" tableBorderDxfId="15">
  <autoFilter ref="U111:X115"/>
  <tableColumns count="4">
    <tableColumn id="1" name="LVL" dataDxfId="14"/>
    <tableColumn id="3" name="Rang" dataDxfId="13">
      <calculatedColumnFormula>Paramètres!AN6</calculatedColumnFormula>
    </tableColumn>
    <tableColumn id="2" name="Valeur" dataDxfId="12"/>
    <tableColumn id="4" name="Total" dataDxfId="11">
      <calculatedColumnFormula>VALUE_Spell_Haste[[#This Row],[Valeur]]*VALUE_Spell_Haste[[#This Row],[Rang]]</calculatedColumnFormula>
    </tableColumn>
  </tableColumns>
  <tableStyleInfo name="TableStyleMedium9" showFirstColumn="0" showLastColumn="0" showRowStripes="1" showColumnStripes="0"/>
</table>
</file>

<file path=xl/tables/table187.xml><?xml version="1.0" encoding="utf-8"?>
<table xmlns="http://schemas.openxmlformats.org/spreadsheetml/2006/main" id="85" name="CHANGELOG86" displayName="CHANGELOG86" ref="A2:F74" totalsRowShown="0" headerRowDxfId="10" dataDxfId="8" headerRowBorderDxfId="9" tableBorderDxfId="7" totalsRowBorderDxfId="6">
  <autoFilter ref="A2:F74"/>
  <sortState ref="A3:F74">
    <sortCondition descending="1" ref="A2:A74"/>
  </sortState>
  <tableColumns count="6">
    <tableColumn id="1" name="Version" dataDxfId="5"/>
    <tableColumn id="5" name="Date" dataDxfId="4"/>
    <tableColumn id="2" name="Nom de Fichier" dataDxfId="3">
      <calculatedColumnFormula>"COC - Cost &amp; Time Calcultator " &amp; A3 &amp; ".xlsx"</calculatedColumnFormula>
    </tableColumn>
    <tableColumn id="6" name="Description " dataDxfId="2"/>
    <tableColumn id="3" name="Description" dataDxfId="1"/>
    <tableColumn id="4" name="Téléchargement"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9.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8" Type="http://schemas.openxmlformats.org/officeDocument/2006/relationships/table" Target="../tables/table18.xml"/><Relationship Id="rId13" Type="http://schemas.openxmlformats.org/officeDocument/2006/relationships/table" Target="../tables/table23.xml"/><Relationship Id="rId3" Type="http://schemas.openxmlformats.org/officeDocument/2006/relationships/table" Target="../tables/table13.xml"/><Relationship Id="rId7" Type="http://schemas.openxmlformats.org/officeDocument/2006/relationships/table" Target="../tables/table17.xml"/><Relationship Id="rId12" Type="http://schemas.openxmlformats.org/officeDocument/2006/relationships/table" Target="../tables/table22.xml"/><Relationship Id="rId17" Type="http://schemas.openxmlformats.org/officeDocument/2006/relationships/table" Target="../tables/table27.xml"/><Relationship Id="rId2" Type="http://schemas.openxmlformats.org/officeDocument/2006/relationships/table" Target="../tables/table12.xml"/><Relationship Id="rId16" Type="http://schemas.openxmlformats.org/officeDocument/2006/relationships/table" Target="../tables/table26.xml"/><Relationship Id="rId1" Type="http://schemas.openxmlformats.org/officeDocument/2006/relationships/printerSettings" Target="../printerSettings/printerSettings10.bin"/><Relationship Id="rId6" Type="http://schemas.openxmlformats.org/officeDocument/2006/relationships/table" Target="../tables/table16.xml"/><Relationship Id="rId11" Type="http://schemas.openxmlformats.org/officeDocument/2006/relationships/table" Target="../tables/table21.xml"/><Relationship Id="rId5" Type="http://schemas.openxmlformats.org/officeDocument/2006/relationships/table" Target="../tables/table15.xml"/><Relationship Id="rId15" Type="http://schemas.openxmlformats.org/officeDocument/2006/relationships/table" Target="../tables/table25.xml"/><Relationship Id="rId10" Type="http://schemas.openxmlformats.org/officeDocument/2006/relationships/table" Target="../tables/table20.xml"/><Relationship Id="rId4" Type="http://schemas.openxmlformats.org/officeDocument/2006/relationships/table" Target="../tables/table14.xml"/><Relationship Id="rId9" Type="http://schemas.openxmlformats.org/officeDocument/2006/relationships/table" Target="../tables/table19.xml"/><Relationship Id="rId14" Type="http://schemas.openxmlformats.org/officeDocument/2006/relationships/table" Target="../tables/table24.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29.xml"/><Relationship Id="rId2" Type="http://schemas.openxmlformats.org/officeDocument/2006/relationships/table" Target="../tables/table2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3" Type="http://schemas.openxmlformats.org/officeDocument/2006/relationships/table" Target="../tables/table41.xml"/><Relationship Id="rId18" Type="http://schemas.openxmlformats.org/officeDocument/2006/relationships/table" Target="../tables/table46.xml"/><Relationship Id="rId26" Type="http://schemas.openxmlformats.org/officeDocument/2006/relationships/table" Target="../tables/table54.xml"/><Relationship Id="rId39" Type="http://schemas.openxmlformats.org/officeDocument/2006/relationships/table" Target="../tables/table67.xml"/><Relationship Id="rId21" Type="http://schemas.openxmlformats.org/officeDocument/2006/relationships/table" Target="../tables/table49.xml"/><Relationship Id="rId34" Type="http://schemas.openxmlformats.org/officeDocument/2006/relationships/table" Target="../tables/table62.xml"/><Relationship Id="rId42" Type="http://schemas.openxmlformats.org/officeDocument/2006/relationships/table" Target="../tables/table70.xml"/><Relationship Id="rId47" Type="http://schemas.openxmlformats.org/officeDocument/2006/relationships/table" Target="../tables/table75.xml"/><Relationship Id="rId50" Type="http://schemas.openxmlformats.org/officeDocument/2006/relationships/table" Target="../tables/table78.xml"/><Relationship Id="rId55" Type="http://schemas.openxmlformats.org/officeDocument/2006/relationships/table" Target="../tables/table83.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5" Type="http://schemas.openxmlformats.org/officeDocument/2006/relationships/table" Target="../tables/table53.xml"/><Relationship Id="rId33" Type="http://schemas.openxmlformats.org/officeDocument/2006/relationships/table" Target="../tables/table61.xml"/><Relationship Id="rId38" Type="http://schemas.openxmlformats.org/officeDocument/2006/relationships/table" Target="../tables/table66.xml"/><Relationship Id="rId46" Type="http://schemas.openxmlformats.org/officeDocument/2006/relationships/table" Target="../tables/table74.xml"/><Relationship Id="rId59" Type="http://schemas.openxmlformats.org/officeDocument/2006/relationships/table" Target="../tables/table87.xml"/><Relationship Id="rId2" Type="http://schemas.openxmlformats.org/officeDocument/2006/relationships/table" Target="../tables/table30.xml"/><Relationship Id="rId16" Type="http://schemas.openxmlformats.org/officeDocument/2006/relationships/table" Target="../tables/table44.xml"/><Relationship Id="rId20" Type="http://schemas.openxmlformats.org/officeDocument/2006/relationships/table" Target="../tables/table48.xml"/><Relationship Id="rId29" Type="http://schemas.openxmlformats.org/officeDocument/2006/relationships/table" Target="../tables/table57.xml"/><Relationship Id="rId41" Type="http://schemas.openxmlformats.org/officeDocument/2006/relationships/table" Target="../tables/table69.xml"/><Relationship Id="rId54" Type="http://schemas.openxmlformats.org/officeDocument/2006/relationships/table" Target="../tables/table82.xml"/><Relationship Id="rId1" Type="http://schemas.openxmlformats.org/officeDocument/2006/relationships/printerSettings" Target="../printerSettings/printerSettings12.bin"/><Relationship Id="rId6" Type="http://schemas.openxmlformats.org/officeDocument/2006/relationships/table" Target="../tables/table34.xml"/><Relationship Id="rId11" Type="http://schemas.openxmlformats.org/officeDocument/2006/relationships/table" Target="../tables/table39.xml"/><Relationship Id="rId24" Type="http://schemas.openxmlformats.org/officeDocument/2006/relationships/table" Target="../tables/table52.xml"/><Relationship Id="rId32" Type="http://schemas.openxmlformats.org/officeDocument/2006/relationships/table" Target="../tables/table60.xml"/><Relationship Id="rId37" Type="http://schemas.openxmlformats.org/officeDocument/2006/relationships/table" Target="../tables/table65.xml"/><Relationship Id="rId40" Type="http://schemas.openxmlformats.org/officeDocument/2006/relationships/table" Target="../tables/table68.xml"/><Relationship Id="rId45" Type="http://schemas.openxmlformats.org/officeDocument/2006/relationships/table" Target="../tables/table73.xml"/><Relationship Id="rId53" Type="http://schemas.openxmlformats.org/officeDocument/2006/relationships/table" Target="../tables/table81.xml"/><Relationship Id="rId58" Type="http://schemas.openxmlformats.org/officeDocument/2006/relationships/table" Target="../tables/table86.xml"/><Relationship Id="rId5" Type="http://schemas.openxmlformats.org/officeDocument/2006/relationships/table" Target="../tables/table33.xml"/><Relationship Id="rId15" Type="http://schemas.openxmlformats.org/officeDocument/2006/relationships/table" Target="../tables/table43.xml"/><Relationship Id="rId23" Type="http://schemas.openxmlformats.org/officeDocument/2006/relationships/table" Target="../tables/table51.xml"/><Relationship Id="rId28" Type="http://schemas.openxmlformats.org/officeDocument/2006/relationships/table" Target="../tables/table56.xml"/><Relationship Id="rId36" Type="http://schemas.openxmlformats.org/officeDocument/2006/relationships/table" Target="../tables/table64.xml"/><Relationship Id="rId49" Type="http://schemas.openxmlformats.org/officeDocument/2006/relationships/table" Target="../tables/table77.xml"/><Relationship Id="rId57" Type="http://schemas.openxmlformats.org/officeDocument/2006/relationships/table" Target="../tables/table85.xml"/><Relationship Id="rId10" Type="http://schemas.openxmlformats.org/officeDocument/2006/relationships/table" Target="../tables/table38.xml"/><Relationship Id="rId19" Type="http://schemas.openxmlformats.org/officeDocument/2006/relationships/table" Target="../tables/table47.xml"/><Relationship Id="rId31" Type="http://schemas.openxmlformats.org/officeDocument/2006/relationships/table" Target="../tables/table59.xml"/><Relationship Id="rId44" Type="http://schemas.openxmlformats.org/officeDocument/2006/relationships/table" Target="../tables/table72.xml"/><Relationship Id="rId52" Type="http://schemas.openxmlformats.org/officeDocument/2006/relationships/table" Target="../tables/table80.xml"/><Relationship Id="rId60" Type="http://schemas.openxmlformats.org/officeDocument/2006/relationships/table" Target="../tables/table88.xml"/><Relationship Id="rId4" Type="http://schemas.openxmlformats.org/officeDocument/2006/relationships/table" Target="../tables/table32.xml"/><Relationship Id="rId9" Type="http://schemas.openxmlformats.org/officeDocument/2006/relationships/table" Target="../tables/table37.xml"/><Relationship Id="rId14" Type="http://schemas.openxmlformats.org/officeDocument/2006/relationships/table" Target="../tables/table42.xml"/><Relationship Id="rId22" Type="http://schemas.openxmlformats.org/officeDocument/2006/relationships/table" Target="../tables/table50.xml"/><Relationship Id="rId27" Type="http://schemas.openxmlformats.org/officeDocument/2006/relationships/table" Target="../tables/table55.xml"/><Relationship Id="rId30" Type="http://schemas.openxmlformats.org/officeDocument/2006/relationships/table" Target="../tables/table58.xml"/><Relationship Id="rId35" Type="http://schemas.openxmlformats.org/officeDocument/2006/relationships/table" Target="../tables/table63.xml"/><Relationship Id="rId43" Type="http://schemas.openxmlformats.org/officeDocument/2006/relationships/table" Target="../tables/table71.xml"/><Relationship Id="rId48" Type="http://schemas.openxmlformats.org/officeDocument/2006/relationships/table" Target="../tables/table76.xml"/><Relationship Id="rId56" Type="http://schemas.openxmlformats.org/officeDocument/2006/relationships/table" Target="../tables/table84.xml"/><Relationship Id="rId8" Type="http://schemas.openxmlformats.org/officeDocument/2006/relationships/table" Target="../tables/table36.xml"/><Relationship Id="rId51" Type="http://schemas.openxmlformats.org/officeDocument/2006/relationships/table" Target="../tables/table79.xml"/><Relationship Id="rId3" Type="http://schemas.openxmlformats.org/officeDocument/2006/relationships/table" Target="../tables/table31.xml"/></Relationships>
</file>

<file path=xl/worksheets/_rels/sheet13.xml.rels><?xml version="1.0" encoding="UTF-8" standalone="yes"?>
<Relationships xmlns="http://schemas.openxmlformats.org/package/2006/relationships"><Relationship Id="rId8" Type="http://schemas.openxmlformats.org/officeDocument/2006/relationships/table" Target="../tables/table95.xml"/><Relationship Id="rId3" Type="http://schemas.openxmlformats.org/officeDocument/2006/relationships/table" Target="../tables/table90.xml"/><Relationship Id="rId7" Type="http://schemas.openxmlformats.org/officeDocument/2006/relationships/table" Target="../tables/table94.xml"/><Relationship Id="rId2" Type="http://schemas.openxmlformats.org/officeDocument/2006/relationships/table" Target="../tables/table89.xml"/><Relationship Id="rId1" Type="http://schemas.openxmlformats.org/officeDocument/2006/relationships/printerSettings" Target="../printerSettings/printerSettings13.bin"/><Relationship Id="rId6" Type="http://schemas.openxmlformats.org/officeDocument/2006/relationships/table" Target="../tables/table93.xml"/><Relationship Id="rId5" Type="http://schemas.openxmlformats.org/officeDocument/2006/relationships/table" Target="../tables/table92.xml"/><Relationship Id="rId4" Type="http://schemas.openxmlformats.org/officeDocument/2006/relationships/table" Target="../tables/table91.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97.xml"/><Relationship Id="rId2" Type="http://schemas.openxmlformats.org/officeDocument/2006/relationships/table" Target="../tables/table96.xml"/><Relationship Id="rId1" Type="http://schemas.openxmlformats.org/officeDocument/2006/relationships/printerSettings" Target="../printerSettings/printerSettings14.bin"/><Relationship Id="rId4" Type="http://schemas.openxmlformats.org/officeDocument/2006/relationships/table" Target="../tables/table98.xml"/></Relationships>
</file>

<file path=xl/worksheets/_rels/sheet15.xml.rels><?xml version="1.0" encoding="UTF-8" standalone="yes"?>
<Relationships xmlns="http://schemas.openxmlformats.org/package/2006/relationships"><Relationship Id="rId8" Type="http://schemas.openxmlformats.org/officeDocument/2006/relationships/table" Target="../tables/table105.xml"/><Relationship Id="rId13" Type="http://schemas.openxmlformats.org/officeDocument/2006/relationships/table" Target="../tables/table110.xml"/><Relationship Id="rId18" Type="http://schemas.openxmlformats.org/officeDocument/2006/relationships/table" Target="../tables/table115.xml"/><Relationship Id="rId26" Type="http://schemas.openxmlformats.org/officeDocument/2006/relationships/table" Target="../tables/table123.xml"/><Relationship Id="rId3" Type="http://schemas.openxmlformats.org/officeDocument/2006/relationships/table" Target="../tables/table100.xml"/><Relationship Id="rId21" Type="http://schemas.openxmlformats.org/officeDocument/2006/relationships/table" Target="../tables/table118.xml"/><Relationship Id="rId7" Type="http://schemas.openxmlformats.org/officeDocument/2006/relationships/table" Target="../tables/table104.xml"/><Relationship Id="rId12" Type="http://schemas.openxmlformats.org/officeDocument/2006/relationships/table" Target="../tables/table109.xml"/><Relationship Id="rId17" Type="http://schemas.openxmlformats.org/officeDocument/2006/relationships/table" Target="../tables/table114.xml"/><Relationship Id="rId25" Type="http://schemas.openxmlformats.org/officeDocument/2006/relationships/table" Target="../tables/table122.xml"/><Relationship Id="rId2" Type="http://schemas.openxmlformats.org/officeDocument/2006/relationships/table" Target="../tables/table99.xml"/><Relationship Id="rId16" Type="http://schemas.openxmlformats.org/officeDocument/2006/relationships/table" Target="../tables/table113.xml"/><Relationship Id="rId20" Type="http://schemas.openxmlformats.org/officeDocument/2006/relationships/table" Target="../tables/table117.xml"/><Relationship Id="rId29" Type="http://schemas.openxmlformats.org/officeDocument/2006/relationships/table" Target="../tables/table126.xml"/><Relationship Id="rId1" Type="http://schemas.openxmlformats.org/officeDocument/2006/relationships/printerSettings" Target="../printerSettings/printerSettings15.bin"/><Relationship Id="rId6" Type="http://schemas.openxmlformats.org/officeDocument/2006/relationships/table" Target="../tables/table103.xml"/><Relationship Id="rId11" Type="http://schemas.openxmlformats.org/officeDocument/2006/relationships/table" Target="../tables/table108.xml"/><Relationship Id="rId24" Type="http://schemas.openxmlformats.org/officeDocument/2006/relationships/table" Target="../tables/table121.xml"/><Relationship Id="rId5" Type="http://schemas.openxmlformats.org/officeDocument/2006/relationships/table" Target="../tables/table102.xml"/><Relationship Id="rId15" Type="http://schemas.openxmlformats.org/officeDocument/2006/relationships/table" Target="../tables/table112.xml"/><Relationship Id="rId23" Type="http://schemas.openxmlformats.org/officeDocument/2006/relationships/table" Target="../tables/table120.xml"/><Relationship Id="rId28" Type="http://schemas.openxmlformats.org/officeDocument/2006/relationships/table" Target="../tables/table125.xml"/><Relationship Id="rId10" Type="http://schemas.openxmlformats.org/officeDocument/2006/relationships/table" Target="../tables/table107.xml"/><Relationship Id="rId19" Type="http://schemas.openxmlformats.org/officeDocument/2006/relationships/table" Target="../tables/table116.xml"/><Relationship Id="rId31" Type="http://schemas.openxmlformats.org/officeDocument/2006/relationships/table" Target="../tables/table128.xml"/><Relationship Id="rId4" Type="http://schemas.openxmlformats.org/officeDocument/2006/relationships/table" Target="../tables/table101.xml"/><Relationship Id="rId9" Type="http://schemas.openxmlformats.org/officeDocument/2006/relationships/table" Target="../tables/table106.xml"/><Relationship Id="rId14" Type="http://schemas.openxmlformats.org/officeDocument/2006/relationships/table" Target="../tables/table111.xml"/><Relationship Id="rId22" Type="http://schemas.openxmlformats.org/officeDocument/2006/relationships/table" Target="../tables/table119.xml"/><Relationship Id="rId27" Type="http://schemas.openxmlformats.org/officeDocument/2006/relationships/table" Target="../tables/table124.xml"/><Relationship Id="rId30" Type="http://schemas.openxmlformats.org/officeDocument/2006/relationships/table" Target="../tables/table127.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29.xml"/></Relationships>
</file>

<file path=xl/worksheets/_rels/sheet17.xml.rels><?xml version="1.0" encoding="UTF-8" standalone="yes"?>
<Relationships xmlns="http://schemas.openxmlformats.org/package/2006/relationships"><Relationship Id="rId2" Type="http://schemas.openxmlformats.org/officeDocument/2006/relationships/table" Target="../tables/table13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3" Type="http://schemas.openxmlformats.org/officeDocument/2006/relationships/table" Target="../tables/table142.xml"/><Relationship Id="rId18" Type="http://schemas.openxmlformats.org/officeDocument/2006/relationships/table" Target="../tables/table147.xml"/><Relationship Id="rId26" Type="http://schemas.openxmlformats.org/officeDocument/2006/relationships/table" Target="../tables/table155.xml"/><Relationship Id="rId39" Type="http://schemas.openxmlformats.org/officeDocument/2006/relationships/table" Target="../tables/table168.xml"/><Relationship Id="rId21" Type="http://schemas.openxmlformats.org/officeDocument/2006/relationships/table" Target="../tables/table150.xml"/><Relationship Id="rId34" Type="http://schemas.openxmlformats.org/officeDocument/2006/relationships/table" Target="../tables/table163.xml"/><Relationship Id="rId42" Type="http://schemas.openxmlformats.org/officeDocument/2006/relationships/table" Target="../tables/table171.xml"/><Relationship Id="rId47" Type="http://schemas.openxmlformats.org/officeDocument/2006/relationships/table" Target="../tables/table176.xml"/><Relationship Id="rId50" Type="http://schemas.openxmlformats.org/officeDocument/2006/relationships/table" Target="../tables/table179.xml"/><Relationship Id="rId55" Type="http://schemas.openxmlformats.org/officeDocument/2006/relationships/table" Target="../tables/table184.xml"/><Relationship Id="rId7" Type="http://schemas.openxmlformats.org/officeDocument/2006/relationships/table" Target="../tables/table136.xml"/><Relationship Id="rId12" Type="http://schemas.openxmlformats.org/officeDocument/2006/relationships/table" Target="../tables/table141.xml"/><Relationship Id="rId17" Type="http://schemas.openxmlformats.org/officeDocument/2006/relationships/table" Target="../tables/table146.xml"/><Relationship Id="rId25" Type="http://schemas.openxmlformats.org/officeDocument/2006/relationships/table" Target="../tables/table154.xml"/><Relationship Id="rId33" Type="http://schemas.openxmlformats.org/officeDocument/2006/relationships/table" Target="../tables/table162.xml"/><Relationship Id="rId38" Type="http://schemas.openxmlformats.org/officeDocument/2006/relationships/table" Target="../tables/table167.xml"/><Relationship Id="rId46" Type="http://schemas.openxmlformats.org/officeDocument/2006/relationships/table" Target="../tables/table175.xml"/><Relationship Id="rId2" Type="http://schemas.openxmlformats.org/officeDocument/2006/relationships/table" Target="../tables/table131.xml"/><Relationship Id="rId16" Type="http://schemas.openxmlformats.org/officeDocument/2006/relationships/table" Target="../tables/table145.xml"/><Relationship Id="rId20" Type="http://schemas.openxmlformats.org/officeDocument/2006/relationships/table" Target="../tables/table149.xml"/><Relationship Id="rId29" Type="http://schemas.openxmlformats.org/officeDocument/2006/relationships/table" Target="../tables/table158.xml"/><Relationship Id="rId41" Type="http://schemas.openxmlformats.org/officeDocument/2006/relationships/table" Target="../tables/table170.xml"/><Relationship Id="rId54" Type="http://schemas.openxmlformats.org/officeDocument/2006/relationships/table" Target="../tables/table183.xml"/><Relationship Id="rId1" Type="http://schemas.openxmlformats.org/officeDocument/2006/relationships/printerSettings" Target="../printerSettings/printerSettings19.bin"/><Relationship Id="rId6" Type="http://schemas.openxmlformats.org/officeDocument/2006/relationships/table" Target="../tables/table135.xml"/><Relationship Id="rId11" Type="http://schemas.openxmlformats.org/officeDocument/2006/relationships/table" Target="../tables/table140.xml"/><Relationship Id="rId24" Type="http://schemas.openxmlformats.org/officeDocument/2006/relationships/table" Target="../tables/table153.xml"/><Relationship Id="rId32" Type="http://schemas.openxmlformats.org/officeDocument/2006/relationships/table" Target="../tables/table161.xml"/><Relationship Id="rId37" Type="http://schemas.openxmlformats.org/officeDocument/2006/relationships/table" Target="../tables/table166.xml"/><Relationship Id="rId40" Type="http://schemas.openxmlformats.org/officeDocument/2006/relationships/table" Target="../tables/table169.xml"/><Relationship Id="rId45" Type="http://schemas.openxmlformats.org/officeDocument/2006/relationships/table" Target="../tables/table174.xml"/><Relationship Id="rId53" Type="http://schemas.openxmlformats.org/officeDocument/2006/relationships/table" Target="../tables/table182.xml"/><Relationship Id="rId5" Type="http://schemas.openxmlformats.org/officeDocument/2006/relationships/table" Target="../tables/table134.xml"/><Relationship Id="rId15" Type="http://schemas.openxmlformats.org/officeDocument/2006/relationships/table" Target="../tables/table144.xml"/><Relationship Id="rId23" Type="http://schemas.openxmlformats.org/officeDocument/2006/relationships/table" Target="../tables/table152.xml"/><Relationship Id="rId28" Type="http://schemas.openxmlformats.org/officeDocument/2006/relationships/table" Target="../tables/table157.xml"/><Relationship Id="rId36" Type="http://schemas.openxmlformats.org/officeDocument/2006/relationships/table" Target="../tables/table165.xml"/><Relationship Id="rId49" Type="http://schemas.openxmlformats.org/officeDocument/2006/relationships/table" Target="../tables/table178.xml"/><Relationship Id="rId57" Type="http://schemas.openxmlformats.org/officeDocument/2006/relationships/table" Target="../tables/table186.xml"/><Relationship Id="rId10" Type="http://schemas.openxmlformats.org/officeDocument/2006/relationships/table" Target="../tables/table139.xml"/><Relationship Id="rId19" Type="http://schemas.openxmlformats.org/officeDocument/2006/relationships/table" Target="../tables/table148.xml"/><Relationship Id="rId31" Type="http://schemas.openxmlformats.org/officeDocument/2006/relationships/table" Target="../tables/table160.xml"/><Relationship Id="rId44" Type="http://schemas.openxmlformats.org/officeDocument/2006/relationships/table" Target="../tables/table173.xml"/><Relationship Id="rId52" Type="http://schemas.openxmlformats.org/officeDocument/2006/relationships/table" Target="../tables/table181.xml"/><Relationship Id="rId4" Type="http://schemas.openxmlformats.org/officeDocument/2006/relationships/table" Target="../tables/table133.xml"/><Relationship Id="rId9" Type="http://schemas.openxmlformats.org/officeDocument/2006/relationships/table" Target="../tables/table138.xml"/><Relationship Id="rId14" Type="http://schemas.openxmlformats.org/officeDocument/2006/relationships/table" Target="../tables/table143.xml"/><Relationship Id="rId22" Type="http://schemas.openxmlformats.org/officeDocument/2006/relationships/table" Target="../tables/table151.xml"/><Relationship Id="rId27" Type="http://schemas.openxmlformats.org/officeDocument/2006/relationships/table" Target="../tables/table156.xml"/><Relationship Id="rId30" Type="http://schemas.openxmlformats.org/officeDocument/2006/relationships/table" Target="../tables/table159.xml"/><Relationship Id="rId35" Type="http://schemas.openxmlformats.org/officeDocument/2006/relationships/table" Target="../tables/table164.xml"/><Relationship Id="rId43" Type="http://schemas.openxmlformats.org/officeDocument/2006/relationships/table" Target="../tables/table172.xml"/><Relationship Id="rId48" Type="http://schemas.openxmlformats.org/officeDocument/2006/relationships/table" Target="../tables/table177.xml"/><Relationship Id="rId56" Type="http://schemas.openxmlformats.org/officeDocument/2006/relationships/table" Target="../tables/table185.xml"/><Relationship Id="rId8" Type="http://schemas.openxmlformats.org/officeDocument/2006/relationships/table" Target="../tables/table137.xml"/><Relationship Id="rId51" Type="http://schemas.openxmlformats.org/officeDocument/2006/relationships/table" Target="../tables/table180.xml"/><Relationship Id="rId3" Type="http://schemas.openxmlformats.org/officeDocument/2006/relationships/table" Target="../tables/table132.xml"/></Relationships>
</file>

<file path=xl/worksheets/_rels/sheet21.xml.rels><?xml version="1.0" encoding="UTF-8" standalone="yes"?>
<Relationships xmlns="http://schemas.openxmlformats.org/package/2006/relationships"><Relationship Id="rId8" Type="http://schemas.openxmlformats.org/officeDocument/2006/relationships/hyperlink" Target="https://www.fichier-xls.fr/2016/03/26/coc-calcultator-v7-vierge/" TargetMode="External"/><Relationship Id="rId3" Type="http://schemas.openxmlformats.org/officeDocument/2006/relationships/hyperlink" Target="http://www.fichier-xls.fr/2015/05/30/coc-calcultator-v4-17-04-vierge/" TargetMode="External"/><Relationship Id="rId7" Type="http://schemas.openxmlformats.org/officeDocument/2006/relationships/hyperlink" Target="http://www.cjoint.com/c/FAksLbvTKcE" TargetMode="External"/><Relationship Id="rId12" Type="http://schemas.openxmlformats.org/officeDocument/2006/relationships/table" Target="../tables/table187.xml"/><Relationship Id="rId2" Type="http://schemas.openxmlformats.org/officeDocument/2006/relationships/hyperlink" Target="http://www.fichier-xls.fr/2015/10/22/coc-calcultator-v5.02-vierge/" TargetMode="External"/><Relationship Id="rId1" Type="http://schemas.openxmlformats.org/officeDocument/2006/relationships/hyperlink" Target="http://www.fichier-xls.fr/2015/09/19/coc-calcultator-v5.01-vierge/" TargetMode="External"/><Relationship Id="rId6" Type="http://schemas.openxmlformats.org/officeDocument/2006/relationships/hyperlink" Target="http://www.fichier-xls.fr/2015/12/24/coc-calcultator-v6-02-vierge/" TargetMode="External"/><Relationship Id="rId11" Type="http://schemas.openxmlformats.org/officeDocument/2006/relationships/printerSettings" Target="../printerSettings/printerSettings20.bin"/><Relationship Id="rId5" Type="http://schemas.openxmlformats.org/officeDocument/2006/relationships/hyperlink" Target="http://www.fichier-xls.fr/2015/12/19/coc-calcultator-v6-01-01-vierge/" TargetMode="External"/><Relationship Id="rId10" Type="http://schemas.openxmlformats.org/officeDocument/2006/relationships/hyperlink" Target="https://www.fichier-xls.fr/2016/05/05/coc-calcultator-v7-02-vierge/" TargetMode="External"/><Relationship Id="rId4" Type="http://schemas.openxmlformats.org/officeDocument/2006/relationships/hyperlink" Target="http://www.fichier-xls.fr/2015/12/12/coc-calcultator-v6-01-vierge/" TargetMode="External"/><Relationship Id="rId9" Type="http://schemas.openxmlformats.org/officeDocument/2006/relationships/hyperlink" Target="https://www.fichier-xls.fr/2016/04/01/coc-calcultator-v7-01-vier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L59"/>
  <sheetViews>
    <sheetView tabSelected="1" workbookViewId="0">
      <selection activeCell="A2" sqref="A2"/>
    </sheetView>
  </sheetViews>
  <sheetFormatPr baseColWidth="10" defaultRowHeight="15" x14ac:dyDescent="0.25"/>
  <cols>
    <col min="1" max="1" width="30" customWidth="1"/>
  </cols>
  <sheetData>
    <row r="1" spans="1:12" ht="23.25" x14ac:dyDescent="0.35">
      <c r="A1" s="954" t="s">
        <v>805</v>
      </c>
    </row>
    <row r="2" spans="1:12" ht="15.75" customHeight="1" x14ac:dyDescent="0.35">
      <c r="A2" s="954"/>
    </row>
    <row r="3" spans="1:12" ht="145.5" customHeight="1" x14ac:dyDescent="0.25">
      <c r="A3" s="1027" t="s">
        <v>802</v>
      </c>
      <c r="B3" s="1028"/>
      <c r="C3" s="1028"/>
      <c r="D3" s="1028"/>
      <c r="E3" s="1028"/>
      <c r="F3" s="1028"/>
      <c r="G3" s="1028"/>
      <c r="H3" s="1028"/>
    </row>
    <row r="4" spans="1:12" x14ac:dyDescent="0.25">
      <c r="A4" s="961"/>
      <c r="B4" s="962"/>
      <c r="C4" s="962"/>
      <c r="D4" s="962"/>
      <c r="E4" s="962"/>
      <c r="F4" s="962"/>
      <c r="G4" s="962"/>
      <c r="H4" s="962"/>
    </row>
    <row r="5" spans="1:12" x14ac:dyDescent="0.25">
      <c r="A5" s="961"/>
      <c r="B5" s="962"/>
      <c r="C5" s="962"/>
      <c r="D5" s="962"/>
      <c r="E5" s="962"/>
      <c r="F5" s="962"/>
      <c r="G5" s="962"/>
      <c r="H5" s="962"/>
    </row>
    <row r="6" spans="1:12" ht="23.25" x14ac:dyDescent="0.35">
      <c r="A6" s="954" t="s">
        <v>800</v>
      </c>
    </row>
    <row r="8" spans="1:12" ht="18.75" x14ac:dyDescent="0.3">
      <c r="A8" s="959" t="s">
        <v>799</v>
      </c>
    </row>
    <row r="9" spans="1:12" ht="49.5" customHeight="1" x14ac:dyDescent="0.25">
      <c r="A9" s="958" t="s">
        <v>798</v>
      </c>
      <c r="B9" s="1027" t="s">
        <v>797</v>
      </c>
      <c r="C9" s="1027"/>
      <c r="D9" s="1027"/>
      <c r="E9" s="1027"/>
      <c r="F9" s="1027"/>
      <c r="G9" s="1027"/>
      <c r="H9" s="1027"/>
      <c r="I9" s="1027"/>
      <c r="J9" s="1027"/>
      <c r="K9" s="1027"/>
      <c r="L9" s="1027"/>
    </row>
    <row r="10" spans="1:12" ht="28.5" customHeight="1" x14ac:dyDescent="0.25">
      <c r="A10" s="958" t="s">
        <v>796</v>
      </c>
      <c r="B10" s="1027" t="s">
        <v>795</v>
      </c>
      <c r="C10" s="1027"/>
      <c r="D10" s="1027"/>
      <c r="E10" s="1027"/>
      <c r="F10" s="1027"/>
      <c r="G10" s="1027"/>
      <c r="H10" s="1027"/>
      <c r="I10" s="1027"/>
      <c r="J10" s="1027"/>
      <c r="K10" s="1027"/>
      <c r="L10" s="1027"/>
    </row>
    <row r="11" spans="1:12" ht="43.5" customHeight="1" x14ac:dyDescent="0.25">
      <c r="A11" s="958" t="s">
        <v>119</v>
      </c>
      <c r="B11" s="1027" t="s">
        <v>794</v>
      </c>
      <c r="C11" s="1027"/>
      <c r="D11" s="1027"/>
      <c r="E11" s="1027"/>
      <c r="F11" s="1027"/>
      <c r="G11" s="1027"/>
      <c r="H11" s="1027"/>
      <c r="I11" s="1027"/>
      <c r="J11" s="1027"/>
      <c r="K11" s="1027"/>
      <c r="L11" s="1027"/>
    </row>
    <row r="12" spans="1:12" ht="30" customHeight="1" x14ac:dyDescent="0.25">
      <c r="A12" s="958" t="s">
        <v>793</v>
      </c>
      <c r="B12" s="1027" t="s">
        <v>792</v>
      </c>
      <c r="C12" s="1027"/>
      <c r="D12" s="1027"/>
      <c r="E12" s="1027"/>
      <c r="F12" s="1027"/>
      <c r="G12" s="1027"/>
      <c r="H12" s="1027"/>
      <c r="I12" s="1027"/>
      <c r="J12" s="1027"/>
      <c r="K12" s="1027"/>
      <c r="L12" s="1027"/>
    </row>
    <row r="13" spans="1:12" ht="46.5" customHeight="1" x14ac:dyDescent="0.25">
      <c r="A13" s="960" t="s">
        <v>791</v>
      </c>
      <c r="B13" s="1027" t="s">
        <v>790</v>
      </c>
      <c r="C13" s="1027"/>
      <c r="D13" s="1027"/>
      <c r="E13" s="1027"/>
      <c r="F13" s="1027"/>
      <c r="G13" s="1027"/>
      <c r="H13" s="1027"/>
      <c r="I13" s="1027"/>
      <c r="J13" s="1027"/>
      <c r="K13" s="1027"/>
      <c r="L13" s="1027"/>
    </row>
    <row r="14" spans="1:12" ht="45.75" customHeight="1" x14ac:dyDescent="0.25">
      <c r="A14" s="960" t="s">
        <v>789</v>
      </c>
      <c r="B14" s="1027" t="s">
        <v>788</v>
      </c>
      <c r="C14" s="1027"/>
      <c r="D14" s="1027"/>
      <c r="E14" s="1027"/>
      <c r="F14" s="1027"/>
      <c r="G14" s="1027"/>
      <c r="H14" s="1027"/>
      <c r="I14" s="1027"/>
      <c r="J14" s="1027"/>
      <c r="K14" s="1027"/>
      <c r="L14" s="1027"/>
    </row>
    <row r="15" spans="1:12" ht="46.5" customHeight="1" x14ac:dyDescent="0.25">
      <c r="A15" s="960" t="s">
        <v>697</v>
      </c>
      <c r="B15" s="1027"/>
      <c r="C15" s="1027"/>
      <c r="D15" s="1027"/>
      <c r="E15" s="1027"/>
      <c r="F15" s="1027"/>
      <c r="G15" s="1027"/>
      <c r="H15" s="1027"/>
      <c r="I15" s="1027"/>
      <c r="J15" s="1027"/>
      <c r="K15" s="1027"/>
      <c r="L15" s="1027"/>
    </row>
    <row r="17" spans="1:12" ht="18.75" x14ac:dyDescent="0.3">
      <c r="A17" s="959" t="s">
        <v>787</v>
      </c>
    </row>
    <row r="18" spans="1:12" x14ac:dyDescent="0.25">
      <c r="A18" s="958" t="s">
        <v>786</v>
      </c>
      <c r="B18" s="1027" t="s">
        <v>785</v>
      </c>
      <c r="C18" s="1027"/>
      <c r="D18" s="1027"/>
      <c r="E18" s="1027"/>
      <c r="F18" s="1027"/>
      <c r="G18" s="1027"/>
      <c r="H18" s="1027"/>
      <c r="I18" s="1027"/>
      <c r="J18" s="1027"/>
      <c r="K18" s="1027"/>
      <c r="L18" s="1027"/>
    </row>
    <row r="19" spans="1:12" x14ac:dyDescent="0.25">
      <c r="A19" s="958" t="s">
        <v>784</v>
      </c>
      <c r="B19" s="1027" t="s">
        <v>783</v>
      </c>
      <c r="C19" s="1027"/>
      <c r="D19" s="1027"/>
      <c r="E19" s="1027"/>
      <c r="F19" s="1027"/>
      <c r="G19" s="1027"/>
      <c r="H19" s="1027"/>
      <c r="I19" s="1027"/>
      <c r="J19" s="1027"/>
      <c r="K19" s="1027"/>
      <c r="L19" s="1027"/>
    </row>
    <row r="20" spans="1:12" x14ac:dyDescent="0.25">
      <c r="A20" s="958" t="s">
        <v>178</v>
      </c>
      <c r="B20" s="1027" t="s">
        <v>782</v>
      </c>
      <c r="C20" s="1027"/>
      <c r="D20" s="1027"/>
      <c r="E20" s="1027"/>
      <c r="F20" s="1027"/>
      <c r="G20" s="1027"/>
      <c r="H20" s="1027"/>
      <c r="I20" s="1027"/>
      <c r="J20" s="1027"/>
      <c r="K20" s="1027"/>
      <c r="L20" s="1027"/>
    </row>
    <row r="21" spans="1:12" x14ac:dyDescent="0.25">
      <c r="A21" s="958" t="s">
        <v>781</v>
      </c>
      <c r="B21" s="1027" t="s">
        <v>780</v>
      </c>
      <c r="C21" s="1027"/>
      <c r="D21" s="1027"/>
      <c r="E21" s="1027"/>
      <c r="F21" s="1027"/>
      <c r="G21" s="1027"/>
      <c r="H21" s="1027"/>
      <c r="I21" s="1027"/>
      <c r="J21" s="1027"/>
      <c r="K21" s="1027"/>
      <c r="L21" s="1027"/>
    </row>
    <row r="22" spans="1:12" x14ac:dyDescent="0.25">
      <c r="A22" s="958" t="s">
        <v>779</v>
      </c>
      <c r="B22" s="1027" t="s">
        <v>778</v>
      </c>
      <c r="C22" s="1027"/>
      <c r="D22" s="1027"/>
      <c r="E22" s="1027"/>
      <c r="F22" s="1027"/>
      <c r="G22" s="1027"/>
      <c r="H22" s="1027"/>
      <c r="I22" s="1027"/>
      <c r="J22" s="1027"/>
      <c r="K22" s="1027"/>
      <c r="L22" s="1027"/>
    </row>
    <row r="23" spans="1:12" x14ac:dyDescent="0.25">
      <c r="A23" s="958" t="s">
        <v>294</v>
      </c>
      <c r="B23" s="1027" t="s">
        <v>777</v>
      </c>
      <c r="C23" s="1027"/>
      <c r="D23" s="1027"/>
      <c r="E23" s="1027"/>
      <c r="F23" s="1027"/>
      <c r="G23" s="1027"/>
      <c r="H23" s="1027"/>
      <c r="I23" s="1027"/>
      <c r="J23" s="1027"/>
      <c r="K23" s="1027"/>
      <c r="L23" s="1027"/>
    </row>
    <row r="24" spans="1:12" x14ac:dyDescent="0.25">
      <c r="A24" s="958" t="s">
        <v>776</v>
      </c>
      <c r="B24" s="1027" t="s">
        <v>775</v>
      </c>
      <c r="C24" s="1027"/>
      <c r="D24" s="1027"/>
      <c r="E24" s="1027"/>
      <c r="F24" s="1027"/>
      <c r="G24" s="1027"/>
      <c r="H24" s="1027"/>
      <c r="I24" s="1027"/>
      <c r="J24" s="1027"/>
      <c r="K24" s="1027"/>
      <c r="L24" s="1027"/>
    </row>
    <row r="25" spans="1:12" ht="30.75" customHeight="1" x14ac:dyDescent="0.25"/>
    <row r="26" spans="1:12" ht="27" customHeight="1" x14ac:dyDescent="0.25">
      <c r="A26" s="957" t="s">
        <v>774</v>
      </c>
      <c r="B26" s="1027" t="s">
        <v>773</v>
      </c>
      <c r="C26" s="1027"/>
      <c r="D26" s="1027"/>
      <c r="E26" s="1027"/>
      <c r="F26" s="1027"/>
      <c r="G26" s="1027"/>
      <c r="H26" s="1027"/>
      <c r="I26" s="1027"/>
      <c r="J26" s="1027"/>
      <c r="K26" s="1027"/>
      <c r="L26" s="1027"/>
    </row>
    <row r="28" spans="1:12" ht="18.75" x14ac:dyDescent="0.25">
      <c r="A28" s="957" t="s">
        <v>354</v>
      </c>
      <c r="B28" s="956" t="s">
        <v>772</v>
      </c>
      <c r="C28" s="955"/>
      <c r="D28" s="955"/>
      <c r="E28" s="955"/>
      <c r="F28" s="955"/>
      <c r="G28" s="955"/>
      <c r="H28" s="955"/>
      <c r="I28" s="955"/>
      <c r="J28" s="955"/>
      <c r="K28" s="955"/>
      <c r="L28" s="955"/>
    </row>
    <row r="30" spans="1:12" ht="23.25" x14ac:dyDescent="0.35">
      <c r="A30" s="954" t="s">
        <v>771</v>
      </c>
    </row>
    <row r="32" spans="1:12" x14ac:dyDescent="0.25">
      <c r="A32" s="1030" t="s">
        <v>770</v>
      </c>
      <c r="B32" s="1030"/>
      <c r="C32" s="1030"/>
      <c r="D32" s="1030"/>
      <c r="E32" s="1030"/>
      <c r="F32" s="1030"/>
      <c r="G32" s="1030"/>
    </row>
    <row r="33" spans="1:7" x14ac:dyDescent="0.25">
      <c r="B33" t="s">
        <v>769</v>
      </c>
    </row>
    <row r="34" spans="1:7" x14ac:dyDescent="0.25">
      <c r="B34" t="s">
        <v>768</v>
      </c>
    </row>
    <row r="35" spans="1:7" x14ac:dyDescent="0.25">
      <c r="B35" t="s">
        <v>767</v>
      </c>
    </row>
    <row r="36" spans="1:7" x14ac:dyDescent="0.25">
      <c r="B36" t="s">
        <v>766</v>
      </c>
    </row>
    <row r="37" spans="1:7" x14ac:dyDescent="0.25">
      <c r="B37" t="s">
        <v>765</v>
      </c>
    </row>
    <row r="38" spans="1:7" x14ac:dyDescent="0.25">
      <c r="B38" t="s">
        <v>764</v>
      </c>
    </row>
    <row r="39" spans="1:7" x14ac:dyDescent="0.25">
      <c r="B39" t="s">
        <v>763</v>
      </c>
    </row>
    <row r="41" spans="1:7" x14ac:dyDescent="0.25">
      <c r="A41" s="1029" t="s">
        <v>762</v>
      </c>
      <c r="B41" s="1029"/>
      <c r="C41" s="1029"/>
      <c r="D41" s="1029"/>
      <c r="E41" s="1029"/>
      <c r="F41" s="1029"/>
      <c r="G41" s="1029"/>
    </row>
    <row r="42" spans="1:7" x14ac:dyDescent="0.25">
      <c r="B42" t="s">
        <v>761</v>
      </c>
    </row>
    <row r="43" spans="1:7" x14ac:dyDescent="0.25">
      <c r="B43" t="s">
        <v>760</v>
      </c>
    </row>
    <row r="44" spans="1:7" x14ac:dyDescent="0.25">
      <c r="B44" t="s">
        <v>759</v>
      </c>
    </row>
    <row r="45" spans="1:7" x14ac:dyDescent="0.25">
      <c r="B45" t="s">
        <v>758</v>
      </c>
    </row>
    <row r="47" spans="1:7" ht="46.5" customHeight="1" x14ac:dyDescent="0.25">
      <c r="A47" s="1029" t="s">
        <v>757</v>
      </c>
      <c r="B47" s="1029"/>
      <c r="C47" s="1029"/>
      <c r="D47" s="1029"/>
      <c r="E47" s="1029"/>
      <c r="F47" s="1029"/>
      <c r="G47" s="1029"/>
    </row>
    <row r="48" spans="1:7" x14ac:dyDescent="0.25">
      <c r="B48" t="s">
        <v>756</v>
      </c>
    </row>
    <row r="49" spans="1:7" x14ac:dyDescent="0.25">
      <c r="B49" t="s">
        <v>755</v>
      </c>
    </row>
    <row r="50" spans="1:7" x14ac:dyDescent="0.25">
      <c r="B50" t="s">
        <v>754</v>
      </c>
    </row>
    <row r="51" spans="1:7" x14ac:dyDescent="0.25">
      <c r="B51" t="s">
        <v>753</v>
      </c>
    </row>
    <row r="52" spans="1:7" x14ac:dyDescent="0.25">
      <c r="B52" t="s">
        <v>752</v>
      </c>
    </row>
    <row r="53" spans="1:7" x14ac:dyDescent="0.25">
      <c r="C53" s="953"/>
      <c r="D53" s="953"/>
      <c r="E53" s="953"/>
      <c r="F53" s="953"/>
      <c r="G53" s="953"/>
    </row>
    <row r="54" spans="1:7" ht="31.5" customHeight="1" x14ac:dyDescent="0.25">
      <c r="A54" s="1029" t="s">
        <v>751</v>
      </c>
      <c r="B54" s="1029"/>
      <c r="C54" s="1029"/>
      <c r="D54" s="1029"/>
      <c r="E54" s="1029"/>
      <c r="F54" s="1029"/>
      <c r="G54" s="1029"/>
    </row>
    <row r="55" spans="1:7" x14ac:dyDescent="0.25">
      <c r="B55" t="s">
        <v>750</v>
      </c>
    </row>
    <row r="56" spans="1:7" x14ac:dyDescent="0.25">
      <c r="B56" t="s">
        <v>749</v>
      </c>
    </row>
    <row r="58" spans="1:7" x14ac:dyDescent="0.25">
      <c r="A58" t="s">
        <v>801</v>
      </c>
    </row>
    <row r="59" spans="1:7" x14ac:dyDescent="0.25">
      <c r="A59" t="s">
        <v>806</v>
      </c>
    </row>
  </sheetData>
  <sheetProtection sheet="1" objects="1" scenarios="1" selectLockedCells="1"/>
  <mergeCells count="20">
    <mergeCell ref="B23:L23"/>
    <mergeCell ref="A47:G47"/>
    <mergeCell ref="A54:G54"/>
    <mergeCell ref="B24:L24"/>
    <mergeCell ref="B26:L26"/>
    <mergeCell ref="A32:G32"/>
    <mergeCell ref="A41:G41"/>
    <mergeCell ref="B18:L18"/>
    <mergeCell ref="B19:L19"/>
    <mergeCell ref="B20:L20"/>
    <mergeCell ref="B21:L21"/>
    <mergeCell ref="B22:L22"/>
    <mergeCell ref="A3:H3"/>
    <mergeCell ref="B15:L15"/>
    <mergeCell ref="B9:L9"/>
    <mergeCell ref="B10:L10"/>
    <mergeCell ref="B11:L11"/>
    <mergeCell ref="B12:L12"/>
    <mergeCell ref="B14:L14"/>
    <mergeCell ref="B13:L13"/>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theme="9" tint="-0.249977111117893"/>
  </sheetPr>
  <dimension ref="A1:BP74"/>
  <sheetViews>
    <sheetView zoomScale="115" zoomScaleNormal="115" workbookViewId="0">
      <pane xSplit="8" ySplit="7" topLeftCell="I8" activePane="bottomRight" state="frozen"/>
      <selection activeCell="A4" sqref="A4"/>
      <selection pane="topRight" activeCell="A4" sqref="A4"/>
      <selection pane="bottomLeft" activeCell="A4" sqref="A4"/>
      <selection pane="bottomRight" activeCell="C2" sqref="C2"/>
    </sheetView>
  </sheetViews>
  <sheetFormatPr baseColWidth="10" defaultColWidth="11.42578125" defaultRowHeight="15" x14ac:dyDescent="0.25"/>
  <cols>
    <col min="1" max="1" width="17.28515625" style="417" customWidth="1"/>
    <col min="2" max="2" width="3.7109375" style="417" customWidth="1"/>
    <col min="3" max="4" width="8.7109375" style="417" customWidth="1"/>
    <col min="5" max="5" width="10.140625" style="945" customWidth="1"/>
    <col min="6" max="6" width="8.7109375" style="945" customWidth="1"/>
    <col min="7" max="7" width="8.7109375" style="417" customWidth="1"/>
    <col min="8" max="8" width="7.7109375" style="417" customWidth="1"/>
    <col min="9" max="23" width="7" style="417" customWidth="1"/>
    <col min="24" max="26" width="7.140625" style="417" customWidth="1"/>
    <col min="27" max="68" width="7" style="417" customWidth="1"/>
    <col min="69" max="16384" width="11.42578125" style="417"/>
  </cols>
  <sheetData>
    <row r="1" spans="1:68" ht="24" thickTop="1" thickBot="1" x14ac:dyDescent="0.3">
      <c r="A1" s="1048" t="s">
        <v>291</v>
      </c>
      <c r="B1" s="1049"/>
      <c r="C1" s="414" t="s">
        <v>477</v>
      </c>
      <c r="D1" s="415" t="s">
        <v>478</v>
      </c>
      <c r="E1" s="941" t="s">
        <v>479</v>
      </c>
      <c r="F1" s="942" t="s">
        <v>494</v>
      </c>
      <c r="G1" s="718">
        <f>Paramètres!BK2</f>
        <v>2</v>
      </c>
      <c r="I1" s="1063" t="s">
        <v>261</v>
      </c>
      <c r="J1" s="1064"/>
      <c r="K1" s="420" t="s">
        <v>29</v>
      </c>
      <c r="L1" s="1079" t="s">
        <v>498</v>
      </c>
      <c r="M1" s="1069"/>
      <c r="N1" s="1057" t="s">
        <v>500</v>
      </c>
      <c r="O1" s="1069"/>
      <c r="P1" s="1057" t="s">
        <v>501</v>
      </c>
      <c r="Q1" s="1058"/>
      <c r="R1" s="940"/>
      <c r="S1" s="1043" t="s">
        <v>514</v>
      </c>
      <c r="T1" s="1043"/>
      <c r="U1" s="1043"/>
      <c r="V1" s="1043"/>
      <c r="W1" s="1043"/>
      <c r="X1" s="1043"/>
      <c r="Y1" s="1043"/>
      <c r="Z1" s="1044"/>
      <c r="AG1" s="406"/>
      <c r="AH1" s="406"/>
      <c r="AK1" s="406"/>
      <c r="AL1" s="406"/>
      <c r="AM1" s="406"/>
      <c r="AN1" s="406"/>
      <c r="AO1" s="406"/>
      <c r="AP1" s="406"/>
      <c r="AQ1" s="406"/>
      <c r="AR1" s="406"/>
      <c r="AS1" s="406"/>
      <c r="AT1" s="406"/>
      <c r="AU1" s="406"/>
      <c r="AV1" s="406"/>
      <c r="AW1" s="406"/>
      <c r="AX1" s="406"/>
      <c r="AY1" s="406"/>
      <c r="AZ1" s="406"/>
      <c r="BA1" s="406"/>
      <c r="BB1" s="406"/>
      <c r="BC1" s="406"/>
      <c r="BD1" s="406"/>
      <c r="BE1" s="406"/>
      <c r="BF1" s="406"/>
      <c r="BG1" s="406"/>
      <c r="BH1" s="406"/>
      <c r="BI1" s="406"/>
      <c r="BJ1" s="406"/>
      <c r="BK1" s="406"/>
      <c r="BL1" s="406"/>
    </row>
    <row r="2" spans="1:68" ht="16.5" thickTop="1" thickBot="1" x14ac:dyDescent="0.3">
      <c r="A2" s="1050">
        <f>Paramètres!$BJ$2</f>
        <v>1</v>
      </c>
      <c r="B2" s="1051"/>
      <c r="C2" s="567">
        <v>42455.619872685187</v>
      </c>
      <c r="D2" s="568">
        <v>1</v>
      </c>
      <c r="E2" s="567">
        <v>42455</v>
      </c>
      <c r="F2" s="943" t="s">
        <v>493</v>
      </c>
      <c r="G2" s="406"/>
      <c r="H2" s="406"/>
      <c r="I2" s="1080">
        <f>period_selected</f>
        <v>42455</v>
      </c>
      <c r="J2" s="1081"/>
      <c r="K2" s="424">
        <v>0</v>
      </c>
      <c r="L2" s="1070">
        <v>0</v>
      </c>
      <c r="M2" s="1070"/>
      <c r="N2" s="1072">
        <v>0</v>
      </c>
      <c r="O2" s="1073"/>
      <c r="P2" s="1059">
        <v>0</v>
      </c>
      <c r="Q2" s="1060"/>
      <c r="S2" s="427"/>
      <c r="T2" s="1033" t="s">
        <v>490</v>
      </c>
      <c r="U2" s="1034"/>
      <c r="V2" s="1034"/>
      <c r="W2" s="428"/>
      <c r="X2" s="1033" t="s">
        <v>485</v>
      </c>
      <c r="Y2" s="1034"/>
      <c r="Z2" s="1065"/>
      <c r="AL2" s="406"/>
      <c r="AM2" s="406"/>
      <c r="AT2" s="406"/>
      <c r="AU2" s="406"/>
      <c r="AV2" s="406"/>
      <c r="AW2" s="406"/>
      <c r="AX2" s="406"/>
      <c r="AY2" s="406"/>
      <c r="AZ2" s="406"/>
      <c r="BA2" s="406"/>
      <c r="BB2" s="406"/>
      <c r="BC2" s="406"/>
      <c r="BD2" s="406"/>
      <c r="BE2" s="406"/>
      <c r="BF2" s="406"/>
      <c r="BG2" s="406"/>
      <c r="BH2" s="406"/>
      <c r="BI2" s="406"/>
      <c r="BJ2" s="406"/>
      <c r="BK2" s="406"/>
      <c r="BL2" s="406"/>
      <c r="BM2" s="406"/>
      <c r="BN2" s="406"/>
      <c r="BO2" s="406"/>
    </row>
    <row r="3" spans="1:68" ht="15.75" customHeight="1" x14ac:dyDescent="0.25">
      <c r="A3" s="1084" t="s">
        <v>470</v>
      </c>
      <c r="B3" s="1085"/>
      <c r="C3" s="1085"/>
      <c r="D3" s="1085"/>
      <c r="E3" s="1085"/>
      <c r="F3" s="1085"/>
      <c r="G3" s="1085"/>
      <c r="H3" s="1086"/>
      <c r="I3" s="1082">
        <f>$I2+$D$2</f>
        <v>42456</v>
      </c>
      <c r="J3" s="1083"/>
      <c r="K3" s="425">
        <v>0</v>
      </c>
      <c r="L3" s="1071">
        <v>0</v>
      </c>
      <c r="M3" s="1071"/>
      <c r="N3" s="1074">
        <v>0</v>
      </c>
      <c r="O3" s="1075"/>
      <c r="P3" s="1061">
        <v>0</v>
      </c>
      <c r="Q3" s="1062"/>
      <c r="S3" s="418"/>
      <c r="T3" s="1031" t="s">
        <v>491</v>
      </c>
      <c r="U3" s="1032"/>
      <c r="V3" s="1032"/>
      <c r="W3" s="994"/>
      <c r="X3" s="1066" t="s">
        <v>487</v>
      </c>
      <c r="Y3" s="1067"/>
      <c r="Z3" s="1068"/>
    </row>
    <row r="4" spans="1:68" ht="15.75" customHeight="1" x14ac:dyDescent="0.25">
      <c r="A4" s="1087"/>
      <c r="B4" s="1088"/>
      <c r="C4" s="1088"/>
      <c r="D4" s="1088"/>
      <c r="E4" s="1088"/>
      <c r="F4" s="1088"/>
      <c r="G4" s="1088"/>
      <c r="H4" s="1089"/>
      <c r="I4" s="1082">
        <f>$I3+$D$2</f>
        <v>42457</v>
      </c>
      <c r="J4" s="1083"/>
      <c r="K4" s="425">
        <v>0</v>
      </c>
      <c r="L4" s="1071">
        <v>0</v>
      </c>
      <c r="M4" s="1071"/>
      <c r="N4" s="1074">
        <v>0</v>
      </c>
      <c r="O4" s="1075"/>
      <c r="P4" s="1061">
        <v>0</v>
      </c>
      <c r="Q4" s="1062"/>
      <c r="S4" s="429"/>
      <c r="T4" s="1031" t="s">
        <v>486</v>
      </c>
      <c r="U4" s="1035"/>
      <c r="V4" s="1035"/>
      <c r="W4" s="995"/>
      <c r="X4" s="1041" t="s">
        <v>504</v>
      </c>
      <c r="Y4" s="1041"/>
      <c r="Z4" s="1042"/>
    </row>
    <row r="5" spans="1:68" ht="15.75" thickBot="1" x14ac:dyDescent="0.3">
      <c r="A5" s="1087"/>
      <c r="B5" s="1088"/>
      <c r="C5" s="1088"/>
      <c r="D5" s="1088"/>
      <c r="E5" s="1088"/>
      <c r="F5" s="1088"/>
      <c r="G5" s="1088"/>
      <c r="H5" s="1089"/>
      <c r="I5" s="1052">
        <f>$I4+$D$2</f>
        <v>42458</v>
      </c>
      <c r="J5" s="1053"/>
      <c r="K5" s="426">
        <v>0</v>
      </c>
      <c r="L5" s="1054">
        <v>0</v>
      </c>
      <c r="M5" s="1054"/>
      <c r="N5" s="1055">
        <v>0</v>
      </c>
      <c r="O5" s="1056"/>
      <c r="P5" s="1039">
        <v>0</v>
      </c>
      <c r="Q5" s="1040"/>
      <c r="S5" s="431"/>
      <c r="T5" s="1036" t="s">
        <v>815</v>
      </c>
      <c r="U5" s="1037"/>
      <c r="V5" s="1037"/>
      <c r="W5" s="430"/>
      <c r="X5" s="1036" t="s">
        <v>488</v>
      </c>
      <c r="Y5" s="1037"/>
      <c r="Z5" s="1038"/>
    </row>
    <row r="6" spans="1:68" ht="15.75" hidden="1" thickBot="1" x14ac:dyDescent="0.3">
      <c r="A6" s="1090"/>
      <c r="B6" s="1091"/>
      <c r="C6" s="1091"/>
      <c r="D6" s="1091"/>
      <c r="E6" s="1091"/>
      <c r="F6" s="1091"/>
      <c r="G6" s="1091"/>
      <c r="H6" s="1092"/>
      <c r="I6" s="722">
        <f t="shared" ref="I6:AN6" si="0">SUM(I8:I74)</f>
        <v>0</v>
      </c>
      <c r="J6" s="722">
        <f t="shared" si="0"/>
        <v>0</v>
      </c>
      <c r="K6" s="722">
        <f t="shared" si="0"/>
        <v>0</v>
      </c>
      <c r="L6" s="722">
        <f t="shared" si="0"/>
        <v>0</v>
      </c>
      <c r="M6" s="722">
        <f t="shared" si="0"/>
        <v>0</v>
      </c>
      <c r="N6" s="722">
        <f t="shared" si="0"/>
        <v>0</v>
      </c>
      <c r="O6" s="722">
        <f t="shared" si="0"/>
        <v>0</v>
      </c>
      <c r="P6" s="722">
        <f t="shared" si="0"/>
        <v>0</v>
      </c>
      <c r="Q6" s="722">
        <f t="shared" si="0"/>
        <v>0</v>
      </c>
      <c r="R6" s="722">
        <f t="shared" si="0"/>
        <v>0</v>
      </c>
      <c r="S6" s="722">
        <f t="shared" si="0"/>
        <v>0</v>
      </c>
      <c r="T6" s="722">
        <f t="shared" si="0"/>
        <v>0</v>
      </c>
      <c r="U6" s="722">
        <f t="shared" si="0"/>
        <v>0</v>
      </c>
      <c r="V6" s="722">
        <f t="shared" si="0"/>
        <v>0</v>
      </c>
      <c r="W6" s="722">
        <f t="shared" si="0"/>
        <v>0</v>
      </c>
      <c r="X6" s="722">
        <f t="shared" si="0"/>
        <v>0</v>
      </c>
      <c r="Y6" s="722">
        <f t="shared" si="0"/>
        <v>0</v>
      </c>
      <c r="Z6" s="722">
        <f t="shared" si="0"/>
        <v>0</v>
      </c>
      <c r="AA6" s="722">
        <f t="shared" si="0"/>
        <v>0</v>
      </c>
      <c r="AB6" s="722">
        <f t="shared" si="0"/>
        <v>0</v>
      </c>
      <c r="AC6" s="722">
        <f t="shared" si="0"/>
        <v>0</v>
      </c>
      <c r="AD6" s="722">
        <f t="shared" si="0"/>
        <v>0</v>
      </c>
      <c r="AE6" s="722">
        <f t="shared" si="0"/>
        <v>0</v>
      </c>
      <c r="AF6" s="722">
        <f t="shared" si="0"/>
        <v>0</v>
      </c>
      <c r="AG6" s="722">
        <f t="shared" si="0"/>
        <v>0</v>
      </c>
      <c r="AH6" s="722">
        <f t="shared" si="0"/>
        <v>0</v>
      </c>
      <c r="AI6" s="722">
        <f t="shared" si="0"/>
        <v>0</v>
      </c>
      <c r="AJ6" s="722">
        <f t="shared" si="0"/>
        <v>0</v>
      </c>
      <c r="AK6" s="722">
        <f t="shared" si="0"/>
        <v>0</v>
      </c>
      <c r="AL6" s="722">
        <f t="shared" si="0"/>
        <v>0</v>
      </c>
      <c r="AM6" s="722">
        <f t="shared" si="0"/>
        <v>0</v>
      </c>
      <c r="AN6" s="722">
        <f t="shared" si="0"/>
        <v>0</v>
      </c>
      <c r="AO6" s="722">
        <f t="shared" ref="AO6:BP6" si="1">SUM(AO8:AO74)</f>
        <v>0</v>
      </c>
      <c r="AP6" s="722">
        <f t="shared" si="1"/>
        <v>0</v>
      </c>
      <c r="AQ6" s="722">
        <f t="shared" si="1"/>
        <v>0</v>
      </c>
      <c r="AR6" s="722">
        <f t="shared" si="1"/>
        <v>0</v>
      </c>
      <c r="AS6" s="722">
        <f t="shared" si="1"/>
        <v>0</v>
      </c>
      <c r="AT6" s="722">
        <f t="shared" si="1"/>
        <v>0</v>
      </c>
      <c r="AU6" s="722">
        <f t="shared" si="1"/>
        <v>0</v>
      </c>
      <c r="AV6" s="722">
        <f t="shared" si="1"/>
        <v>0</v>
      </c>
      <c r="AW6" s="722">
        <f t="shared" si="1"/>
        <v>0</v>
      </c>
      <c r="AX6" s="722">
        <f t="shared" si="1"/>
        <v>0</v>
      </c>
      <c r="AY6" s="722">
        <f t="shared" si="1"/>
        <v>0</v>
      </c>
      <c r="AZ6" s="722">
        <f t="shared" si="1"/>
        <v>0</v>
      </c>
      <c r="BA6" s="722">
        <f t="shared" si="1"/>
        <v>0</v>
      </c>
      <c r="BB6" s="722">
        <f t="shared" si="1"/>
        <v>0</v>
      </c>
      <c r="BC6" s="722">
        <f t="shared" si="1"/>
        <v>0</v>
      </c>
      <c r="BD6" s="722">
        <f t="shared" si="1"/>
        <v>0</v>
      </c>
      <c r="BE6" s="722">
        <f t="shared" si="1"/>
        <v>0</v>
      </c>
      <c r="BF6" s="722">
        <f t="shared" si="1"/>
        <v>0</v>
      </c>
      <c r="BG6" s="722">
        <f t="shared" si="1"/>
        <v>0</v>
      </c>
      <c r="BH6" s="722">
        <f t="shared" si="1"/>
        <v>0</v>
      </c>
      <c r="BI6" s="722">
        <f t="shared" si="1"/>
        <v>0</v>
      </c>
      <c r="BJ6" s="722">
        <f t="shared" si="1"/>
        <v>0</v>
      </c>
      <c r="BK6" s="722">
        <f t="shared" si="1"/>
        <v>0</v>
      </c>
      <c r="BL6" s="722">
        <f t="shared" si="1"/>
        <v>0</v>
      </c>
      <c r="BM6" s="722">
        <f t="shared" si="1"/>
        <v>0</v>
      </c>
      <c r="BN6" s="722">
        <f t="shared" si="1"/>
        <v>0</v>
      </c>
      <c r="BO6" s="722">
        <f t="shared" si="1"/>
        <v>0</v>
      </c>
      <c r="BP6" s="722">
        <f t="shared" si="1"/>
        <v>0</v>
      </c>
    </row>
    <row r="7" spans="1:68" ht="34.5" thickBot="1" x14ac:dyDescent="0.3">
      <c r="A7" s="499" t="s">
        <v>481</v>
      </c>
      <c r="B7" s="500" t="s">
        <v>30</v>
      </c>
      <c r="C7" s="501" t="s">
        <v>258</v>
      </c>
      <c r="D7" s="502" t="s">
        <v>482</v>
      </c>
      <c r="E7" s="944" t="s">
        <v>483</v>
      </c>
      <c r="F7" s="944" t="s">
        <v>484</v>
      </c>
      <c r="G7" s="502" t="s">
        <v>489</v>
      </c>
      <c r="H7" s="503" t="s">
        <v>485</v>
      </c>
      <c r="I7" s="496">
        <f>$C$2</f>
        <v>42455.619872685187</v>
      </c>
      <c r="J7" s="497">
        <f>I$7+$D$2</f>
        <v>42456.619872685187</v>
      </c>
      <c r="K7" s="497">
        <f t="shared" ref="K7:BP7" si="2">J$7+$D$2</f>
        <v>42457.619872685187</v>
      </c>
      <c r="L7" s="497">
        <f t="shared" si="2"/>
        <v>42458.619872685187</v>
      </c>
      <c r="M7" s="497">
        <f t="shared" si="2"/>
        <v>42459.619872685187</v>
      </c>
      <c r="N7" s="497">
        <f t="shared" si="2"/>
        <v>42460.619872685187</v>
      </c>
      <c r="O7" s="497">
        <f t="shared" si="2"/>
        <v>42461.619872685187</v>
      </c>
      <c r="P7" s="497">
        <f t="shared" si="2"/>
        <v>42462.619872685187</v>
      </c>
      <c r="Q7" s="497">
        <f t="shared" si="2"/>
        <v>42463.619872685187</v>
      </c>
      <c r="R7" s="497">
        <f t="shared" si="2"/>
        <v>42464.619872685187</v>
      </c>
      <c r="S7" s="497">
        <f>R$7+$D$2</f>
        <v>42465.619872685187</v>
      </c>
      <c r="T7" s="497">
        <f t="shared" si="2"/>
        <v>42466.619872685187</v>
      </c>
      <c r="U7" s="497">
        <f t="shared" si="2"/>
        <v>42467.619872685187</v>
      </c>
      <c r="V7" s="497">
        <f>U$7+$D$2</f>
        <v>42468.619872685187</v>
      </c>
      <c r="W7" s="497">
        <f t="shared" si="2"/>
        <v>42469.619872685187</v>
      </c>
      <c r="X7" s="497">
        <f t="shared" si="2"/>
        <v>42470.619872685187</v>
      </c>
      <c r="Y7" s="497">
        <f t="shared" si="2"/>
        <v>42471.619872685187</v>
      </c>
      <c r="Z7" s="497">
        <f t="shared" si="2"/>
        <v>42472.619872685187</v>
      </c>
      <c r="AA7" s="497">
        <f t="shared" si="2"/>
        <v>42473.619872685187</v>
      </c>
      <c r="AB7" s="497">
        <f>AA$7+$D$2</f>
        <v>42474.619872685187</v>
      </c>
      <c r="AC7" s="497">
        <f t="shared" si="2"/>
        <v>42475.619872685187</v>
      </c>
      <c r="AD7" s="497">
        <f t="shared" si="2"/>
        <v>42476.619872685187</v>
      </c>
      <c r="AE7" s="497">
        <f t="shared" si="2"/>
        <v>42477.619872685187</v>
      </c>
      <c r="AF7" s="497">
        <f t="shared" si="2"/>
        <v>42478.619872685187</v>
      </c>
      <c r="AG7" s="497">
        <f t="shared" si="2"/>
        <v>42479.619872685187</v>
      </c>
      <c r="AH7" s="497">
        <f t="shared" si="2"/>
        <v>42480.619872685187</v>
      </c>
      <c r="AI7" s="497">
        <f t="shared" si="2"/>
        <v>42481.619872685187</v>
      </c>
      <c r="AJ7" s="497">
        <f t="shared" si="2"/>
        <v>42482.619872685187</v>
      </c>
      <c r="AK7" s="497">
        <f t="shared" si="2"/>
        <v>42483.619872685187</v>
      </c>
      <c r="AL7" s="497">
        <f t="shared" si="2"/>
        <v>42484.619872685187</v>
      </c>
      <c r="AM7" s="497">
        <f t="shared" si="2"/>
        <v>42485.619872685187</v>
      </c>
      <c r="AN7" s="497">
        <f t="shared" si="2"/>
        <v>42486.619872685187</v>
      </c>
      <c r="AO7" s="497">
        <f t="shared" si="2"/>
        <v>42487.619872685187</v>
      </c>
      <c r="AP7" s="497">
        <f t="shared" si="2"/>
        <v>42488.619872685187</v>
      </c>
      <c r="AQ7" s="497">
        <f t="shared" si="2"/>
        <v>42489.619872685187</v>
      </c>
      <c r="AR7" s="497">
        <f t="shared" si="2"/>
        <v>42490.619872685187</v>
      </c>
      <c r="AS7" s="497">
        <f t="shared" si="2"/>
        <v>42491.619872685187</v>
      </c>
      <c r="AT7" s="497">
        <f t="shared" si="2"/>
        <v>42492.619872685187</v>
      </c>
      <c r="AU7" s="497">
        <f t="shared" si="2"/>
        <v>42493.619872685187</v>
      </c>
      <c r="AV7" s="497">
        <f t="shared" si="2"/>
        <v>42494.619872685187</v>
      </c>
      <c r="AW7" s="497">
        <f t="shared" si="2"/>
        <v>42495.619872685187</v>
      </c>
      <c r="AX7" s="497">
        <f t="shared" si="2"/>
        <v>42496.619872685187</v>
      </c>
      <c r="AY7" s="497">
        <f t="shared" si="2"/>
        <v>42497.619872685187</v>
      </c>
      <c r="AZ7" s="497">
        <f t="shared" si="2"/>
        <v>42498.619872685187</v>
      </c>
      <c r="BA7" s="497">
        <f t="shared" si="2"/>
        <v>42499.619872685187</v>
      </c>
      <c r="BB7" s="497">
        <f t="shared" si="2"/>
        <v>42500.619872685187</v>
      </c>
      <c r="BC7" s="497">
        <f t="shared" si="2"/>
        <v>42501.619872685187</v>
      </c>
      <c r="BD7" s="497">
        <f t="shared" si="2"/>
        <v>42502.619872685187</v>
      </c>
      <c r="BE7" s="497">
        <f t="shared" si="2"/>
        <v>42503.619872685187</v>
      </c>
      <c r="BF7" s="497">
        <f t="shared" si="2"/>
        <v>42504.619872685187</v>
      </c>
      <c r="BG7" s="497">
        <f t="shared" si="2"/>
        <v>42505.619872685187</v>
      </c>
      <c r="BH7" s="497">
        <f t="shared" si="2"/>
        <v>42506.619872685187</v>
      </c>
      <c r="BI7" s="497">
        <f t="shared" si="2"/>
        <v>42507.619872685187</v>
      </c>
      <c r="BJ7" s="497">
        <f t="shared" si="2"/>
        <v>42508.619872685187</v>
      </c>
      <c r="BK7" s="497">
        <f t="shared" si="2"/>
        <v>42509.619872685187</v>
      </c>
      <c r="BL7" s="497">
        <f t="shared" si="2"/>
        <v>42510.619872685187</v>
      </c>
      <c r="BM7" s="497">
        <f t="shared" si="2"/>
        <v>42511.619872685187</v>
      </c>
      <c r="BN7" s="497">
        <f t="shared" si="2"/>
        <v>42512.619872685187</v>
      </c>
      <c r="BO7" s="497">
        <f t="shared" si="2"/>
        <v>42513.619872685187</v>
      </c>
      <c r="BP7" s="498">
        <f t="shared" si="2"/>
        <v>42514.619872685187</v>
      </c>
    </row>
    <row r="8" spans="1:68" ht="16.5" thickBot="1" x14ac:dyDescent="0.3">
      <c r="A8" s="1045" t="s">
        <v>447</v>
      </c>
      <c r="B8" s="1046"/>
      <c r="C8" s="1046"/>
      <c r="D8" s="1046"/>
      <c r="E8" s="1046"/>
      <c r="F8" s="1046"/>
      <c r="G8" s="1046"/>
      <c r="H8" s="1047"/>
      <c r="I8" s="720">
        <f t="shared" ref="I8:X24" si="3">IF(ISERROR(Plan),0,Plan)</f>
        <v>0</v>
      </c>
      <c r="J8" s="720">
        <f t="shared" si="3"/>
        <v>0</v>
      </c>
      <c r="K8" s="720">
        <f t="shared" si="3"/>
        <v>0</v>
      </c>
      <c r="L8" s="720">
        <f t="shared" si="3"/>
        <v>0</v>
      </c>
      <c r="M8" s="720">
        <f t="shared" si="3"/>
        <v>0</v>
      </c>
      <c r="N8" s="720">
        <f t="shared" si="3"/>
        <v>0</v>
      </c>
      <c r="O8" s="720">
        <f t="shared" si="3"/>
        <v>0</v>
      </c>
      <c r="P8" s="720">
        <f t="shared" si="3"/>
        <v>0</v>
      </c>
      <c r="Q8" s="720">
        <f t="shared" si="3"/>
        <v>0</v>
      </c>
      <c r="R8" s="720">
        <f t="shared" si="3"/>
        <v>0</v>
      </c>
      <c r="S8" s="720">
        <f t="shared" si="3"/>
        <v>0</v>
      </c>
      <c r="T8" s="720">
        <f t="shared" si="3"/>
        <v>0</v>
      </c>
      <c r="U8" s="720">
        <f t="shared" si="3"/>
        <v>0</v>
      </c>
      <c r="V8" s="720">
        <f t="shared" si="3"/>
        <v>0</v>
      </c>
      <c r="W8" s="720">
        <f t="shared" si="3"/>
        <v>0</v>
      </c>
      <c r="X8" s="720">
        <f t="shared" si="3"/>
        <v>0</v>
      </c>
      <c r="Y8" s="720">
        <f t="shared" ref="Y8:BP8" si="4">IF(ISERROR(Plan),0,Plan)</f>
        <v>0</v>
      </c>
      <c r="Z8" s="720">
        <f t="shared" si="4"/>
        <v>0</v>
      </c>
      <c r="AA8" s="720">
        <f t="shared" si="4"/>
        <v>0</v>
      </c>
      <c r="AB8" s="720">
        <f t="shared" si="4"/>
        <v>0</v>
      </c>
      <c r="AC8" s="720">
        <f t="shared" si="4"/>
        <v>0</v>
      </c>
      <c r="AD8" s="720">
        <f t="shared" si="4"/>
        <v>0</v>
      </c>
      <c r="AE8" s="720">
        <f t="shared" si="4"/>
        <v>0</v>
      </c>
      <c r="AF8" s="720">
        <f t="shared" si="4"/>
        <v>0</v>
      </c>
      <c r="AG8" s="720">
        <f t="shared" si="4"/>
        <v>0</v>
      </c>
      <c r="AH8" s="720">
        <f t="shared" si="4"/>
        <v>0</v>
      </c>
      <c r="AI8" s="720">
        <f t="shared" si="4"/>
        <v>0</v>
      </c>
      <c r="AJ8" s="720">
        <f t="shared" si="4"/>
        <v>0</v>
      </c>
      <c r="AK8" s="720">
        <f t="shared" si="4"/>
        <v>0</v>
      </c>
      <c r="AL8" s="720">
        <f t="shared" si="4"/>
        <v>0</v>
      </c>
      <c r="AM8" s="720">
        <f t="shared" si="4"/>
        <v>0</v>
      </c>
      <c r="AN8" s="720">
        <f t="shared" si="4"/>
        <v>0</v>
      </c>
      <c r="AO8" s="720">
        <f t="shared" si="4"/>
        <v>0</v>
      </c>
      <c r="AP8" s="720">
        <f t="shared" si="4"/>
        <v>0</v>
      </c>
      <c r="AQ8" s="720">
        <f t="shared" si="4"/>
        <v>0</v>
      </c>
      <c r="AR8" s="720">
        <f t="shared" si="4"/>
        <v>0</v>
      </c>
      <c r="AS8" s="720">
        <f t="shared" si="4"/>
        <v>0</v>
      </c>
      <c r="AT8" s="720">
        <f t="shared" si="4"/>
        <v>0</v>
      </c>
      <c r="AU8" s="720">
        <f t="shared" si="4"/>
        <v>0</v>
      </c>
      <c r="AV8" s="720">
        <f t="shared" si="4"/>
        <v>0</v>
      </c>
      <c r="AW8" s="720">
        <f t="shared" si="4"/>
        <v>0</v>
      </c>
      <c r="AX8" s="720">
        <f t="shared" si="4"/>
        <v>0</v>
      </c>
      <c r="AY8" s="720">
        <f t="shared" si="4"/>
        <v>0</v>
      </c>
      <c r="AZ8" s="720">
        <f t="shared" si="4"/>
        <v>0</v>
      </c>
      <c r="BA8" s="720">
        <f t="shared" si="4"/>
        <v>0</v>
      </c>
      <c r="BB8" s="720">
        <f t="shared" si="4"/>
        <v>0</v>
      </c>
      <c r="BC8" s="720">
        <f t="shared" si="4"/>
        <v>0</v>
      </c>
      <c r="BD8" s="720">
        <f t="shared" si="4"/>
        <v>0</v>
      </c>
      <c r="BE8" s="720">
        <f t="shared" si="4"/>
        <v>0</v>
      </c>
      <c r="BF8" s="720">
        <f t="shared" si="4"/>
        <v>0</v>
      </c>
      <c r="BG8" s="720">
        <f t="shared" si="4"/>
        <v>0</v>
      </c>
      <c r="BH8" s="720">
        <f t="shared" si="4"/>
        <v>0</v>
      </c>
      <c r="BI8" s="720">
        <f t="shared" si="4"/>
        <v>0</v>
      </c>
      <c r="BJ8" s="720">
        <f t="shared" si="4"/>
        <v>0</v>
      </c>
      <c r="BK8" s="720">
        <f t="shared" si="4"/>
        <v>0</v>
      </c>
      <c r="BL8" s="720">
        <f t="shared" si="4"/>
        <v>0</v>
      </c>
      <c r="BM8" s="720">
        <f t="shared" si="4"/>
        <v>0</v>
      </c>
      <c r="BN8" s="720">
        <f t="shared" si="4"/>
        <v>0</v>
      </c>
      <c r="BO8" s="720">
        <f t="shared" si="4"/>
        <v>0</v>
      </c>
      <c r="BP8" s="720">
        <f t="shared" si="4"/>
        <v>0</v>
      </c>
    </row>
    <row r="9" spans="1:68" ht="13.5" customHeight="1" x14ac:dyDescent="0.25">
      <c r="A9" s="997" t="s">
        <v>176</v>
      </c>
      <c r="B9" s="998"/>
      <c r="C9" s="386" t="str">
        <f>IF($B9&lt;&gt;"",VLOOKUP($B9,COSTS_Gold_Mine[#All],2),"")</f>
        <v/>
      </c>
      <c r="D9" s="999" t="str">
        <f>IF($B9&lt;&gt;"",VLOOKUP($B9,COSTS_Gold_Mine[#All],3)/24,"")</f>
        <v/>
      </c>
      <c r="E9" s="1000"/>
      <c r="F9" s="1001"/>
      <c r="G9" s="923" t="str">
        <f t="shared" ref="G9:G14" si="5">IF($D9&lt;&gt;"",$D9,"")</f>
        <v/>
      </c>
      <c r="H9" s="920"/>
      <c r="I9" s="721">
        <f t="shared" ref="I9:X43" si="6">IF(ISERROR(Plan),0,Plan)</f>
        <v>0</v>
      </c>
      <c r="J9" s="721">
        <f t="shared" si="3"/>
        <v>0</v>
      </c>
      <c r="K9" s="721">
        <f t="shared" si="3"/>
        <v>0</v>
      </c>
      <c r="L9" s="721">
        <f t="shared" si="3"/>
        <v>0</v>
      </c>
      <c r="M9" s="721">
        <f t="shared" si="3"/>
        <v>0</v>
      </c>
      <c r="N9" s="721">
        <f t="shared" si="3"/>
        <v>0</v>
      </c>
      <c r="O9" s="721">
        <f t="shared" si="3"/>
        <v>0</v>
      </c>
      <c r="P9" s="721">
        <f t="shared" si="3"/>
        <v>0</v>
      </c>
      <c r="Q9" s="721">
        <f t="shared" si="3"/>
        <v>0</v>
      </c>
      <c r="R9" s="719">
        <f t="shared" si="3"/>
        <v>0</v>
      </c>
      <c r="S9" s="719">
        <f t="shared" ref="S9:AB24" si="7">IF(ISERROR(Plan),0,Plan)</f>
        <v>0</v>
      </c>
      <c r="T9" s="719">
        <f t="shared" si="7"/>
        <v>0</v>
      </c>
      <c r="U9" s="719">
        <f t="shared" si="7"/>
        <v>0</v>
      </c>
      <c r="V9" s="719">
        <f t="shared" si="7"/>
        <v>0</v>
      </c>
      <c r="W9" s="719">
        <f t="shared" si="7"/>
        <v>0</v>
      </c>
      <c r="X9" s="719">
        <f t="shared" si="7"/>
        <v>0</v>
      </c>
      <c r="Y9" s="719">
        <f t="shared" si="7"/>
        <v>0</v>
      </c>
      <c r="Z9" s="719">
        <f t="shared" si="7"/>
        <v>0</v>
      </c>
      <c r="AA9" s="719">
        <f t="shared" si="7"/>
        <v>0</v>
      </c>
      <c r="AB9" s="719">
        <f t="shared" si="7"/>
        <v>0</v>
      </c>
      <c r="AC9" s="719">
        <f t="shared" ref="AC9:AL24" si="8">IF(ISERROR(Plan),0,Plan)</f>
        <v>0</v>
      </c>
      <c r="AD9" s="719">
        <f t="shared" si="8"/>
        <v>0</v>
      </c>
      <c r="AE9" s="719">
        <f t="shared" si="8"/>
        <v>0</v>
      </c>
      <c r="AF9" s="719">
        <f t="shared" si="8"/>
        <v>0</v>
      </c>
      <c r="AG9" s="719">
        <f t="shared" si="8"/>
        <v>0</v>
      </c>
      <c r="AH9" s="719">
        <f t="shared" si="8"/>
        <v>0</v>
      </c>
      <c r="AI9" s="719">
        <f t="shared" si="8"/>
        <v>0</v>
      </c>
      <c r="AJ9" s="719">
        <f t="shared" si="8"/>
        <v>0</v>
      </c>
      <c r="AK9" s="719">
        <f t="shared" si="8"/>
        <v>0</v>
      </c>
      <c r="AL9" s="719">
        <f t="shared" si="8"/>
        <v>0</v>
      </c>
      <c r="AM9" s="719">
        <f t="shared" ref="AM9:AV24" si="9">IF(ISERROR(Plan),0,Plan)</f>
        <v>0</v>
      </c>
      <c r="AN9" s="719">
        <f t="shared" si="9"/>
        <v>0</v>
      </c>
      <c r="AO9" s="719">
        <f t="shared" si="9"/>
        <v>0</v>
      </c>
      <c r="AP9" s="719">
        <f t="shared" si="9"/>
        <v>0</v>
      </c>
      <c r="AQ9" s="719">
        <f t="shared" si="9"/>
        <v>0</v>
      </c>
      <c r="AR9" s="719">
        <f t="shared" si="9"/>
        <v>0</v>
      </c>
      <c r="AS9" s="719">
        <f t="shared" si="9"/>
        <v>0</v>
      </c>
      <c r="AT9" s="719">
        <f t="shared" si="9"/>
        <v>0</v>
      </c>
      <c r="AU9" s="719">
        <f t="shared" si="9"/>
        <v>0</v>
      </c>
      <c r="AV9" s="719">
        <f t="shared" si="9"/>
        <v>0</v>
      </c>
      <c r="AW9" s="719">
        <f t="shared" ref="AW9:BF24" si="10">IF(ISERROR(Plan),0,Plan)</f>
        <v>0</v>
      </c>
      <c r="AX9" s="719">
        <f t="shared" si="10"/>
        <v>0</v>
      </c>
      <c r="AY9" s="719">
        <f t="shared" si="10"/>
        <v>0</v>
      </c>
      <c r="AZ9" s="719">
        <f t="shared" si="10"/>
        <v>0</v>
      </c>
      <c r="BA9" s="719">
        <f t="shared" si="10"/>
        <v>0</v>
      </c>
      <c r="BB9" s="719">
        <f t="shared" si="10"/>
        <v>0</v>
      </c>
      <c r="BC9" s="719">
        <f t="shared" si="10"/>
        <v>0</v>
      </c>
      <c r="BD9" s="719">
        <f t="shared" si="10"/>
        <v>0</v>
      </c>
      <c r="BE9" s="719">
        <f t="shared" si="10"/>
        <v>0</v>
      </c>
      <c r="BF9" s="719">
        <f t="shared" si="10"/>
        <v>0</v>
      </c>
      <c r="BG9" s="719">
        <f t="shared" ref="BG9:BP24" si="11">IF(ISERROR(Plan),0,Plan)</f>
        <v>0</v>
      </c>
      <c r="BH9" s="719">
        <f t="shared" si="11"/>
        <v>0</v>
      </c>
      <c r="BI9" s="719">
        <f t="shared" si="11"/>
        <v>0</v>
      </c>
      <c r="BJ9" s="719">
        <f t="shared" si="11"/>
        <v>0</v>
      </c>
      <c r="BK9" s="719">
        <f t="shared" si="11"/>
        <v>0</v>
      </c>
      <c r="BL9" s="719">
        <f t="shared" si="11"/>
        <v>0</v>
      </c>
      <c r="BM9" s="719">
        <f t="shared" si="11"/>
        <v>0</v>
      </c>
      <c r="BN9" s="719">
        <f t="shared" si="11"/>
        <v>0</v>
      </c>
      <c r="BO9" s="719">
        <f t="shared" si="11"/>
        <v>0</v>
      </c>
      <c r="BP9" s="719">
        <f t="shared" si="11"/>
        <v>0</v>
      </c>
    </row>
    <row r="10" spans="1:68" x14ac:dyDescent="0.25">
      <c r="A10" s="1002" t="s">
        <v>210</v>
      </c>
      <c r="B10" s="1003"/>
      <c r="C10" s="517" t="str">
        <f>IF($B10&lt;&gt;"",VLOOKUP($B10,COSTS_Elixir_Collector[#All],2),"")</f>
        <v/>
      </c>
      <c r="D10" s="1004" t="str">
        <f>IF($B10&lt;&gt;"",VLOOKUP($B10,COSTS_Elixir_Collector[#All],3)/24,"")</f>
        <v/>
      </c>
      <c r="E10" s="996"/>
      <c r="F10" s="1005"/>
      <c r="G10" s="924" t="str">
        <f t="shared" si="5"/>
        <v/>
      </c>
      <c r="H10" s="921"/>
      <c r="I10" s="721">
        <f t="shared" si="6"/>
        <v>0</v>
      </c>
      <c r="J10" s="721">
        <f t="shared" si="3"/>
        <v>0</v>
      </c>
      <c r="K10" s="721">
        <f t="shared" si="3"/>
        <v>0</v>
      </c>
      <c r="L10" s="721">
        <f t="shared" si="3"/>
        <v>0</v>
      </c>
      <c r="M10" s="721">
        <f t="shared" si="3"/>
        <v>0</v>
      </c>
      <c r="N10" s="721">
        <f t="shared" si="3"/>
        <v>0</v>
      </c>
      <c r="O10" s="721">
        <f t="shared" si="3"/>
        <v>0</v>
      </c>
      <c r="P10" s="721">
        <f t="shared" si="3"/>
        <v>0</v>
      </c>
      <c r="Q10" s="721">
        <f t="shared" si="3"/>
        <v>0</v>
      </c>
      <c r="R10" s="719">
        <f t="shared" si="3"/>
        <v>0</v>
      </c>
      <c r="S10" s="719">
        <f t="shared" si="7"/>
        <v>0</v>
      </c>
      <c r="T10" s="719">
        <f t="shared" si="7"/>
        <v>0</v>
      </c>
      <c r="U10" s="719">
        <f t="shared" si="7"/>
        <v>0</v>
      </c>
      <c r="V10" s="719">
        <f t="shared" si="7"/>
        <v>0</v>
      </c>
      <c r="W10" s="719">
        <f t="shared" si="7"/>
        <v>0</v>
      </c>
      <c r="X10" s="719">
        <f t="shared" si="7"/>
        <v>0</v>
      </c>
      <c r="Y10" s="719">
        <f t="shared" si="7"/>
        <v>0</v>
      </c>
      <c r="Z10" s="719">
        <f t="shared" si="7"/>
        <v>0</v>
      </c>
      <c r="AA10" s="719">
        <f t="shared" si="7"/>
        <v>0</v>
      </c>
      <c r="AB10" s="719">
        <f t="shared" si="7"/>
        <v>0</v>
      </c>
      <c r="AC10" s="719">
        <f t="shared" si="8"/>
        <v>0</v>
      </c>
      <c r="AD10" s="719">
        <f t="shared" si="8"/>
        <v>0</v>
      </c>
      <c r="AE10" s="719">
        <f t="shared" si="8"/>
        <v>0</v>
      </c>
      <c r="AF10" s="719">
        <f t="shared" si="8"/>
        <v>0</v>
      </c>
      <c r="AG10" s="719">
        <f t="shared" si="8"/>
        <v>0</v>
      </c>
      <c r="AH10" s="719">
        <f t="shared" si="8"/>
        <v>0</v>
      </c>
      <c r="AI10" s="719">
        <f t="shared" si="8"/>
        <v>0</v>
      </c>
      <c r="AJ10" s="719">
        <f t="shared" si="8"/>
        <v>0</v>
      </c>
      <c r="AK10" s="719">
        <f t="shared" si="8"/>
        <v>0</v>
      </c>
      <c r="AL10" s="719">
        <f t="shared" si="8"/>
        <v>0</v>
      </c>
      <c r="AM10" s="719">
        <f t="shared" si="9"/>
        <v>0</v>
      </c>
      <c r="AN10" s="719">
        <f t="shared" si="9"/>
        <v>0</v>
      </c>
      <c r="AO10" s="719">
        <f t="shared" si="9"/>
        <v>0</v>
      </c>
      <c r="AP10" s="719">
        <f t="shared" si="9"/>
        <v>0</v>
      </c>
      <c r="AQ10" s="719">
        <f t="shared" si="9"/>
        <v>0</v>
      </c>
      <c r="AR10" s="719">
        <f t="shared" si="9"/>
        <v>0</v>
      </c>
      <c r="AS10" s="719">
        <f t="shared" si="9"/>
        <v>0</v>
      </c>
      <c r="AT10" s="719">
        <f t="shared" si="9"/>
        <v>0</v>
      </c>
      <c r="AU10" s="719">
        <f t="shared" si="9"/>
        <v>0</v>
      </c>
      <c r="AV10" s="719">
        <f t="shared" si="9"/>
        <v>0</v>
      </c>
      <c r="AW10" s="719">
        <f t="shared" si="10"/>
        <v>0</v>
      </c>
      <c r="AX10" s="719">
        <f t="shared" si="10"/>
        <v>0</v>
      </c>
      <c r="AY10" s="719">
        <f t="shared" si="10"/>
        <v>0</v>
      </c>
      <c r="AZ10" s="719">
        <f t="shared" si="10"/>
        <v>0</v>
      </c>
      <c r="BA10" s="719">
        <f t="shared" si="10"/>
        <v>0</v>
      </c>
      <c r="BB10" s="719">
        <f t="shared" si="10"/>
        <v>0</v>
      </c>
      <c r="BC10" s="719">
        <f t="shared" si="10"/>
        <v>0</v>
      </c>
      <c r="BD10" s="719">
        <f t="shared" si="10"/>
        <v>0</v>
      </c>
      <c r="BE10" s="719">
        <f t="shared" si="10"/>
        <v>0</v>
      </c>
      <c r="BF10" s="719">
        <f t="shared" si="10"/>
        <v>0</v>
      </c>
      <c r="BG10" s="719">
        <f t="shared" si="11"/>
        <v>0</v>
      </c>
      <c r="BH10" s="719">
        <f t="shared" si="11"/>
        <v>0</v>
      </c>
      <c r="BI10" s="719">
        <f t="shared" si="11"/>
        <v>0</v>
      </c>
      <c r="BJ10" s="719">
        <f t="shared" si="11"/>
        <v>0</v>
      </c>
      <c r="BK10" s="719">
        <f t="shared" si="11"/>
        <v>0</v>
      </c>
      <c r="BL10" s="719">
        <f t="shared" si="11"/>
        <v>0</v>
      </c>
      <c r="BM10" s="719">
        <f t="shared" si="11"/>
        <v>0</v>
      </c>
      <c r="BN10" s="719">
        <f t="shared" si="11"/>
        <v>0</v>
      </c>
      <c r="BO10" s="719">
        <f t="shared" si="11"/>
        <v>0</v>
      </c>
      <c r="BP10" s="719">
        <f t="shared" si="11"/>
        <v>0</v>
      </c>
    </row>
    <row r="11" spans="1:68" x14ac:dyDescent="0.25">
      <c r="A11" s="1002" t="s">
        <v>211</v>
      </c>
      <c r="B11" s="1003"/>
      <c r="C11" s="386" t="str">
        <f>IF($B11&lt;&gt;"",VLOOKUP($B11,COSTS_Dark_Elixir_Drill[#All],2),"")</f>
        <v/>
      </c>
      <c r="D11" s="1004" t="str">
        <f>IF($B11&lt;&gt;"",VLOOKUP($B11,COSTS_Elixir_Collector[#All],3)/24,"")</f>
        <v/>
      </c>
      <c r="E11" s="996"/>
      <c r="F11" s="1005"/>
      <c r="G11" s="924" t="str">
        <f t="shared" si="5"/>
        <v/>
      </c>
      <c r="H11" s="921"/>
      <c r="I11" s="721">
        <f t="shared" si="6"/>
        <v>0</v>
      </c>
      <c r="J11" s="721">
        <f t="shared" si="3"/>
        <v>0</v>
      </c>
      <c r="K11" s="721">
        <f t="shared" si="3"/>
        <v>0</v>
      </c>
      <c r="L11" s="721">
        <f t="shared" si="3"/>
        <v>0</v>
      </c>
      <c r="M11" s="721">
        <f t="shared" si="3"/>
        <v>0</v>
      </c>
      <c r="N11" s="721">
        <f t="shared" si="3"/>
        <v>0</v>
      </c>
      <c r="O11" s="721">
        <f t="shared" si="3"/>
        <v>0</v>
      </c>
      <c r="P11" s="721">
        <f t="shared" si="3"/>
        <v>0</v>
      </c>
      <c r="Q11" s="721">
        <f t="shared" si="3"/>
        <v>0</v>
      </c>
      <c r="R11" s="719">
        <f t="shared" si="3"/>
        <v>0</v>
      </c>
      <c r="S11" s="719">
        <f t="shared" si="7"/>
        <v>0</v>
      </c>
      <c r="T11" s="719">
        <f t="shared" si="7"/>
        <v>0</v>
      </c>
      <c r="U11" s="719">
        <f t="shared" si="7"/>
        <v>0</v>
      </c>
      <c r="V11" s="719">
        <f t="shared" si="7"/>
        <v>0</v>
      </c>
      <c r="W11" s="719">
        <f t="shared" si="7"/>
        <v>0</v>
      </c>
      <c r="X11" s="719">
        <f t="shared" si="7"/>
        <v>0</v>
      </c>
      <c r="Y11" s="719">
        <f t="shared" si="7"/>
        <v>0</v>
      </c>
      <c r="Z11" s="719">
        <f t="shared" si="7"/>
        <v>0</v>
      </c>
      <c r="AA11" s="719">
        <f t="shared" si="7"/>
        <v>0</v>
      </c>
      <c r="AB11" s="719">
        <f t="shared" si="7"/>
        <v>0</v>
      </c>
      <c r="AC11" s="719">
        <f t="shared" si="8"/>
        <v>0</v>
      </c>
      <c r="AD11" s="719">
        <f t="shared" si="8"/>
        <v>0</v>
      </c>
      <c r="AE11" s="719">
        <f t="shared" si="8"/>
        <v>0</v>
      </c>
      <c r="AF11" s="719">
        <f t="shared" si="8"/>
        <v>0</v>
      </c>
      <c r="AG11" s="719">
        <f t="shared" si="8"/>
        <v>0</v>
      </c>
      <c r="AH11" s="719">
        <f t="shared" si="8"/>
        <v>0</v>
      </c>
      <c r="AI11" s="719">
        <f t="shared" si="8"/>
        <v>0</v>
      </c>
      <c r="AJ11" s="719">
        <f t="shared" si="8"/>
        <v>0</v>
      </c>
      <c r="AK11" s="719">
        <f t="shared" si="8"/>
        <v>0</v>
      </c>
      <c r="AL11" s="719">
        <f t="shared" si="8"/>
        <v>0</v>
      </c>
      <c r="AM11" s="719">
        <f t="shared" si="9"/>
        <v>0</v>
      </c>
      <c r="AN11" s="719">
        <f t="shared" si="9"/>
        <v>0</v>
      </c>
      <c r="AO11" s="719">
        <f t="shared" si="9"/>
        <v>0</v>
      </c>
      <c r="AP11" s="719">
        <f t="shared" si="9"/>
        <v>0</v>
      </c>
      <c r="AQ11" s="719">
        <f t="shared" si="9"/>
        <v>0</v>
      </c>
      <c r="AR11" s="719">
        <f t="shared" si="9"/>
        <v>0</v>
      </c>
      <c r="AS11" s="719">
        <f t="shared" si="9"/>
        <v>0</v>
      </c>
      <c r="AT11" s="719">
        <f t="shared" si="9"/>
        <v>0</v>
      </c>
      <c r="AU11" s="719">
        <f t="shared" si="9"/>
        <v>0</v>
      </c>
      <c r="AV11" s="719">
        <f t="shared" si="9"/>
        <v>0</v>
      </c>
      <c r="AW11" s="719">
        <f t="shared" si="10"/>
        <v>0</v>
      </c>
      <c r="AX11" s="719">
        <f t="shared" si="10"/>
        <v>0</v>
      </c>
      <c r="AY11" s="719">
        <f t="shared" si="10"/>
        <v>0</v>
      </c>
      <c r="AZ11" s="719">
        <f t="shared" si="10"/>
        <v>0</v>
      </c>
      <c r="BA11" s="719">
        <f t="shared" si="10"/>
        <v>0</v>
      </c>
      <c r="BB11" s="719">
        <f t="shared" si="10"/>
        <v>0</v>
      </c>
      <c r="BC11" s="719">
        <f t="shared" si="10"/>
        <v>0</v>
      </c>
      <c r="BD11" s="719">
        <f t="shared" si="10"/>
        <v>0</v>
      </c>
      <c r="BE11" s="719">
        <f t="shared" si="10"/>
        <v>0</v>
      </c>
      <c r="BF11" s="719">
        <f t="shared" si="10"/>
        <v>0</v>
      </c>
      <c r="BG11" s="719">
        <f t="shared" si="11"/>
        <v>0</v>
      </c>
      <c r="BH11" s="719">
        <f t="shared" si="11"/>
        <v>0</v>
      </c>
      <c r="BI11" s="719">
        <f t="shared" si="11"/>
        <v>0</v>
      </c>
      <c r="BJ11" s="719">
        <f t="shared" si="11"/>
        <v>0</v>
      </c>
      <c r="BK11" s="719">
        <f t="shared" si="11"/>
        <v>0</v>
      </c>
      <c r="BL11" s="719">
        <f t="shared" si="11"/>
        <v>0</v>
      </c>
      <c r="BM11" s="719">
        <f t="shared" si="11"/>
        <v>0</v>
      </c>
      <c r="BN11" s="719">
        <f t="shared" si="11"/>
        <v>0</v>
      </c>
      <c r="BO11" s="719">
        <f t="shared" si="11"/>
        <v>0</v>
      </c>
      <c r="BP11" s="719">
        <f t="shared" si="11"/>
        <v>0</v>
      </c>
    </row>
    <row r="12" spans="1:68" x14ac:dyDescent="0.25">
      <c r="A12" s="1002" t="s">
        <v>212</v>
      </c>
      <c r="B12" s="1003"/>
      <c r="C12" s="386" t="str">
        <f>IF($B12&lt;&gt;"",VLOOKUP($B12,COSTS_Gold_Storage[#All],2),"")</f>
        <v/>
      </c>
      <c r="D12" s="1004" t="str">
        <f>IF($B12&lt;&gt;"",VLOOKUP($B12,COSTS_Gold_Storage[#All],3)/24,"")</f>
        <v/>
      </c>
      <c r="E12" s="996"/>
      <c r="F12" s="1005"/>
      <c r="G12" s="924" t="str">
        <f t="shared" si="5"/>
        <v/>
      </c>
      <c r="H12" s="921"/>
      <c r="I12" s="721">
        <f t="shared" si="6"/>
        <v>0</v>
      </c>
      <c r="J12" s="721">
        <f t="shared" si="3"/>
        <v>0</v>
      </c>
      <c r="K12" s="721">
        <f t="shared" si="3"/>
        <v>0</v>
      </c>
      <c r="L12" s="721">
        <f t="shared" ref="L12:L13" si="12">IF(ISERROR(Plan),0,Plan)</f>
        <v>0</v>
      </c>
      <c r="M12" s="721">
        <f t="shared" si="3"/>
        <v>0</v>
      </c>
      <c r="N12" s="721">
        <f t="shared" si="3"/>
        <v>0</v>
      </c>
      <c r="O12" s="721">
        <f t="shared" si="3"/>
        <v>0</v>
      </c>
      <c r="P12" s="721">
        <f t="shared" si="3"/>
        <v>0</v>
      </c>
      <c r="Q12" s="721">
        <f t="shared" si="3"/>
        <v>0</v>
      </c>
      <c r="R12" s="719">
        <f t="shared" si="3"/>
        <v>0</v>
      </c>
      <c r="S12" s="719">
        <f t="shared" si="7"/>
        <v>0</v>
      </c>
      <c r="T12" s="719">
        <f t="shared" si="7"/>
        <v>0</v>
      </c>
      <c r="U12" s="719">
        <f t="shared" si="7"/>
        <v>0</v>
      </c>
      <c r="V12" s="719">
        <f t="shared" si="7"/>
        <v>0</v>
      </c>
      <c r="W12" s="719">
        <f t="shared" si="7"/>
        <v>0</v>
      </c>
      <c r="X12" s="719">
        <f t="shared" si="7"/>
        <v>0</v>
      </c>
      <c r="Y12" s="719">
        <f t="shared" si="7"/>
        <v>0</v>
      </c>
      <c r="Z12" s="719">
        <f t="shared" si="7"/>
        <v>0</v>
      </c>
      <c r="AA12" s="719">
        <f t="shared" si="7"/>
        <v>0</v>
      </c>
      <c r="AB12" s="719">
        <f t="shared" si="7"/>
        <v>0</v>
      </c>
      <c r="AC12" s="719">
        <f t="shared" si="8"/>
        <v>0</v>
      </c>
      <c r="AD12" s="719">
        <f t="shared" si="8"/>
        <v>0</v>
      </c>
      <c r="AE12" s="719">
        <f t="shared" si="8"/>
        <v>0</v>
      </c>
      <c r="AF12" s="719">
        <f t="shared" si="8"/>
        <v>0</v>
      </c>
      <c r="AG12" s="719">
        <f t="shared" si="8"/>
        <v>0</v>
      </c>
      <c r="AH12" s="719">
        <f t="shared" si="8"/>
        <v>0</v>
      </c>
      <c r="AI12" s="719">
        <f t="shared" si="8"/>
        <v>0</v>
      </c>
      <c r="AJ12" s="719">
        <f t="shared" si="8"/>
        <v>0</v>
      </c>
      <c r="AK12" s="719">
        <f t="shared" si="8"/>
        <v>0</v>
      </c>
      <c r="AL12" s="719">
        <f t="shared" si="8"/>
        <v>0</v>
      </c>
      <c r="AM12" s="719">
        <f t="shared" si="9"/>
        <v>0</v>
      </c>
      <c r="AN12" s="719">
        <f t="shared" si="9"/>
        <v>0</v>
      </c>
      <c r="AO12" s="719">
        <f t="shared" si="9"/>
        <v>0</v>
      </c>
      <c r="AP12" s="719">
        <f t="shared" si="9"/>
        <v>0</v>
      </c>
      <c r="AQ12" s="719">
        <f t="shared" si="9"/>
        <v>0</v>
      </c>
      <c r="AR12" s="719">
        <f t="shared" si="9"/>
        <v>0</v>
      </c>
      <c r="AS12" s="719">
        <f t="shared" si="9"/>
        <v>0</v>
      </c>
      <c r="AT12" s="719">
        <f t="shared" si="9"/>
        <v>0</v>
      </c>
      <c r="AU12" s="719">
        <f t="shared" si="9"/>
        <v>0</v>
      </c>
      <c r="AV12" s="719">
        <f t="shared" si="9"/>
        <v>0</v>
      </c>
      <c r="AW12" s="719">
        <f t="shared" si="10"/>
        <v>0</v>
      </c>
      <c r="AX12" s="719">
        <f t="shared" si="10"/>
        <v>0</v>
      </c>
      <c r="AY12" s="719">
        <f t="shared" si="10"/>
        <v>0</v>
      </c>
      <c r="AZ12" s="719">
        <f t="shared" si="10"/>
        <v>0</v>
      </c>
      <c r="BA12" s="719">
        <f t="shared" si="10"/>
        <v>0</v>
      </c>
      <c r="BB12" s="719">
        <f t="shared" si="10"/>
        <v>0</v>
      </c>
      <c r="BC12" s="719">
        <f t="shared" si="10"/>
        <v>0</v>
      </c>
      <c r="BD12" s="719">
        <f t="shared" si="10"/>
        <v>0</v>
      </c>
      <c r="BE12" s="719">
        <f t="shared" si="10"/>
        <v>0</v>
      </c>
      <c r="BF12" s="719">
        <f t="shared" si="10"/>
        <v>0</v>
      </c>
      <c r="BG12" s="719">
        <f t="shared" si="11"/>
        <v>0</v>
      </c>
      <c r="BH12" s="719">
        <f t="shared" si="11"/>
        <v>0</v>
      </c>
      <c r="BI12" s="719">
        <f t="shared" si="11"/>
        <v>0</v>
      </c>
      <c r="BJ12" s="719">
        <f t="shared" si="11"/>
        <v>0</v>
      </c>
      <c r="BK12" s="719">
        <f t="shared" si="11"/>
        <v>0</v>
      </c>
      <c r="BL12" s="719">
        <f t="shared" si="11"/>
        <v>0</v>
      </c>
      <c r="BM12" s="719">
        <f t="shared" si="11"/>
        <v>0</v>
      </c>
      <c r="BN12" s="719">
        <f t="shared" si="11"/>
        <v>0</v>
      </c>
      <c r="BO12" s="719">
        <f t="shared" si="11"/>
        <v>0</v>
      </c>
      <c r="BP12" s="719">
        <f t="shared" si="11"/>
        <v>0</v>
      </c>
    </row>
    <row r="13" spans="1:68" x14ac:dyDescent="0.25">
      <c r="A13" s="1002" t="s">
        <v>452</v>
      </c>
      <c r="B13" s="1003"/>
      <c r="C13" s="517" t="str">
        <f>IF($B13&lt;&gt;"",VLOOKUP($B13,COSTS_Elixir_Storage[#All],2),"")</f>
        <v/>
      </c>
      <c r="D13" s="1004" t="str">
        <f>IF($B13&lt;&gt;"",VLOOKUP($B13,COSTS_Elixir_Storage[#All],3)/24,"")</f>
        <v/>
      </c>
      <c r="E13" s="996"/>
      <c r="F13" s="1005"/>
      <c r="G13" s="924" t="str">
        <f t="shared" si="5"/>
        <v/>
      </c>
      <c r="H13" s="921"/>
      <c r="I13" s="721">
        <f t="shared" si="6"/>
        <v>0</v>
      </c>
      <c r="J13" s="721">
        <f t="shared" si="3"/>
        <v>0</v>
      </c>
      <c r="K13" s="721">
        <f t="shared" si="3"/>
        <v>0</v>
      </c>
      <c r="L13" s="721">
        <f t="shared" si="12"/>
        <v>0</v>
      </c>
      <c r="M13" s="721">
        <f t="shared" si="3"/>
        <v>0</v>
      </c>
      <c r="N13" s="721">
        <f t="shared" si="3"/>
        <v>0</v>
      </c>
      <c r="O13" s="721">
        <f t="shared" si="3"/>
        <v>0</v>
      </c>
      <c r="P13" s="721">
        <f t="shared" si="3"/>
        <v>0</v>
      </c>
      <c r="Q13" s="721">
        <f t="shared" si="3"/>
        <v>0</v>
      </c>
      <c r="R13" s="719">
        <f t="shared" si="3"/>
        <v>0</v>
      </c>
      <c r="S13" s="719">
        <f t="shared" si="7"/>
        <v>0</v>
      </c>
      <c r="T13" s="719">
        <f t="shared" si="7"/>
        <v>0</v>
      </c>
      <c r="U13" s="719">
        <f t="shared" si="7"/>
        <v>0</v>
      </c>
      <c r="V13" s="719">
        <f t="shared" si="7"/>
        <v>0</v>
      </c>
      <c r="W13" s="719">
        <f t="shared" si="7"/>
        <v>0</v>
      </c>
      <c r="X13" s="719">
        <f t="shared" si="7"/>
        <v>0</v>
      </c>
      <c r="Y13" s="719">
        <f t="shared" si="7"/>
        <v>0</v>
      </c>
      <c r="Z13" s="719">
        <f t="shared" si="7"/>
        <v>0</v>
      </c>
      <c r="AA13" s="719">
        <f t="shared" si="7"/>
        <v>0</v>
      </c>
      <c r="AB13" s="719">
        <f t="shared" si="7"/>
        <v>0</v>
      </c>
      <c r="AC13" s="719">
        <f t="shared" si="8"/>
        <v>0</v>
      </c>
      <c r="AD13" s="719">
        <f t="shared" si="8"/>
        <v>0</v>
      </c>
      <c r="AE13" s="719">
        <f t="shared" si="8"/>
        <v>0</v>
      </c>
      <c r="AF13" s="719">
        <f t="shared" si="8"/>
        <v>0</v>
      </c>
      <c r="AG13" s="719">
        <f t="shared" si="8"/>
        <v>0</v>
      </c>
      <c r="AH13" s="719">
        <f t="shared" si="8"/>
        <v>0</v>
      </c>
      <c r="AI13" s="719">
        <f t="shared" si="8"/>
        <v>0</v>
      </c>
      <c r="AJ13" s="719">
        <f t="shared" si="8"/>
        <v>0</v>
      </c>
      <c r="AK13" s="719">
        <f t="shared" si="8"/>
        <v>0</v>
      </c>
      <c r="AL13" s="719">
        <f t="shared" si="8"/>
        <v>0</v>
      </c>
      <c r="AM13" s="719">
        <f t="shared" si="9"/>
        <v>0</v>
      </c>
      <c r="AN13" s="719">
        <f t="shared" si="9"/>
        <v>0</v>
      </c>
      <c r="AO13" s="719">
        <f t="shared" si="9"/>
        <v>0</v>
      </c>
      <c r="AP13" s="719">
        <f t="shared" si="9"/>
        <v>0</v>
      </c>
      <c r="AQ13" s="719">
        <f t="shared" si="9"/>
        <v>0</v>
      </c>
      <c r="AR13" s="719">
        <f t="shared" si="9"/>
        <v>0</v>
      </c>
      <c r="AS13" s="719">
        <f t="shared" si="9"/>
        <v>0</v>
      </c>
      <c r="AT13" s="719">
        <f t="shared" si="9"/>
        <v>0</v>
      </c>
      <c r="AU13" s="719">
        <f t="shared" si="9"/>
        <v>0</v>
      </c>
      <c r="AV13" s="719">
        <f t="shared" si="9"/>
        <v>0</v>
      </c>
      <c r="AW13" s="719">
        <f t="shared" si="10"/>
        <v>0</v>
      </c>
      <c r="AX13" s="719">
        <f t="shared" si="10"/>
        <v>0</v>
      </c>
      <c r="AY13" s="719">
        <f t="shared" si="10"/>
        <v>0</v>
      </c>
      <c r="AZ13" s="719">
        <f t="shared" si="10"/>
        <v>0</v>
      </c>
      <c r="BA13" s="719">
        <f t="shared" si="10"/>
        <v>0</v>
      </c>
      <c r="BB13" s="719">
        <f t="shared" si="10"/>
        <v>0</v>
      </c>
      <c r="BC13" s="719">
        <f t="shared" si="10"/>
        <v>0</v>
      </c>
      <c r="BD13" s="719">
        <f t="shared" si="10"/>
        <v>0</v>
      </c>
      <c r="BE13" s="719">
        <f t="shared" si="10"/>
        <v>0</v>
      </c>
      <c r="BF13" s="719">
        <f t="shared" si="10"/>
        <v>0</v>
      </c>
      <c r="BG13" s="719">
        <f t="shared" si="11"/>
        <v>0</v>
      </c>
      <c r="BH13" s="719">
        <f t="shared" si="11"/>
        <v>0</v>
      </c>
      <c r="BI13" s="719">
        <f t="shared" si="11"/>
        <v>0</v>
      </c>
      <c r="BJ13" s="719">
        <f t="shared" si="11"/>
        <v>0</v>
      </c>
      <c r="BK13" s="719">
        <f t="shared" si="11"/>
        <v>0</v>
      </c>
      <c r="BL13" s="719">
        <f t="shared" si="11"/>
        <v>0</v>
      </c>
      <c r="BM13" s="719">
        <f t="shared" si="11"/>
        <v>0</v>
      </c>
      <c r="BN13" s="719">
        <f t="shared" si="11"/>
        <v>0</v>
      </c>
      <c r="BO13" s="719">
        <f t="shared" si="11"/>
        <v>0</v>
      </c>
      <c r="BP13" s="719">
        <f t="shared" si="11"/>
        <v>0</v>
      </c>
    </row>
    <row r="14" spans="1:68" ht="15.75" thickBot="1" x14ac:dyDescent="0.3">
      <c r="A14" s="1006" t="s">
        <v>451</v>
      </c>
      <c r="B14" s="1007"/>
      <c r="C14" s="386" t="str">
        <f>IF($B14&lt;&gt;"",VLOOKUP($B14,COSTS_Dark_Elixir_Storage[#All],2),"")</f>
        <v/>
      </c>
      <c r="D14" s="1008" t="str">
        <f>IF($B14&lt;&gt;"",VLOOKUP($B14,COSTS_Dark_Elixir_Storage[#All],3)/24,"")</f>
        <v/>
      </c>
      <c r="E14" s="1009"/>
      <c r="F14" s="1010"/>
      <c r="G14" s="925" t="str">
        <f t="shared" si="5"/>
        <v/>
      </c>
      <c r="H14" s="922"/>
      <c r="I14" s="721">
        <f t="shared" si="6"/>
        <v>0</v>
      </c>
      <c r="J14" s="721">
        <f t="shared" si="3"/>
        <v>0</v>
      </c>
      <c r="K14" s="721">
        <f t="shared" si="3"/>
        <v>0</v>
      </c>
      <c r="L14" s="721">
        <f t="shared" si="3"/>
        <v>0</v>
      </c>
      <c r="M14" s="721">
        <f t="shared" si="3"/>
        <v>0</v>
      </c>
      <c r="N14" s="721">
        <f t="shared" si="3"/>
        <v>0</v>
      </c>
      <c r="O14" s="721">
        <f t="shared" si="3"/>
        <v>0</v>
      </c>
      <c r="P14" s="721">
        <f t="shared" si="3"/>
        <v>0</v>
      </c>
      <c r="Q14" s="721">
        <f t="shared" si="3"/>
        <v>0</v>
      </c>
      <c r="R14" s="719">
        <f t="shared" si="3"/>
        <v>0</v>
      </c>
      <c r="S14" s="719">
        <f t="shared" si="7"/>
        <v>0</v>
      </c>
      <c r="T14" s="719">
        <f t="shared" si="7"/>
        <v>0</v>
      </c>
      <c r="U14" s="719">
        <f t="shared" si="7"/>
        <v>0</v>
      </c>
      <c r="V14" s="719">
        <f t="shared" si="7"/>
        <v>0</v>
      </c>
      <c r="W14" s="719">
        <f t="shared" si="7"/>
        <v>0</v>
      </c>
      <c r="X14" s="719">
        <f t="shared" si="7"/>
        <v>0</v>
      </c>
      <c r="Y14" s="719">
        <f t="shared" si="7"/>
        <v>0</v>
      </c>
      <c r="Z14" s="719">
        <f t="shared" si="7"/>
        <v>0</v>
      </c>
      <c r="AA14" s="719">
        <f t="shared" si="7"/>
        <v>0</v>
      </c>
      <c r="AB14" s="719">
        <f t="shared" si="7"/>
        <v>0</v>
      </c>
      <c r="AC14" s="719">
        <f t="shared" si="8"/>
        <v>0</v>
      </c>
      <c r="AD14" s="719">
        <f t="shared" si="8"/>
        <v>0</v>
      </c>
      <c r="AE14" s="719">
        <f t="shared" si="8"/>
        <v>0</v>
      </c>
      <c r="AF14" s="719">
        <f t="shared" si="8"/>
        <v>0</v>
      </c>
      <c r="AG14" s="719">
        <f t="shared" si="8"/>
        <v>0</v>
      </c>
      <c r="AH14" s="719">
        <f t="shared" si="8"/>
        <v>0</v>
      </c>
      <c r="AI14" s="719">
        <f t="shared" si="8"/>
        <v>0</v>
      </c>
      <c r="AJ14" s="719">
        <f t="shared" si="8"/>
        <v>0</v>
      </c>
      <c r="AK14" s="719">
        <f t="shared" si="8"/>
        <v>0</v>
      </c>
      <c r="AL14" s="719">
        <f t="shared" si="8"/>
        <v>0</v>
      </c>
      <c r="AM14" s="719">
        <f t="shared" si="9"/>
        <v>0</v>
      </c>
      <c r="AN14" s="719">
        <f t="shared" si="9"/>
        <v>0</v>
      </c>
      <c r="AO14" s="719">
        <f t="shared" si="9"/>
        <v>0</v>
      </c>
      <c r="AP14" s="719">
        <f t="shared" si="9"/>
        <v>0</v>
      </c>
      <c r="AQ14" s="719">
        <f t="shared" si="9"/>
        <v>0</v>
      </c>
      <c r="AR14" s="719">
        <f t="shared" si="9"/>
        <v>0</v>
      </c>
      <c r="AS14" s="719">
        <f t="shared" si="9"/>
        <v>0</v>
      </c>
      <c r="AT14" s="719">
        <f t="shared" si="9"/>
        <v>0</v>
      </c>
      <c r="AU14" s="719">
        <f t="shared" si="9"/>
        <v>0</v>
      </c>
      <c r="AV14" s="719">
        <f t="shared" si="9"/>
        <v>0</v>
      </c>
      <c r="AW14" s="719">
        <f t="shared" si="10"/>
        <v>0</v>
      </c>
      <c r="AX14" s="719">
        <f t="shared" si="10"/>
        <v>0</v>
      </c>
      <c r="AY14" s="719">
        <f t="shared" si="10"/>
        <v>0</v>
      </c>
      <c r="AZ14" s="719">
        <f t="shared" si="10"/>
        <v>0</v>
      </c>
      <c r="BA14" s="719">
        <f t="shared" si="10"/>
        <v>0</v>
      </c>
      <c r="BB14" s="719">
        <f t="shared" si="10"/>
        <v>0</v>
      </c>
      <c r="BC14" s="719">
        <f t="shared" si="10"/>
        <v>0</v>
      </c>
      <c r="BD14" s="719">
        <f t="shared" si="10"/>
        <v>0</v>
      </c>
      <c r="BE14" s="719">
        <f t="shared" si="10"/>
        <v>0</v>
      </c>
      <c r="BF14" s="719">
        <f t="shared" si="10"/>
        <v>0</v>
      </c>
      <c r="BG14" s="719">
        <f t="shared" si="11"/>
        <v>0</v>
      </c>
      <c r="BH14" s="719">
        <f t="shared" si="11"/>
        <v>0</v>
      </c>
      <c r="BI14" s="719">
        <f t="shared" si="11"/>
        <v>0</v>
      </c>
      <c r="BJ14" s="719">
        <f t="shared" si="11"/>
        <v>0</v>
      </c>
      <c r="BK14" s="719">
        <f t="shared" si="11"/>
        <v>0</v>
      </c>
      <c r="BL14" s="719">
        <f t="shared" si="11"/>
        <v>0</v>
      </c>
      <c r="BM14" s="719">
        <f t="shared" si="11"/>
        <v>0</v>
      </c>
      <c r="BN14" s="719">
        <f t="shared" si="11"/>
        <v>0</v>
      </c>
      <c r="BO14" s="719">
        <f t="shared" si="11"/>
        <v>0</v>
      </c>
      <c r="BP14" s="719">
        <f t="shared" si="11"/>
        <v>0</v>
      </c>
    </row>
    <row r="15" spans="1:68" ht="16.5" thickBot="1" x14ac:dyDescent="0.3">
      <c r="A15" s="1045" t="s">
        <v>181</v>
      </c>
      <c r="B15" s="1046"/>
      <c r="C15" s="1046"/>
      <c r="D15" s="1046"/>
      <c r="E15" s="1046"/>
      <c r="F15" s="1046"/>
      <c r="G15" s="1046"/>
      <c r="H15" s="1047"/>
      <c r="I15" s="721">
        <f t="shared" si="6"/>
        <v>0</v>
      </c>
      <c r="J15" s="721">
        <f t="shared" si="3"/>
        <v>0</v>
      </c>
      <c r="K15" s="721">
        <f t="shared" si="3"/>
        <v>0</v>
      </c>
      <c r="L15" s="721">
        <f t="shared" si="3"/>
        <v>0</v>
      </c>
      <c r="M15" s="721">
        <f t="shared" si="3"/>
        <v>0</v>
      </c>
      <c r="N15" s="721">
        <f t="shared" si="3"/>
        <v>0</v>
      </c>
      <c r="O15" s="721">
        <f t="shared" si="3"/>
        <v>0</v>
      </c>
      <c r="P15" s="721">
        <f t="shared" si="3"/>
        <v>0</v>
      </c>
      <c r="Q15" s="721">
        <f t="shared" si="3"/>
        <v>0</v>
      </c>
      <c r="R15" s="719">
        <f t="shared" si="3"/>
        <v>0</v>
      </c>
      <c r="S15" s="719">
        <f t="shared" si="7"/>
        <v>0</v>
      </c>
      <c r="T15" s="719">
        <f t="shared" si="7"/>
        <v>0</v>
      </c>
      <c r="U15" s="719">
        <f t="shared" si="7"/>
        <v>0</v>
      </c>
      <c r="V15" s="719">
        <f t="shared" si="7"/>
        <v>0</v>
      </c>
      <c r="W15" s="719">
        <f t="shared" si="7"/>
        <v>0</v>
      </c>
      <c r="X15" s="719">
        <f t="shared" si="7"/>
        <v>0</v>
      </c>
      <c r="Y15" s="719">
        <f t="shared" si="7"/>
        <v>0</v>
      </c>
      <c r="Z15" s="719">
        <f t="shared" si="7"/>
        <v>0</v>
      </c>
      <c r="AA15" s="719">
        <f t="shared" si="7"/>
        <v>0</v>
      </c>
      <c r="AB15" s="719">
        <f t="shared" si="7"/>
        <v>0</v>
      </c>
      <c r="AC15" s="719">
        <f t="shared" si="8"/>
        <v>0</v>
      </c>
      <c r="AD15" s="719">
        <f t="shared" si="8"/>
        <v>0</v>
      </c>
      <c r="AE15" s="719">
        <f t="shared" si="8"/>
        <v>0</v>
      </c>
      <c r="AF15" s="719">
        <f t="shared" si="8"/>
        <v>0</v>
      </c>
      <c r="AG15" s="719">
        <f t="shared" si="8"/>
        <v>0</v>
      </c>
      <c r="AH15" s="719">
        <f t="shared" si="8"/>
        <v>0</v>
      </c>
      <c r="AI15" s="719">
        <f t="shared" si="8"/>
        <v>0</v>
      </c>
      <c r="AJ15" s="719">
        <f t="shared" si="8"/>
        <v>0</v>
      </c>
      <c r="AK15" s="719">
        <f t="shared" si="8"/>
        <v>0</v>
      </c>
      <c r="AL15" s="719">
        <f t="shared" si="8"/>
        <v>0</v>
      </c>
      <c r="AM15" s="719">
        <f t="shared" si="9"/>
        <v>0</v>
      </c>
      <c r="AN15" s="719">
        <f t="shared" si="9"/>
        <v>0</v>
      </c>
      <c r="AO15" s="719">
        <f t="shared" si="9"/>
        <v>0</v>
      </c>
      <c r="AP15" s="719">
        <f t="shared" si="9"/>
        <v>0</v>
      </c>
      <c r="AQ15" s="719">
        <f t="shared" si="9"/>
        <v>0</v>
      </c>
      <c r="AR15" s="719">
        <f t="shared" si="9"/>
        <v>0</v>
      </c>
      <c r="AS15" s="719">
        <f t="shared" si="9"/>
        <v>0</v>
      </c>
      <c r="AT15" s="719">
        <f t="shared" si="9"/>
        <v>0</v>
      </c>
      <c r="AU15" s="719">
        <f t="shared" si="9"/>
        <v>0</v>
      </c>
      <c r="AV15" s="719">
        <f t="shared" si="9"/>
        <v>0</v>
      </c>
      <c r="AW15" s="719">
        <f t="shared" si="10"/>
        <v>0</v>
      </c>
      <c r="AX15" s="719">
        <f t="shared" si="10"/>
        <v>0</v>
      </c>
      <c r="AY15" s="719">
        <f t="shared" si="10"/>
        <v>0</v>
      </c>
      <c r="AZ15" s="719">
        <f t="shared" si="10"/>
        <v>0</v>
      </c>
      <c r="BA15" s="719">
        <f t="shared" si="10"/>
        <v>0</v>
      </c>
      <c r="BB15" s="719">
        <f t="shared" si="10"/>
        <v>0</v>
      </c>
      <c r="BC15" s="719">
        <f t="shared" si="10"/>
        <v>0</v>
      </c>
      <c r="BD15" s="719">
        <f t="shared" si="10"/>
        <v>0</v>
      </c>
      <c r="BE15" s="719">
        <f t="shared" si="10"/>
        <v>0</v>
      </c>
      <c r="BF15" s="719">
        <f t="shared" si="10"/>
        <v>0</v>
      </c>
      <c r="BG15" s="719">
        <f t="shared" si="11"/>
        <v>0</v>
      </c>
      <c r="BH15" s="719">
        <f t="shared" si="11"/>
        <v>0</v>
      </c>
      <c r="BI15" s="719">
        <f t="shared" si="11"/>
        <v>0</v>
      </c>
      <c r="BJ15" s="719">
        <f t="shared" si="11"/>
        <v>0</v>
      </c>
      <c r="BK15" s="719">
        <f t="shared" si="11"/>
        <v>0</v>
      </c>
      <c r="BL15" s="719">
        <f t="shared" si="11"/>
        <v>0</v>
      </c>
      <c r="BM15" s="719">
        <f t="shared" si="11"/>
        <v>0</v>
      </c>
      <c r="BN15" s="719">
        <f t="shared" si="11"/>
        <v>0</v>
      </c>
      <c r="BO15" s="719">
        <f t="shared" si="11"/>
        <v>0</v>
      </c>
      <c r="BP15" s="719">
        <f t="shared" si="11"/>
        <v>0</v>
      </c>
    </row>
    <row r="16" spans="1:68" x14ac:dyDescent="0.25">
      <c r="A16" s="997" t="s">
        <v>207</v>
      </c>
      <c r="B16" s="998"/>
      <c r="C16" s="385" t="str">
        <f>IF($B16&lt;&gt;"",VLOOKUP($B16,COSTS_Barrack[#All],2),"")</f>
        <v/>
      </c>
      <c r="D16" s="999" t="str">
        <f>IF($B16&lt;&gt;"",VLOOKUP($B16,COSTS_Barrack[#All],3)/24,"")</f>
        <v/>
      </c>
      <c r="E16" s="1000"/>
      <c r="F16" s="1001"/>
      <c r="G16" s="923" t="str">
        <f>IF($D16&lt;&gt;"",$D16,"")</f>
        <v/>
      </c>
      <c r="H16" s="920"/>
      <c r="I16" s="721">
        <f t="shared" si="6"/>
        <v>0</v>
      </c>
      <c r="J16" s="721">
        <f t="shared" si="3"/>
        <v>0</v>
      </c>
      <c r="K16" s="721">
        <f t="shared" si="3"/>
        <v>0</v>
      </c>
      <c r="L16" s="721">
        <f t="shared" si="3"/>
        <v>0</v>
      </c>
      <c r="M16" s="721">
        <f t="shared" si="3"/>
        <v>0</v>
      </c>
      <c r="N16" s="721">
        <f t="shared" si="3"/>
        <v>0</v>
      </c>
      <c r="O16" s="721">
        <f t="shared" si="3"/>
        <v>0</v>
      </c>
      <c r="P16" s="721">
        <f t="shared" si="3"/>
        <v>0</v>
      </c>
      <c r="Q16" s="721">
        <f t="shared" si="3"/>
        <v>0</v>
      </c>
      <c r="R16" s="719">
        <f t="shared" si="3"/>
        <v>0</v>
      </c>
      <c r="S16" s="719">
        <f t="shared" si="7"/>
        <v>0</v>
      </c>
      <c r="T16" s="719">
        <f t="shared" si="7"/>
        <v>0</v>
      </c>
      <c r="U16" s="719">
        <f t="shared" si="7"/>
        <v>0</v>
      </c>
      <c r="V16" s="719">
        <f t="shared" si="7"/>
        <v>0</v>
      </c>
      <c r="W16" s="719">
        <f t="shared" si="7"/>
        <v>0</v>
      </c>
      <c r="X16" s="719">
        <f t="shared" si="7"/>
        <v>0</v>
      </c>
      <c r="Y16" s="719">
        <f t="shared" si="7"/>
        <v>0</v>
      </c>
      <c r="Z16" s="719">
        <f t="shared" si="7"/>
        <v>0</v>
      </c>
      <c r="AA16" s="719">
        <f t="shared" si="7"/>
        <v>0</v>
      </c>
      <c r="AB16" s="719">
        <f t="shared" si="7"/>
        <v>0</v>
      </c>
      <c r="AC16" s="719">
        <f t="shared" si="8"/>
        <v>0</v>
      </c>
      <c r="AD16" s="719">
        <f t="shared" si="8"/>
        <v>0</v>
      </c>
      <c r="AE16" s="719">
        <f t="shared" si="8"/>
        <v>0</v>
      </c>
      <c r="AF16" s="719">
        <f t="shared" si="8"/>
        <v>0</v>
      </c>
      <c r="AG16" s="719">
        <f t="shared" si="8"/>
        <v>0</v>
      </c>
      <c r="AH16" s="719">
        <f t="shared" si="8"/>
        <v>0</v>
      </c>
      <c r="AI16" s="719">
        <f t="shared" si="8"/>
        <v>0</v>
      </c>
      <c r="AJ16" s="719">
        <f t="shared" si="8"/>
        <v>0</v>
      </c>
      <c r="AK16" s="719">
        <f t="shared" si="8"/>
        <v>0</v>
      </c>
      <c r="AL16" s="719">
        <f t="shared" si="8"/>
        <v>0</v>
      </c>
      <c r="AM16" s="719">
        <f t="shared" si="9"/>
        <v>0</v>
      </c>
      <c r="AN16" s="719">
        <f t="shared" si="9"/>
        <v>0</v>
      </c>
      <c r="AO16" s="719">
        <f t="shared" si="9"/>
        <v>0</v>
      </c>
      <c r="AP16" s="719">
        <f t="shared" si="9"/>
        <v>0</v>
      </c>
      <c r="AQ16" s="719">
        <f t="shared" si="9"/>
        <v>0</v>
      </c>
      <c r="AR16" s="719">
        <f t="shared" si="9"/>
        <v>0</v>
      </c>
      <c r="AS16" s="719">
        <f t="shared" si="9"/>
        <v>0</v>
      </c>
      <c r="AT16" s="719">
        <f t="shared" si="9"/>
        <v>0</v>
      </c>
      <c r="AU16" s="719">
        <f t="shared" si="9"/>
        <v>0</v>
      </c>
      <c r="AV16" s="719">
        <f t="shared" si="9"/>
        <v>0</v>
      </c>
      <c r="AW16" s="719">
        <f t="shared" si="10"/>
        <v>0</v>
      </c>
      <c r="AX16" s="719">
        <f t="shared" si="10"/>
        <v>0</v>
      </c>
      <c r="AY16" s="719">
        <f t="shared" si="10"/>
        <v>0</v>
      </c>
      <c r="AZ16" s="719">
        <f t="shared" si="10"/>
        <v>0</v>
      </c>
      <c r="BA16" s="719">
        <f t="shared" si="10"/>
        <v>0</v>
      </c>
      <c r="BB16" s="719">
        <f t="shared" si="10"/>
        <v>0</v>
      </c>
      <c r="BC16" s="719">
        <f t="shared" si="10"/>
        <v>0</v>
      </c>
      <c r="BD16" s="719">
        <f t="shared" si="10"/>
        <v>0</v>
      </c>
      <c r="BE16" s="719">
        <f t="shared" si="10"/>
        <v>0</v>
      </c>
      <c r="BF16" s="719">
        <f t="shared" si="10"/>
        <v>0</v>
      </c>
      <c r="BG16" s="719">
        <f t="shared" si="11"/>
        <v>0</v>
      </c>
      <c r="BH16" s="719">
        <f t="shared" si="11"/>
        <v>0</v>
      </c>
      <c r="BI16" s="719">
        <f t="shared" si="11"/>
        <v>0</v>
      </c>
      <c r="BJ16" s="719">
        <f t="shared" si="11"/>
        <v>0</v>
      </c>
      <c r="BK16" s="719">
        <f t="shared" si="11"/>
        <v>0</v>
      </c>
      <c r="BL16" s="719">
        <f t="shared" si="11"/>
        <v>0</v>
      </c>
      <c r="BM16" s="719">
        <f t="shared" si="11"/>
        <v>0</v>
      </c>
      <c r="BN16" s="719">
        <f t="shared" si="11"/>
        <v>0</v>
      </c>
      <c r="BO16" s="719">
        <f t="shared" si="11"/>
        <v>0</v>
      </c>
      <c r="BP16" s="719">
        <f t="shared" si="11"/>
        <v>0</v>
      </c>
    </row>
    <row r="17" spans="1:68" x14ac:dyDescent="0.25">
      <c r="A17" s="1002" t="s">
        <v>343</v>
      </c>
      <c r="B17" s="1003"/>
      <c r="C17" s="386" t="str">
        <f>IF($B17&lt;&gt;"",VLOOKUP($B17,COSTS_Dark_Barrack[#All],2),"")</f>
        <v/>
      </c>
      <c r="D17" s="1004" t="str">
        <f>IF($B17&lt;&gt;"",VLOOKUP($B17,COSTS_Dark_Barrack[#All],3)/24,"")</f>
        <v/>
      </c>
      <c r="E17" s="996"/>
      <c r="F17" s="1005"/>
      <c r="G17" s="924" t="str">
        <f t="shared" ref="G17:G21" si="13">IF($D17&lt;&gt;"",$D17,"")</f>
        <v/>
      </c>
      <c r="H17" s="921"/>
      <c r="I17" s="721">
        <f t="shared" si="6"/>
        <v>0</v>
      </c>
      <c r="J17" s="721">
        <f t="shared" si="3"/>
        <v>0</v>
      </c>
      <c r="K17" s="721">
        <f t="shared" si="3"/>
        <v>0</v>
      </c>
      <c r="L17" s="721">
        <f t="shared" si="3"/>
        <v>0</v>
      </c>
      <c r="M17" s="721">
        <f t="shared" si="3"/>
        <v>0</v>
      </c>
      <c r="N17" s="721">
        <f t="shared" si="3"/>
        <v>0</v>
      </c>
      <c r="O17" s="721">
        <f t="shared" si="3"/>
        <v>0</v>
      </c>
      <c r="P17" s="721">
        <f t="shared" si="3"/>
        <v>0</v>
      </c>
      <c r="Q17" s="721">
        <f t="shared" si="3"/>
        <v>0</v>
      </c>
      <c r="R17" s="719">
        <f t="shared" si="3"/>
        <v>0</v>
      </c>
      <c r="S17" s="719">
        <f t="shared" si="7"/>
        <v>0</v>
      </c>
      <c r="T17" s="719">
        <f t="shared" si="7"/>
        <v>0</v>
      </c>
      <c r="U17" s="719">
        <f t="shared" si="7"/>
        <v>0</v>
      </c>
      <c r="V17" s="719">
        <f t="shared" si="7"/>
        <v>0</v>
      </c>
      <c r="W17" s="719">
        <f t="shared" si="7"/>
        <v>0</v>
      </c>
      <c r="X17" s="719">
        <f t="shared" si="7"/>
        <v>0</v>
      </c>
      <c r="Y17" s="719">
        <f t="shared" si="7"/>
        <v>0</v>
      </c>
      <c r="Z17" s="719">
        <f t="shared" si="7"/>
        <v>0</v>
      </c>
      <c r="AA17" s="719">
        <f t="shared" si="7"/>
        <v>0</v>
      </c>
      <c r="AB17" s="719">
        <f t="shared" si="7"/>
        <v>0</v>
      </c>
      <c r="AC17" s="719">
        <f t="shared" si="8"/>
        <v>0</v>
      </c>
      <c r="AD17" s="719">
        <f t="shared" si="8"/>
        <v>0</v>
      </c>
      <c r="AE17" s="719">
        <f t="shared" si="8"/>
        <v>0</v>
      </c>
      <c r="AF17" s="719">
        <f t="shared" si="8"/>
        <v>0</v>
      </c>
      <c r="AG17" s="719">
        <f t="shared" si="8"/>
        <v>0</v>
      </c>
      <c r="AH17" s="719">
        <f t="shared" si="8"/>
        <v>0</v>
      </c>
      <c r="AI17" s="719">
        <f t="shared" si="8"/>
        <v>0</v>
      </c>
      <c r="AJ17" s="719">
        <f t="shared" si="8"/>
        <v>0</v>
      </c>
      <c r="AK17" s="719">
        <f t="shared" si="8"/>
        <v>0</v>
      </c>
      <c r="AL17" s="719">
        <f t="shared" si="8"/>
        <v>0</v>
      </c>
      <c r="AM17" s="719">
        <f t="shared" si="9"/>
        <v>0</v>
      </c>
      <c r="AN17" s="719">
        <f t="shared" si="9"/>
        <v>0</v>
      </c>
      <c r="AO17" s="719">
        <f t="shared" si="9"/>
        <v>0</v>
      </c>
      <c r="AP17" s="719">
        <f t="shared" si="9"/>
        <v>0</v>
      </c>
      <c r="AQ17" s="719">
        <f t="shared" si="9"/>
        <v>0</v>
      </c>
      <c r="AR17" s="719">
        <f t="shared" si="9"/>
        <v>0</v>
      </c>
      <c r="AS17" s="719">
        <f t="shared" si="9"/>
        <v>0</v>
      </c>
      <c r="AT17" s="719">
        <f t="shared" si="9"/>
        <v>0</v>
      </c>
      <c r="AU17" s="719">
        <f t="shared" si="9"/>
        <v>0</v>
      </c>
      <c r="AV17" s="719">
        <f t="shared" si="9"/>
        <v>0</v>
      </c>
      <c r="AW17" s="719">
        <f t="shared" si="10"/>
        <v>0</v>
      </c>
      <c r="AX17" s="719">
        <f t="shared" si="10"/>
        <v>0</v>
      </c>
      <c r="AY17" s="719">
        <f t="shared" si="10"/>
        <v>0</v>
      </c>
      <c r="AZ17" s="719">
        <f t="shared" si="10"/>
        <v>0</v>
      </c>
      <c r="BA17" s="719">
        <f t="shared" si="10"/>
        <v>0</v>
      </c>
      <c r="BB17" s="719">
        <f t="shared" si="10"/>
        <v>0</v>
      </c>
      <c r="BC17" s="719">
        <f t="shared" si="10"/>
        <v>0</v>
      </c>
      <c r="BD17" s="719">
        <f t="shared" si="10"/>
        <v>0</v>
      </c>
      <c r="BE17" s="719">
        <f t="shared" si="10"/>
        <v>0</v>
      </c>
      <c r="BF17" s="719">
        <f t="shared" si="10"/>
        <v>0</v>
      </c>
      <c r="BG17" s="719">
        <f t="shared" si="11"/>
        <v>0</v>
      </c>
      <c r="BH17" s="719">
        <f t="shared" si="11"/>
        <v>0</v>
      </c>
      <c r="BI17" s="719">
        <f t="shared" si="11"/>
        <v>0</v>
      </c>
      <c r="BJ17" s="719">
        <f t="shared" si="11"/>
        <v>0</v>
      </c>
      <c r="BK17" s="719">
        <f t="shared" si="11"/>
        <v>0</v>
      </c>
      <c r="BL17" s="719">
        <f t="shared" si="11"/>
        <v>0</v>
      </c>
      <c r="BM17" s="719">
        <f t="shared" si="11"/>
        <v>0</v>
      </c>
      <c r="BN17" s="719">
        <f t="shared" si="11"/>
        <v>0</v>
      </c>
      <c r="BO17" s="719">
        <f t="shared" si="11"/>
        <v>0</v>
      </c>
      <c r="BP17" s="719">
        <f t="shared" si="11"/>
        <v>0</v>
      </c>
    </row>
    <row r="18" spans="1:68" x14ac:dyDescent="0.25">
      <c r="A18" s="1002" t="s">
        <v>338</v>
      </c>
      <c r="B18" s="1003"/>
      <c r="C18" s="386" t="str">
        <f>IF($B18&lt;&gt;"",VLOOKUP($B18,COSTS_Army_Camp[#All],2),"")</f>
        <v/>
      </c>
      <c r="D18" s="1004" t="str">
        <f>IF($B18&lt;&gt;"",VLOOKUP($B18,COSTS_Army_Camp[#All],3)/24,"")</f>
        <v/>
      </c>
      <c r="E18" s="996"/>
      <c r="F18" s="1005"/>
      <c r="G18" s="924" t="str">
        <f t="shared" si="13"/>
        <v/>
      </c>
      <c r="H18" s="921"/>
      <c r="I18" s="721">
        <f t="shared" si="6"/>
        <v>0</v>
      </c>
      <c r="J18" s="721">
        <f t="shared" si="3"/>
        <v>0</v>
      </c>
      <c r="K18" s="721">
        <f t="shared" si="3"/>
        <v>0</v>
      </c>
      <c r="L18" s="721">
        <f t="shared" si="3"/>
        <v>0</v>
      </c>
      <c r="M18" s="721">
        <f t="shared" si="3"/>
        <v>0</v>
      </c>
      <c r="N18" s="721">
        <f t="shared" si="3"/>
        <v>0</v>
      </c>
      <c r="O18" s="721">
        <f t="shared" si="3"/>
        <v>0</v>
      </c>
      <c r="P18" s="721">
        <f t="shared" si="3"/>
        <v>0</v>
      </c>
      <c r="Q18" s="721">
        <f t="shared" si="3"/>
        <v>0</v>
      </c>
      <c r="R18" s="719">
        <f t="shared" si="3"/>
        <v>0</v>
      </c>
      <c r="S18" s="719">
        <f t="shared" si="7"/>
        <v>0</v>
      </c>
      <c r="T18" s="719">
        <f t="shared" si="7"/>
        <v>0</v>
      </c>
      <c r="U18" s="719">
        <f t="shared" si="7"/>
        <v>0</v>
      </c>
      <c r="V18" s="719">
        <f t="shared" si="7"/>
        <v>0</v>
      </c>
      <c r="W18" s="719">
        <f t="shared" si="7"/>
        <v>0</v>
      </c>
      <c r="X18" s="719">
        <f t="shared" si="7"/>
        <v>0</v>
      </c>
      <c r="Y18" s="719">
        <f t="shared" si="7"/>
        <v>0</v>
      </c>
      <c r="Z18" s="719">
        <f t="shared" si="7"/>
        <v>0</v>
      </c>
      <c r="AA18" s="719">
        <f t="shared" si="7"/>
        <v>0</v>
      </c>
      <c r="AB18" s="719">
        <f t="shared" si="7"/>
        <v>0</v>
      </c>
      <c r="AC18" s="719">
        <f t="shared" si="8"/>
        <v>0</v>
      </c>
      <c r="AD18" s="719">
        <f t="shared" si="8"/>
        <v>0</v>
      </c>
      <c r="AE18" s="719">
        <f t="shared" si="8"/>
        <v>0</v>
      </c>
      <c r="AF18" s="719">
        <f t="shared" si="8"/>
        <v>0</v>
      </c>
      <c r="AG18" s="719">
        <f t="shared" si="8"/>
        <v>0</v>
      </c>
      <c r="AH18" s="719">
        <f t="shared" si="8"/>
        <v>0</v>
      </c>
      <c r="AI18" s="719">
        <f t="shared" si="8"/>
        <v>0</v>
      </c>
      <c r="AJ18" s="719">
        <f t="shared" si="8"/>
        <v>0</v>
      </c>
      <c r="AK18" s="719">
        <f t="shared" si="8"/>
        <v>0</v>
      </c>
      <c r="AL18" s="719">
        <f t="shared" si="8"/>
        <v>0</v>
      </c>
      <c r="AM18" s="719">
        <f t="shared" si="9"/>
        <v>0</v>
      </c>
      <c r="AN18" s="719">
        <f t="shared" si="9"/>
        <v>0</v>
      </c>
      <c r="AO18" s="719">
        <f t="shared" si="9"/>
        <v>0</v>
      </c>
      <c r="AP18" s="719">
        <f t="shared" si="9"/>
        <v>0</v>
      </c>
      <c r="AQ18" s="719">
        <f t="shared" si="9"/>
        <v>0</v>
      </c>
      <c r="AR18" s="719">
        <f t="shared" si="9"/>
        <v>0</v>
      </c>
      <c r="AS18" s="719">
        <f t="shared" si="9"/>
        <v>0</v>
      </c>
      <c r="AT18" s="719">
        <f t="shared" si="9"/>
        <v>0</v>
      </c>
      <c r="AU18" s="719">
        <f t="shared" si="9"/>
        <v>0</v>
      </c>
      <c r="AV18" s="719">
        <f t="shared" si="9"/>
        <v>0</v>
      </c>
      <c r="AW18" s="719">
        <f t="shared" si="10"/>
        <v>0</v>
      </c>
      <c r="AX18" s="719">
        <f t="shared" si="10"/>
        <v>0</v>
      </c>
      <c r="AY18" s="719">
        <f t="shared" si="10"/>
        <v>0</v>
      </c>
      <c r="AZ18" s="719">
        <f t="shared" si="10"/>
        <v>0</v>
      </c>
      <c r="BA18" s="719">
        <f t="shared" si="10"/>
        <v>0</v>
      </c>
      <c r="BB18" s="719">
        <f t="shared" si="10"/>
        <v>0</v>
      </c>
      <c r="BC18" s="719">
        <f t="shared" si="10"/>
        <v>0</v>
      </c>
      <c r="BD18" s="719">
        <f t="shared" si="10"/>
        <v>0</v>
      </c>
      <c r="BE18" s="719">
        <f t="shared" si="10"/>
        <v>0</v>
      </c>
      <c r="BF18" s="719">
        <f t="shared" si="10"/>
        <v>0</v>
      </c>
      <c r="BG18" s="719">
        <f t="shared" si="11"/>
        <v>0</v>
      </c>
      <c r="BH18" s="719">
        <f t="shared" si="11"/>
        <v>0</v>
      </c>
      <c r="BI18" s="719">
        <f t="shared" si="11"/>
        <v>0</v>
      </c>
      <c r="BJ18" s="719">
        <f t="shared" si="11"/>
        <v>0</v>
      </c>
      <c r="BK18" s="719">
        <f t="shared" si="11"/>
        <v>0</v>
      </c>
      <c r="BL18" s="719">
        <f t="shared" si="11"/>
        <v>0</v>
      </c>
      <c r="BM18" s="719">
        <f t="shared" si="11"/>
        <v>0</v>
      </c>
      <c r="BN18" s="719">
        <f t="shared" si="11"/>
        <v>0</v>
      </c>
      <c r="BO18" s="719">
        <f t="shared" si="11"/>
        <v>0</v>
      </c>
      <c r="BP18" s="719">
        <f t="shared" si="11"/>
        <v>0</v>
      </c>
    </row>
    <row r="19" spans="1:68" x14ac:dyDescent="0.25">
      <c r="A19" s="1002" t="s">
        <v>208</v>
      </c>
      <c r="B19" s="1003"/>
      <c r="C19" s="386" t="str">
        <f>IF($B19&lt;&gt;"",VLOOKUP($B19,COSTS_Laboratory[#All],2),"")</f>
        <v/>
      </c>
      <c r="D19" s="1004" t="str">
        <f>IF($B19&lt;&gt;"",VLOOKUP($B19,COSTS_Laboratory[#All],3)/24,"")</f>
        <v/>
      </c>
      <c r="E19" s="996"/>
      <c r="F19" s="1005"/>
      <c r="G19" s="924" t="str">
        <f t="shared" si="13"/>
        <v/>
      </c>
      <c r="H19" s="921"/>
      <c r="I19" s="721">
        <f t="shared" si="6"/>
        <v>0</v>
      </c>
      <c r="J19" s="721">
        <f t="shared" si="3"/>
        <v>0</v>
      </c>
      <c r="K19" s="721">
        <f t="shared" si="3"/>
        <v>0</v>
      </c>
      <c r="L19" s="721">
        <f t="shared" si="3"/>
        <v>0</v>
      </c>
      <c r="M19" s="721">
        <f t="shared" si="3"/>
        <v>0</v>
      </c>
      <c r="N19" s="721">
        <f t="shared" si="3"/>
        <v>0</v>
      </c>
      <c r="O19" s="721">
        <f t="shared" si="3"/>
        <v>0</v>
      </c>
      <c r="P19" s="721">
        <f t="shared" si="3"/>
        <v>0</v>
      </c>
      <c r="Q19" s="721">
        <f t="shared" si="3"/>
        <v>0</v>
      </c>
      <c r="R19" s="719">
        <f t="shared" si="3"/>
        <v>0</v>
      </c>
      <c r="S19" s="719">
        <f t="shared" si="7"/>
        <v>0</v>
      </c>
      <c r="T19" s="719">
        <f t="shared" si="7"/>
        <v>0</v>
      </c>
      <c r="U19" s="719">
        <f t="shared" si="7"/>
        <v>0</v>
      </c>
      <c r="V19" s="719">
        <f t="shared" si="7"/>
        <v>0</v>
      </c>
      <c r="W19" s="719">
        <f t="shared" si="7"/>
        <v>0</v>
      </c>
      <c r="X19" s="719">
        <f t="shared" si="7"/>
        <v>0</v>
      </c>
      <c r="Y19" s="719">
        <f t="shared" si="7"/>
        <v>0</v>
      </c>
      <c r="Z19" s="719">
        <f t="shared" si="7"/>
        <v>0</v>
      </c>
      <c r="AA19" s="719">
        <f t="shared" si="7"/>
        <v>0</v>
      </c>
      <c r="AB19" s="719">
        <f t="shared" si="7"/>
        <v>0</v>
      </c>
      <c r="AC19" s="719">
        <f t="shared" si="8"/>
        <v>0</v>
      </c>
      <c r="AD19" s="719">
        <f t="shared" si="8"/>
        <v>0</v>
      </c>
      <c r="AE19" s="719">
        <f t="shared" si="8"/>
        <v>0</v>
      </c>
      <c r="AF19" s="719">
        <f t="shared" si="8"/>
        <v>0</v>
      </c>
      <c r="AG19" s="719">
        <f t="shared" si="8"/>
        <v>0</v>
      </c>
      <c r="AH19" s="719">
        <f t="shared" si="8"/>
        <v>0</v>
      </c>
      <c r="AI19" s="719">
        <f t="shared" si="8"/>
        <v>0</v>
      </c>
      <c r="AJ19" s="719">
        <f t="shared" si="8"/>
        <v>0</v>
      </c>
      <c r="AK19" s="719">
        <f t="shared" si="8"/>
        <v>0</v>
      </c>
      <c r="AL19" s="719">
        <f t="shared" si="8"/>
        <v>0</v>
      </c>
      <c r="AM19" s="719">
        <f t="shared" si="9"/>
        <v>0</v>
      </c>
      <c r="AN19" s="719">
        <f t="shared" si="9"/>
        <v>0</v>
      </c>
      <c r="AO19" s="719">
        <f t="shared" si="9"/>
        <v>0</v>
      </c>
      <c r="AP19" s="719">
        <f t="shared" si="9"/>
        <v>0</v>
      </c>
      <c r="AQ19" s="719">
        <f t="shared" si="9"/>
        <v>0</v>
      </c>
      <c r="AR19" s="719">
        <f t="shared" si="9"/>
        <v>0</v>
      </c>
      <c r="AS19" s="719">
        <f t="shared" si="9"/>
        <v>0</v>
      </c>
      <c r="AT19" s="719">
        <f t="shared" si="9"/>
        <v>0</v>
      </c>
      <c r="AU19" s="719">
        <f t="shared" si="9"/>
        <v>0</v>
      </c>
      <c r="AV19" s="719">
        <f t="shared" si="9"/>
        <v>0</v>
      </c>
      <c r="AW19" s="719">
        <f t="shared" si="10"/>
        <v>0</v>
      </c>
      <c r="AX19" s="719">
        <f t="shared" si="10"/>
        <v>0</v>
      </c>
      <c r="AY19" s="719">
        <f t="shared" si="10"/>
        <v>0</v>
      </c>
      <c r="AZ19" s="719">
        <f t="shared" si="10"/>
        <v>0</v>
      </c>
      <c r="BA19" s="719">
        <f t="shared" si="10"/>
        <v>0</v>
      </c>
      <c r="BB19" s="719">
        <f t="shared" si="10"/>
        <v>0</v>
      </c>
      <c r="BC19" s="719">
        <f t="shared" si="10"/>
        <v>0</v>
      </c>
      <c r="BD19" s="719">
        <f t="shared" si="10"/>
        <v>0</v>
      </c>
      <c r="BE19" s="719">
        <f t="shared" si="10"/>
        <v>0</v>
      </c>
      <c r="BF19" s="719">
        <f t="shared" si="10"/>
        <v>0</v>
      </c>
      <c r="BG19" s="719">
        <f t="shared" si="11"/>
        <v>0</v>
      </c>
      <c r="BH19" s="719">
        <f t="shared" si="11"/>
        <v>0</v>
      </c>
      <c r="BI19" s="719">
        <f t="shared" si="11"/>
        <v>0</v>
      </c>
      <c r="BJ19" s="719">
        <f t="shared" si="11"/>
        <v>0</v>
      </c>
      <c r="BK19" s="719">
        <f t="shared" si="11"/>
        <v>0</v>
      </c>
      <c r="BL19" s="719">
        <f t="shared" si="11"/>
        <v>0</v>
      </c>
      <c r="BM19" s="719">
        <f t="shared" si="11"/>
        <v>0</v>
      </c>
      <c r="BN19" s="719">
        <f t="shared" si="11"/>
        <v>0</v>
      </c>
      <c r="BO19" s="719">
        <f t="shared" si="11"/>
        <v>0</v>
      </c>
      <c r="BP19" s="719">
        <f t="shared" si="11"/>
        <v>0</v>
      </c>
    </row>
    <row r="20" spans="1:68" x14ac:dyDescent="0.25">
      <c r="A20" s="1002" t="s">
        <v>209</v>
      </c>
      <c r="B20" s="1003"/>
      <c r="C20" s="386" t="str">
        <f>IF($B20&lt;&gt;"",VLOOKUP($B20,COSTS_Spell_Factory[#All],2),"")</f>
        <v/>
      </c>
      <c r="D20" s="1004" t="str">
        <f>IF($B20&lt;&gt;"",VLOOKUP($B20,COSTS_Spell_Factory[#All],3)/24,"")</f>
        <v/>
      </c>
      <c r="E20" s="996"/>
      <c r="F20" s="1005"/>
      <c r="G20" s="924" t="str">
        <f t="shared" si="13"/>
        <v/>
      </c>
      <c r="H20" s="921"/>
      <c r="I20" s="721">
        <f t="shared" si="6"/>
        <v>0</v>
      </c>
      <c r="J20" s="721">
        <f t="shared" si="3"/>
        <v>0</v>
      </c>
      <c r="K20" s="721">
        <f t="shared" si="3"/>
        <v>0</v>
      </c>
      <c r="L20" s="721">
        <f t="shared" si="3"/>
        <v>0</v>
      </c>
      <c r="M20" s="721">
        <f t="shared" si="3"/>
        <v>0</v>
      </c>
      <c r="N20" s="721">
        <f t="shared" si="3"/>
        <v>0</v>
      </c>
      <c r="O20" s="721">
        <f t="shared" si="3"/>
        <v>0</v>
      </c>
      <c r="P20" s="721">
        <f t="shared" si="3"/>
        <v>0</v>
      </c>
      <c r="Q20" s="721">
        <f t="shared" si="3"/>
        <v>0</v>
      </c>
      <c r="R20" s="719">
        <f t="shared" si="3"/>
        <v>0</v>
      </c>
      <c r="S20" s="719">
        <f t="shared" si="7"/>
        <v>0</v>
      </c>
      <c r="T20" s="719">
        <f t="shared" si="7"/>
        <v>0</v>
      </c>
      <c r="U20" s="719">
        <f t="shared" si="7"/>
        <v>0</v>
      </c>
      <c r="V20" s="719">
        <f t="shared" si="7"/>
        <v>0</v>
      </c>
      <c r="W20" s="719">
        <f t="shared" si="7"/>
        <v>0</v>
      </c>
      <c r="X20" s="719">
        <f t="shared" si="7"/>
        <v>0</v>
      </c>
      <c r="Y20" s="719">
        <f t="shared" si="7"/>
        <v>0</v>
      </c>
      <c r="Z20" s="719">
        <f t="shared" si="7"/>
        <v>0</v>
      </c>
      <c r="AA20" s="719">
        <f t="shared" si="7"/>
        <v>0</v>
      </c>
      <c r="AB20" s="719">
        <f t="shared" si="7"/>
        <v>0</v>
      </c>
      <c r="AC20" s="719">
        <f t="shared" si="8"/>
        <v>0</v>
      </c>
      <c r="AD20" s="719">
        <f t="shared" si="8"/>
        <v>0</v>
      </c>
      <c r="AE20" s="719">
        <f t="shared" si="8"/>
        <v>0</v>
      </c>
      <c r="AF20" s="719">
        <f t="shared" si="8"/>
        <v>0</v>
      </c>
      <c r="AG20" s="719">
        <f t="shared" si="8"/>
        <v>0</v>
      </c>
      <c r="AH20" s="719">
        <f t="shared" si="8"/>
        <v>0</v>
      </c>
      <c r="AI20" s="719">
        <f t="shared" si="8"/>
        <v>0</v>
      </c>
      <c r="AJ20" s="719">
        <f t="shared" si="8"/>
        <v>0</v>
      </c>
      <c r="AK20" s="719">
        <f t="shared" si="8"/>
        <v>0</v>
      </c>
      <c r="AL20" s="719">
        <f t="shared" si="8"/>
        <v>0</v>
      </c>
      <c r="AM20" s="719">
        <f t="shared" si="9"/>
        <v>0</v>
      </c>
      <c r="AN20" s="719">
        <f t="shared" si="9"/>
        <v>0</v>
      </c>
      <c r="AO20" s="719">
        <f t="shared" si="9"/>
        <v>0</v>
      </c>
      <c r="AP20" s="719">
        <f t="shared" si="9"/>
        <v>0</v>
      </c>
      <c r="AQ20" s="719">
        <f t="shared" si="9"/>
        <v>0</v>
      </c>
      <c r="AR20" s="719">
        <f t="shared" si="9"/>
        <v>0</v>
      </c>
      <c r="AS20" s="719">
        <f t="shared" si="9"/>
        <v>0</v>
      </c>
      <c r="AT20" s="719">
        <f t="shared" si="9"/>
        <v>0</v>
      </c>
      <c r="AU20" s="719">
        <f t="shared" si="9"/>
        <v>0</v>
      </c>
      <c r="AV20" s="719">
        <f t="shared" si="9"/>
        <v>0</v>
      </c>
      <c r="AW20" s="719">
        <f t="shared" si="10"/>
        <v>0</v>
      </c>
      <c r="AX20" s="719">
        <f t="shared" si="10"/>
        <v>0</v>
      </c>
      <c r="AY20" s="719">
        <f t="shared" si="10"/>
        <v>0</v>
      </c>
      <c r="AZ20" s="719">
        <f t="shared" si="10"/>
        <v>0</v>
      </c>
      <c r="BA20" s="719">
        <f t="shared" si="10"/>
        <v>0</v>
      </c>
      <c r="BB20" s="719">
        <f t="shared" si="10"/>
        <v>0</v>
      </c>
      <c r="BC20" s="719">
        <f t="shared" si="10"/>
        <v>0</v>
      </c>
      <c r="BD20" s="719">
        <f t="shared" si="10"/>
        <v>0</v>
      </c>
      <c r="BE20" s="719">
        <f t="shared" si="10"/>
        <v>0</v>
      </c>
      <c r="BF20" s="719">
        <f t="shared" si="10"/>
        <v>0</v>
      </c>
      <c r="BG20" s="719">
        <f t="shared" si="11"/>
        <v>0</v>
      </c>
      <c r="BH20" s="719">
        <f t="shared" si="11"/>
        <v>0</v>
      </c>
      <c r="BI20" s="719">
        <f t="shared" si="11"/>
        <v>0</v>
      </c>
      <c r="BJ20" s="719">
        <f t="shared" si="11"/>
        <v>0</v>
      </c>
      <c r="BK20" s="719">
        <f t="shared" si="11"/>
        <v>0</v>
      </c>
      <c r="BL20" s="719">
        <f t="shared" si="11"/>
        <v>0</v>
      </c>
      <c r="BM20" s="719">
        <f t="shared" si="11"/>
        <v>0</v>
      </c>
      <c r="BN20" s="719">
        <f t="shared" si="11"/>
        <v>0</v>
      </c>
      <c r="BO20" s="719">
        <f t="shared" si="11"/>
        <v>0</v>
      </c>
      <c r="BP20" s="719">
        <f t="shared" si="11"/>
        <v>0</v>
      </c>
    </row>
    <row r="21" spans="1:68" ht="15.75" thickBot="1" x14ac:dyDescent="0.3">
      <c r="A21" s="1006" t="s">
        <v>701</v>
      </c>
      <c r="B21" s="1007"/>
      <c r="C21" s="387" t="str">
        <f>IF($B21&lt;&gt;"",VLOOKUP($B21,COSTS_Dark_Spell_Factory[#All],2),"")</f>
        <v/>
      </c>
      <c r="D21" s="1008" t="str">
        <f>IF($B21&lt;&gt;"",VLOOKUP($B21,COSTS_Dark_Spell_Factory[#All],3)/24,"")</f>
        <v/>
      </c>
      <c r="E21" s="1009"/>
      <c r="F21" s="1010"/>
      <c r="G21" s="925" t="str">
        <f t="shared" si="13"/>
        <v/>
      </c>
      <c r="H21" s="922"/>
      <c r="I21" s="721">
        <f>IF(ISERROR(Plan),0,Plan)</f>
        <v>0</v>
      </c>
      <c r="J21" s="721">
        <f t="shared" si="3"/>
        <v>0</v>
      </c>
      <c r="K21" s="721">
        <f t="shared" si="3"/>
        <v>0</v>
      </c>
      <c r="L21" s="721">
        <f t="shared" si="3"/>
        <v>0</v>
      </c>
      <c r="M21" s="721">
        <f t="shared" si="3"/>
        <v>0</v>
      </c>
      <c r="N21" s="721">
        <f t="shared" si="3"/>
        <v>0</v>
      </c>
      <c r="O21" s="721">
        <f t="shared" si="3"/>
        <v>0</v>
      </c>
      <c r="P21" s="721">
        <f t="shared" si="3"/>
        <v>0</v>
      </c>
      <c r="Q21" s="721">
        <f t="shared" si="3"/>
        <v>0</v>
      </c>
      <c r="R21" s="719">
        <f t="shared" si="3"/>
        <v>0</v>
      </c>
      <c r="S21" s="719">
        <f t="shared" si="7"/>
        <v>0</v>
      </c>
      <c r="T21" s="719">
        <f t="shared" si="7"/>
        <v>0</v>
      </c>
      <c r="U21" s="719">
        <f t="shared" si="7"/>
        <v>0</v>
      </c>
      <c r="V21" s="719">
        <f t="shared" si="7"/>
        <v>0</v>
      </c>
      <c r="W21" s="719">
        <f t="shared" si="7"/>
        <v>0</v>
      </c>
      <c r="X21" s="719">
        <f t="shared" si="7"/>
        <v>0</v>
      </c>
      <c r="Y21" s="719">
        <f t="shared" si="7"/>
        <v>0</v>
      </c>
      <c r="Z21" s="719">
        <f t="shared" si="7"/>
        <v>0</v>
      </c>
      <c r="AA21" s="719">
        <f t="shared" si="7"/>
        <v>0</v>
      </c>
      <c r="AB21" s="719">
        <f t="shared" si="7"/>
        <v>0</v>
      </c>
      <c r="AC21" s="719">
        <f t="shared" si="8"/>
        <v>0</v>
      </c>
      <c r="AD21" s="719">
        <f t="shared" si="8"/>
        <v>0</v>
      </c>
      <c r="AE21" s="719">
        <f t="shared" si="8"/>
        <v>0</v>
      </c>
      <c r="AF21" s="719">
        <f t="shared" si="8"/>
        <v>0</v>
      </c>
      <c r="AG21" s="719">
        <f t="shared" si="8"/>
        <v>0</v>
      </c>
      <c r="AH21" s="719">
        <f t="shared" si="8"/>
        <v>0</v>
      </c>
      <c r="AI21" s="719">
        <f t="shared" si="8"/>
        <v>0</v>
      </c>
      <c r="AJ21" s="719">
        <f t="shared" si="8"/>
        <v>0</v>
      </c>
      <c r="AK21" s="719">
        <f t="shared" si="8"/>
        <v>0</v>
      </c>
      <c r="AL21" s="719">
        <f t="shared" si="8"/>
        <v>0</v>
      </c>
      <c r="AM21" s="719">
        <f t="shared" si="9"/>
        <v>0</v>
      </c>
      <c r="AN21" s="719">
        <f t="shared" si="9"/>
        <v>0</v>
      </c>
      <c r="AO21" s="719">
        <f t="shared" si="9"/>
        <v>0</v>
      </c>
      <c r="AP21" s="719">
        <f t="shared" si="9"/>
        <v>0</v>
      </c>
      <c r="AQ21" s="719">
        <f t="shared" si="9"/>
        <v>0</v>
      </c>
      <c r="AR21" s="719">
        <f t="shared" si="9"/>
        <v>0</v>
      </c>
      <c r="AS21" s="719">
        <f t="shared" si="9"/>
        <v>0</v>
      </c>
      <c r="AT21" s="719">
        <f t="shared" si="9"/>
        <v>0</v>
      </c>
      <c r="AU21" s="719">
        <f t="shared" si="9"/>
        <v>0</v>
      </c>
      <c r="AV21" s="719">
        <f t="shared" si="9"/>
        <v>0</v>
      </c>
      <c r="AW21" s="719">
        <f t="shared" si="10"/>
        <v>0</v>
      </c>
      <c r="AX21" s="719">
        <f t="shared" si="10"/>
        <v>0</v>
      </c>
      <c r="AY21" s="719">
        <f t="shared" si="10"/>
        <v>0</v>
      </c>
      <c r="AZ21" s="719">
        <f t="shared" si="10"/>
        <v>0</v>
      </c>
      <c r="BA21" s="719">
        <f t="shared" si="10"/>
        <v>0</v>
      </c>
      <c r="BB21" s="719">
        <f t="shared" si="10"/>
        <v>0</v>
      </c>
      <c r="BC21" s="719">
        <f t="shared" si="10"/>
        <v>0</v>
      </c>
      <c r="BD21" s="719">
        <f t="shared" si="10"/>
        <v>0</v>
      </c>
      <c r="BE21" s="719">
        <f t="shared" si="10"/>
        <v>0</v>
      </c>
      <c r="BF21" s="719">
        <f t="shared" si="10"/>
        <v>0</v>
      </c>
      <c r="BG21" s="719">
        <f t="shared" si="11"/>
        <v>0</v>
      </c>
      <c r="BH21" s="719">
        <f t="shared" si="11"/>
        <v>0</v>
      </c>
      <c r="BI21" s="719">
        <f t="shared" si="11"/>
        <v>0</v>
      </c>
      <c r="BJ21" s="719">
        <f t="shared" si="11"/>
        <v>0</v>
      </c>
      <c r="BK21" s="719">
        <f t="shared" si="11"/>
        <v>0</v>
      </c>
      <c r="BL21" s="719">
        <f t="shared" si="11"/>
        <v>0</v>
      </c>
      <c r="BM21" s="719">
        <f t="shared" si="11"/>
        <v>0</v>
      </c>
      <c r="BN21" s="719">
        <f t="shared" si="11"/>
        <v>0</v>
      </c>
      <c r="BO21" s="719">
        <f t="shared" si="11"/>
        <v>0</v>
      </c>
      <c r="BP21" s="719">
        <f t="shared" si="11"/>
        <v>0</v>
      </c>
    </row>
    <row r="22" spans="1:68" ht="16.5" thickBot="1" x14ac:dyDescent="0.3">
      <c r="A22" s="1045" t="s">
        <v>179</v>
      </c>
      <c r="B22" s="1046"/>
      <c r="C22" s="1046"/>
      <c r="D22" s="1046"/>
      <c r="E22" s="1046"/>
      <c r="F22" s="1046"/>
      <c r="G22" s="1046"/>
      <c r="H22" s="1047"/>
      <c r="I22" s="721">
        <f t="shared" si="6"/>
        <v>0</v>
      </c>
      <c r="J22" s="721">
        <f t="shared" si="3"/>
        <v>0</v>
      </c>
      <c r="K22" s="721">
        <f t="shared" si="3"/>
        <v>0</v>
      </c>
      <c r="L22" s="721">
        <f t="shared" si="3"/>
        <v>0</v>
      </c>
      <c r="M22" s="721">
        <f t="shared" si="3"/>
        <v>0</v>
      </c>
      <c r="N22" s="721">
        <f t="shared" si="3"/>
        <v>0</v>
      </c>
      <c r="O22" s="721">
        <f t="shared" si="3"/>
        <v>0</v>
      </c>
      <c r="P22" s="721">
        <f t="shared" si="3"/>
        <v>0</v>
      </c>
      <c r="Q22" s="721">
        <f t="shared" si="3"/>
        <v>0</v>
      </c>
      <c r="R22" s="719">
        <f t="shared" si="3"/>
        <v>0</v>
      </c>
      <c r="S22" s="719">
        <f t="shared" si="7"/>
        <v>0</v>
      </c>
      <c r="T22" s="719">
        <f t="shared" si="7"/>
        <v>0</v>
      </c>
      <c r="U22" s="719">
        <f t="shared" si="7"/>
        <v>0</v>
      </c>
      <c r="V22" s="719">
        <f t="shared" si="7"/>
        <v>0</v>
      </c>
      <c r="W22" s="719">
        <f t="shared" si="7"/>
        <v>0</v>
      </c>
      <c r="X22" s="719">
        <f t="shared" si="7"/>
        <v>0</v>
      </c>
      <c r="Y22" s="719">
        <f t="shared" si="7"/>
        <v>0</v>
      </c>
      <c r="Z22" s="719">
        <f t="shared" si="7"/>
        <v>0</v>
      </c>
      <c r="AA22" s="719">
        <f t="shared" si="7"/>
        <v>0</v>
      </c>
      <c r="AB22" s="719">
        <f t="shared" si="7"/>
        <v>0</v>
      </c>
      <c r="AC22" s="719">
        <f t="shared" si="8"/>
        <v>0</v>
      </c>
      <c r="AD22" s="719">
        <f t="shared" si="8"/>
        <v>0</v>
      </c>
      <c r="AE22" s="719">
        <f t="shared" si="8"/>
        <v>0</v>
      </c>
      <c r="AF22" s="719">
        <f t="shared" si="8"/>
        <v>0</v>
      </c>
      <c r="AG22" s="719">
        <f t="shared" si="8"/>
        <v>0</v>
      </c>
      <c r="AH22" s="719">
        <f t="shared" si="8"/>
        <v>0</v>
      </c>
      <c r="AI22" s="719">
        <f t="shared" si="8"/>
        <v>0</v>
      </c>
      <c r="AJ22" s="719">
        <f t="shared" si="8"/>
        <v>0</v>
      </c>
      <c r="AK22" s="719">
        <f t="shared" si="8"/>
        <v>0</v>
      </c>
      <c r="AL22" s="719">
        <f t="shared" si="8"/>
        <v>0</v>
      </c>
      <c r="AM22" s="719">
        <f t="shared" si="9"/>
        <v>0</v>
      </c>
      <c r="AN22" s="719">
        <f t="shared" si="9"/>
        <v>0</v>
      </c>
      <c r="AO22" s="719">
        <f t="shared" si="9"/>
        <v>0</v>
      </c>
      <c r="AP22" s="719">
        <f t="shared" si="9"/>
        <v>0</v>
      </c>
      <c r="AQ22" s="719">
        <f t="shared" si="9"/>
        <v>0</v>
      </c>
      <c r="AR22" s="719">
        <f t="shared" si="9"/>
        <v>0</v>
      </c>
      <c r="AS22" s="719">
        <f t="shared" si="9"/>
        <v>0</v>
      </c>
      <c r="AT22" s="719">
        <f t="shared" si="9"/>
        <v>0</v>
      </c>
      <c r="AU22" s="719">
        <f t="shared" si="9"/>
        <v>0</v>
      </c>
      <c r="AV22" s="719">
        <f t="shared" si="9"/>
        <v>0</v>
      </c>
      <c r="AW22" s="719">
        <f t="shared" si="10"/>
        <v>0</v>
      </c>
      <c r="AX22" s="719">
        <f t="shared" si="10"/>
        <v>0</v>
      </c>
      <c r="AY22" s="719">
        <f t="shared" si="10"/>
        <v>0</v>
      </c>
      <c r="AZ22" s="719">
        <f t="shared" si="10"/>
        <v>0</v>
      </c>
      <c r="BA22" s="719">
        <f t="shared" si="10"/>
        <v>0</v>
      </c>
      <c r="BB22" s="719">
        <f t="shared" si="10"/>
        <v>0</v>
      </c>
      <c r="BC22" s="719">
        <f t="shared" si="10"/>
        <v>0</v>
      </c>
      <c r="BD22" s="719">
        <f t="shared" si="10"/>
        <v>0</v>
      </c>
      <c r="BE22" s="719">
        <f t="shared" si="10"/>
        <v>0</v>
      </c>
      <c r="BF22" s="719">
        <f t="shared" si="10"/>
        <v>0</v>
      </c>
      <c r="BG22" s="719">
        <f t="shared" si="11"/>
        <v>0</v>
      </c>
      <c r="BH22" s="719">
        <f t="shared" si="11"/>
        <v>0</v>
      </c>
      <c r="BI22" s="719">
        <f t="shared" si="11"/>
        <v>0</v>
      </c>
      <c r="BJ22" s="719">
        <f t="shared" si="11"/>
        <v>0</v>
      </c>
      <c r="BK22" s="719">
        <f t="shared" si="11"/>
        <v>0</v>
      </c>
      <c r="BL22" s="719">
        <f t="shared" si="11"/>
        <v>0</v>
      </c>
      <c r="BM22" s="719">
        <f t="shared" si="11"/>
        <v>0</v>
      </c>
      <c r="BN22" s="719">
        <f t="shared" si="11"/>
        <v>0</v>
      </c>
      <c r="BO22" s="719">
        <f t="shared" si="11"/>
        <v>0</v>
      </c>
      <c r="BP22" s="719">
        <f t="shared" si="11"/>
        <v>0</v>
      </c>
    </row>
    <row r="23" spans="1:68" x14ac:dyDescent="0.25">
      <c r="A23" s="997" t="s">
        <v>206</v>
      </c>
      <c r="B23" s="998"/>
      <c r="C23" s="86" t="str">
        <f>IF($B23&lt;&gt;"",VLOOKUP($B23,COSTS_Wall[#All],2),"")</f>
        <v/>
      </c>
      <c r="D23" s="999" t="str">
        <f>IF($B23&lt;&gt;"",VLOOKUP($B23,COSTS_Wall[#All],3)/24,"")</f>
        <v/>
      </c>
      <c r="E23" s="1000"/>
      <c r="F23" s="1001"/>
      <c r="G23" s="923" t="str">
        <f t="shared" ref="G23" si="14">IF($D23&lt;&gt;"",$D23,"")</f>
        <v/>
      </c>
      <c r="H23" s="920"/>
      <c r="I23" s="721">
        <f t="shared" si="6"/>
        <v>0</v>
      </c>
      <c r="J23" s="721">
        <f t="shared" si="3"/>
        <v>0</v>
      </c>
      <c r="K23" s="721">
        <f t="shared" si="3"/>
        <v>0</v>
      </c>
      <c r="L23" s="721">
        <f t="shared" si="3"/>
        <v>0</v>
      </c>
      <c r="M23" s="721">
        <f t="shared" si="3"/>
        <v>0</v>
      </c>
      <c r="N23" s="721">
        <f t="shared" si="3"/>
        <v>0</v>
      </c>
      <c r="O23" s="721">
        <f t="shared" si="3"/>
        <v>0</v>
      </c>
      <c r="P23" s="721">
        <f t="shared" si="3"/>
        <v>0</v>
      </c>
      <c r="Q23" s="721">
        <f t="shared" si="3"/>
        <v>0</v>
      </c>
      <c r="R23" s="719">
        <f t="shared" si="3"/>
        <v>0</v>
      </c>
      <c r="S23" s="719">
        <f t="shared" si="7"/>
        <v>0</v>
      </c>
      <c r="T23" s="719">
        <f t="shared" si="7"/>
        <v>0</v>
      </c>
      <c r="U23" s="719">
        <f t="shared" si="7"/>
        <v>0</v>
      </c>
      <c r="V23" s="719">
        <f t="shared" si="7"/>
        <v>0</v>
      </c>
      <c r="W23" s="719">
        <f t="shared" si="7"/>
        <v>0</v>
      </c>
      <c r="X23" s="719">
        <f t="shared" si="7"/>
        <v>0</v>
      </c>
      <c r="Y23" s="719">
        <f t="shared" si="7"/>
        <v>0</v>
      </c>
      <c r="Z23" s="719">
        <f t="shared" si="7"/>
        <v>0</v>
      </c>
      <c r="AA23" s="719">
        <f t="shared" si="7"/>
        <v>0</v>
      </c>
      <c r="AB23" s="719">
        <f t="shared" si="7"/>
        <v>0</v>
      </c>
      <c r="AC23" s="719">
        <f t="shared" si="8"/>
        <v>0</v>
      </c>
      <c r="AD23" s="719">
        <f t="shared" si="8"/>
        <v>0</v>
      </c>
      <c r="AE23" s="719">
        <f t="shared" si="8"/>
        <v>0</v>
      </c>
      <c r="AF23" s="719">
        <f t="shared" si="8"/>
        <v>0</v>
      </c>
      <c r="AG23" s="719">
        <f t="shared" si="8"/>
        <v>0</v>
      </c>
      <c r="AH23" s="719">
        <f t="shared" si="8"/>
        <v>0</v>
      </c>
      <c r="AI23" s="719">
        <f t="shared" si="8"/>
        <v>0</v>
      </c>
      <c r="AJ23" s="719">
        <f t="shared" si="8"/>
        <v>0</v>
      </c>
      <c r="AK23" s="719">
        <f t="shared" si="8"/>
        <v>0</v>
      </c>
      <c r="AL23" s="719">
        <f t="shared" si="8"/>
        <v>0</v>
      </c>
      <c r="AM23" s="719">
        <f t="shared" si="9"/>
        <v>0</v>
      </c>
      <c r="AN23" s="719">
        <f t="shared" si="9"/>
        <v>0</v>
      </c>
      <c r="AO23" s="719">
        <f t="shared" si="9"/>
        <v>0</v>
      </c>
      <c r="AP23" s="719">
        <f t="shared" si="9"/>
        <v>0</v>
      </c>
      <c r="AQ23" s="719">
        <f t="shared" si="9"/>
        <v>0</v>
      </c>
      <c r="AR23" s="719">
        <f t="shared" si="9"/>
        <v>0</v>
      </c>
      <c r="AS23" s="719">
        <f t="shared" si="9"/>
        <v>0</v>
      </c>
      <c r="AT23" s="719">
        <f t="shared" si="9"/>
        <v>0</v>
      </c>
      <c r="AU23" s="719">
        <f t="shared" si="9"/>
        <v>0</v>
      </c>
      <c r="AV23" s="719">
        <f t="shared" si="9"/>
        <v>0</v>
      </c>
      <c r="AW23" s="719">
        <f t="shared" si="10"/>
        <v>0</v>
      </c>
      <c r="AX23" s="719">
        <f t="shared" si="10"/>
        <v>0</v>
      </c>
      <c r="AY23" s="719">
        <f t="shared" si="10"/>
        <v>0</v>
      </c>
      <c r="AZ23" s="719">
        <f t="shared" si="10"/>
        <v>0</v>
      </c>
      <c r="BA23" s="719">
        <f t="shared" si="10"/>
        <v>0</v>
      </c>
      <c r="BB23" s="719">
        <f t="shared" si="10"/>
        <v>0</v>
      </c>
      <c r="BC23" s="719">
        <f t="shared" si="10"/>
        <v>0</v>
      </c>
      <c r="BD23" s="719">
        <f t="shared" si="10"/>
        <v>0</v>
      </c>
      <c r="BE23" s="719">
        <f t="shared" si="10"/>
        <v>0</v>
      </c>
      <c r="BF23" s="719">
        <f t="shared" si="10"/>
        <v>0</v>
      </c>
      <c r="BG23" s="719">
        <f t="shared" si="11"/>
        <v>0</v>
      </c>
      <c r="BH23" s="719">
        <f t="shared" si="11"/>
        <v>0</v>
      </c>
      <c r="BI23" s="719">
        <f t="shared" si="11"/>
        <v>0</v>
      </c>
      <c r="BJ23" s="719">
        <f t="shared" si="11"/>
        <v>0</v>
      </c>
      <c r="BK23" s="719">
        <f t="shared" si="11"/>
        <v>0</v>
      </c>
      <c r="BL23" s="719">
        <f t="shared" si="11"/>
        <v>0</v>
      </c>
      <c r="BM23" s="719">
        <f t="shared" si="11"/>
        <v>0</v>
      </c>
      <c r="BN23" s="719">
        <f t="shared" si="11"/>
        <v>0</v>
      </c>
      <c r="BO23" s="719">
        <f t="shared" si="11"/>
        <v>0</v>
      </c>
      <c r="BP23" s="719">
        <f t="shared" si="11"/>
        <v>0</v>
      </c>
    </row>
    <row r="24" spans="1:68" x14ac:dyDescent="0.25">
      <c r="A24" s="1002" t="s">
        <v>205</v>
      </c>
      <c r="B24" s="1003"/>
      <c r="C24" s="517" t="str">
        <f>IF($B24&lt;&gt;"",VLOOKUP($B24,COSTS_Cannon[#All],2),"")</f>
        <v/>
      </c>
      <c r="D24" s="1004" t="str">
        <f>IF($B24&lt;&gt;"",VLOOKUP($B24,COSTS_Cannon[#All],3)/24,"")</f>
        <v/>
      </c>
      <c r="E24" s="996"/>
      <c r="F24" s="1005"/>
      <c r="G24" s="924" t="str">
        <f t="shared" ref="G24:G33" si="15">IF($D24&lt;&gt;"",$D24,"")</f>
        <v/>
      </c>
      <c r="H24" s="921"/>
      <c r="I24" s="721">
        <f t="shared" si="6"/>
        <v>0</v>
      </c>
      <c r="J24" s="721">
        <f t="shared" si="3"/>
        <v>0</v>
      </c>
      <c r="K24" s="721">
        <f t="shared" si="3"/>
        <v>0</v>
      </c>
      <c r="L24" s="721">
        <f t="shared" si="3"/>
        <v>0</v>
      </c>
      <c r="M24" s="721">
        <f t="shared" si="3"/>
        <v>0</v>
      </c>
      <c r="N24" s="721">
        <f t="shared" si="3"/>
        <v>0</v>
      </c>
      <c r="O24" s="721">
        <f t="shared" si="3"/>
        <v>0</v>
      </c>
      <c r="P24" s="721">
        <f t="shared" si="3"/>
        <v>0</v>
      </c>
      <c r="Q24" s="721">
        <f t="shared" si="3"/>
        <v>0</v>
      </c>
      <c r="R24" s="719">
        <f t="shared" si="3"/>
        <v>0</v>
      </c>
      <c r="S24" s="719">
        <f t="shared" si="7"/>
        <v>0</v>
      </c>
      <c r="T24" s="719">
        <f t="shared" si="7"/>
        <v>0</v>
      </c>
      <c r="U24" s="719">
        <f t="shared" si="7"/>
        <v>0</v>
      </c>
      <c r="V24" s="719">
        <f t="shared" si="7"/>
        <v>0</v>
      </c>
      <c r="W24" s="719">
        <f t="shared" si="7"/>
        <v>0</v>
      </c>
      <c r="X24" s="719">
        <f t="shared" si="7"/>
        <v>0</v>
      </c>
      <c r="Y24" s="719">
        <f t="shared" si="7"/>
        <v>0</v>
      </c>
      <c r="Z24" s="719">
        <f t="shared" si="7"/>
        <v>0</v>
      </c>
      <c r="AA24" s="719">
        <f t="shared" si="7"/>
        <v>0</v>
      </c>
      <c r="AB24" s="719">
        <f t="shared" si="7"/>
        <v>0</v>
      </c>
      <c r="AC24" s="719">
        <f t="shared" si="8"/>
        <v>0</v>
      </c>
      <c r="AD24" s="719">
        <f t="shared" si="8"/>
        <v>0</v>
      </c>
      <c r="AE24" s="719">
        <f t="shared" si="8"/>
        <v>0</v>
      </c>
      <c r="AF24" s="719">
        <f t="shared" si="8"/>
        <v>0</v>
      </c>
      <c r="AG24" s="719">
        <f t="shared" si="8"/>
        <v>0</v>
      </c>
      <c r="AH24" s="719">
        <f t="shared" si="8"/>
        <v>0</v>
      </c>
      <c r="AI24" s="719">
        <f t="shared" si="8"/>
        <v>0</v>
      </c>
      <c r="AJ24" s="719">
        <f t="shared" si="8"/>
        <v>0</v>
      </c>
      <c r="AK24" s="719">
        <f t="shared" si="8"/>
        <v>0</v>
      </c>
      <c r="AL24" s="719">
        <f t="shared" si="8"/>
        <v>0</v>
      </c>
      <c r="AM24" s="719">
        <f t="shared" si="9"/>
        <v>0</v>
      </c>
      <c r="AN24" s="719">
        <f t="shared" si="9"/>
        <v>0</v>
      </c>
      <c r="AO24" s="719">
        <f t="shared" si="9"/>
        <v>0</v>
      </c>
      <c r="AP24" s="719">
        <f t="shared" si="9"/>
        <v>0</v>
      </c>
      <c r="AQ24" s="719">
        <f t="shared" si="9"/>
        <v>0</v>
      </c>
      <c r="AR24" s="719">
        <f t="shared" si="9"/>
        <v>0</v>
      </c>
      <c r="AS24" s="719">
        <f t="shared" si="9"/>
        <v>0</v>
      </c>
      <c r="AT24" s="719">
        <f t="shared" si="9"/>
        <v>0</v>
      </c>
      <c r="AU24" s="719">
        <f t="shared" si="9"/>
        <v>0</v>
      </c>
      <c r="AV24" s="719">
        <f t="shared" si="9"/>
        <v>0</v>
      </c>
      <c r="AW24" s="719">
        <f t="shared" si="10"/>
        <v>0</v>
      </c>
      <c r="AX24" s="719">
        <f t="shared" si="10"/>
        <v>0</v>
      </c>
      <c r="AY24" s="719">
        <f t="shared" si="10"/>
        <v>0</v>
      </c>
      <c r="AZ24" s="719">
        <f t="shared" si="10"/>
        <v>0</v>
      </c>
      <c r="BA24" s="719">
        <f t="shared" si="10"/>
        <v>0</v>
      </c>
      <c r="BB24" s="719">
        <f t="shared" si="10"/>
        <v>0</v>
      </c>
      <c r="BC24" s="719">
        <f t="shared" si="10"/>
        <v>0</v>
      </c>
      <c r="BD24" s="719">
        <f t="shared" si="10"/>
        <v>0</v>
      </c>
      <c r="BE24" s="719">
        <f t="shared" si="10"/>
        <v>0</v>
      </c>
      <c r="BF24" s="719">
        <f t="shared" si="10"/>
        <v>0</v>
      </c>
      <c r="BG24" s="719">
        <f t="shared" si="11"/>
        <v>0</v>
      </c>
      <c r="BH24" s="719">
        <f t="shared" si="11"/>
        <v>0</v>
      </c>
      <c r="BI24" s="719">
        <f t="shared" si="11"/>
        <v>0</v>
      </c>
      <c r="BJ24" s="719">
        <f t="shared" si="11"/>
        <v>0</v>
      </c>
      <c r="BK24" s="719">
        <f t="shared" si="11"/>
        <v>0</v>
      </c>
      <c r="BL24" s="719">
        <f t="shared" si="11"/>
        <v>0</v>
      </c>
      <c r="BM24" s="719">
        <f t="shared" si="11"/>
        <v>0</v>
      </c>
      <c r="BN24" s="719">
        <f t="shared" si="11"/>
        <v>0</v>
      </c>
      <c r="BO24" s="719">
        <f t="shared" si="11"/>
        <v>0</v>
      </c>
      <c r="BP24" s="719">
        <f t="shared" si="11"/>
        <v>0</v>
      </c>
    </row>
    <row r="25" spans="1:68" x14ac:dyDescent="0.25">
      <c r="A25" s="1002" t="s">
        <v>204</v>
      </c>
      <c r="B25" s="1003"/>
      <c r="C25" s="517" t="str">
        <f>IF($B25&lt;&gt;"",VLOOKUP($B25,COSTS_Archer_Tower[#All],2),"")</f>
        <v/>
      </c>
      <c r="D25" s="1004" t="str">
        <f>IF($B25&lt;&gt;"",VLOOKUP($B25,COSTS_Cannon[#All],3)/24,"")</f>
        <v/>
      </c>
      <c r="E25" s="996"/>
      <c r="F25" s="1005"/>
      <c r="G25" s="924" t="str">
        <f t="shared" si="15"/>
        <v/>
      </c>
      <c r="H25" s="921"/>
      <c r="I25" s="721">
        <f t="shared" ref="I25:X25" si="16">IF(ISERROR(Plan),0,Plan)</f>
        <v>0</v>
      </c>
      <c r="J25" s="721">
        <f t="shared" si="16"/>
        <v>0</v>
      </c>
      <c r="K25" s="721">
        <f t="shared" si="16"/>
        <v>0</v>
      </c>
      <c r="L25" s="721">
        <f t="shared" si="16"/>
        <v>0</v>
      </c>
      <c r="M25" s="721">
        <f t="shared" si="16"/>
        <v>0</v>
      </c>
      <c r="N25" s="721">
        <f t="shared" si="16"/>
        <v>0</v>
      </c>
      <c r="O25" s="721">
        <f t="shared" si="16"/>
        <v>0</v>
      </c>
      <c r="P25" s="721">
        <f t="shared" si="16"/>
        <v>0</v>
      </c>
      <c r="Q25" s="721">
        <f t="shared" si="16"/>
        <v>0</v>
      </c>
      <c r="R25" s="719">
        <f t="shared" si="16"/>
        <v>0</v>
      </c>
      <c r="S25" s="719">
        <f t="shared" si="16"/>
        <v>0</v>
      </c>
      <c r="T25" s="719">
        <f t="shared" si="16"/>
        <v>0</v>
      </c>
      <c r="U25" s="719">
        <f t="shared" si="16"/>
        <v>0</v>
      </c>
      <c r="V25" s="719">
        <f t="shared" si="16"/>
        <v>0</v>
      </c>
      <c r="W25" s="719">
        <f t="shared" si="16"/>
        <v>0</v>
      </c>
      <c r="X25" s="719">
        <f t="shared" si="16"/>
        <v>0</v>
      </c>
      <c r="Y25" s="719">
        <f t="shared" ref="Y25:AN25" si="17">IF(ISERROR(Plan),0,Plan)</f>
        <v>0</v>
      </c>
      <c r="Z25" s="719">
        <f t="shared" si="17"/>
        <v>0</v>
      </c>
      <c r="AA25" s="719">
        <f t="shared" si="17"/>
        <v>0</v>
      </c>
      <c r="AB25" s="719">
        <f t="shared" si="17"/>
        <v>0</v>
      </c>
      <c r="AC25" s="719">
        <f t="shared" si="17"/>
        <v>0</v>
      </c>
      <c r="AD25" s="719">
        <f t="shared" si="17"/>
        <v>0</v>
      </c>
      <c r="AE25" s="719">
        <f t="shared" si="17"/>
        <v>0</v>
      </c>
      <c r="AF25" s="719">
        <f t="shared" si="17"/>
        <v>0</v>
      </c>
      <c r="AG25" s="719">
        <f t="shared" si="17"/>
        <v>0</v>
      </c>
      <c r="AH25" s="719">
        <f t="shared" si="17"/>
        <v>0</v>
      </c>
      <c r="AI25" s="719">
        <f t="shared" si="17"/>
        <v>0</v>
      </c>
      <c r="AJ25" s="719">
        <f t="shared" si="17"/>
        <v>0</v>
      </c>
      <c r="AK25" s="719">
        <f t="shared" si="17"/>
        <v>0</v>
      </c>
      <c r="AL25" s="719">
        <f t="shared" si="17"/>
        <v>0</v>
      </c>
      <c r="AM25" s="719">
        <f t="shared" si="17"/>
        <v>0</v>
      </c>
      <c r="AN25" s="719">
        <f t="shared" si="17"/>
        <v>0</v>
      </c>
      <c r="AO25" s="719">
        <f t="shared" ref="AO25:BD25" si="18">IF(ISERROR(Plan),0,Plan)</f>
        <v>0</v>
      </c>
      <c r="AP25" s="719">
        <f t="shared" si="18"/>
        <v>0</v>
      </c>
      <c r="AQ25" s="719">
        <f t="shared" si="18"/>
        <v>0</v>
      </c>
      <c r="AR25" s="719">
        <f t="shared" si="18"/>
        <v>0</v>
      </c>
      <c r="AS25" s="719">
        <f t="shared" si="18"/>
        <v>0</v>
      </c>
      <c r="AT25" s="719">
        <f t="shared" si="18"/>
        <v>0</v>
      </c>
      <c r="AU25" s="719">
        <f t="shared" si="18"/>
        <v>0</v>
      </c>
      <c r="AV25" s="719">
        <f t="shared" si="18"/>
        <v>0</v>
      </c>
      <c r="AW25" s="719">
        <f t="shared" si="18"/>
        <v>0</v>
      </c>
      <c r="AX25" s="719">
        <f t="shared" si="18"/>
        <v>0</v>
      </c>
      <c r="AY25" s="719">
        <f t="shared" si="18"/>
        <v>0</v>
      </c>
      <c r="AZ25" s="719">
        <f t="shared" si="18"/>
        <v>0</v>
      </c>
      <c r="BA25" s="719">
        <f t="shared" si="18"/>
        <v>0</v>
      </c>
      <c r="BB25" s="719">
        <f t="shared" si="18"/>
        <v>0</v>
      </c>
      <c r="BC25" s="719">
        <f t="shared" si="18"/>
        <v>0</v>
      </c>
      <c r="BD25" s="719">
        <f t="shared" si="18"/>
        <v>0</v>
      </c>
      <c r="BE25" s="719">
        <f t="shared" ref="BE25:BP25" si="19">IF(ISERROR(Plan),0,Plan)</f>
        <v>0</v>
      </c>
      <c r="BF25" s="719">
        <f t="shared" si="19"/>
        <v>0</v>
      </c>
      <c r="BG25" s="719">
        <f t="shared" si="19"/>
        <v>0</v>
      </c>
      <c r="BH25" s="719">
        <f t="shared" si="19"/>
        <v>0</v>
      </c>
      <c r="BI25" s="719">
        <f t="shared" si="19"/>
        <v>0</v>
      </c>
      <c r="BJ25" s="719">
        <f t="shared" si="19"/>
        <v>0</v>
      </c>
      <c r="BK25" s="719">
        <f t="shared" si="19"/>
        <v>0</v>
      </c>
      <c r="BL25" s="719">
        <f t="shared" si="19"/>
        <v>0</v>
      </c>
      <c r="BM25" s="719">
        <f t="shared" si="19"/>
        <v>0</v>
      </c>
      <c r="BN25" s="719">
        <f t="shared" si="19"/>
        <v>0</v>
      </c>
      <c r="BO25" s="719">
        <f t="shared" si="19"/>
        <v>0</v>
      </c>
      <c r="BP25" s="719">
        <f t="shared" si="19"/>
        <v>0</v>
      </c>
    </row>
    <row r="26" spans="1:68" x14ac:dyDescent="0.25">
      <c r="A26" s="1002" t="s">
        <v>203</v>
      </c>
      <c r="B26" s="1003"/>
      <c r="C26" s="517" t="str">
        <f>IF($B26&lt;&gt;"",VLOOKUP($B26,COSTS_Mortar[#All],2),"")</f>
        <v/>
      </c>
      <c r="D26" s="1004" t="str">
        <f>IF($B26&lt;&gt;"",VLOOKUP($B26,COSTS_Mortar[#All],3)/24,"")</f>
        <v/>
      </c>
      <c r="E26" s="996"/>
      <c r="F26" s="1005"/>
      <c r="G26" s="924" t="str">
        <f t="shared" si="15"/>
        <v/>
      </c>
      <c r="H26" s="921"/>
      <c r="I26" s="721">
        <f t="shared" si="6"/>
        <v>0</v>
      </c>
      <c r="J26" s="721">
        <f t="shared" si="6"/>
        <v>0</v>
      </c>
      <c r="K26" s="721">
        <f t="shared" si="6"/>
        <v>0</v>
      </c>
      <c r="L26" s="721">
        <f t="shared" si="6"/>
        <v>0</v>
      </c>
      <c r="M26" s="721">
        <f t="shared" si="6"/>
        <v>0</v>
      </c>
      <c r="N26" s="721">
        <f t="shared" si="6"/>
        <v>0</v>
      </c>
      <c r="O26" s="721">
        <f t="shared" si="6"/>
        <v>0</v>
      </c>
      <c r="P26" s="721">
        <f t="shared" si="6"/>
        <v>0</v>
      </c>
      <c r="Q26" s="721">
        <f t="shared" si="6"/>
        <v>0</v>
      </c>
      <c r="R26" s="719">
        <f t="shared" si="6"/>
        <v>0</v>
      </c>
      <c r="S26" s="719">
        <f t="shared" si="6"/>
        <v>0</v>
      </c>
      <c r="T26" s="719">
        <f t="shared" si="6"/>
        <v>0</v>
      </c>
      <c r="U26" s="719">
        <f t="shared" si="6"/>
        <v>0</v>
      </c>
      <c r="V26" s="719">
        <f t="shared" si="6"/>
        <v>0</v>
      </c>
      <c r="W26" s="719">
        <f t="shared" si="6"/>
        <v>0</v>
      </c>
      <c r="X26" s="719">
        <f t="shared" si="6"/>
        <v>0</v>
      </c>
      <c r="Y26" s="719">
        <f t="shared" ref="Y26:AN43" si="20">IF(ISERROR(Plan),0,Plan)</f>
        <v>0</v>
      </c>
      <c r="Z26" s="719">
        <f t="shared" si="20"/>
        <v>0</v>
      </c>
      <c r="AA26" s="719">
        <f t="shared" si="20"/>
        <v>0</v>
      </c>
      <c r="AB26" s="719">
        <f t="shared" si="20"/>
        <v>0</v>
      </c>
      <c r="AC26" s="719">
        <f t="shared" si="20"/>
        <v>0</v>
      </c>
      <c r="AD26" s="719">
        <f t="shared" si="20"/>
        <v>0</v>
      </c>
      <c r="AE26" s="719">
        <f t="shared" si="20"/>
        <v>0</v>
      </c>
      <c r="AF26" s="719">
        <f t="shared" si="20"/>
        <v>0</v>
      </c>
      <c r="AG26" s="719">
        <f t="shared" si="20"/>
        <v>0</v>
      </c>
      <c r="AH26" s="719">
        <f t="shared" si="20"/>
        <v>0</v>
      </c>
      <c r="AI26" s="719">
        <f t="shared" si="20"/>
        <v>0</v>
      </c>
      <c r="AJ26" s="719">
        <f t="shared" si="20"/>
        <v>0</v>
      </c>
      <c r="AK26" s="719">
        <f t="shared" si="20"/>
        <v>0</v>
      </c>
      <c r="AL26" s="719">
        <f t="shared" si="20"/>
        <v>0</v>
      </c>
      <c r="AM26" s="719">
        <f t="shared" si="20"/>
        <v>0</v>
      </c>
      <c r="AN26" s="719">
        <f t="shared" si="20"/>
        <v>0</v>
      </c>
      <c r="AO26" s="719">
        <f t="shared" ref="AO26:BD43" si="21">IF(ISERROR(Plan),0,Plan)</f>
        <v>0</v>
      </c>
      <c r="AP26" s="719">
        <f t="shared" si="21"/>
        <v>0</v>
      </c>
      <c r="AQ26" s="719">
        <f t="shared" si="21"/>
        <v>0</v>
      </c>
      <c r="AR26" s="719">
        <f t="shared" si="21"/>
        <v>0</v>
      </c>
      <c r="AS26" s="719">
        <f t="shared" si="21"/>
        <v>0</v>
      </c>
      <c r="AT26" s="719">
        <f t="shared" si="21"/>
        <v>0</v>
      </c>
      <c r="AU26" s="719">
        <f t="shared" si="21"/>
        <v>0</v>
      </c>
      <c r="AV26" s="719">
        <f t="shared" si="21"/>
        <v>0</v>
      </c>
      <c r="AW26" s="719">
        <f t="shared" si="21"/>
        <v>0</v>
      </c>
      <c r="AX26" s="719">
        <f t="shared" si="21"/>
        <v>0</v>
      </c>
      <c r="AY26" s="719">
        <f t="shared" si="21"/>
        <v>0</v>
      </c>
      <c r="AZ26" s="719">
        <f t="shared" si="21"/>
        <v>0</v>
      </c>
      <c r="BA26" s="719">
        <f t="shared" si="21"/>
        <v>0</v>
      </c>
      <c r="BB26" s="719">
        <f t="shared" si="21"/>
        <v>0</v>
      </c>
      <c r="BC26" s="719">
        <f t="shared" si="21"/>
        <v>0</v>
      </c>
      <c r="BD26" s="719">
        <f t="shared" si="21"/>
        <v>0</v>
      </c>
      <c r="BE26" s="719">
        <f t="shared" ref="BE26:BP43" si="22">IF(ISERROR(Plan),0,Plan)</f>
        <v>0</v>
      </c>
      <c r="BF26" s="719">
        <f t="shared" si="22"/>
        <v>0</v>
      </c>
      <c r="BG26" s="719">
        <f t="shared" si="22"/>
        <v>0</v>
      </c>
      <c r="BH26" s="719">
        <f t="shared" si="22"/>
        <v>0</v>
      </c>
      <c r="BI26" s="719">
        <f t="shared" si="22"/>
        <v>0</v>
      </c>
      <c r="BJ26" s="719">
        <f t="shared" si="22"/>
        <v>0</v>
      </c>
      <c r="BK26" s="719">
        <f t="shared" si="22"/>
        <v>0</v>
      </c>
      <c r="BL26" s="719">
        <f t="shared" si="22"/>
        <v>0</v>
      </c>
      <c r="BM26" s="719">
        <f t="shared" si="22"/>
        <v>0</v>
      </c>
      <c r="BN26" s="719">
        <f t="shared" si="22"/>
        <v>0</v>
      </c>
      <c r="BO26" s="719">
        <f t="shared" si="22"/>
        <v>0</v>
      </c>
      <c r="BP26" s="719">
        <f t="shared" si="22"/>
        <v>0</v>
      </c>
    </row>
    <row r="27" spans="1:68" x14ac:dyDescent="0.25">
      <c r="A27" s="1002" t="s">
        <v>202</v>
      </c>
      <c r="B27" s="1003"/>
      <c r="C27" s="517" t="str">
        <f>IF($B27&lt;&gt;"",VLOOKUP($B27,COSTS_Air_Defense[#All],2),"")</f>
        <v/>
      </c>
      <c r="D27" s="1004" t="str">
        <f>IF($B27&lt;&gt;"",VLOOKUP($B27,COSTS_Air_Defense[#All],3)/24,"")</f>
        <v/>
      </c>
      <c r="E27" s="996"/>
      <c r="F27" s="1005"/>
      <c r="G27" s="924" t="str">
        <f t="shared" si="15"/>
        <v/>
      </c>
      <c r="H27" s="921"/>
      <c r="I27" s="721">
        <f t="shared" si="6"/>
        <v>0</v>
      </c>
      <c r="J27" s="721">
        <f t="shared" si="6"/>
        <v>0</v>
      </c>
      <c r="K27" s="721">
        <f t="shared" si="6"/>
        <v>0</v>
      </c>
      <c r="L27" s="721">
        <f t="shared" si="6"/>
        <v>0</v>
      </c>
      <c r="M27" s="721">
        <f t="shared" si="6"/>
        <v>0</v>
      </c>
      <c r="N27" s="721">
        <f t="shared" si="6"/>
        <v>0</v>
      </c>
      <c r="O27" s="721">
        <f t="shared" si="6"/>
        <v>0</v>
      </c>
      <c r="P27" s="721">
        <f t="shared" si="6"/>
        <v>0</v>
      </c>
      <c r="Q27" s="721">
        <f t="shared" si="6"/>
        <v>0</v>
      </c>
      <c r="R27" s="719">
        <f t="shared" si="6"/>
        <v>0</v>
      </c>
      <c r="S27" s="719">
        <f t="shared" si="6"/>
        <v>0</v>
      </c>
      <c r="T27" s="719">
        <f t="shared" si="6"/>
        <v>0</v>
      </c>
      <c r="U27" s="719">
        <f t="shared" si="6"/>
        <v>0</v>
      </c>
      <c r="V27" s="719">
        <f t="shared" si="6"/>
        <v>0</v>
      </c>
      <c r="W27" s="719">
        <f t="shared" si="6"/>
        <v>0</v>
      </c>
      <c r="X27" s="719">
        <f t="shared" si="6"/>
        <v>0</v>
      </c>
      <c r="Y27" s="719">
        <f t="shared" si="20"/>
        <v>0</v>
      </c>
      <c r="Z27" s="719">
        <f t="shared" si="20"/>
        <v>0</v>
      </c>
      <c r="AA27" s="719">
        <f t="shared" si="20"/>
        <v>0</v>
      </c>
      <c r="AB27" s="719">
        <f t="shared" si="20"/>
        <v>0</v>
      </c>
      <c r="AC27" s="719">
        <f t="shared" si="20"/>
        <v>0</v>
      </c>
      <c r="AD27" s="719">
        <f t="shared" si="20"/>
        <v>0</v>
      </c>
      <c r="AE27" s="719">
        <f t="shared" si="20"/>
        <v>0</v>
      </c>
      <c r="AF27" s="719">
        <f t="shared" si="20"/>
        <v>0</v>
      </c>
      <c r="AG27" s="719">
        <f t="shared" si="20"/>
        <v>0</v>
      </c>
      <c r="AH27" s="719">
        <f t="shared" si="20"/>
        <v>0</v>
      </c>
      <c r="AI27" s="719">
        <f t="shared" si="20"/>
        <v>0</v>
      </c>
      <c r="AJ27" s="719">
        <f t="shared" si="20"/>
        <v>0</v>
      </c>
      <c r="AK27" s="719">
        <f t="shared" si="20"/>
        <v>0</v>
      </c>
      <c r="AL27" s="719">
        <f t="shared" si="20"/>
        <v>0</v>
      </c>
      <c r="AM27" s="719">
        <f t="shared" si="20"/>
        <v>0</v>
      </c>
      <c r="AN27" s="719">
        <f t="shared" si="20"/>
        <v>0</v>
      </c>
      <c r="AO27" s="719">
        <f t="shared" si="21"/>
        <v>0</v>
      </c>
      <c r="AP27" s="719">
        <f t="shared" si="21"/>
        <v>0</v>
      </c>
      <c r="AQ27" s="719">
        <f t="shared" si="21"/>
        <v>0</v>
      </c>
      <c r="AR27" s="719">
        <f t="shared" si="21"/>
        <v>0</v>
      </c>
      <c r="AS27" s="719">
        <f t="shared" si="21"/>
        <v>0</v>
      </c>
      <c r="AT27" s="719">
        <f t="shared" si="21"/>
        <v>0</v>
      </c>
      <c r="AU27" s="719">
        <f t="shared" si="21"/>
        <v>0</v>
      </c>
      <c r="AV27" s="719">
        <f t="shared" si="21"/>
        <v>0</v>
      </c>
      <c r="AW27" s="719">
        <f t="shared" si="21"/>
        <v>0</v>
      </c>
      <c r="AX27" s="719">
        <f t="shared" si="21"/>
        <v>0</v>
      </c>
      <c r="AY27" s="719">
        <f t="shared" si="21"/>
        <v>0</v>
      </c>
      <c r="AZ27" s="719">
        <f t="shared" si="21"/>
        <v>0</v>
      </c>
      <c r="BA27" s="719">
        <f t="shared" si="21"/>
        <v>0</v>
      </c>
      <c r="BB27" s="719">
        <f t="shared" si="21"/>
        <v>0</v>
      </c>
      <c r="BC27" s="719">
        <f t="shared" si="21"/>
        <v>0</v>
      </c>
      <c r="BD27" s="719">
        <f t="shared" si="21"/>
        <v>0</v>
      </c>
      <c r="BE27" s="719">
        <f t="shared" si="22"/>
        <v>0</v>
      </c>
      <c r="BF27" s="719">
        <f t="shared" si="22"/>
        <v>0</v>
      </c>
      <c r="BG27" s="719">
        <f t="shared" si="22"/>
        <v>0</v>
      </c>
      <c r="BH27" s="719">
        <f t="shared" si="22"/>
        <v>0</v>
      </c>
      <c r="BI27" s="719">
        <f t="shared" si="22"/>
        <v>0</v>
      </c>
      <c r="BJ27" s="719">
        <f t="shared" si="22"/>
        <v>0</v>
      </c>
      <c r="BK27" s="719">
        <f t="shared" si="22"/>
        <v>0</v>
      </c>
      <c r="BL27" s="719">
        <f t="shared" si="22"/>
        <v>0</v>
      </c>
      <c r="BM27" s="719">
        <f t="shared" si="22"/>
        <v>0</v>
      </c>
      <c r="BN27" s="719">
        <f t="shared" si="22"/>
        <v>0</v>
      </c>
      <c r="BO27" s="719">
        <f t="shared" si="22"/>
        <v>0</v>
      </c>
      <c r="BP27" s="719">
        <f t="shared" si="22"/>
        <v>0</v>
      </c>
    </row>
    <row r="28" spans="1:68" x14ac:dyDescent="0.25">
      <c r="A28" s="1002" t="s">
        <v>454</v>
      </c>
      <c r="B28" s="1003"/>
      <c r="C28" s="517" t="str">
        <f>IF($B28&lt;&gt;"",VLOOKUP($B28,COSTS_Wizard_Tower[#All],2),"")</f>
        <v/>
      </c>
      <c r="D28" s="1004" t="str">
        <f>IF($B28&lt;&gt;"",VLOOKUP($B28,COSTS_Wizard_Tower[#All],3)/24,"")</f>
        <v/>
      </c>
      <c r="E28" s="996"/>
      <c r="F28" s="1005"/>
      <c r="G28" s="924" t="str">
        <f t="shared" si="15"/>
        <v/>
      </c>
      <c r="H28" s="921"/>
      <c r="I28" s="721">
        <f t="shared" si="6"/>
        <v>0</v>
      </c>
      <c r="J28" s="721">
        <f t="shared" si="6"/>
        <v>0</v>
      </c>
      <c r="K28" s="721">
        <f t="shared" si="6"/>
        <v>0</v>
      </c>
      <c r="L28" s="721">
        <f t="shared" si="6"/>
        <v>0</v>
      </c>
      <c r="M28" s="721">
        <f t="shared" si="6"/>
        <v>0</v>
      </c>
      <c r="N28" s="721">
        <f t="shared" si="6"/>
        <v>0</v>
      </c>
      <c r="O28" s="721">
        <f t="shared" si="6"/>
        <v>0</v>
      </c>
      <c r="P28" s="721">
        <f t="shared" si="6"/>
        <v>0</v>
      </c>
      <c r="Q28" s="721">
        <f t="shared" si="6"/>
        <v>0</v>
      </c>
      <c r="R28" s="719">
        <f t="shared" si="6"/>
        <v>0</v>
      </c>
      <c r="S28" s="719">
        <f t="shared" si="6"/>
        <v>0</v>
      </c>
      <c r="T28" s="719">
        <f t="shared" si="6"/>
        <v>0</v>
      </c>
      <c r="U28" s="719">
        <f t="shared" si="6"/>
        <v>0</v>
      </c>
      <c r="V28" s="719">
        <f t="shared" si="6"/>
        <v>0</v>
      </c>
      <c r="W28" s="719">
        <f t="shared" si="6"/>
        <v>0</v>
      </c>
      <c r="X28" s="719">
        <f t="shared" si="6"/>
        <v>0</v>
      </c>
      <c r="Y28" s="719">
        <f t="shared" si="20"/>
        <v>0</v>
      </c>
      <c r="Z28" s="719">
        <f t="shared" si="20"/>
        <v>0</v>
      </c>
      <c r="AA28" s="719">
        <f t="shared" si="20"/>
        <v>0</v>
      </c>
      <c r="AB28" s="719">
        <f t="shared" si="20"/>
        <v>0</v>
      </c>
      <c r="AC28" s="719">
        <f t="shared" si="20"/>
        <v>0</v>
      </c>
      <c r="AD28" s="719">
        <f t="shared" si="20"/>
        <v>0</v>
      </c>
      <c r="AE28" s="719">
        <f t="shared" si="20"/>
        <v>0</v>
      </c>
      <c r="AF28" s="719">
        <f t="shared" si="20"/>
        <v>0</v>
      </c>
      <c r="AG28" s="719">
        <f t="shared" si="20"/>
        <v>0</v>
      </c>
      <c r="AH28" s="719">
        <f t="shared" si="20"/>
        <v>0</v>
      </c>
      <c r="AI28" s="719">
        <f t="shared" si="20"/>
        <v>0</v>
      </c>
      <c r="AJ28" s="719">
        <f t="shared" si="20"/>
        <v>0</v>
      </c>
      <c r="AK28" s="719">
        <f t="shared" si="20"/>
        <v>0</v>
      </c>
      <c r="AL28" s="719">
        <f t="shared" si="20"/>
        <v>0</v>
      </c>
      <c r="AM28" s="719">
        <f t="shared" si="20"/>
        <v>0</v>
      </c>
      <c r="AN28" s="719">
        <f t="shared" si="20"/>
        <v>0</v>
      </c>
      <c r="AO28" s="719">
        <f t="shared" si="21"/>
        <v>0</v>
      </c>
      <c r="AP28" s="719">
        <f t="shared" si="21"/>
        <v>0</v>
      </c>
      <c r="AQ28" s="719">
        <f t="shared" si="21"/>
        <v>0</v>
      </c>
      <c r="AR28" s="719">
        <f t="shared" si="21"/>
        <v>0</v>
      </c>
      <c r="AS28" s="719">
        <f t="shared" si="21"/>
        <v>0</v>
      </c>
      <c r="AT28" s="719">
        <f t="shared" si="21"/>
        <v>0</v>
      </c>
      <c r="AU28" s="719">
        <f t="shared" si="21"/>
        <v>0</v>
      </c>
      <c r="AV28" s="719">
        <f t="shared" si="21"/>
        <v>0</v>
      </c>
      <c r="AW28" s="719">
        <f t="shared" si="21"/>
        <v>0</v>
      </c>
      <c r="AX28" s="719">
        <f t="shared" si="21"/>
        <v>0</v>
      </c>
      <c r="AY28" s="719">
        <f t="shared" si="21"/>
        <v>0</v>
      </c>
      <c r="AZ28" s="719">
        <f t="shared" si="21"/>
        <v>0</v>
      </c>
      <c r="BA28" s="719">
        <f t="shared" si="21"/>
        <v>0</v>
      </c>
      <c r="BB28" s="719">
        <f t="shared" si="21"/>
        <v>0</v>
      </c>
      <c r="BC28" s="719">
        <f t="shared" si="21"/>
        <v>0</v>
      </c>
      <c r="BD28" s="719">
        <f t="shared" si="21"/>
        <v>0</v>
      </c>
      <c r="BE28" s="719">
        <f t="shared" si="22"/>
        <v>0</v>
      </c>
      <c r="BF28" s="719">
        <f t="shared" si="22"/>
        <v>0</v>
      </c>
      <c r="BG28" s="719">
        <f t="shared" si="22"/>
        <v>0</v>
      </c>
      <c r="BH28" s="719">
        <f t="shared" si="22"/>
        <v>0</v>
      </c>
      <c r="BI28" s="719">
        <f t="shared" si="22"/>
        <v>0</v>
      </c>
      <c r="BJ28" s="719">
        <f t="shared" si="22"/>
        <v>0</v>
      </c>
      <c r="BK28" s="719">
        <f t="shared" si="22"/>
        <v>0</v>
      </c>
      <c r="BL28" s="719">
        <f t="shared" si="22"/>
        <v>0</v>
      </c>
      <c r="BM28" s="719">
        <f t="shared" si="22"/>
        <v>0</v>
      </c>
      <c r="BN28" s="719">
        <f t="shared" si="22"/>
        <v>0</v>
      </c>
      <c r="BO28" s="719">
        <f t="shared" si="22"/>
        <v>0</v>
      </c>
      <c r="BP28" s="719">
        <f t="shared" si="22"/>
        <v>0</v>
      </c>
    </row>
    <row r="29" spans="1:68" x14ac:dyDescent="0.25">
      <c r="A29" s="1002" t="s">
        <v>643</v>
      </c>
      <c r="B29" s="1003"/>
      <c r="C29" s="517" t="str">
        <f>IF($B29&lt;&gt;"",VLOOKUP($B29,COSTS_Air_Sweeper[#All],2),"")</f>
        <v/>
      </c>
      <c r="D29" s="1004" t="str">
        <f>IF($B29&lt;&gt;"",VLOOKUP($B29,COSTS_Air_Sweeper[#All],3)/24,"")</f>
        <v/>
      </c>
      <c r="E29" s="996"/>
      <c r="F29" s="1005"/>
      <c r="G29" s="924" t="str">
        <f t="shared" si="15"/>
        <v/>
      </c>
      <c r="H29" s="921"/>
      <c r="I29" s="721">
        <f t="shared" si="6"/>
        <v>0</v>
      </c>
      <c r="J29" s="721">
        <f t="shared" si="6"/>
        <v>0</v>
      </c>
      <c r="K29" s="721">
        <f t="shared" si="6"/>
        <v>0</v>
      </c>
      <c r="L29" s="721">
        <f t="shared" si="6"/>
        <v>0</v>
      </c>
      <c r="M29" s="721">
        <f t="shared" si="6"/>
        <v>0</v>
      </c>
      <c r="N29" s="721">
        <f t="shared" si="6"/>
        <v>0</v>
      </c>
      <c r="O29" s="721">
        <f t="shared" si="6"/>
        <v>0</v>
      </c>
      <c r="P29" s="721">
        <f t="shared" si="6"/>
        <v>0</v>
      </c>
      <c r="Q29" s="721">
        <f t="shared" si="6"/>
        <v>0</v>
      </c>
      <c r="R29" s="719">
        <f t="shared" si="6"/>
        <v>0</v>
      </c>
      <c r="S29" s="719">
        <f t="shared" si="6"/>
        <v>0</v>
      </c>
      <c r="T29" s="719">
        <f t="shared" si="6"/>
        <v>0</v>
      </c>
      <c r="U29" s="719">
        <f t="shared" si="6"/>
        <v>0</v>
      </c>
      <c r="V29" s="719">
        <f t="shared" si="6"/>
        <v>0</v>
      </c>
      <c r="W29" s="719">
        <f t="shared" si="6"/>
        <v>0</v>
      </c>
      <c r="X29" s="719">
        <f t="shared" si="6"/>
        <v>0</v>
      </c>
      <c r="Y29" s="719">
        <f t="shared" si="20"/>
        <v>0</v>
      </c>
      <c r="Z29" s="719">
        <f t="shared" si="20"/>
        <v>0</v>
      </c>
      <c r="AA29" s="719">
        <f t="shared" si="20"/>
        <v>0</v>
      </c>
      <c r="AB29" s="719">
        <f t="shared" si="20"/>
        <v>0</v>
      </c>
      <c r="AC29" s="719">
        <f t="shared" si="20"/>
        <v>0</v>
      </c>
      <c r="AD29" s="719">
        <f t="shared" si="20"/>
        <v>0</v>
      </c>
      <c r="AE29" s="719">
        <f t="shared" si="20"/>
        <v>0</v>
      </c>
      <c r="AF29" s="719">
        <f t="shared" si="20"/>
        <v>0</v>
      </c>
      <c r="AG29" s="719">
        <f t="shared" si="20"/>
        <v>0</v>
      </c>
      <c r="AH29" s="719">
        <f t="shared" si="20"/>
        <v>0</v>
      </c>
      <c r="AI29" s="719">
        <f t="shared" si="20"/>
        <v>0</v>
      </c>
      <c r="AJ29" s="719">
        <f t="shared" si="20"/>
        <v>0</v>
      </c>
      <c r="AK29" s="719">
        <f t="shared" si="20"/>
        <v>0</v>
      </c>
      <c r="AL29" s="719">
        <f t="shared" si="20"/>
        <v>0</v>
      </c>
      <c r="AM29" s="719">
        <f t="shared" si="20"/>
        <v>0</v>
      </c>
      <c r="AN29" s="719">
        <f t="shared" si="20"/>
        <v>0</v>
      </c>
      <c r="AO29" s="719">
        <f t="shared" si="21"/>
        <v>0</v>
      </c>
      <c r="AP29" s="719">
        <f t="shared" si="21"/>
        <v>0</v>
      </c>
      <c r="AQ29" s="719">
        <f t="shared" si="21"/>
        <v>0</v>
      </c>
      <c r="AR29" s="719">
        <f t="shared" si="21"/>
        <v>0</v>
      </c>
      <c r="AS29" s="719">
        <f t="shared" si="21"/>
        <v>0</v>
      </c>
      <c r="AT29" s="719">
        <f t="shared" si="21"/>
        <v>0</v>
      </c>
      <c r="AU29" s="719">
        <f t="shared" si="21"/>
        <v>0</v>
      </c>
      <c r="AV29" s="719">
        <f t="shared" si="21"/>
        <v>0</v>
      </c>
      <c r="AW29" s="719">
        <f t="shared" si="21"/>
        <v>0</v>
      </c>
      <c r="AX29" s="719">
        <f t="shared" si="21"/>
        <v>0</v>
      </c>
      <c r="AY29" s="719">
        <f t="shared" si="21"/>
        <v>0</v>
      </c>
      <c r="AZ29" s="719">
        <f t="shared" si="21"/>
        <v>0</v>
      </c>
      <c r="BA29" s="719">
        <f t="shared" si="21"/>
        <v>0</v>
      </c>
      <c r="BB29" s="719">
        <f t="shared" si="21"/>
        <v>0</v>
      </c>
      <c r="BC29" s="719">
        <f t="shared" si="21"/>
        <v>0</v>
      </c>
      <c r="BD29" s="719">
        <f t="shared" si="21"/>
        <v>0</v>
      </c>
      <c r="BE29" s="719">
        <f t="shared" si="22"/>
        <v>0</v>
      </c>
      <c r="BF29" s="719">
        <f t="shared" si="22"/>
        <v>0</v>
      </c>
      <c r="BG29" s="719">
        <f t="shared" si="22"/>
        <v>0</v>
      </c>
      <c r="BH29" s="719">
        <f t="shared" si="22"/>
        <v>0</v>
      </c>
      <c r="BI29" s="719">
        <f t="shared" si="22"/>
        <v>0</v>
      </c>
      <c r="BJ29" s="719">
        <f t="shared" si="22"/>
        <v>0</v>
      </c>
      <c r="BK29" s="719">
        <f t="shared" si="22"/>
        <v>0</v>
      </c>
      <c r="BL29" s="719">
        <f t="shared" si="22"/>
        <v>0</v>
      </c>
      <c r="BM29" s="719">
        <f t="shared" si="22"/>
        <v>0</v>
      </c>
      <c r="BN29" s="719">
        <f t="shared" si="22"/>
        <v>0</v>
      </c>
      <c r="BO29" s="719">
        <f t="shared" si="22"/>
        <v>0</v>
      </c>
      <c r="BP29" s="719">
        <f t="shared" si="22"/>
        <v>0</v>
      </c>
    </row>
    <row r="30" spans="1:68" x14ac:dyDescent="0.25">
      <c r="A30" s="1002" t="s">
        <v>201</v>
      </c>
      <c r="B30" s="1003"/>
      <c r="C30" s="517" t="str">
        <f>IF($B30&lt;&gt;"",VLOOKUP($B30,COSTS_Hidden_Tesla[#All],2),"")</f>
        <v/>
      </c>
      <c r="D30" s="1004" t="str">
        <f>IF($B30&lt;&gt;"",VLOOKUP($B30,COSTS_Hidden_Tesla[#All],3)/24,"")</f>
        <v/>
      </c>
      <c r="E30" s="996"/>
      <c r="F30" s="1005"/>
      <c r="G30" s="924" t="str">
        <f t="shared" si="15"/>
        <v/>
      </c>
      <c r="H30" s="921"/>
      <c r="I30" s="721">
        <f t="shared" si="6"/>
        <v>0</v>
      </c>
      <c r="J30" s="721">
        <f t="shared" si="6"/>
        <v>0</v>
      </c>
      <c r="K30" s="721">
        <f t="shared" si="6"/>
        <v>0</v>
      </c>
      <c r="L30" s="721">
        <f t="shared" si="6"/>
        <v>0</v>
      </c>
      <c r="M30" s="721">
        <f t="shared" si="6"/>
        <v>0</v>
      </c>
      <c r="N30" s="721">
        <f t="shared" si="6"/>
        <v>0</v>
      </c>
      <c r="O30" s="721">
        <f t="shared" si="6"/>
        <v>0</v>
      </c>
      <c r="P30" s="721">
        <f t="shared" si="6"/>
        <v>0</v>
      </c>
      <c r="Q30" s="721">
        <f t="shared" si="6"/>
        <v>0</v>
      </c>
      <c r="R30" s="719">
        <f t="shared" si="6"/>
        <v>0</v>
      </c>
      <c r="S30" s="719">
        <f t="shared" si="6"/>
        <v>0</v>
      </c>
      <c r="T30" s="719">
        <f t="shared" si="6"/>
        <v>0</v>
      </c>
      <c r="U30" s="719">
        <f t="shared" si="6"/>
        <v>0</v>
      </c>
      <c r="V30" s="719">
        <f t="shared" si="6"/>
        <v>0</v>
      </c>
      <c r="W30" s="719">
        <f t="shared" si="6"/>
        <v>0</v>
      </c>
      <c r="X30" s="719">
        <f t="shared" si="6"/>
        <v>0</v>
      </c>
      <c r="Y30" s="719">
        <f t="shared" si="20"/>
        <v>0</v>
      </c>
      <c r="Z30" s="719">
        <f t="shared" si="20"/>
        <v>0</v>
      </c>
      <c r="AA30" s="719">
        <f t="shared" si="20"/>
        <v>0</v>
      </c>
      <c r="AB30" s="719">
        <f t="shared" si="20"/>
        <v>0</v>
      </c>
      <c r="AC30" s="719">
        <f t="shared" si="20"/>
        <v>0</v>
      </c>
      <c r="AD30" s="719">
        <f t="shared" si="20"/>
        <v>0</v>
      </c>
      <c r="AE30" s="719">
        <f t="shared" si="20"/>
        <v>0</v>
      </c>
      <c r="AF30" s="719">
        <f t="shared" si="20"/>
        <v>0</v>
      </c>
      <c r="AG30" s="719">
        <f t="shared" si="20"/>
        <v>0</v>
      </c>
      <c r="AH30" s="719">
        <f t="shared" si="20"/>
        <v>0</v>
      </c>
      <c r="AI30" s="719">
        <f t="shared" si="20"/>
        <v>0</v>
      </c>
      <c r="AJ30" s="719">
        <f t="shared" si="20"/>
        <v>0</v>
      </c>
      <c r="AK30" s="719">
        <f t="shared" si="20"/>
        <v>0</v>
      </c>
      <c r="AL30" s="719">
        <f t="shared" si="20"/>
        <v>0</v>
      </c>
      <c r="AM30" s="719">
        <f t="shared" si="20"/>
        <v>0</v>
      </c>
      <c r="AN30" s="719">
        <f t="shared" si="20"/>
        <v>0</v>
      </c>
      <c r="AO30" s="719">
        <f t="shared" si="21"/>
        <v>0</v>
      </c>
      <c r="AP30" s="719">
        <f t="shared" si="21"/>
        <v>0</v>
      </c>
      <c r="AQ30" s="719">
        <f t="shared" si="21"/>
        <v>0</v>
      </c>
      <c r="AR30" s="719">
        <f t="shared" si="21"/>
        <v>0</v>
      </c>
      <c r="AS30" s="719">
        <f t="shared" si="21"/>
        <v>0</v>
      </c>
      <c r="AT30" s="719">
        <f t="shared" si="21"/>
        <v>0</v>
      </c>
      <c r="AU30" s="719">
        <f t="shared" si="21"/>
        <v>0</v>
      </c>
      <c r="AV30" s="719">
        <f t="shared" si="21"/>
        <v>0</v>
      </c>
      <c r="AW30" s="719">
        <f t="shared" si="21"/>
        <v>0</v>
      </c>
      <c r="AX30" s="719">
        <f t="shared" si="21"/>
        <v>0</v>
      </c>
      <c r="AY30" s="719">
        <f t="shared" si="21"/>
        <v>0</v>
      </c>
      <c r="AZ30" s="719">
        <f t="shared" si="21"/>
        <v>0</v>
      </c>
      <c r="BA30" s="719">
        <f t="shared" si="21"/>
        <v>0</v>
      </c>
      <c r="BB30" s="719">
        <f t="shared" si="21"/>
        <v>0</v>
      </c>
      <c r="BC30" s="719">
        <f t="shared" si="21"/>
        <v>0</v>
      </c>
      <c r="BD30" s="719">
        <f t="shared" si="21"/>
        <v>0</v>
      </c>
      <c r="BE30" s="719">
        <f t="shared" si="22"/>
        <v>0</v>
      </c>
      <c r="BF30" s="719">
        <f t="shared" si="22"/>
        <v>0</v>
      </c>
      <c r="BG30" s="719">
        <f t="shared" si="22"/>
        <v>0</v>
      </c>
      <c r="BH30" s="719">
        <f t="shared" si="22"/>
        <v>0</v>
      </c>
      <c r="BI30" s="719">
        <f t="shared" si="22"/>
        <v>0</v>
      </c>
      <c r="BJ30" s="719">
        <f t="shared" si="22"/>
        <v>0</v>
      </c>
      <c r="BK30" s="719">
        <f t="shared" si="22"/>
        <v>0</v>
      </c>
      <c r="BL30" s="719">
        <f t="shared" si="22"/>
        <v>0</v>
      </c>
      <c r="BM30" s="719">
        <f t="shared" si="22"/>
        <v>0</v>
      </c>
      <c r="BN30" s="719">
        <f t="shared" si="22"/>
        <v>0</v>
      </c>
      <c r="BO30" s="719">
        <f t="shared" si="22"/>
        <v>0</v>
      </c>
      <c r="BP30" s="719">
        <f t="shared" si="22"/>
        <v>0</v>
      </c>
    </row>
    <row r="31" spans="1:68" x14ac:dyDescent="0.25">
      <c r="A31" s="1002" t="s">
        <v>200</v>
      </c>
      <c r="B31" s="1003"/>
      <c r="C31" s="517" t="str">
        <f>IF($B31&lt;&gt;"",VLOOKUP($B31,COSTS_XBow[#All],2),"")</f>
        <v/>
      </c>
      <c r="D31" s="1004" t="str">
        <f>IF($B31&lt;&gt;"",VLOOKUP($B31,COSTS_XBow[#All],3)/24,"")</f>
        <v/>
      </c>
      <c r="E31" s="996"/>
      <c r="F31" s="1005"/>
      <c r="G31" s="924" t="str">
        <f t="shared" si="15"/>
        <v/>
      </c>
      <c r="H31" s="921"/>
      <c r="I31" s="721">
        <f t="shared" si="6"/>
        <v>0</v>
      </c>
      <c r="J31" s="721">
        <f t="shared" si="6"/>
        <v>0</v>
      </c>
      <c r="K31" s="721">
        <f t="shared" si="6"/>
        <v>0</v>
      </c>
      <c r="L31" s="721">
        <f t="shared" si="6"/>
        <v>0</v>
      </c>
      <c r="M31" s="721">
        <f t="shared" si="6"/>
        <v>0</v>
      </c>
      <c r="N31" s="721">
        <f t="shared" si="6"/>
        <v>0</v>
      </c>
      <c r="O31" s="721">
        <f t="shared" si="6"/>
        <v>0</v>
      </c>
      <c r="P31" s="721">
        <f t="shared" si="6"/>
        <v>0</v>
      </c>
      <c r="Q31" s="721">
        <f t="shared" si="6"/>
        <v>0</v>
      </c>
      <c r="R31" s="719">
        <f t="shared" si="6"/>
        <v>0</v>
      </c>
      <c r="S31" s="719">
        <f t="shared" si="6"/>
        <v>0</v>
      </c>
      <c r="T31" s="719">
        <f t="shared" si="6"/>
        <v>0</v>
      </c>
      <c r="U31" s="719">
        <f t="shared" si="6"/>
        <v>0</v>
      </c>
      <c r="V31" s="719">
        <f t="shared" si="6"/>
        <v>0</v>
      </c>
      <c r="W31" s="719">
        <f t="shared" si="6"/>
        <v>0</v>
      </c>
      <c r="X31" s="719">
        <f t="shared" si="6"/>
        <v>0</v>
      </c>
      <c r="Y31" s="719">
        <f t="shared" si="20"/>
        <v>0</v>
      </c>
      <c r="Z31" s="719">
        <f t="shared" si="20"/>
        <v>0</v>
      </c>
      <c r="AA31" s="719">
        <f t="shared" si="20"/>
        <v>0</v>
      </c>
      <c r="AB31" s="719">
        <f t="shared" si="20"/>
        <v>0</v>
      </c>
      <c r="AC31" s="719">
        <f t="shared" si="20"/>
        <v>0</v>
      </c>
      <c r="AD31" s="719">
        <f t="shared" si="20"/>
        <v>0</v>
      </c>
      <c r="AE31" s="719">
        <f t="shared" si="20"/>
        <v>0</v>
      </c>
      <c r="AF31" s="719">
        <f t="shared" si="20"/>
        <v>0</v>
      </c>
      <c r="AG31" s="719">
        <f t="shared" si="20"/>
        <v>0</v>
      </c>
      <c r="AH31" s="719">
        <f t="shared" si="20"/>
        <v>0</v>
      </c>
      <c r="AI31" s="719">
        <f t="shared" si="20"/>
        <v>0</v>
      </c>
      <c r="AJ31" s="719">
        <f t="shared" si="20"/>
        <v>0</v>
      </c>
      <c r="AK31" s="719">
        <f t="shared" si="20"/>
        <v>0</v>
      </c>
      <c r="AL31" s="719">
        <f t="shared" si="20"/>
        <v>0</v>
      </c>
      <c r="AM31" s="719">
        <f t="shared" si="20"/>
        <v>0</v>
      </c>
      <c r="AN31" s="719">
        <f t="shared" si="20"/>
        <v>0</v>
      </c>
      <c r="AO31" s="719">
        <f t="shared" si="21"/>
        <v>0</v>
      </c>
      <c r="AP31" s="719">
        <f t="shared" si="21"/>
        <v>0</v>
      </c>
      <c r="AQ31" s="719">
        <f t="shared" si="21"/>
        <v>0</v>
      </c>
      <c r="AR31" s="719">
        <f t="shared" si="21"/>
        <v>0</v>
      </c>
      <c r="AS31" s="719">
        <f t="shared" si="21"/>
        <v>0</v>
      </c>
      <c r="AT31" s="719">
        <f t="shared" si="21"/>
        <v>0</v>
      </c>
      <c r="AU31" s="719">
        <f t="shared" si="21"/>
        <v>0</v>
      </c>
      <c r="AV31" s="719">
        <f t="shared" si="21"/>
        <v>0</v>
      </c>
      <c r="AW31" s="719">
        <f t="shared" si="21"/>
        <v>0</v>
      </c>
      <c r="AX31" s="719">
        <f t="shared" si="21"/>
        <v>0</v>
      </c>
      <c r="AY31" s="719">
        <f t="shared" si="21"/>
        <v>0</v>
      </c>
      <c r="AZ31" s="719">
        <f t="shared" si="21"/>
        <v>0</v>
      </c>
      <c r="BA31" s="719">
        <f t="shared" si="21"/>
        <v>0</v>
      </c>
      <c r="BB31" s="719">
        <f t="shared" si="21"/>
        <v>0</v>
      </c>
      <c r="BC31" s="719">
        <f t="shared" si="21"/>
        <v>0</v>
      </c>
      <c r="BD31" s="719">
        <f t="shared" si="21"/>
        <v>0</v>
      </c>
      <c r="BE31" s="719">
        <f t="shared" si="22"/>
        <v>0</v>
      </c>
      <c r="BF31" s="719">
        <f t="shared" si="22"/>
        <v>0</v>
      </c>
      <c r="BG31" s="719">
        <f t="shared" si="22"/>
        <v>0</v>
      </c>
      <c r="BH31" s="719">
        <f t="shared" si="22"/>
        <v>0</v>
      </c>
      <c r="BI31" s="719">
        <f t="shared" si="22"/>
        <v>0</v>
      </c>
      <c r="BJ31" s="719">
        <f t="shared" si="22"/>
        <v>0</v>
      </c>
      <c r="BK31" s="719">
        <f t="shared" si="22"/>
        <v>0</v>
      </c>
      <c r="BL31" s="719">
        <f t="shared" si="22"/>
        <v>0</v>
      </c>
      <c r="BM31" s="719">
        <f t="shared" si="22"/>
        <v>0</v>
      </c>
      <c r="BN31" s="719">
        <f t="shared" si="22"/>
        <v>0</v>
      </c>
      <c r="BO31" s="719">
        <f t="shared" si="22"/>
        <v>0</v>
      </c>
      <c r="BP31" s="719">
        <f t="shared" si="22"/>
        <v>0</v>
      </c>
    </row>
    <row r="32" spans="1:68" x14ac:dyDescent="0.25">
      <c r="A32" s="1002" t="s">
        <v>199</v>
      </c>
      <c r="B32" s="1003"/>
      <c r="C32" s="517" t="str">
        <f>IF($B32&lt;&gt;"",VLOOKUP($B32,COSTS_Inferno_Tower[#All],2),"")</f>
        <v/>
      </c>
      <c r="D32" s="1004" t="str">
        <f>IF($B32&lt;&gt;"",VLOOKUP($B32,COSTS_Inferno_Tower[#All],3)/24,"")</f>
        <v/>
      </c>
      <c r="E32" s="996"/>
      <c r="F32" s="1005"/>
      <c r="G32" s="924" t="str">
        <f t="shared" si="15"/>
        <v/>
      </c>
      <c r="H32" s="921"/>
      <c r="I32" s="721">
        <f t="shared" si="6"/>
        <v>0</v>
      </c>
      <c r="J32" s="721">
        <f t="shared" si="6"/>
        <v>0</v>
      </c>
      <c r="K32" s="721">
        <f t="shared" si="6"/>
        <v>0</v>
      </c>
      <c r="L32" s="721">
        <f t="shared" si="6"/>
        <v>0</v>
      </c>
      <c r="M32" s="721">
        <f t="shared" si="6"/>
        <v>0</v>
      </c>
      <c r="N32" s="721">
        <f t="shared" si="6"/>
        <v>0</v>
      </c>
      <c r="O32" s="721">
        <f t="shared" si="6"/>
        <v>0</v>
      </c>
      <c r="P32" s="721">
        <f t="shared" si="6"/>
        <v>0</v>
      </c>
      <c r="Q32" s="721">
        <f t="shared" si="6"/>
        <v>0</v>
      </c>
      <c r="R32" s="719">
        <f t="shared" si="6"/>
        <v>0</v>
      </c>
      <c r="S32" s="719">
        <f t="shared" si="6"/>
        <v>0</v>
      </c>
      <c r="T32" s="719">
        <f t="shared" si="6"/>
        <v>0</v>
      </c>
      <c r="U32" s="719">
        <f t="shared" si="6"/>
        <v>0</v>
      </c>
      <c r="V32" s="719">
        <f t="shared" si="6"/>
        <v>0</v>
      </c>
      <c r="W32" s="719">
        <f t="shared" si="6"/>
        <v>0</v>
      </c>
      <c r="X32" s="719">
        <f t="shared" si="6"/>
        <v>0</v>
      </c>
      <c r="Y32" s="719">
        <f t="shared" si="20"/>
        <v>0</v>
      </c>
      <c r="Z32" s="719">
        <f t="shared" si="20"/>
        <v>0</v>
      </c>
      <c r="AA32" s="719">
        <f t="shared" si="20"/>
        <v>0</v>
      </c>
      <c r="AB32" s="719">
        <f t="shared" si="20"/>
        <v>0</v>
      </c>
      <c r="AC32" s="719">
        <f t="shared" si="20"/>
        <v>0</v>
      </c>
      <c r="AD32" s="719">
        <f t="shared" si="20"/>
        <v>0</v>
      </c>
      <c r="AE32" s="719">
        <f t="shared" si="20"/>
        <v>0</v>
      </c>
      <c r="AF32" s="719">
        <f t="shared" si="20"/>
        <v>0</v>
      </c>
      <c r="AG32" s="719">
        <f t="shared" si="20"/>
        <v>0</v>
      </c>
      <c r="AH32" s="719">
        <f t="shared" si="20"/>
        <v>0</v>
      </c>
      <c r="AI32" s="719">
        <f t="shared" si="20"/>
        <v>0</v>
      </c>
      <c r="AJ32" s="719">
        <f t="shared" si="20"/>
        <v>0</v>
      </c>
      <c r="AK32" s="719">
        <f t="shared" si="20"/>
        <v>0</v>
      </c>
      <c r="AL32" s="719">
        <f t="shared" si="20"/>
        <v>0</v>
      </c>
      <c r="AM32" s="719">
        <f t="shared" si="20"/>
        <v>0</v>
      </c>
      <c r="AN32" s="719">
        <f t="shared" si="20"/>
        <v>0</v>
      </c>
      <c r="AO32" s="719">
        <f t="shared" si="21"/>
        <v>0</v>
      </c>
      <c r="AP32" s="719">
        <f t="shared" si="21"/>
        <v>0</v>
      </c>
      <c r="AQ32" s="719">
        <f t="shared" si="21"/>
        <v>0</v>
      </c>
      <c r="AR32" s="719">
        <f t="shared" si="21"/>
        <v>0</v>
      </c>
      <c r="AS32" s="719">
        <f t="shared" si="21"/>
        <v>0</v>
      </c>
      <c r="AT32" s="719">
        <f t="shared" si="21"/>
        <v>0</v>
      </c>
      <c r="AU32" s="719">
        <f t="shared" si="21"/>
        <v>0</v>
      </c>
      <c r="AV32" s="719">
        <f t="shared" si="21"/>
        <v>0</v>
      </c>
      <c r="AW32" s="719">
        <f t="shared" si="21"/>
        <v>0</v>
      </c>
      <c r="AX32" s="719">
        <f t="shared" si="21"/>
        <v>0</v>
      </c>
      <c r="AY32" s="719">
        <f t="shared" si="21"/>
        <v>0</v>
      </c>
      <c r="AZ32" s="719">
        <f t="shared" si="21"/>
        <v>0</v>
      </c>
      <c r="BA32" s="719">
        <f t="shared" si="21"/>
        <v>0</v>
      </c>
      <c r="BB32" s="719">
        <f t="shared" si="21"/>
        <v>0</v>
      </c>
      <c r="BC32" s="719">
        <f t="shared" si="21"/>
        <v>0</v>
      </c>
      <c r="BD32" s="719">
        <f t="shared" si="21"/>
        <v>0</v>
      </c>
      <c r="BE32" s="719">
        <f t="shared" si="22"/>
        <v>0</v>
      </c>
      <c r="BF32" s="719">
        <f t="shared" si="22"/>
        <v>0</v>
      </c>
      <c r="BG32" s="719">
        <f t="shared" si="22"/>
        <v>0</v>
      </c>
      <c r="BH32" s="719">
        <f t="shared" si="22"/>
        <v>0</v>
      </c>
      <c r="BI32" s="719">
        <f t="shared" si="22"/>
        <v>0</v>
      </c>
      <c r="BJ32" s="719">
        <f t="shared" si="22"/>
        <v>0</v>
      </c>
      <c r="BK32" s="719">
        <f t="shared" si="22"/>
        <v>0</v>
      </c>
      <c r="BL32" s="719">
        <f t="shared" si="22"/>
        <v>0</v>
      </c>
      <c r="BM32" s="719">
        <f t="shared" si="22"/>
        <v>0</v>
      </c>
      <c r="BN32" s="719">
        <f t="shared" si="22"/>
        <v>0</v>
      </c>
      <c r="BO32" s="719">
        <f t="shared" si="22"/>
        <v>0</v>
      </c>
      <c r="BP32" s="719">
        <f t="shared" si="22"/>
        <v>0</v>
      </c>
    </row>
    <row r="33" spans="1:68" ht="15.75" thickBot="1" x14ac:dyDescent="0.3">
      <c r="A33" s="1006" t="s">
        <v>745</v>
      </c>
      <c r="B33" s="1007"/>
      <c r="C33" s="115" t="str">
        <f>IF($B33&lt;&gt;"",VLOOKUP($B33,COSTS_Defense_Aigle[#All],2),"")</f>
        <v/>
      </c>
      <c r="D33" s="1008" t="str">
        <f>IF($B33&lt;&gt;"",VLOOKUP($B33,COSTS_Defense_Aigle[#All],3)/24,"")</f>
        <v/>
      </c>
      <c r="E33" s="1009"/>
      <c r="F33" s="1010"/>
      <c r="G33" s="925" t="str">
        <f t="shared" si="15"/>
        <v/>
      </c>
      <c r="H33" s="922"/>
      <c r="I33" s="721">
        <f t="shared" si="6"/>
        <v>0</v>
      </c>
      <c r="J33" s="721">
        <f t="shared" si="6"/>
        <v>0</v>
      </c>
      <c r="K33" s="721">
        <f t="shared" si="6"/>
        <v>0</v>
      </c>
      <c r="L33" s="721">
        <f t="shared" si="6"/>
        <v>0</v>
      </c>
      <c r="M33" s="721">
        <f t="shared" si="6"/>
        <v>0</v>
      </c>
      <c r="N33" s="721">
        <f t="shared" si="6"/>
        <v>0</v>
      </c>
      <c r="O33" s="721">
        <f t="shared" si="6"/>
        <v>0</v>
      </c>
      <c r="P33" s="721">
        <f t="shared" si="6"/>
        <v>0</v>
      </c>
      <c r="Q33" s="721">
        <f t="shared" si="6"/>
        <v>0</v>
      </c>
      <c r="R33" s="719">
        <f t="shared" si="6"/>
        <v>0</v>
      </c>
      <c r="S33" s="719">
        <f t="shared" si="6"/>
        <v>0</v>
      </c>
      <c r="T33" s="719">
        <f t="shared" si="6"/>
        <v>0</v>
      </c>
      <c r="U33" s="719">
        <f t="shared" si="6"/>
        <v>0</v>
      </c>
      <c r="V33" s="719">
        <f t="shared" si="6"/>
        <v>0</v>
      </c>
      <c r="W33" s="719">
        <f t="shared" si="6"/>
        <v>0</v>
      </c>
      <c r="X33" s="719">
        <f t="shared" si="6"/>
        <v>0</v>
      </c>
      <c r="Y33" s="719">
        <f t="shared" si="20"/>
        <v>0</v>
      </c>
      <c r="Z33" s="719">
        <f t="shared" si="20"/>
        <v>0</v>
      </c>
      <c r="AA33" s="719">
        <f t="shared" si="20"/>
        <v>0</v>
      </c>
      <c r="AB33" s="719">
        <f t="shared" si="20"/>
        <v>0</v>
      </c>
      <c r="AC33" s="719">
        <f t="shared" si="20"/>
        <v>0</v>
      </c>
      <c r="AD33" s="719">
        <f t="shared" si="20"/>
        <v>0</v>
      </c>
      <c r="AE33" s="719">
        <f t="shared" si="20"/>
        <v>0</v>
      </c>
      <c r="AF33" s="719">
        <f t="shared" si="20"/>
        <v>0</v>
      </c>
      <c r="AG33" s="719">
        <f t="shared" si="20"/>
        <v>0</v>
      </c>
      <c r="AH33" s="719">
        <f t="shared" si="20"/>
        <v>0</v>
      </c>
      <c r="AI33" s="719">
        <f t="shared" si="20"/>
        <v>0</v>
      </c>
      <c r="AJ33" s="719">
        <f t="shared" si="20"/>
        <v>0</v>
      </c>
      <c r="AK33" s="719">
        <f t="shared" si="20"/>
        <v>0</v>
      </c>
      <c r="AL33" s="719">
        <f t="shared" si="20"/>
        <v>0</v>
      </c>
      <c r="AM33" s="719">
        <f t="shared" si="20"/>
        <v>0</v>
      </c>
      <c r="AN33" s="719">
        <f t="shared" si="20"/>
        <v>0</v>
      </c>
      <c r="AO33" s="719">
        <f t="shared" ref="AO33:BD40" si="23">IF(ISERROR(Plan),0,Plan)</f>
        <v>0</v>
      </c>
      <c r="AP33" s="719">
        <f t="shared" si="23"/>
        <v>0</v>
      </c>
      <c r="AQ33" s="719">
        <f t="shared" si="23"/>
        <v>0</v>
      </c>
      <c r="AR33" s="719">
        <f t="shared" si="23"/>
        <v>0</v>
      </c>
      <c r="AS33" s="719">
        <f t="shared" si="23"/>
        <v>0</v>
      </c>
      <c r="AT33" s="719">
        <f t="shared" si="23"/>
        <v>0</v>
      </c>
      <c r="AU33" s="719">
        <f t="shared" si="23"/>
        <v>0</v>
      </c>
      <c r="AV33" s="719">
        <f t="shared" si="23"/>
        <v>0</v>
      </c>
      <c r="AW33" s="719">
        <f t="shared" si="23"/>
        <v>0</v>
      </c>
      <c r="AX33" s="719">
        <f t="shared" si="23"/>
        <v>0</v>
      </c>
      <c r="AY33" s="719">
        <f t="shared" si="23"/>
        <v>0</v>
      </c>
      <c r="AZ33" s="719">
        <f t="shared" si="23"/>
        <v>0</v>
      </c>
      <c r="BA33" s="719">
        <f t="shared" si="23"/>
        <v>0</v>
      </c>
      <c r="BB33" s="719">
        <f t="shared" si="23"/>
        <v>0</v>
      </c>
      <c r="BC33" s="719">
        <f t="shared" si="23"/>
        <v>0</v>
      </c>
      <c r="BD33" s="719">
        <f t="shared" si="23"/>
        <v>0</v>
      </c>
      <c r="BE33" s="719">
        <f t="shared" si="22"/>
        <v>0</v>
      </c>
      <c r="BF33" s="719">
        <f t="shared" si="22"/>
        <v>0</v>
      </c>
      <c r="BG33" s="719">
        <f t="shared" si="22"/>
        <v>0</v>
      </c>
      <c r="BH33" s="719">
        <f t="shared" si="22"/>
        <v>0</v>
      </c>
      <c r="BI33" s="719">
        <f t="shared" si="22"/>
        <v>0</v>
      </c>
      <c r="BJ33" s="719">
        <f t="shared" si="22"/>
        <v>0</v>
      </c>
      <c r="BK33" s="719">
        <f t="shared" si="22"/>
        <v>0</v>
      </c>
      <c r="BL33" s="719">
        <f t="shared" si="22"/>
        <v>0</v>
      </c>
      <c r="BM33" s="719">
        <f t="shared" si="22"/>
        <v>0</v>
      </c>
      <c r="BN33" s="719">
        <f t="shared" si="22"/>
        <v>0</v>
      </c>
      <c r="BO33" s="719">
        <f t="shared" si="22"/>
        <v>0</v>
      </c>
      <c r="BP33" s="719">
        <f t="shared" si="22"/>
        <v>0</v>
      </c>
    </row>
    <row r="34" spans="1:68" ht="16.5" thickBot="1" x14ac:dyDescent="0.3">
      <c r="A34" s="1045" t="s">
        <v>582</v>
      </c>
      <c r="B34" s="1046"/>
      <c r="C34" s="1046"/>
      <c r="D34" s="1046"/>
      <c r="E34" s="1046"/>
      <c r="F34" s="1046"/>
      <c r="G34" s="1046"/>
      <c r="H34" s="1047"/>
      <c r="I34" s="721">
        <f t="shared" si="6"/>
        <v>0</v>
      </c>
      <c r="J34" s="721">
        <f t="shared" si="6"/>
        <v>0</v>
      </c>
      <c r="K34" s="721">
        <f t="shared" si="6"/>
        <v>0</v>
      </c>
      <c r="L34" s="721">
        <f t="shared" si="6"/>
        <v>0</v>
      </c>
      <c r="M34" s="721">
        <f t="shared" si="6"/>
        <v>0</v>
      </c>
      <c r="N34" s="721">
        <f t="shared" si="6"/>
        <v>0</v>
      </c>
      <c r="O34" s="721">
        <f t="shared" si="6"/>
        <v>0</v>
      </c>
      <c r="P34" s="721">
        <f t="shared" si="6"/>
        <v>0</v>
      </c>
      <c r="Q34" s="721">
        <f t="shared" si="6"/>
        <v>0</v>
      </c>
      <c r="R34" s="719">
        <f t="shared" si="6"/>
        <v>0</v>
      </c>
      <c r="S34" s="719">
        <f t="shared" si="6"/>
        <v>0</v>
      </c>
      <c r="T34" s="719">
        <f t="shared" si="6"/>
        <v>0</v>
      </c>
      <c r="U34" s="719">
        <f t="shared" si="6"/>
        <v>0</v>
      </c>
      <c r="V34" s="719">
        <f t="shared" si="6"/>
        <v>0</v>
      </c>
      <c r="W34" s="719">
        <f t="shared" si="6"/>
        <v>0</v>
      </c>
      <c r="X34" s="719">
        <f t="shared" si="6"/>
        <v>0</v>
      </c>
      <c r="Y34" s="719">
        <f t="shared" si="20"/>
        <v>0</v>
      </c>
      <c r="Z34" s="719">
        <f t="shared" si="20"/>
        <v>0</v>
      </c>
      <c r="AA34" s="719">
        <f t="shared" si="20"/>
        <v>0</v>
      </c>
      <c r="AB34" s="719">
        <f t="shared" ref="AB34:AQ40" si="24">IF(ISERROR(Plan),0,Plan)</f>
        <v>0</v>
      </c>
      <c r="AC34" s="719">
        <f t="shared" si="24"/>
        <v>0</v>
      </c>
      <c r="AD34" s="719">
        <f t="shared" si="24"/>
        <v>0</v>
      </c>
      <c r="AE34" s="719">
        <f t="shared" si="24"/>
        <v>0</v>
      </c>
      <c r="AF34" s="719">
        <f t="shared" si="24"/>
        <v>0</v>
      </c>
      <c r="AG34" s="719">
        <f t="shared" si="24"/>
        <v>0</v>
      </c>
      <c r="AH34" s="719">
        <f t="shared" si="24"/>
        <v>0</v>
      </c>
      <c r="AI34" s="719">
        <f t="shared" si="24"/>
        <v>0</v>
      </c>
      <c r="AJ34" s="719">
        <f t="shared" si="24"/>
        <v>0</v>
      </c>
      <c r="AK34" s="719">
        <f t="shared" si="24"/>
        <v>0</v>
      </c>
      <c r="AL34" s="719">
        <f t="shared" si="24"/>
        <v>0</v>
      </c>
      <c r="AM34" s="719">
        <f t="shared" si="24"/>
        <v>0</v>
      </c>
      <c r="AN34" s="719">
        <f t="shared" si="24"/>
        <v>0</v>
      </c>
      <c r="AO34" s="719">
        <f t="shared" si="24"/>
        <v>0</v>
      </c>
      <c r="AP34" s="719">
        <f t="shared" si="24"/>
        <v>0</v>
      </c>
      <c r="AQ34" s="719">
        <f t="shared" si="24"/>
        <v>0</v>
      </c>
      <c r="AR34" s="719">
        <f t="shared" si="23"/>
        <v>0</v>
      </c>
      <c r="AS34" s="719">
        <f t="shared" si="23"/>
        <v>0</v>
      </c>
      <c r="AT34" s="719">
        <f t="shared" si="23"/>
        <v>0</v>
      </c>
      <c r="AU34" s="719">
        <f t="shared" si="23"/>
        <v>0</v>
      </c>
      <c r="AV34" s="719">
        <f t="shared" si="23"/>
        <v>0</v>
      </c>
      <c r="AW34" s="719">
        <f t="shared" si="23"/>
        <v>0</v>
      </c>
      <c r="AX34" s="719">
        <f t="shared" si="23"/>
        <v>0</v>
      </c>
      <c r="AY34" s="719">
        <f t="shared" si="23"/>
        <v>0</v>
      </c>
      <c r="AZ34" s="719">
        <f t="shared" si="23"/>
        <v>0</v>
      </c>
      <c r="BA34" s="719">
        <f t="shared" si="23"/>
        <v>0</v>
      </c>
      <c r="BB34" s="719">
        <f t="shared" si="23"/>
        <v>0</v>
      </c>
      <c r="BC34" s="719">
        <f t="shared" si="23"/>
        <v>0</v>
      </c>
      <c r="BD34" s="719">
        <f t="shared" si="23"/>
        <v>0</v>
      </c>
      <c r="BE34" s="719">
        <f t="shared" si="22"/>
        <v>0</v>
      </c>
      <c r="BF34" s="719">
        <f t="shared" si="22"/>
        <v>0</v>
      </c>
      <c r="BG34" s="719">
        <f t="shared" si="22"/>
        <v>0</v>
      </c>
      <c r="BH34" s="719">
        <f t="shared" si="22"/>
        <v>0</v>
      </c>
      <c r="BI34" s="719">
        <f t="shared" si="22"/>
        <v>0</v>
      </c>
      <c r="BJ34" s="719">
        <f t="shared" si="22"/>
        <v>0</v>
      </c>
      <c r="BK34" s="719">
        <f t="shared" si="22"/>
        <v>0</v>
      </c>
      <c r="BL34" s="719">
        <f t="shared" si="22"/>
        <v>0</v>
      </c>
      <c r="BM34" s="719">
        <f t="shared" si="22"/>
        <v>0</v>
      </c>
      <c r="BN34" s="719">
        <f t="shared" si="22"/>
        <v>0</v>
      </c>
      <c r="BO34" s="719">
        <f t="shared" si="22"/>
        <v>0</v>
      </c>
      <c r="BP34" s="719">
        <f t="shared" si="22"/>
        <v>0</v>
      </c>
    </row>
    <row r="35" spans="1:68" x14ac:dyDescent="0.25">
      <c r="A35" s="997" t="s">
        <v>561</v>
      </c>
      <c r="B35" s="998"/>
      <c r="C35" s="86" t="str">
        <f>IF($B35&lt;&gt;"",VLOOKUP($B35,COSTS_Bomb[#All],2),"")</f>
        <v/>
      </c>
      <c r="D35" s="999" t="str">
        <f>IF($B35&lt;&gt;"",VLOOKUP($B35,COSTS_Bomb[#All],3)/24,"")</f>
        <v/>
      </c>
      <c r="E35" s="1000"/>
      <c r="F35" s="1001"/>
      <c r="G35" s="923" t="str">
        <f t="shared" ref="G35:G40" si="25">IF($D35&lt;&gt;"",$D35,"")</f>
        <v/>
      </c>
      <c r="H35" s="920"/>
      <c r="I35" s="721">
        <f t="shared" si="6"/>
        <v>0</v>
      </c>
      <c r="J35" s="721">
        <f t="shared" si="6"/>
        <v>0</v>
      </c>
      <c r="K35" s="721">
        <f t="shared" si="6"/>
        <v>0</v>
      </c>
      <c r="L35" s="721">
        <f t="shared" si="6"/>
        <v>0</v>
      </c>
      <c r="M35" s="721">
        <f t="shared" si="6"/>
        <v>0</v>
      </c>
      <c r="N35" s="721">
        <f t="shared" si="6"/>
        <v>0</v>
      </c>
      <c r="O35" s="721">
        <f t="shared" si="6"/>
        <v>0</v>
      </c>
      <c r="P35" s="721">
        <f t="shared" si="6"/>
        <v>0</v>
      </c>
      <c r="Q35" s="721">
        <f t="shared" si="6"/>
        <v>0</v>
      </c>
      <c r="R35" s="719">
        <f t="shared" si="6"/>
        <v>0</v>
      </c>
      <c r="S35" s="719">
        <f t="shared" si="6"/>
        <v>0</v>
      </c>
      <c r="T35" s="719">
        <f t="shared" si="6"/>
        <v>0</v>
      </c>
      <c r="U35" s="719">
        <f t="shared" si="6"/>
        <v>0</v>
      </c>
      <c r="V35" s="719">
        <f t="shared" si="6"/>
        <v>0</v>
      </c>
      <c r="W35" s="719">
        <f t="shared" si="6"/>
        <v>0</v>
      </c>
      <c r="X35" s="719">
        <f t="shared" si="6"/>
        <v>0</v>
      </c>
      <c r="Y35" s="719">
        <f t="shared" ref="S35:AB40" si="26">IF(ISERROR(Plan),0,Plan)</f>
        <v>0</v>
      </c>
      <c r="Z35" s="719">
        <f t="shared" si="26"/>
        <v>0</v>
      </c>
      <c r="AA35" s="719">
        <f t="shared" si="26"/>
        <v>0</v>
      </c>
      <c r="AB35" s="719">
        <f t="shared" si="26"/>
        <v>0</v>
      </c>
      <c r="AC35" s="719">
        <f t="shared" si="24"/>
        <v>0</v>
      </c>
      <c r="AD35" s="719">
        <f t="shared" si="24"/>
        <v>0</v>
      </c>
      <c r="AE35" s="719">
        <f t="shared" si="24"/>
        <v>0</v>
      </c>
      <c r="AF35" s="719">
        <f t="shared" si="24"/>
        <v>0</v>
      </c>
      <c r="AG35" s="719">
        <f t="shared" si="24"/>
        <v>0</v>
      </c>
      <c r="AH35" s="719">
        <f t="shared" si="24"/>
        <v>0</v>
      </c>
      <c r="AI35" s="719">
        <f t="shared" si="24"/>
        <v>0</v>
      </c>
      <c r="AJ35" s="719">
        <f t="shared" si="24"/>
        <v>0</v>
      </c>
      <c r="AK35" s="719">
        <f t="shared" si="24"/>
        <v>0</v>
      </c>
      <c r="AL35" s="719">
        <f t="shared" si="24"/>
        <v>0</v>
      </c>
      <c r="AM35" s="719">
        <f t="shared" si="24"/>
        <v>0</v>
      </c>
      <c r="AN35" s="719">
        <f t="shared" si="24"/>
        <v>0</v>
      </c>
      <c r="AO35" s="719">
        <f t="shared" si="24"/>
        <v>0</v>
      </c>
      <c r="AP35" s="719">
        <f t="shared" si="24"/>
        <v>0</v>
      </c>
      <c r="AQ35" s="719">
        <f t="shared" si="24"/>
        <v>0</v>
      </c>
      <c r="AR35" s="719">
        <f t="shared" si="23"/>
        <v>0</v>
      </c>
      <c r="AS35" s="719">
        <f t="shared" si="23"/>
        <v>0</v>
      </c>
      <c r="AT35" s="719">
        <f t="shared" si="23"/>
        <v>0</v>
      </c>
      <c r="AU35" s="719">
        <f t="shared" si="23"/>
        <v>0</v>
      </c>
      <c r="AV35" s="719">
        <f t="shared" si="23"/>
        <v>0</v>
      </c>
      <c r="AW35" s="719">
        <f t="shared" si="23"/>
        <v>0</v>
      </c>
      <c r="AX35" s="719">
        <f t="shared" si="23"/>
        <v>0</v>
      </c>
      <c r="AY35" s="719">
        <f t="shared" si="23"/>
        <v>0</v>
      </c>
      <c r="AZ35" s="719">
        <f t="shared" si="23"/>
        <v>0</v>
      </c>
      <c r="BA35" s="719">
        <f t="shared" si="23"/>
        <v>0</v>
      </c>
      <c r="BB35" s="719">
        <f t="shared" si="23"/>
        <v>0</v>
      </c>
      <c r="BC35" s="719">
        <f t="shared" si="23"/>
        <v>0</v>
      </c>
      <c r="BD35" s="719">
        <f t="shared" si="23"/>
        <v>0</v>
      </c>
      <c r="BE35" s="719">
        <f t="shared" si="22"/>
        <v>0</v>
      </c>
      <c r="BF35" s="719">
        <f t="shared" si="22"/>
        <v>0</v>
      </c>
      <c r="BG35" s="719">
        <f t="shared" si="22"/>
        <v>0</v>
      </c>
      <c r="BH35" s="719">
        <f t="shared" si="22"/>
        <v>0</v>
      </c>
      <c r="BI35" s="719">
        <f t="shared" si="22"/>
        <v>0</v>
      </c>
      <c r="BJ35" s="719">
        <f t="shared" si="22"/>
        <v>0</v>
      </c>
      <c r="BK35" s="719">
        <f t="shared" ref="BG35:BP40" si="27">IF(ISERROR(Plan),0,Plan)</f>
        <v>0</v>
      </c>
      <c r="BL35" s="719">
        <f t="shared" si="27"/>
        <v>0</v>
      </c>
      <c r="BM35" s="719">
        <f t="shared" si="27"/>
        <v>0</v>
      </c>
      <c r="BN35" s="719">
        <f t="shared" si="27"/>
        <v>0</v>
      </c>
      <c r="BO35" s="719">
        <f t="shared" si="27"/>
        <v>0</v>
      </c>
      <c r="BP35" s="719">
        <f t="shared" si="27"/>
        <v>0</v>
      </c>
    </row>
    <row r="36" spans="1:68" x14ac:dyDescent="0.25">
      <c r="A36" s="1002" t="s">
        <v>559</v>
      </c>
      <c r="B36" s="1003"/>
      <c r="C36" s="517" t="str">
        <f>IF($B36&lt;&gt;"",VLOOKUP($B36,COSTS_Spring_Trap[#All],2),"")</f>
        <v/>
      </c>
      <c r="D36" s="1004" t="str">
        <f>IF($B36&lt;&gt;"",VLOOKUP($B36,COSTS_Spring_Trap[#All],3)/24,"")</f>
        <v/>
      </c>
      <c r="E36" s="996"/>
      <c r="F36" s="1005"/>
      <c r="G36" s="924" t="str">
        <f t="shared" si="25"/>
        <v/>
      </c>
      <c r="H36" s="921"/>
      <c r="I36" s="721">
        <f t="shared" si="6"/>
        <v>0</v>
      </c>
      <c r="J36" s="721">
        <f t="shared" si="6"/>
        <v>0</v>
      </c>
      <c r="K36" s="721">
        <f t="shared" si="6"/>
        <v>0</v>
      </c>
      <c r="L36" s="721">
        <f t="shared" si="6"/>
        <v>0</v>
      </c>
      <c r="M36" s="721">
        <f t="shared" si="6"/>
        <v>0</v>
      </c>
      <c r="N36" s="721">
        <f t="shared" si="6"/>
        <v>0</v>
      </c>
      <c r="O36" s="721">
        <f t="shared" si="6"/>
        <v>0</v>
      </c>
      <c r="P36" s="721">
        <f t="shared" si="6"/>
        <v>0</v>
      </c>
      <c r="Q36" s="721">
        <f t="shared" si="6"/>
        <v>0</v>
      </c>
      <c r="R36" s="719">
        <f t="shared" ref="R36" si="28">IF(ISERROR(Plan),0,Plan)</f>
        <v>0</v>
      </c>
      <c r="S36" s="719">
        <f t="shared" si="26"/>
        <v>0</v>
      </c>
      <c r="T36" s="719">
        <f t="shared" si="26"/>
        <v>0</v>
      </c>
      <c r="U36" s="719">
        <f t="shared" si="26"/>
        <v>0</v>
      </c>
      <c r="V36" s="719">
        <f t="shared" si="26"/>
        <v>0</v>
      </c>
      <c r="W36" s="719">
        <f t="shared" si="26"/>
        <v>0</v>
      </c>
      <c r="X36" s="719">
        <f t="shared" si="26"/>
        <v>0</v>
      </c>
      <c r="Y36" s="719">
        <f t="shared" si="26"/>
        <v>0</v>
      </c>
      <c r="Z36" s="719">
        <f t="shared" si="26"/>
        <v>0</v>
      </c>
      <c r="AA36" s="719">
        <f t="shared" si="26"/>
        <v>0</v>
      </c>
      <c r="AB36" s="719">
        <f t="shared" si="26"/>
        <v>0</v>
      </c>
      <c r="AC36" s="719">
        <f t="shared" si="24"/>
        <v>0</v>
      </c>
      <c r="AD36" s="719">
        <f t="shared" si="24"/>
        <v>0</v>
      </c>
      <c r="AE36" s="719">
        <f t="shared" si="24"/>
        <v>0</v>
      </c>
      <c r="AF36" s="719">
        <f t="shared" si="24"/>
        <v>0</v>
      </c>
      <c r="AG36" s="719">
        <f t="shared" si="24"/>
        <v>0</v>
      </c>
      <c r="AH36" s="719">
        <f t="shared" si="24"/>
        <v>0</v>
      </c>
      <c r="AI36" s="719">
        <f t="shared" si="24"/>
        <v>0</v>
      </c>
      <c r="AJ36" s="719">
        <f t="shared" si="24"/>
        <v>0</v>
      </c>
      <c r="AK36" s="719">
        <f t="shared" si="24"/>
        <v>0</v>
      </c>
      <c r="AL36" s="719">
        <f t="shared" si="24"/>
        <v>0</v>
      </c>
      <c r="AM36" s="719">
        <f t="shared" si="24"/>
        <v>0</v>
      </c>
      <c r="AN36" s="719">
        <f t="shared" si="24"/>
        <v>0</v>
      </c>
      <c r="AO36" s="719">
        <f t="shared" si="24"/>
        <v>0</v>
      </c>
      <c r="AP36" s="719">
        <f t="shared" si="24"/>
        <v>0</v>
      </c>
      <c r="AQ36" s="719">
        <f t="shared" si="24"/>
        <v>0</v>
      </c>
      <c r="AR36" s="719">
        <f t="shared" si="23"/>
        <v>0</v>
      </c>
      <c r="AS36" s="719">
        <f t="shared" si="23"/>
        <v>0</v>
      </c>
      <c r="AT36" s="719">
        <f t="shared" si="23"/>
        <v>0</v>
      </c>
      <c r="AU36" s="719">
        <f t="shared" si="23"/>
        <v>0</v>
      </c>
      <c r="AV36" s="719">
        <f t="shared" si="23"/>
        <v>0</v>
      </c>
      <c r="AW36" s="719">
        <f t="shared" si="23"/>
        <v>0</v>
      </c>
      <c r="AX36" s="719">
        <f t="shared" si="23"/>
        <v>0</v>
      </c>
      <c r="AY36" s="719">
        <f t="shared" si="23"/>
        <v>0</v>
      </c>
      <c r="AZ36" s="719">
        <f t="shared" si="23"/>
        <v>0</v>
      </c>
      <c r="BA36" s="719">
        <f t="shared" si="23"/>
        <v>0</v>
      </c>
      <c r="BB36" s="719">
        <f t="shared" si="23"/>
        <v>0</v>
      </c>
      <c r="BC36" s="719">
        <f t="shared" si="23"/>
        <v>0</v>
      </c>
      <c r="BD36" s="719">
        <f t="shared" si="23"/>
        <v>0</v>
      </c>
      <c r="BE36" s="719">
        <f t="shared" ref="BE36:BF40" si="29">IF(ISERROR(Plan),0,Plan)</f>
        <v>0</v>
      </c>
      <c r="BF36" s="719">
        <f t="shared" si="29"/>
        <v>0</v>
      </c>
      <c r="BG36" s="719">
        <f t="shared" si="27"/>
        <v>0</v>
      </c>
      <c r="BH36" s="719">
        <f t="shared" si="27"/>
        <v>0</v>
      </c>
      <c r="BI36" s="719">
        <f t="shared" si="27"/>
        <v>0</v>
      </c>
      <c r="BJ36" s="719">
        <f t="shared" si="27"/>
        <v>0</v>
      </c>
      <c r="BK36" s="719">
        <f t="shared" si="27"/>
        <v>0</v>
      </c>
      <c r="BL36" s="719">
        <f t="shared" si="27"/>
        <v>0</v>
      </c>
      <c r="BM36" s="719">
        <f t="shared" si="27"/>
        <v>0</v>
      </c>
      <c r="BN36" s="719">
        <f t="shared" si="27"/>
        <v>0</v>
      </c>
      <c r="BO36" s="719">
        <f t="shared" si="27"/>
        <v>0</v>
      </c>
      <c r="BP36" s="719">
        <f t="shared" si="27"/>
        <v>0</v>
      </c>
    </row>
    <row r="37" spans="1:68" x14ac:dyDescent="0.25">
      <c r="A37" s="1002" t="s">
        <v>558</v>
      </c>
      <c r="B37" s="1003"/>
      <c r="C37" s="517" t="str">
        <f>IF($B37&lt;&gt;"",VLOOKUP($B37,COSTS_Giant_Bomb[#All],2),"")</f>
        <v/>
      </c>
      <c r="D37" s="1004" t="str">
        <f>IF($B37&lt;&gt;"",VLOOKUP($B37,COSTS_Giant_Bomb[#All],3)/24,"")</f>
        <v/>
      </c>
      <c r="E37" s="996"/>
      <c r="F37" s="1005"/>
      <c r="G37" s="924" t="str">
        <f t="shared" si="25"/>
        <v/>
      </c>
      <c r="H37" s="921"/>
      <c r="I37" s="721">
        <f t="shared" ref="I37:R40" si="30">IF(ISERROR(Plan),0,Plan)</f>
        <v>0</v>
      </c>
      <c r="J37" s="721">
        <f t="shared" si="30"/>
        <v>0</v>
      </c>
      <c r="K37" s="721">
        <f t="shared" si="30"/>
        <v>0</v>
      </c>
      <c r="L37" s="721">
        <f t="shared" si="30"/>
        <v>0</v>
      </c>
      <c r="M37" s="721">
        <f t="shared" si="30"/>
        <v>0</v>
      </c>
      <c r="N37" s="721">
        <f t="shared" si="30"/>
        <v>0</v>
      </c>
      <c r="O37" s="721">
        <f t="shared" si="30"/>
        <v>0</v>
      </c>
      <c r="P37" s="721">
        <f t="shared" si="30"/>
        <v>0</v>
      </c>
      <c r="Q37" s="721">
        <f t="shared" si="30"/>
        <v>0</v>
      </c>
      <c r="R37" s="719">
        <f t="shared" si="30"/>
        <v>0</v>
      </c>
      <c r="S37" s="719">
        <f t="shared" si="26"/>
        <v>0</v>
      </c>
      <c r="T37" s="719">
        <f t="shared" si="26"/>
        <v>0</v>
      </c>
      <c r="U37" s="719">
        <f t="shared" si="26"/>
        <v>0</v>
      </c>
      <c r="V37" s="719">
        <f t="shared" si="26"/>
        <v>0</v>
      </c>
      <c r="W37" s="719">
        <f t="shared" si="26"/>
        <v>0</v>
      </c>
      <c r="X37" s="719">
        <f t="shared" si="26"/>
        <v>0</v>
      </c>
      <c r="Y37" s="719">
        <f t="shared" si="26"/>
        <v>0</v>
      </c>
      <c r="Z37" s="719">
        <f t="shared" si="26"/>
        <v>0</v>
      </c>
      <c r="AA37" s="719">
        <f t="shared" si="26"/>
        <v>0</v>
      </c>
      <c r="AB37" s="719">
        <f t="shared" si="26"/>
        <v>0</v>
      </c>
      <c r="AC37" s="719">
        <f t="shared" si="24"/>
        <v>0</v>
      </c>
      <c r="AD37" s="719">
        <f t="shared" si="24"/>
        <v>0</v>
      </c>
      <c r="AE37" s="719">
        <f t="shared" si="24"/>
        <v>0</v>
      </c>
      <c r="AF37" s="719">
        <f t="shared" si="24"/>
        <v>0</v>
      </c>
      <c r="AG37" s="719">
        <f t="shared" si="24"/>
        <v>0</v>
      </c>
      <c r="AH37" s="719">
        <f t="shared" si="24"/>
        <v>0</v>
      </c>
      <c r="AI37" s="719">
        <f t="shared" si="24"/>
        <v>0</v>
      </c>
      <c r="AJ37" s="719">
        <f t="shared" si="24"/>
        <v>0</v>
      </c>
      <c r="AK37" s="719">
        <f t="shared" si="24"/>
        <v>0</v>
      </c>
      <c r="AL37" s="719">
        <f t="shared" si="24"/>
        <v>0</v>
      </c>
      <c r="AM37" s="719">
        <f t="shared" si="24"/>
        <v>0</v>
      </c>
      <c r="AN37" s="719">
        <f t="shared" si="24"/>
        <v>0</v>
      </c>
      <c r="AO37" s="719">
        <f t="shared" si="24"/>
        <v>0</v>
      </c>
      <c r="AP37" s="719">
        <f t="shared" si="24"/>
        <v>0</v>
      </c>
      <c r="AQ37" s="719">
        <f t="shared" si="24"/>
        <v>0</v>
      </c>
      <c r="AR37" s="719">
        <f t="shared" si="23"/>
        <v>0</v>
      </c>
      <c r="AS37" s="719">
        <f t="shared" si="23"/>
        <v>0</v>
      </c>
      <c r="AT37" s="719">
        <f t="shared" si="23"/>
        <v>0</v>
      </c>
      <c r="AU37" s="719">
        <f t="shared" si="23"/>
        <v>0</v>
      </c>
      <c r="AV37" s="719">
        <f t="shared" si="23"/>
        <v>0</v>
      </c>
      <c r="AW37" s="719">
        <f t="shared" si="23"/>
        <v>0</v>
      </c>
      <c r="AX37" s="719">
        <f t="shared" si="23"/>
        <v>0</v>
      </c>
      <c r="AY37" s="719">
        <f t="shared" si="23"/>
        <v>0</v>
      </c>
      <c r="AZ37" s="719">
        <f t="shared" si="23"/>
        <v>0</v>
      </c>
      <c r="BA37" s="719">
        <f t="shared" si="23"/>
        <v>0</v>
      </c>
      <c r="BB37" s="719">
        <f t="shared" si="23"/>
        <v>0</v>
      </c>
      <c r="BC37" s="719">
        <f t="shared" si="23"/>
        <v>0</v>
      </c>
      <c r="BD37" s="719">
        <f t="shared" si="23"/>
        <v>0</v>
      </c>
      <c r="BE37" s="719">
        <f t="shared" si="29"/>
        <v>0</v>
      </c>
      <c r="BF37" s="719">
        <f t="shared" si="29"/>
        <v>0</v>
      </c>
      <c r="BG37" s="719">
        <f t="shared" si="27"/>
        <v>0</v>
      </c>
      <c r="BH37" s="719">
        <f t="shared" si="27"/>
        <v>0</v>
      </c>
      <c r="BI37" s="719">
        <f t="shared" si="27"/>
        <v>0</v>
      </c>
      <c r="BJ37" s="719">
        <f t="shared" si="27"/>
        <v>0</v>
      </c>
      <c r="BK37" s="719">
        <f t="shared" si="27"/>
        <v>0</v>
      </c>
      <c r="BL37" s="719">
        <f t="shared" si="27"/>
        <v>0</v>
      </c>
      <c r="BM37" s="719">
        <f t="shared" si="27"/>
        <v>0</v>
      </c>
      <c r="BN37" s="719">
        <f t="shared" si="27"/>
        <v>0</v>
      </c>
      <c r="BO37" s="719">
        <f t="shared" si="27"/>
        <v>0</v>
      </c>
      <c r="BP37" s="719">
        <f t="shared" si="27"/>
        <v>0</v>
      </c>
    </row>
    <row r="38" spans="1:68" x14ac:dyDescent="0.25">
      <c r="A38" s="1002" t="s">
        <v>560</v>
      </c>
      <c r="B38" s="1003"/>
      <c r="C38" s="517" t="str">
        <f>IF($B38&lt;&gt;"",VLOOKUP($B38,COST_Air_Bomb[#All],2),"")</f>
        <v/>
      </c>
      <c r="D38" s="1004" t="str">
        <f>IF($B38&lt;&gt;"",VLOOKUP($B38,COST_Air_Bomb[#All],3)/24,"")</f>
        <v/>
      </c>
      <c r="E38" s="996"/>
      <c r="F38" s="1005"/>
      <c r="G38" s="924" t="str">
        <f t="shared" si="25"/>
        <v/>
      </c>
      <c r="H38" s="921"/>
      <c r="I38" s="721">
        <f t="shared" si="30"/>
        <v>0</v>
      </c>
      <c r="J38" s="721">
        <f t="shared" si="30"/>
        <v>0</v>
      </c>
      <c r="K38" s="721">
        <f t="shared" si="30"/>
        <v>0</v>
      </c>
      <c r="L38" s="721">
        <f t="shared" si="30"/>
        <v>0</v>
      </c>
      <c r="M38" s="721">
        <f t="shared" si="30"/>
        <v>0</v>
      </c>
      <c r="N38" s="721">
        <f t="shared" si="30"/>
        <v>0</v>
      </c>
      <c r="O38" s="721">
        <f t="shared" si="30"/>
        <v>0</v>
      </c>
      <c r="P38" s="721">
        <f t="shared" si="30"/>
        <v>0</v>
      </c>
      <c r="Q38" s="721">
        <f t="shared" si="30"/>
        <v>0</v>
      </c>
      <c r="R38" s="719">
        <f t="shared" si="30"/>
        <v>0</v>
      </c>
      <c r="S38" s="719">
        <f t="shared" si="26"/>
        <v>0</v>
      </c>
      <c r="T38" s="719">
        <f t="shared" si="26"/>
        <v>0</v>
      </c>
      <c r="U38" s="719">
        <f t="shared" si="26"/>
        <v>0</v>
      </c>
      <c r="V38" s="719">
        <f t="shared" si="26"/>
        <v>0</v>
      </c>
      <c r="W38" s="719">
        <f t="shared" si="26"/>
        <v>0</v>
      </c>
      <c r="X38" s="719">
        <f t="shared" si="26"/>
        <v>0</v>
      </c>
      <c r="Y38" s="719">
        <f t="shared" si="26"/>
        <v>0</v>
      </c>
      <c r="Z38" s="719">
        <f t="shared" si="26"/>
        <v>0</v>
      </c>
      <c r="AA38" s="719">
        <f t="shared" si="26"/>
        <v>0</v>
      </c>
      <c r="AB38" s="719">
        <f t="shared" si="26"/>
        <v>0</v>
      </c>
      <c r="AC38" s="719">
        <f t="shared" si="24"/>
        <v>0</v>
      </c>
      <c r="AD38" s="719">
        <f t="shared" si="24"/>
        <v>0</v>
      </c>
      <c r="AE38" s="719">
        <f t="shared" si="24"/>
        <v>0</v>
      </c>
      <c r="AF38" s="719">
        <f t="shared" si="24"/>
        <v>0</v>
      </c>
      <c r="AG38" s="719">
        <f t="shared" si="24"/>
        <v>0</v>
      </c>
      <c r="AH38" s="719">
        <f t="shared" si="24"/>
        <v>0</v>
      </c>
      <c r="AI38" s="719">
        <f t="shared" si="24"/>
        <v>0</v>
      </c>
      <c r="AJ38" s="719">
        <f t="shared" si="24"/>
        <v>0</v>
      </c>
      <c r="AK38" s="719">
        <f t="shared" si="24"/>
        <v>0</v>
      </c>
      <c r="AL38" s="719">
        <f t="shared" si="24"/>
        <v>0</v>
      </c>
      <c r="AM38" s="719">
        <f t="shared" si="24"/>
        <v>0</v>
      </c>
      <c r="AN38" s="719">
        <f t="shared" si="24"/>
        <v>0</v>
      </c>
      <c r="AO38" s="719">
        <f t="shared" si="24"/>
        <v>0</v>
      </c>
      <c r="AP38" s="719">
        <f t="shared" si="24"/>
        <v>0</v>
      </c>
      <c r="AQ38" s="719">
        <f t="shared" si="24"/>
        <v>0</v>
      </c>
      <c r="AR38" s="719">
        <f t="shared" si="23"/>
        <v>0</v>
      </c>
      <c r="AS38" s="719">
        <f t="shared" si="23"/>
        <v>0</v>
      </c>
      <c r="AT38" s="719">
        <f t="shared" si="23"/>
        <v>0</v>
      </c>
      <c r="AU38" s="719">
        <f t="shared" si="23"/>
        <v>0</v>
      </c>
      <c r="AV38" s="719">
        <f t="shared" si="23"/>
        <v>0</v>
      </c>
      <c r="AW38" s="719">
        <f t="shared" si="23"/>
        <v>0</v>
      </c>
      <c r="AX38" s="719">
        <f t="shared" si="23"/>
        <v>0</v>
      </c>
      <c r="AY38" s="719">
        <f t="shared" si="23"/>
        <v>0</v>
      </c>
      <c r="AZ38" s="719">
        <f t="shared" si="23"/>
        <v>0</v>
      </c>
      <c r="BA38" s="719">
        <f t="shared" si="23"/>
        <v>0</v>
      </c>
      <c r="BB38" s="719">
        <f t="shared" si="23"/>
        <v>0</v>
      </c>
      <c r="BC38" s="719">
        <f t="shared" si="23"/>
        <v>0</v>
      </c>
      <c r="BD38" s="719">
        <f t="shared" si="23"/>
        <v>0</v>
      </c>
      <c r="BE38" s="719">
        <f t="shared" si="29"/>
        <v>0</v>
      </c>
      <c r="BF38" s="719">
        <f t="shared" si="29"/>
        <v>0</v>
      </c>
      <c r="BG38" s="719">
        <f t="shared" si="27"/>
        <v>0</v>
      </c>
      <c r="BH38" s="719">
        <f t="shared" si="27"/>
        <v>0</v>
      </c>
      <c r="BI38" s="719">
        <f t="shared" si="27"/>
        <v>0</v>
      </c>
      <c r="BJ38" s="719">
        <f t="shared" si="27"/>
        <v>0</v>
      </c>
      <c r="BK38" s="719">
        <f t="shared" si="27"/>
        <v>0</v>
      </c>
      <c r="BL38" s="719">
        <f t="shared" si="27"/>
        <v>0</v>
      </c>
      <c r="BM38" s="719">
        <f t="shared" si="27"/>
        <v>0</v>
      </c>
      <c r="BN38" s="719">
        <f t="shared" si="27"/>
        <v>0</v>
      </c>
      <c r="BO38" s="719">
        <f t="shared" si="27"/>
        <v>0</v>
      </c>
      <c r="BP38" s="719">
        <f t="shared" si="27"/>
        <v>0</v>
      </c>
    </row>
    <row r="39" spans="1:68" x14ac:dyDescent="0.25">
      <c r="A39" s="1002" t="s">
        <v>562</v>
      </c>
      <c r="B39" s="1003"/>
      <c r="C39" s="517" t="str">
        <f>IF($B39&lt;&gt;"",VLOOKUP($B39,COST_Seeking_Air_Mine[#All],2),"")</f>
        <v/>
      </c>
      <c r="D39" s="1004" t="str">
        <f>IF($B39&lt;&gt;"",VLOOKUP($B39,COST_Seeking_Air_Mine[#All],3)/24,"")</f>
        <v/>
      </c>
      <c r="E39" s="996"/>
      <c r="F39" s="1005"/>
      <c r="G39" s="924" t="str">
        <f t="shared" si="25"/>
        <v/>
      </c>
      <c r="H39" s="921"/>
      <c r="I39" s="721">
        <f t="shared" si="30"/>
        <v>0</v>
      </c>
      <c r="J39" s="721">
        <f t="shared" si="30"/>
        <v>0</v>
      </c>
      <c r="K39" s="721">
        <f t="shared" si="30"/>
        <v>0</v>
      </c>
      <c r="L39" s="721">
        <f t="shared" si="30"/>
        <v>0</v>
      </c>
      <c r="M39" s="721">
        <f t="shared" si="30"/>
        <v>0</v>
      </c>
      <c r="N39" s="721">
        <f t="shared" si="30"/>
        <v>0</v>
      </c>
      <c r="O39" s="721">
        <f t="shared" si="30"/>
        <v>0</v>
      </c>
      <c r="P39" s="721">
        <f t="shared" si="30"/>
        <v>0</v>
      </c>
      <c r="Q39" s="721">
        <f t="shared" si="30"/>
        <v>0</v>
      </c>
      <c r="R39" s="719">
        <f t="shared" si="30"/>
        <v>0</v>
      </c>
      <c r="S39" s="719">
        <f t="shared" si="26"/>
        <v>0</v>
      </c>
      <c r="T39" s="719">
        <f t="shared" si="26"/>
        <v>0</v>
      </c>
      <c r="U39" s="719">
        <f t="shared" si="26"/>
        <v>0</v>
      </c>
      <c r="V39" s="719">
        <f t="shared" si="26"/>
        <v>0</v>
      </c>
      <c r="W39" s="719">
        <f t="shared" si="26"/>
        <v>0</v>
      </c>
      <c r="X39" s="719">
        <f t="shared" si="26"/>
        <v>0</v>
      </c>
      <c r="Y39" s="719">
        <f t="shared" si="26"/>
        <v>0</v>
      </c>
      <c r="Z39" s="719">
        <f t="shared" si="26"/>
        <v>0</v>
      </c>
      <c r="AA39" s="719">
        <f t="shared" si="26"/>
        <v>0</v>
      </c>
      <c r="AB39" s="719">
        <f t="shared" si="26"/>
        <v>0</v>
      </c>
      <c r="AC39" s="719">
        <f t="shared" si="24"/>
        <v>0</v>
      </c>
      <c r="AD39" s="719">
        <f t="shared" si="24"/>
        <v>0</v>
      </c>
      <c r="AE39" s="719">
        <f t="shared" si="24"/>
        <v>0</v>
      </c>
      <c r="AF39" s="719">
        <f t="shared" si="24"/>
        <v>0</v>
      </c>
      <c r="AG39" s="719">
        <f t="shared" si="24"/>
        <v>0</v>
      </c>
      <c r="AH39" s="719">
        <f t="shared" si="24"/>
        <v>0</v>
      </c>
      <c r="AI39" s="719">
        <f t="shared" si="24"/>
        <v>0</v>
      </c>
      <c r="AJ39" s="719">
        <f t="shared" si="24"/>
        <v>0</v>
      </c>
      <c r="AK39" s="719">
        <f t="shared" si="24"/>
        <v>0</v>
      </c>
      <c r="AL39" s="719">
        <f t="shared" si="24"/>
        <v>0</v>
      </c>
      <c r="AM39" s="719">
        <f t="shared" si="24"/>
        <v>0</v>
      </c>
      <c r="AN39" s="719">
        <f t="shared" si="24"/>
        <v>0</v>
      </c>
      <c r="AO39" s="719">
        <f t="shared" si="24"/>
        <v>0</v>
      </c>
      <c r="AP39" s="719">
        <f t="shared" si="24"/>
        <v>0</v>
      </c>
      <c r="AQ39" s="719">
        <f t="shared" si="24"/>
        <v>0</v>
      </c>
      <c r="AR39" s="719">
        <f t="shared" si="23"/>
        <v>0</v>
      </c>
      <c r="AS39" s="719">
        <f t="shared" si="23"/>
        <v>0</v>
      </c>
      <c r="AT39" s="719">
        <f t="shared" si="23"/>
        <v>0</v>
      </c>
      <c r="AU39" s="719">
        <f t="shared" si="23"/>
        <v>0</v>
      </c>
      <c r="AV39" s="719">
        <f t="shared" si="23"/>
        <v>0</v>
      </c>
      <c r="AW39" s="719">
        <f t="shared" si="23"/>
        <v>0</v>
      </c>
      <c r="AX39" s="719">
        <f t="shared" si="23"/>
        <v>0</v>
      </c>
      <c r="AY39" s="719">
        <f t="shared" si="23"/>
        <v>0</v>
      </c>
      <c r="AZ39" s="719">
        <f t="shared" si="23"/>
        <v>0</v>
      </c>
      <c r="BA39" s="719">
        <f t="shared" si="23"/>
        <v>0</v>
      </c>
      <c r="BB39" s="719">
        <f t="shared" si="23"/>
        <v>0</v>
      </c>
      <c r="BC39" s="719">
        <f t="shared" si="23"/>
        <v>0</v>
      </c>
      <c r="BD39" s="719">
        <f t="shared" si="23"/>
        <v>0</v>
      </c>
      <c r="BE39" s="719">
        <f t="shared" si="29"/>
        <v>0</v>
      </c>
      <c r="BF39" s="719">
        <f t="shared" si="29"/>
        <v>0</v>
      </c>
      <c r="BG39" s="719">
        <f t="shared" si="27"/>
        <v>0</v>
      </c>
      <c r="BH39" s="719">
        <f t="shared" si="27"/>
        <v>0</v>
      </c>
      <c r="BI39" s="719">
        <f t="shared" si="27"/>
        <v>0</v>
      </c>
      <c r="BJ39" s="719">
        <f t="shared" si="27"/>
        <v>0</v>
      </c>
      <c r="BK39" s="719">
        <f t="shared" si="27"/>
        <v>0</v>
      </c>
      <c r="BL39" s="719">
        <f t="shared" si="27"/>
        <v>0</v>
      </c>
      <c r="BM39" s="719">
        <f t="shared" si="27"/>
        <v>0</v>
      </c>
      <c r="BN39" s="719">
        <f t="shared" si="27"/>
        <v>0</v>
      </c>
      <c r="BO39" s="719">
        <f t="shared" si="27"/>
        <v>0</v>
      </c>
      <c r="BP39" s="719">
        <f t="shared" si="27"/>
        <v>0</v>
      </c>
    </row>
    <row r="40" spans="1:68" ht="15.75" thickBot="1" x14ac:dyDescent="0.3">
      <c r="A40" s="1006" t="s">
        <v>564</v>
      </c>
      <c r="B40" s="1007"/>
      <c r="C40" s="115" t="str">
        <f>IF($B40&lt;&gt;"",VLOOKUP($B40,COST_Skeleton_Trap[#All],2),"")</f>
        <v/>
      </c>
      <c r="D40" s="1008" t="str">
        <f>IF($B40&lt;&gt;"",VLOOKUP($B40,COST_Skeleton_Trap[#All],3)/24,"")</f>
        <v/>
      </c>
      <c r="E40" s="1009"/>
      <c r="F40" s="1010"/>
      <c r="G40" s="925" t="str">
        <f t="shared" si="25"/>
        <v/>
      </c>
      <c r="H40" s="922"/>
      <c r="I40" s="721">
        <f t="shared" si="30"/>
        <v>0</v>
      </c>
      <c r="J40" s="721">
        <f t="shared" si="30"/>
        <v>0</v>
      </c>
      <c r="K40" s="721">
        <f t="shared" si="30"/>
        <v>0</v>
      </c>
      <c r="L40" s="721">
        <f t="shared" si="30"/>
        <v>0</v>
      </c>
      <c r="M40" s="721">
        <f t="shared" si="30"/>
        <v>0</v>
      </c>
      <c r="N40" s="721">
        <f t="shared" si="30"/>
        <v>0</v>
      </c>
      <c r="O40" s="721">
        <f t="shared" si="30"/>
        <v>0</v>
      </c>
      <c r="P40" s="721">
        <f t="shared" si="30"/>
        <v>0</v>
      </c>
      <c r="Q40" s="721">
        <f t="shared" si="30"/>
        <v>0</v>
      </c>
      <c r="R40" s="719">
        <f t="shared" si="30"/>
        <v>0</v>
      </c>
      <c r="S40" s="719">
        <f t="shared" si="26"/>
        <v>0</v>
      </c>
      <c r="T40" s="719">
        <f t="shared" si="26"/>
        <v>0</v>
      </c>
      <c r="U40" s="719">
        <f t="shared" si="26"/>
        <v>0</v>
      </c>
      <c r="V40" s="719">
        <f t="shared" si="26"/>
        <v>0</v>
      </c>
      <c r="W40" s="719">
        <f t="shared" si="26"/>
        <v>0</v>
      </c>
      <c r="X40" s="719">
        <f t="shared" si="26"/>
        <v>0</v>
      </c>
      <c r="Y40" s="719">
        <f t="shared" si="26"/>
        <v>0</v>
      </c>
      <c r="Z40" s="719">
        <f t="shared" si="26"/>
        <v>0</v>
      </c>
      <c r="AA40" s="719">
        <f t="shared" si="26"/>
        <v>0</v>
      </c>
      <c r="AB40" s="719">
        <f t="shared" si="26"/>
        <v>0</v>
      </c>
      <c r="AC40" s="719">
        <f t="shared" si="24"/>
        <v>0</v>
      </c>
      <c r="AD40" s="719">
        <f t="shared" si="24"/>
        <v>0</v>
      </c>
      <c r="AE40" s="719">
        <f t="shared" si="24"/>
        <v>0</v>
      </c>
      <c r="AF40" s="719">
        <f t="shared" si="24"/>
        <v>0</v>
      </c>
      <c r="AG40" s="719">
        <f t="shared" si="24"/>
        <v>0</v>
      </c>
      <c r="AH40" s="719">
        <f t="shared" si="24"/>
        <v>0</v>
      </c>
      <c r="AI40" s="719">
        <f t="shared" si="24"/>
        <v>0</v>
      </c>
      <c r="AJ40" s="719">
        <f t="shared" si="24"/>
        <v>0</v>
      </c>
      <c r="AK40" s="719">
        <f t="shared" si="24"/>
        <v>0</v>
      </c>
      <c r="AL40" s="719">
        <f t="shared" si="24"/>
        <v>0</v>
      </c>
      <c r="AM40" s="719">
        <f t="shared" si="24"/>
        <v>0</v>
      </c>
      <c r="AN40" s="719">
        <f t="shared" si="24"/>
        <v>0</v>
      </c>
      <c r="AO40" s="719">
        <f t="shared" si="24"/>
        <v>0</v>
      </c>
      <c r="AP40" s="719">
        <f t="shared" si="24"/>
        <v>0</v>
      </c>
      <c r="AQ40" s="719">
        <f t="shared" si="24"/>
        <v>0</v>
      </c>
      <c r="AR40" s="719">
        <f t="shared" si="23"/>
        <v>0</v>
      </c>
      <c r="AS40" s="719">
        <f t="shared" si="23"/>
        <v>0</v>
      </c>
      <c r="AT40" s="719">
        <f t="shared" si="23"/>
        <v>0</v>
      </c>
      <c r="AU40" s="719">
        <f t="shared" si="23"/>
        <v>0</v>
      </c>
      <c r="AV40" s="719">
        <f t="shared" si="23"/>
        <v>0</v>
      </c>
      <c r="AW40" s="719">
        <f t="shared" si="23"/>
        <v>0</v>
      </c>
      <c r="AX40" s="719">
        <f t="shared" si="23"/>
        <v>0</v>
      </c>
      <c r="AY40" s="719">
        <f t="shared" si="23"/>
        <v>0</v>
      </c>
      <c r="AZ40" s="719">
        <f t="shared" si="23"/>
        <v>0</v>
      </c>
      <c r="BA40" s="719">
        <f t="shared" si="23"/>
        <v>0</v>
      </c>
      <c r="BB40" s="719">
        <f t="shared" si="23"/>
        <v>0</v>
      </c>
      <c r="BC40" s="719">
        <f t="shared" si="23"/>
        <v>0</v>
      </c>
      <c r="BD40" s="719">
        <f t="shared" si="23"/>
        <v>0</v>
      </c>
      <c r="BE40" s="719">
        <f t="shared" si="29"/>
        <v>0</v>
      </c>
      <c r="BF40" s="719">
        <f t="shared" si="29"/>
        <v>0</v>
      </c>
      <c r="BG40" s="719">
        <f t="shared" si="27"/>
        <v>0</v>
      </c>
      <c r="BH40" s="719">
        <f t="shared" si="27"/>
        <v>0</v>
      </c>
      <c r="BI40" s="719">
        <f t="shared" si="27"/>
        <v>0</v>
      </c>
      <c r="BJ40" s="719">
        <f t="shared" si="27"/>
        <v>0</v>
      </c>
      <c r="BK40" s="719">
        <f t="shared" si="27"/>
        <v>0</v>
      </c>
      <c r="BL40" s="719">
        <f t="shared" si="27"/>
        <v>0</v>
      </c>
      <c r="BM40" s="719">
        <f t="shared" si="27"/>
        <v>0</v>
      </c>
      <c r="BN40" s="719">
        <f t="shared" si="27"/>
        <v>0</v>
      </c>
      <c r="BO40" s="719">
        <f t="shared" si="27"/>
        <v>0</v>
      </c>
      <c r="BP40" s="719">
        <f t="shared" si="27"/>
        <v>0</v>
      </c>
    </row>
    <row r="41" spans="1:68" ht="16.5" thickBot="1" x14ac:dyDescent="0.3">
      <c r="A41" s="1045" t="s">
        <v>180</v>
      </c>
      <c r="B41" s="1046"/>
      <c r="C41" s="1046"/>
      <c r="D41" s="1046"/>
      <c r="E41" s="1046"/>
      <c r="F41" s="1046"/>
      <c r="G41" s="1046"/>
      <c r="H41" s="1047"/>
      <c r="I41" s="721">
        <f t="shared" si="6"/>
        <v>0</v>
      </c>
      <c r="J41" s="721">
        <f t="shared" si="6"/>
        <v>0</v>
      </c>
      <c r="K41" s="721">
        <f t="shared" si="6"/>
        <v>0</v>
      </c>
      <c r="L41" s="721">
        <f t="shared" si="6"/>
        <v>0</v>
      </c>
      <c r="M41" s="721">
        <f t="shared" si="6"/>
        <v>0</v>
      </c>
      <c r="N41" s="721">
        <f t="shared" si="6"/>
        <v>0</v>
      </c>
      <c r="O41" s="721">
        <f t="shared" si="6"/>
        <v>0</v>
      </c>
      <c r="P41" s="721">
        <f t="shared" si="6"/>
        <v>0</v>
      </c>
      <c r="Q41" s="721">
        <f t="shared" si="6"/>
        <v>0</v>
      </c>
      <c r="R41" s="719">
        <f t="shared" si="6"/>
        <v>0</v>
      </c>
      <c r="S41" s="719">
        <f t="shared" si="6"/>
        <v>0</v>
      </c>
      <c r="T41" s="719">
        <f t="shared" si="6"/>
        <v>0</v>
      </c>
      <c r="U41" s="719">
        <f t="shared" si="6"/>
        <v>0</v>
      </c>
      <c r="V41" s="719">
        <f t="shared" si="6"/>
        <v>0</v>
      </c>
      <c r="W41" s="719">
        <f t="shared" si="6"/>
        <v>0</v>
      </c>
      <c r="X41" s="719">
        <f t="shared" si="6"/>
        <v>0</v>
      </c>
      <c r="Y41" s="719">
        <f t="shared" si="20"/>
        <v>0</v>
      </c>
      <c r="Z41" s="719">
        <f t="shared" si="20"/>
        <v>0</v>
      </c>
      <c r="AA41" s="719">
        <f t="shared" si="20"/>
        <v>0</v>
      </c>
      <c r="AB41" s="719">
        <f t="shared" si="20"/>
        <v>0</v>
      </c>
      <c r="AC41" s="719">
        <f t="shared" si="20"/>
        <v>0</v>
      </c>
      <c r="AD41" s="719">
        <f t="shared" si="20"/>
        <v>0</v>
      </c>
      <c r="AE41" s="719">
        <f t="shared" si="20"/>
        <v>0</v>
      </c>
      <c r="AF41" s="719">
        <f t="shared" si="20"/>
        <v>0</v>
      </c>
      <c r="AG41" s="719">
        <f t="shared" si="20"/>
        <v>0</v>
      </c>
      <c r="AH41" s="719">
        <f t="shared" si="20"/>
        <v>0</v>
      </c>
      <c r="AI41" s="719">
        <f t="shared" si="20"/>
        <v>0</v>
      </c>
      <c r="AJ41" s="719">
        <f t="shared" si="20"/>
        <v>0</v>
      </c>
      <c r="AK41" s="719">
        <f t="shared" si="20"/>
        <v>0</v>
      </c>
      <c r="AL41" s="719">
        <f t="shared" si="20"/>
        <v>0</v>
      </c>
      <c r="AM41" s="719">
        <f t="shared" si="20"/>
        <v>0</v>
      </c>
      <c r="AN41" s="719">
        <f t="shared" si="20"/>
        <v>0</v>
      </c>
      <c r="AO41" s="719">
        <f t="shared" si="21"/>
        <v>0</v>
      </c>
      <c r="AP41" s="719">
        <f t="shared" si="21"/>
        <v>0</v>
      </c>
      <c r="AQ41" s="719">
        <f t="shared" si="21"/>
        <v>0</v>
      </c>
      <c r="AR41" s="719">
        <f t="shared" si="21"/>
        <v>0</v>
      </c>
      <c r="AS41" s="719">
        <f t="shared" si="21"/>
        <v>0</v>
      </c>
      <c r="AT41" s="719">
        <f t="shared" si="21"/>
        <v>0</v>
      </c>
      <c r="AU41" s="719">
        <f t="shared" si="21"/>
        <v>0</v>
      </c>
      <c r="AV41" s="719">
        <f t="shared" si="21"/>
        <v>0</v>
      </c>
      <c r="AW41" s="719">
        <f t="shared" si="21"/>
        <v>0</v>
      </c>
      <c r="AX41" s="719">
        <f t="shared" si="21"/>
        <v>0</v>
      </c>
      <c r="AY41" s="719">
        <f t="shared" si="21"/>
        <v>0</v>
      </c>
      <c r="AZ41" s="719">
        <f t="shared" si="21"/>
        <v>0</v>
      </c>
      <c r="BA41" s="719">
        <f t="shared" si="21"/>
        <v>0</v>
      </c>
      <c r="BB41" s="719">
        <f t="shared" si="21"/>
        <v>0</v>
      </c>
      <c r="BC41" s="719">
        <f t="shared" si="21"/>
        <v>0</v>
      </c>
      <c r="BD41" s="719">
        <f t="shared" si="21"/>
        <v>0</v>
      </c>
      <c r="BE41" s="719">
        <f t="shared" si="22"/>
        <v>0</v>
      </c>
      <c r="BF41" s="719">
        <f t="shared" si="22"/>
        <v>0</v>
      </c>
      <c r="BG41" s="719">
        <f t="shared" si="22"/>
        <v>0</v>
      </c>
      <c r="BH41" s="719">
        <f t="shared" si="22"/>
        <v>0</v>
      </c>
      <c r="BI41" s="719">
        <f t="shared" si="22"/>
        <v>0</v>
      </c>
      <c r="BJ41" s="719">
        <f t="shared" si="22"/>
        <v>0</v>
      </c>
      <c r="BK41" s="719">
        <f t="shared" si="22"/>
        <v>0</v>
      </c>
      <c r="BL41" s="719">
        <f t="shared" si="22"/>
        <v>0</v>
      </c>
      <c r="BM41" s="719">
        <f t="shared" si="22"/>
        <v>0</v>
      </c>
      <c r="BN41" s="719">
        <f t="shared" si="22"/>
        <v>0</v>
      </c>
      <c r="BO41" s="719">
        <f t="shared" si="22"/>
        <v>0</v>
      </c>
      <c r="BP41" s="719">
        <f t="shared" si="22"/>
        <v>0</v>
      </c>
    </row>
    <row r="42" spans="1:68" x14ac:dyDescent="0.25">
      <c r="A42" s="997" t="s">
        <v>198</v>
      </c>
      <c r="B42" s="998"/>
      <c r="C42" s="86" t="str">
        <f>IF($B42&lt;&gt;"",VLOOKUP($B42,COSTS_Clan_Castle[#All],2),"")</f>
        <v/>
      </c>
      <c r="D42" s="999" t="str">
        <f>IF($B42&lt;&gt;"",VLOOKUP($B42,COSTS_Clan_Castle[#All],3)/24,"")</f>
        <v/>
      </c>
      <c r="E42" s="1000"/>
      <c r="F42" s="1001"/>
      <c r="G42" s="923" t="str">
        <f>IF($D42&lt;&gt;"",$D42,"")</f>
        <v/>
      </c>
      <c r="H42" s="920"/>
      <c r="I42" s="721">
        <f t="shared" si="6"/>
        <v>0</v>
      </c>
      <c r="J42" s="721">
        <f t="shared" si="6"/>
        <v>0</v>
      </c>
      <c r="K42" s="721">
        <f t="shared" si="6"/>
        <v>0</v>
      </c>
      <c r="L42" s="721">
        <f t="shared" si="6"/>
        <v>0</v>
      </c>
      <c r="M42" s="721">
        <f t="shared" si="6"/>
        <v>0</v>
      </c>
      <c r="N42" s="721">
        <f t="shared" si="6"/>
        <v>0</v>
      </c>
      <c r="O42" s="721">
        <f t="shared" si="6"/>
        <v>0</v>
      </c>
      <c r="P42" s="721">
        <f t="shared" si="6"/>
        <v>0</v>
      </c>
      <c r="Q42" s="721">
        <f t="shared" si="6"/>
        <v>0</v>
      </c>
      <c r="R42" s="719">
        <f t="shared" si="6"/>
        <v>0</v>
      </c>
      <c r="S42" s="719">
        <f t="shared" si="6"/>
        <v>0</v>
      </c>
      <c r="T42" s="719">
        <f t="shared" si="6"/>
        <v>0</v>
      </c>
      <c r="U42" s="719">
        <f t="shared" si="6"/>
        <v>0</v>
      </c>
      <c r="V42" s="719">
        <f t="shared" si="6"/>
        <v>0</v>
      </c>
      <c r="W42" s="719">
        <f t="shared" si="6"/>
        <v>0</v>
      </c>
      <c r="X42" s="719">
        <f t="shared" si="6"/>
        <v>0</v>
      </c>
      <c r="Y42" s="719">
        <f t="shared" si="20"/>
        <v>0</v>
      </c>
      <c r="Z42" s="719">
        <f t="shared" si="20"/>
        <v>0</v>
      </c>
      <c r="AA42" s="719">
        <f t="shared" si="20"/>
        <v>0</v>
      </c>
      <c r="AB42" s="719">
        <f t="shared" si="20"/>
        <v>0</v>
      </c>
      <c r="AC42" s="719">
        <f t="shared" si="20"/>
        <v>0</v>
      </c>
      <c r="AD42" s="719">
        <f t="shared" si="20"/>
        <v>0</v>
      </c>
      <c r="AE42" s="719">
        <f t="shared" si="20"/>
        <v>0</v>
      </c>
      <c r="AF42" s="719">
        <f t="shared" si="20"/>
        <v>0</v>
      </c>
      <c r="AG42" s="719">
        <f t="shared" si="20"/>
        <v>0</v>
      </c>
      <c r="AH42" s="719">
        <f t="shared" si="20"/>
        <v>0</v>
      </c>
      <c r="AI42" s="719">
        <f t="shared" si="20"/>
        <v>0</v>
      </c>
      <c r="AJ42" s="719">
        <f t="shared" si="20"/>
        <v>0</v>
      </c>
      <c r="AK42" s="719">
        <f t="shared" si="20"/>
        <v>0</v>
      </c>
      <c r="AL42" s="719">
        <f t="shared" si="20"/>
        <v>0</v>
      </c>
      <c r="AM42" s="719">
        <f t="shared" si="20"/>
        <v>0</v>
      </c>
      <c r="AN42" s="719">
        <f t="shared" si="20"/>
        <v>0</v>
      </c>
      <c r="AO42" s="719">
        <f t="shared" si="21"/>
        <v>0</v>
      </c>
      <c r="AP42" s="719">
        <f t="shared" si="21"/>
        <v>0</v>
      </c>
      <c r="AQ42" s="719">
        <f t="shared" si="21"/>
        <v>0</v>
      </c>
      <c r="AR42" s="719">
        <f t="shared" si="21"/>
        <v>0</v>
      </c>
      <c r="AS42" s="719">
        <f t="shared" si="21"/>
        <v>0</v>
      </c>
      <c r="AT42" s="719">
        <f t="shared" si="21"/>
        <v>0</v>
      </c>
      <c r="AU42" s="719">
        <f t="shared" si="21"/>
        <v>0</v>
      </c>
      <c r="AV42" s="719">
        <f t="shared" si="21"/>
        <v>0</v>
      </c>
      <c r="AW42" s="719">
        <f t="shared" si="21"/>
        <v>0</v>
      </c>
      <c r="AX42" s="719">
        <f t="shared" si="21"/>
        <v>0</v>
      </c>
      <c r="AY42" s="719">
        <f t="shared" si="21"/>
        <v>0</v>
      </c>
      <c r="AZ42" s="719">
        <f t="shared" si="21"/>
        <v>0</v>
      </c>
      <c r="BA42" s="719">
        <f t="shared" si="21"/>
        <v>0</v>
      </c>
      <c r="BB42" s="719">
        <f t="shared" si="21"/>
        <v>0</v>
      </c>
      <c r="BC42" s="719">
        <f t="shared" si="21"/>
        <v>0</v>
      </c>
      <c r="BD42" s="719">
        <f t="shared" si="21"/>
        <v>0</v>
      </c>
      <c r="BE42" s="719">
        <f t="shared" si="22"/>
        <v>0</v>
      </c>
      <c r="BF42" s="719">
        <f t="shared" si="22"/>
        <v>0</v>
      </c>
      <c r="BG42" s="719">
        <f t="shared" si="22"/>
        <v>0</v>
      </c>
      <c r="BH42" s="719">
        <f t="shared" si="22"/>
        <v>0</v>
      </c>
      <c r="BI42" s="719">
        <f t="shared" si="22"/>
        <v>0</v>
      </c>
      <c r="BJ42" s="719">
        <f t="shared" si="22"/>
        <v>0</v>
      </c>
      <c r="BK42" s="719">
        <f t="shared" si="22"/>
        <v>0</v>
      </c>
      <c r="BL42" s="719">
        <f t="shared" si="22"/>
        <v>0</v>
      </c>
      <c r="BM42" s="719">
        <f t="shared" si="22"/>
        <v>0</v>
      </c>
      <c r="BN42" s="719">
        <f t="shared" si="22"/>
        <v>0</v>
      </c>
      <c r="BO42" s="719">
        <f t="shared" si="22"/>
        <v>0</v>
      </c>
      <c r="BP42" s="719">
        <f t="shared" si="22"/>
        <v>0</v>
      </c>
    </row>
    <row r="43" spans="1:68" ht="15.75" thickBot="1" x14ac:dyDescent="0.3">
      <c r="A43" s="1006" t="s">
        <v>197</v>
      </c>
      <c r="B43" s="1007"/>
      <c r="C43" s="115" t="str">
        <f>IF($B43&lt;&gt;"",VLOOKUP($B43,COSTS_Town_Home[#All],2),"")</f>
        <v/>
      </c>
      <c r="D43" s="1008" t="str">
        <f>IF($B43&lt;&gt;"",VLOOKUP($B43,COSTS_Town_Home[#All],3)/24,"")</f>
        <v/>
      </c>
      <c r="E43" s="1009"/>
      <c r="F43" s="1010"/>
      <c r="G43" s="925" t="str">
        <f>IF($D43&lt;&gt;"",$D43,"")</f>
        <v/>
      </c>
      <c r="H43" s="922"/>
      <c r="I43" s="721">
        <f t="shared" si="6"/>
        <v>0</v>
      </c>
      <c r="J43" s="721">
        <f t="shared" si="6"/>
        <v>0</v>
      </c>
      <c r="K43" s="721">
        <f t="shared" si="6"/>
        <v>0</v>
      </c>
      <c r="L43" s="721">
        <f t="shared" si="6"/>
        <v>0</v>
      </c>
      <c r="M43" s="721">
        <f t="shared" si="6"/>
        <v>0</v>
      </c>
      <c r="N43" s="721">
        <f t="shared" si="6"/>
        <v>0</v>
      </c>
      <c r="O43" s="721">
        <f t="shared" si="6"/>
        <v>0</v>
      </c>
      <c r="P43" s="721">
        <f t="shared" si="6"/>
        <v>0</v>
      </c>
      <c r="Q43" s="721">
        <f t="shared" si="6"/>
        <v>0</v>
      </c>
      <c r="R43" s="719">
        <f t="shared" si="6"/>
        <v>0</v>
      </c>
      <c r="S43" s="719">
        <f t="shared" si="6"/>
        <v>0</v>
      </c>
      <c r="T43" s="719">
        <f t="shared" si="6"/>
        <v>0</v>
      </c>
      <c r="U43" s="719">
        <f t="shared" si="6"/>
        <v>0</v>
      </c>
      <c r="V43" s="719">
        <f t="shared" si="6"/>
        <v>0</v>
      </c>
      <c r="W43" s="719">
        <f t="shared" si="6"/>
        <v>0</v>
      </c>
      <c r="X43" s="719">
        <f t="shared" si="6"/>
        <v>0</v>
      </c>
      <c r="Y43" s="719">
        <f t="shared" si="20"/>
        <v>0</v>
      </c>
      <c r="Z43" s="719">
        <f t="shared" si="20"/>
        <v>0</v>
      </c>
      <c r="AA43" s="719">
        <f t="shared" si="20"/>
        <v>0</v>
      </c>
      <c r="AB43" s="719">
        <f t="shared" si="20"/>
        <v>0</v>
      </c>
      <c r="AC43" s="719">
        <f t="shared" si="20"/>
        <v>0</v>
      </c>
      <c r="AD43" s="719">
        <f t="shared" si="20"/>
        <v>0</v>
      </c>
      <c r="AE43" s="719">
        <f t="shared" si="20"/>
        <v>0</v>
      </c>
      <c r="AF43" s="719">
        <f t="shared" si="20"/>
        <v>0</v>
      </c>
      <c r="AG43" s="719">
        <f t="shared" si="20"/>
        <v>0</v>
      </c>
      <c r="AH43" s="719">
        <f t="shared" si="20"/>
        <v>0</v>
      </c>
      <c r="AI43" s="719">
        <f t="shared" si="20"/>
        <v>0</v>
      </c>
      <c r="AJ43" s="719">
        <f t="shared" si="20"/>
        <v>0</v>
      </c>
      <c r="AK43" s="719">
        <f t="shared" si="20"/>
        <v>0</v>
      </c>
      <c r="AL43" s="719">
        <f t="shared" si="20"/>
        <v>0</v>
      </c>
      <c r="AM43" s="719">
        <f t="shared" si="20"/>
        <v>0</v>
      </c>
      <c r="AN43" s="719">
        <f t="shared" si="20"/>
        <v>0</v>
      </c>
      <c r="AO43" s="719">
        <f t="shared" si="21"/>
        <v>0</v>
      </c>
      <c r="AP43" s="719">
        <f t="shared" si="21"/>
        <v>0</v>
      </c>
      <c r="AQ43" s="719">
        <f t="shared" si="21"/>
        <v>0</v>
      </c>
      <c r="AR43" s="719">
        <f t="shared" si="21"/>
        <v>0</v>
      </c>
      <c r="AS43" s="719">
        <f t="shared" si="21"/>
        <v>0</v>
      </c>
      <c r="AT43" s="719">
        <f t="shared" si="21"/>
        <v>0</v>
      </c>
      <c r="AU43" s="719">
        <f t="shared" si="21"/>
        <v>0</v>
      </c>
      <c r="AV43" s="719">
        <f t="shared" si="21"/>
        <v>0</v>
      </c>
      <c r="AW43" s="719">
        <f t="shared" si="21"/>
        <v>0</v>
      </c>
      <c r="AX43" s="719">
        <f t="shared" si="21"/>
        <v>0</v>
      </c>
      <c r="AY43" s="719">
        <f t="shared" si="21"/>
        <v>0</v>
      </c>
      <c r="AZ43" s="719">
        <f t="shared" si="21"/>
        <v>0</v>
      </c>
      <c r="BA43" s="719">
        <f t="shared" si="21"/>
        <v>0</v>
      </c>
      <c r="BB43" s="719">
        <f t="shared" si="21"/>
        <v>0</v>
      </c>
      <c r="BC43" s="719">
        <f t="shared" si="21"/>
        <v>0</v>
      </c>
      <c r="BD43" s="719">
        <f t="shared" si="21"/>
        <v>0</v>
      </c>
      <c r="BE43" s="719">
        <f t="shared" si="22"/>
        <v>0</v>
      </c>
      <c r="BF43" s="719">
        <f t="shared" si="22"/>
        <v>0</v>
      </c>
      <c r="BG43" s="719">
        <f t="shared" si="22"/>
        <v>0</v>
      </c>
      <c r="BH43" s="719">
        <f t="shared" si="22"/>
        <v>0</v>
      </c>
      <c r="BI43" s="719">
        <f t="shared" si="22"/>
        <v>0</v>
      </c>
      <c r="BJ43" s="719">
        <f t="shared" si="22"/>
        <v>0</v>
      </c>
      <c r="BK43" s="719">
        <f t="shared" si="22"/>
        <v>0</v>
      </c>
      <c r="BL43" s="719">
        <f t="shared" si="22"/>
        <v>0</v>
      </c>
      <c r="BM43" s="719">
        <f t="shared" si="22"/>
        <v>0</v>
      </c>
      <c r="BN43" s="719">
        <f t="shared" si="22"/>
        <v>0</v>
      </c>
      <c r="BO43" s="719">
        <f t="shared" si="22"/>
        <v>0</v>
      </c>
      <c r="BP43" s="719">
        <f t="shared" si="22"/>
        <v>0</v>
      </c>
    </row>
    <row r="44" spans="1:68" ht="16.5" thickBot="1" x14ac:dyDescent="0.3">
      <c r="A44" s="1045" t="s">
        <v>226</v>
      </c>
      <c r="B44" s="1046"/>
      <c r="C44" s="1046"/>
      <c r="D44" s="1046"/>
      <c r="E44" s="1046"/>
      <c r="F44" s="1046"/>
      <c r="G44" s="1046"/>
      <c r="H44" s="1047"/>
      <c r="I44" s="721">
        <f t="shared" ref="I44:R51" si="31">IF(ISERROR(Plan),0,0)</f>
        <v>0</v>
      </c>
      <c r="J44" s="721">
        <f t="shared" si="31"/>
        <v>0</v>
      </c>
      <c r="K44" s="721">
        <f t="shared" si="31"/>
        <v>0</v>
      </c>
      <c r="L44" s="721">
        <f t="shared" si="31"/>
        <v>0</v>
      </c>
      <c r="M44" s="721">
        <f t="shared" si="31"/>
        <v>0</v>
      </c>
      <c r="N44" s="721">
        <f t="shared" si="31"/>
        <v>0</v>
      </c>
      <c r="O44" s="721">
        <f t="shared" si="31"/>
        <v>0</v>
      </c>
      <c r="P44" s="721">
        <f t="shared" si="31"/>
        <v>0</v>
      </c>
      <c r="Q44" s="721">
        <f t="shared" si="31"/>
        <v>0</v>
      </c>
      <c r="R44" s="721">
        <f t="shared" si="31"/>
        <v>0</v>
      </c>
      <c r="S44" s="721">
        <f t="shared" ref="S44:AB51" si="32">IF(ISERROR(Plan),0,0)</f>
        <v>0</v>
      </c>
      <c r="T44" s="721">
        <f t="shared" si="32"/>
        <v>0</v>
      </c>
      <c r="U44" s="721">
        <f t="shared" si="32"/>
        <v>0</v>
      </c>
      <c r="V44" s="721">
        <f t="shared" si="32"/>
        <v>0</v>
      </c>
      <c r="W44" s="721">
        <f t="shared" si="32"/>
        <v>0</v>
      </c>
      <c r="X44" s="721">
        <f t="shared" si="32"/>
        <v>0</v>
      </c>
      <c r="Y44" s="721">
        <f t="shared" si="32"/>
        <v>0</v>
      </c>
      <c r="Z44" s="721">
        <f t="shared" si="32"/>
        <v>0</v>
      </c>
      <c r="AA44" s="721">
        <f t="shared" si="32"/>
        <v>0</v>
      </c>
      <c r="AB44" s="721">
        <f t="shared" si="32"/>
        <v>0</v>
      </c>
      <c r="AC44" s="721">
        <f t="shared" ref="AC44:AL51" si="33">IF(ISERROR(Plan),0,0)</f>
        <v>0</v>
      </c>
      <c r="AD44" s="721">
        <f t="shared" si="33"/>
        <v>0</v>
      </c>
      <c r="AE44" s="721">
        <f t="shared" si="33"/>
        <v>0</v>
      </c>
      <c r="AF44" s="721">
        <f t="shared" si="33"/>
        <v>0</v>
      </c>
      <c r="AG44" s="721">
        <f t="shared" si="33"/>
        <v>0</v>
      </c>
      <c r="AH44" s="721">
        <f t="shared" si="33"/>
        <v>0</v>
      </c>
      <c r="AI44" s="721">
        <f t="shared" si="33"/>
        <v>0</v>
      </c>
      <c r="AJ44" s="721">
        <f t="shared" si="33"/>
        <v>0</v>
      </c>
      <c r="AK44" s="721">
        <f t="shared" si="33"/>
        <v>0</v>
      </c>
      <c r="AL44" s="721">
        <f t="shared" si="33"/>
        <v>0</v>
      </c>
      <c r="AM44" s="721">
        <f t="shared" ref="AM44:AV51" si="34">IF(ISERROR(Plan),0,0)</f>
        <v>0</v>
      </c>
      <c r="AN44" s="721">
        <f t="shared" si="34"/>
        <v>0</v>
      </c>
      <c r="AO44" s="721">
        <f t="shared" si="34"/>
        <v>0</v>
      </c>
      <c r="AP44" s="721">
        <f t="shared" si="34"/>
        <v>0</v>
      </c>
      <c r="AQ44" s="721">
        <f t="shared" si="34"/>
        <v>0</v>
      </c>
      <c r="AR44" s="721">
        <f t="shared" si="34"/>
        <v>0</v>
      </c>
      <c r="AS44" s="721">
        <f t="shared" si="34"/>
        <v>0</v>
      </c>
      <c r="AT44" s="721">
        <f t="shared" si="34"/>
        <v>0</v>
      </c>
      <c r="AU44" s="721">
        <f t="shared" si="34"/>
        <v>0</v>
      </c>
      <c r="AV44" s="721">
        <f t="shared" si="34"/>
        <v>0</v>
      </c>
      <c r="AW44" s="721">
        <f t="shared" ref="AW44:BF51" si="35">IF(ISERROR(Plan),0,0)</f>
        <v>0</v>
      </c>
      <c r="AX44" s="721">
        <f t="shared" si="35"/>
        <v>0</v>
      </c>
      <c r="AY44" s="721">
        <f t="shared" si="35"/>
        <v>0</v>
      </c>
      <c r="AZ44" s="721">
        <f t="shared" si="35"/>
        <v>0</v>
      </c>
      <c r="BA44" s="721">
        <f t="shared" si="35"/>
        <v>0</v>
      </c>
      <c r="BB44" s="721">
        <f t="shared" si="35"/>
        <v>0</v>
      </c>
      <c r="BC44" s="721">
        <f t="shared" si="35"/>
        <v>0</v>
      </c>
      <c r="BD44" s="721">
        <f t="shared" si="35"/>
        <v>0</v>
      </c>
      <c r="BE44" s="721">
        <f t="shared" si="35"/>
        <v>0</v>
      </c>
      <c r="BF44" s="721">
        <f t="shared" si="35"/>
        <v>0</v>
      </c>
      <c r="BG44" s="721">
        <f t="shared" ref="BG44:BP51" si="36">IF(ISERROR(Plan),0,0)</f>
        <v>0</v>
      </c>
      <c r="BH44" s="721">
        <f t="shared" si="36"/>
        <v>0</v>
      </c>
      <c r="BI44" s="721">
        <f t="shared" si="36"/>
        <v>0</v>
      </c>
      <c r="BJ44" s="721">
        <f t="shared" si="36"/>
        <v>0</v>
      </c>
      <c r="BK44" s="721">
        <f t="shared" si="36"/>
        <v>0</v>
      </c>
      <c r="BL44" s="721">
        <f t="shared" si="36"/>
        <v>0</v>
      </c>
      <c r="BM44" s="721">
        <f t="shared" si="36"/>
        <v>0</v>
      </c>
      <c r="BN44" s="721">
        <f t="shared" si="36"/>
        <v>0</v>
      </c>
      <c r="BO44" s="721">
        <f t="shared" si="36"/>
        <v>0</v>
      </c>
      <c r="BP44" s="721">
        <f t="shared" si="36"/>
        <v>0</v>
      </c>
    </row>
    <row r="45" spans="1:68" x14ac:dyDescent="0.25">
      <c r="A45" s="997" t="s">
        <v>190</v>
      </c>
      <c r="B45" s="998"/>
      <c r="C45" s="385" t="str">
        <f>IF($B45&lt;&gt;"",VLOOKUP($B45,COSTS_Spell_Lightning[#All],2),"")</f>
        <v/>
      </c>
      <c r="D45" s="999" t="str">
        <f>IF($B45&lt;&gt;"",VLOOKUP($B45,COSTS_Spell_Lightning[#All],3)/24,"")</f>
        <v/>
      </c>
      <c r="E45" s="1000"/>
      <c r="F45" s="1001"/>
      <c r="G45" s="923" t="str">
        <f>IF($D45&lt;&gt;"",$D45,"")</f>
        <v/>
      </c>
      <c r="H45" s="920"/>
      <c r="I45" s="721">
        <f t="shared" si="31"/>
        <v>0</v>
      </c>
      <c r="J45" s="721">
        <f t="shared" si="31"/>
        <v>0</v>
      </c>
      <c r="K45" s="721">
        <f t="shared" si="31"/>
        <v>0</v>
      </c>
      <c r="L45" s="721">
        <f t="shared" si="31"/>
        <v>0</v>
      </c>
      <c r="M45" s="721">
        <f t="shared" si="31"/>
        <v>0</v>
      </c>
      <c r="N45" s="721">
        <f t="shared" si="31"/>
        <v>0</v>
      </c>
      <c r="O45" s="721">
        <f t="shared" si="31"/>
        <v>0</v>
      </c>
      <c r="P45" s="721">
        <f t="shared" si="31"/>
        <v>0</v>
      </c>
      <c r="Q45" s="721">
        <f t="shared" si="31"/>
        <v>0</v>
      </c>
      <c r="R45" s="721">
        <f t="shared" si="31"/>
        <v>0</v>
      </c>
      <c r="S45" s="721">
        <f t="shared" si="32"/>
        <v>0</v>
      </c>
      <c r="T45" s="721">
        <f t="shared" si="32"/>
        <v>0</v>
      </c>
      <c r="U45" s="721">
        <f t="shared" si="32"/>
        <v>0</v>
      </c>
      <c r="V45" s="721">
        <f t="shared" si="32"/>
        <v>0</v>
      </c>
      <c r="W45" s="721">
        <f t="shared" si="32"/>
        <v>0</v>
      </c>
      <c r="X45" s="721">
        <f t="shared" si="32"/>
        <v>0</v>
      </c>
      <c r="Y45" s="721">
        <f t="shared" si="32"/>
        <v>0</v>
      </c>
      <c r="Z45" s="721">
        <f t="shared" si="32"/>
        <v>0</v>
      </c>
      <c r="AA45" s="721">
        <f t="shared" si="32"/>
        <v>0</v>
      </c>
      <c r="AB45" s="721">
        <f t="shared" si="32"/>
        <v>0</v>
      </c>
      <c r="AC45" s="721">
        <f t="shared" si="33"/>
        <v>0</v>
      </c>
      <c r="AD45" s="721">
        <f t="shared" si="33"/>
        <v>0</v>
      </c>
      <c r="AE45" s="721">
        <f t="shared" si="33"/>
        <v>0</v>
      </c>
      <c r="AF45" s="721">
        <f t="shared" si="33"/>
        <v>0</v>
      </c>
      <c r="AG45" s="721">
        <f t="shared" si="33"/>
        <v>0</v>
      </c>
      <c r="AH45" s="721">
        <f t="shared" si="33"/>
        <v>0</v>
      </c>
      <c r="AI45" s="721">
        <f t="shared" si="33"/>
        <v>0</v>
      </c>
      <c r="AJ45" s="721">
        <f t="shared" si="33"/>
        <v>0</v>
      </c>
      <c r="AK45" s="721">
        <f t="shared" si="33"/>
        <v>0</v>
      </c>
      <c r="AL45" s="721">
        <f t="shared" si="33"/>
        <v>0</v>
      </c>
      <c r="AM45" s="721">
        <f t="shared" si="34"/>
        <v>0</v>
      </c>
      <c r="AN45" s="721">
        <f t="shared" si="34"/>
        <v>0</v>
      </c>
      <c r="AO45" s="721">
        <f t="shared" si="34"/>
        <v>0</v>
      </c>
      <c r="AP45" s="721">
        <f t="shared" si="34"/>
        <v>0</v>
      </c>
      <c r="AQ45" s="721">
        <f t="shared" si="34"/>
        <v>0</v>
      </c>
      <c r="AR45" s="721">
        <f t="shared" si="34"/>
        <v>0</v>
      </c>
      <c r="AS45" s="721">
        <f t="shared" si="34"/>
        <v>0</v>
      </c>
      <c r="AT45" s="721">
        <f t="shared" si="34"/>
        <v>0</v>
      </c>
      <c r="AU45" s="721">
        <f t="shared" si="34"/>
        <v>0</v>
      </c>
      <c r="AV45" s="721">
        <f t="shared" si="34"/>
        <v>0</v>
      </c>
      <c r="AW45" s="721">
        <f t="shared" si="35"/>
        <v>0</v>
      </c>
      <c r="AX45" s="721">
        <f t="shared" si="35"/>
        <v>0</v>
      </c>
      <c r="AY45" s="721">
        <f t="shared" si="35"/>
        <v>0</v>
      </c>
      <c r="AZ45" s="721">
        <f t="shared" si="35"/>
        <v>0</v>
      </c>
      <c r="BA45" s="721">
        <f t="shared" si="35"/>
        <v>0</v>
      </c>
      <c r="BB45" s="721">
        <f t="shared" si="35"/>
        <v>0</v>
      </c>
      <c r="BC45" s="721">
        <f t="shared" si="35"/>
        <v>0</v>
      </c>
      <c r="BD45" s="721">
        <f t="shared" si="35"/>
        <v>0</v>
      </c>
      <c r="BE45" s="721">
        <f t="shared" si="35"/>
        <v>0</v>
      </c>
      <c r="BF45" s="721">
        <f t="shared" si="35"/>
        <v>0</v>
      </c>
      <c r="BG45" s="721">
        <f t="shared" si="36"/>
        <v>0</v>
      </c>
      <c r="BH45" s="721">
        <f t="shared" si="36"/>
        <v>0</v>
      </c>
      <c r="BI45" s="721">
        <f t="shared" si="36"/>
        <v>0</v>
      </c>
      <c r="BJ45" s="721">
        <f t="shared" si="36"/>
        <v>0</v>
      </c>
      <c r="BK45" s="721">
        <f t="shared" si="36"/>
        <v>0</v>
      </c>
      <c r="BL45" s="721">
        <f t="shared" si="36"/>
        <v>0</v>
      </c>
      <c r="BM45" s="721">
        <f t="shared" si="36"/>
        <v>0</v>
      </c>
      <c r="BN45" s="721">
        <f t="shared" si="36"/>
        <v>0</v>
      </c>
      <c r="BO45" s="721">
        <f t="shared" si="36"/>
        <v>0</v>
      </c>
      <c r="BP45" s="721">
        <f t="shared" si="36"/>
        <v>0</v>
      </c>
    </row>
    <row r="46" spans="1:68" x14ac:dyDescent="0.25">
      <c r="A46" s="1002" t="s">
        <v>191</v>
      </c>
      <c r="B46" s="1003"/>
      <c r="C46" s="386" t="str">
        <f>IF($B46&lt;&gt;"",VLOOKUP($B46,COSTS_Spell_Healing[#All],2),"")</f>
        <v/>
      </c>
      <c r="D46" s="1004" t="str">
        <f>IF($B46&lt;&gt;"",VLOOKUP($B46,COSTS_Spell_Healing[#All],3)/24,"")</f>
        <v/>
      </c>
      <c r="E46" s="996"/>
      <c r="F46" s="1005"/>
      <c r="G46" s="924" t="str">
        <f t="shared" ref="G46:G73" si="37">IF($D46&lt;&gt;"",$D46,"")</f>
        <v/>
      </c>
      <c r="H46" s="921"/>
      <c r="I46" s="721">
        <f t="shared" si="31"/>
        <v>0</v>
      </c>
      <c r="J46" s="721">
        <f t="shared" si="31"/>
        <v>0</v>
      </c>
      <c r="K46" s="721">
        <f t="shared" si="31"/>
        <v>0</v>
      </c>
      <c r="L46" s="721">
        <f t="shared" si="31"/>
        <v>0</v>
      </c>
      <c r="M46" s="721">
        <f t="shared" si="31"/>
        <v>0</v>
      </c>
      <c r="N46" s="721">
        <f t="shared" si="31"/>
        <v>0</v>
      </c>
      <c r="O46" s="721">
        <f t="shared" si="31"/>
        <v>0</v>
      </c>
      <c r="P46" s="721">
        <f t="shared" si="31"/>
        <v>0</v>
      </c>
      <c r="Q46" s="721">
        <f t="shared" si="31"/>
        <v>0</v>
      </c>
      <c r="R46" s="721">
        <f t="shared" si="31"/>
        <v>0</v>
      </c>
      <c r="S46" s="721">
        <f t="shared" si="32"/>
        <v>0</v>
      </c>
      <c r="T46" s="721">
        <f t="shared" si="32"/>
        <v>0</v>
      </c>
      <c r="U46" s="721">
        <f t="shared" si="32"/>
        <v>0</v>
      </c>
      <c r="V46" s="721">
        <f t="shared" si="32"/>
        <v>0</v>
      </c>
      <c r="W46" s="721">
        <f t="shared" si="32"/>
        <v>0</v>
      </c>
      <c r="X46" s="721">
        <f t="shared" si="32"/>
        <v>0</v>
      </c>
      <c r="Y46" s="721">
        <f t="shared" si="32"/>
        <v>0</v>
      </c>
      <c r="Z46" s="721">
        <f t="shared" si="32"/>
        <v>0</v>
      </c>
      <c r="AA46" s="721">
        <f t="shared" si="32"/>
        <v>0</v>
      </c>
      <c r="AB46" s="721">
        <f t="shared" si="32"/>
        <v>0</v>
      </c>
      <c r="AC46" s="721">
        <f t="shared" si="33"/>
        <v>0</v>
      </c>
      <c r="AD46" s="721">
        <f t="shared" si="33"/>
        <v>0</v>
      </c>
      <c r="AE46" s="721">
        <f t="shared" si="33"/>
        <v>0</v>
      </c>
      <c r="AF46" s="721">
        <f t="shared" si="33"/>
        <v>0</v>
      </c>
      <c r="AG46" s="721">
        <f t="shared" si="33"/>
        <v>0</v>
      </c>
      <c r="AH46" s="721">
        <f t="shared" si="33"/>
        <v>0</v>
      </c>
      <c r="AI46" s="721">
        <f t="shared" si="33"/>
        <v>0</v>
      </c>
      <c r="AJ46" s="721">
        <f t="shared" si="33"/>
        <v>0</v>
      </c>
      <c r="AK46" s="721">
        <f t="shared" si="33"/>
        <v>0</v>
      </c>
      <c r="AL46" s="721">
        <f t="shared" si="33"/>
        <v>0</v>
      </c>
      <c r="AM46" s="721">
        <f t="shared" si="34"/>
        <v>0</v>
      </c>
      <c r="AN46" s="721">
        <f t="shared" si="34"/>
        <v>0</v>
      </c>
      <c r="AO46" s="721">
        <f t="shared" si="34"/>
        <v>0</v>
      </c>
      <c r="AP46" s="721">
        <f t="shared" si="34"/>
        <v>0</v>
      </c>
      <c r="AQ46" s="721">
        <f t="shared" si="34"/>
        <v>0</v>
      </c>
      <c r="AR46" s="721">
        <f t="shared" si="34"/>
        <v>0</v>
      </c>
      <c r="AS46" s="721">
        <f t="shared" si="34"/>
        <v>0</v>
      </c>
      <c r="AT46" s="721">
        <f t="shared" si="34"/>
        <v>0</v>
      </c>
      <c r="AU46" s="721">
        <f t="shared" si="34"/>
        <v>0</v>
      </c>
      <c r="AV46" s="721">
        <f t="shared" si="34"/>
        <v>0</v>
      </c>
      <c r="AW46" s="721">
        <f t="shared" si="35"/>
        <v>0</v>
      </c>
      <c r="AX46" s="721">
        <f t="shared" si="35"/>
        <v>0</v>
      </c>
      <c r="AY46" s="721">
        <f t="shared" si="35"/>
        <v>0</v>
      </c>
      <c r="AZ46" s="721">
        <f t="shared" si="35"/>
        <v>0</v>
      </c>
      <c r="BA46" s="721">
        <f t="shared" si="35"/>
        <v>0</v>
      </c>
      <c r="BB46" s="721">
        <f t="shared" si="35"/>
        <v>0</v>
      </c>
      <c r="BC46" s="721">
        <f t="shared" si="35"/>
        <v>0</v>
      </c>
      <c r="BD46" s="721">
        <f t="shared" si="35"/>
        <v>0</v>
      </c>
      <c r="BE46" s="721">
        <f t="shared" si="35"/>
        <v>0</v>
      </c>
      <c r="BF46" s="721">
        <f t="shared" si="35"/>
        <v>0</v>
      </c>
      <c r="BG46" s="721">
        <f t="shared" si="36"/>
        <v>0</v>
      </c>
      <c r="BH46" s="721">
        <f t="shared" si="36"/>
        <v>0</v>
      </c>
      <c r="BI46" s="721">
        <f t="shared" si="36"/>
        <v>0</v>
      </c>
      <c r="BJ46" s="721">
        <f t="shared" si="36"/>
        <v>0</v>
      </c>
      <c r="BK46" s="721">
        <f t="shared" si="36"/>
        <v>0</v>
      </c>
      <c r="BL46" s="721">
        <f t="shared" si="36"/>
        <v>0</v>
      </c>
      <c r="BM46" s="721">
        <f t="shared" si="36"/>
        <v>0</v>
      </c>
      <c r="BN46" s="721">
        <f t="shared" si="36"/>
        <v>0</v>
      </c>
      <c r="BO46" s="721">
        <f t="shared" si="36"/>
        <v>0</v>
      </c>
      <c r="BP46" s="721">
        <f t="shared" si="36"/>
        <v>0</v>
      </c>
    </row>
    <row r="47" spans="1:68" x14ac:dyDescent="0.25">
      <c r="A47" s="1002" t="s">
        <v>192</v>
      </c>
      <c r="B47" s="1003"/>
      <c r="C47" s="386" t="str">
        <f>IF($B47&lt;&gt;"",VLOOKUP($B47,COSTS_Spell_Rage[#All],2),"")</f>
        <v/>
      </c>
      <c r="D47" s="1004" t="str">
        <f>IF($B47&lt;&gt;"",VLOOKUP($B47,COSTS_Spell_Rage[#All],3)/24,"")</f>
        <v/>
      </c>
      <c r="E47" s="996"/>
      <c r="F47" s="1005"/>
      <c r="G47" s="924" t="str">
        <f t="shared" si="37"/>
        <v/>
      </c>
      <c r="H47" s="921"/>
      <c r="I47" s="721">
        <f t="shared" si="31"/>
        <v>0</v>
      </c>
      <c r="J47" s="721">
        <f t="shared" si="31"/>
        <v>0</v>
      </c>
      <c r="K47" s="721">
        <f t="shared" si="31"/>
        <v>0</v>
      </c>
      <c r="L47" s="721">
        <f t="shared" si="31"/>
        <v>0</v>
      </c>
      <c r="M47" s="721">
        <f t="shared" si="31"/>
        <v>0</v>
      </c>
      <c r="N47" s="721">
        <f t="shared" si="31"/>
        <v>0</v>
      </c>
      <c r="O47" s="721">
        <f t="shared" si="31"/>
        <v>0</v>
      </c>
      <c r="P47" s="721">
        <f t="shared" si="31"/>
        <v>0</v>
      </c>
      <c r="Q47" s="721">
        <f t="shared" si="31"/>
        <v>0</v>
      </c>
      <c r="R47" s="721">
        <f t="shared" si="31"/>
        <v>0</v>
      </c>
      <c r="S47" s="721">
        <f t="shared" si="32"/>
        <v>0</v>
      </c>
      <c r="T47" s="721">
        <f t="shared" si="32"/>
        <v>0</v>
      </c>
      <c r="U47" s="721">
        <f t="shared" si="32"/>
        <v>0</v>
      </c>
      <c r="V47" s="721">
        <f t="shared" si="32"/>
        <v>0</v>
      </c>
      <c r="W47" s="721">
        <f t="shared" si="32"/>
        <v>0</v>
      </c>
      <c r="X47" s="721">
        <f t="shared" si="32"/>
        <v>0</v>
      </c>
      <c r="Y47" s="721">
        <f t="shared" si="32"/>
        <v>0</v>
      </c>
      <c r="Z47" s="721">
        <f t="shared" si="32"/>
        <v>0</v>
      </c>
      <c r="AA47" s="721">
        <f t="shared" si="32"/>
        <v>0</v>
      </c>
      <c r="AB47" s="721">
        <f t="shared" si="32"/>
        <v>0</v>
      </c>
      <c r="AC47" s="721">
        <f t="shared" si="33"/>
        <v>0</v>
      </c>
      <c r="AD47" s="721">
        <f t="shared" si="33"/>
        <v>0</v>
      </c>
      <c r="AE47" s="721">
        <f t="shared" si="33"/>
        <v>0</v>
      </c>
      <c r="AF47" s="721">
        <f t="shared" si="33"/>
        <v>0</v>
      </c>
      <c r="AG47" s="721">
        <f t="shared" si="33"/>
        <v>0</v>
      </c>
      <c r="AH47" s="721">
        <f t="shared" si="33"/>
        <v>0</v>
      </c>
      <c r="AI47" s="721">
        <f t="shared" si="33"/>
        <v>0</v>
      </c>
      <c r="AJ47" s="721">
        <f t="shared" si="33"/>
        <v>0</v>
      </c>
      <c r="AK47" s="721">
        <f t="shared" si="33"/>
        <v>0</v>
      </c>
      <c r="AL47" s="721">
        <f t="shared" si="33"/>
        <v>0</v>
      </c>
      <c r="AM47" s="721">
        <f t="shared" si="34"/>
        <v>0</v>
      </c>
      <c r="AN47" s="721">
        <f t="shared" si="34"/>
        <v>0</v>
      </c>
      <c r="AO47" s="721">
        <f t="shared" si="34"/>
        <v>0</v>
      </c>
      <c r="AP47" s="721">
        <f t="shared" si="34"/>
        <v>0</v>
      </c>
      <c r="AQ47" s="721">
        <f t="shared" si="34"/>
        <v>0</v>
      </c>
      <c r="AR47" s="721">
        <f t="shared" si="34"/>
        <v>0</v>
      </c>
      <c r="AS47" s="721">
        <f t="shared" si="34"/>
        <v>0</v>
      </c>
      <c r="AT47" s="721">
        <f t="shared" si="34"/>
        <v>0</v>
      </c>
      <c r="AU47" s="721">
        <f t="shared" si="34"/>
        <v>0</v>
      </c>
      <c r="AV47" s="721">
        <f t="shared" si="34"/>
        <v>0</v>
      </c>
      <c r="AW47" s="721">
        <f t="shared" si="35"/>
        <v>0</v>
      </c>
      <c r="AX47" s="721">
        <f t="shared" si="35"/>
        <v>0</v>
      </c>
      <c r="AY47" s="721">
        <f t="shared" si="35"/>
        <v>0</v>
      </c>
      <c r="AZ47" s="721">
        <f t="shared" si="35"/>
        <v>0</v>
      </c>
      <c r="BA47" s="721">
        <f t="shared" si="35"/>
        <v>0</v>
      </c>
      <c r="BB47" s="721">
        <f t="shared" si="35"/>
        <v>0</v>
      </c>
      <c r="BC47" s="721">
        <f t="shared" si="35"/>
        <v>0</v>
      </c>
      <c r="BD47" s="721">
        <f t="shared" si="35"/>
        <v>0</v>
      </c>
      <c r="BE47" s="721">
        <f t="shared" si="35"/>
        <v>0</v>
      </c>
      <c r="BF47" s="721">
        <f t="shared" si="35"/>
        <v>0</v>
      </c>
      <c r="BG47" s="721">
        <f t="shared" si="36"/>
        <v>0</v>
      </c>
      <c r="BH47" s="721">
        <f t="shared" si="36"/>
        <v>0</v>
      </c>
      <c r="BI47" s="721">
        <f t="shared" si="36"/>
        <v>0</v>
      </c>
      <c r="BJ47" s="721">
        <f t="shared" si="36"/>
        <v>0</v>
      </c>
      <c r="BK47" s="721">
        <f t="shared" si="36"/>
        <v>0</v>
      </c>
      <c r="BL47" s="721">
        <f t="shared" si="36"/>
        <v>0</v>
      </c>
      <c r="BM47" s="721">
        <f t="shared" si="36"/>
        <v>0</v>
      </c>
      <c r="BN47" s="721">
        <f t="shared" si="36"/>
        <v>0</v>
      </c>
      <c r="BO47" s="721">
        <f t="shared" si="36"/>
        <v>0</v>
      </c>
      <c r="BP47" s="721">
        <f t="shared" si="36"/>
        <v>0</v>
      </c>
    </row>
    <row r="48" spans="1:68" x14ac:dyDescent="0.25">
      <c r="A48" s="1002" t="s">
        <v>193</v>
      </c>
      <c r="B48" s="1003"/>
      <c r="C48" s="386" t="str">
        <f>IF($B48&lt;&gt;"",VLOOKUP($B48,COSTS_Spell_Jump[#All],2),"")</f>
        <v/>
      </c>
      <c r="D48" s="1004" t="str">
        <f>IF($B48&lt;&gt;"",VLOOKUP($B48,COSTS_Spell_Jump[#All],3)/24,"")</f>
        <v/>
      </c>
      <c r="E48" s="996"/>
      <c r="F48" s="1005"/>
      <c r="G48" s="924" t="str">
        <f t="shared" si="37"/>
        <v/>
      </c>
      <c r="H48" s="921"/>
      <c r="I48" s="721">
        <f t="shared" si="31"/>
        <v>0</v>
      </c>
      <c r="J48" s="721">
        <f t="shared" si="31"/>
        <v>0</v>
      </c>
      <c r="K48" s="721">
        <f t="shared" si="31"/>
        <v>0</v>
      </c>
      <c r="L48" s="721">
        <f t="shared" si="31"/>
        <v>0</v>
      </c>
      <c r="M48" s="721">
        <f t="shared" si="31"/>
        <v>0</v>
      </c>
      <c r="N48" s="721">
        <f t="shared" si="31"/>
        <v>0</v>
      </c>
      <c r="O48" s="721">
        <f t="shared" si="31"/>
        <v>0</v>
      </c>
      <c r="P48" s="721">
        <f t="shared" si="31"/>
        <v>0</v>
      </c>
      <c r="Q48" s="721">
        <f t="shared" si="31"/>
        <v>0</v>
      </c>
      <c r="R48" s="721">
        <f t="shared" si="31"/>
        <v>0</v>
      </c>
      <c r="S48" s="721">
        <f t="shared" si="32"/>
        <v>0</v>
      </c>
      <c r="T48" s="721">
        <f t="shared" si="32"/>
        <v>0</v>
      </c>
      <c r="U48" s="721">
        <f t="shared" si="32"/>
        <v>0</v>
      </c>
      <c r="V48" s="721">
        <f t="shared" si="32"/>
        <v>0</v>
      </c>
      <c r="W48" s="721">
        <f t="shared" si="32"/>
        <v>0</v>
      </c>
      <c r="X48" s="721">
        <f t="shared" si="32"/>
        <v>0</v>
      </c>
      <c r="Y48" s="721">
        <f t="shared" si="32"/>
        <v>0</v>
      </c>
      <c r="Z48" s="721">
        <f t="shared" si="32"/>
        <v>0</v>
      </c>
      <c r="AA48" s="721">
        <f t="shared" si="32"/>
        <v>0</v>
      </c>
      <c r="AB48" s="721">
        <f t="shared" si="32"/>
        <v>0</v>
      </c>
      <c r="AC48" s="721">
        <f t="shared" si="33"/>
        <v>0</v>
      </c>
      <c r="AD48" s="721">
        <f t="shared" si="33"/>
        <v>0</v>
      </c>
      <c r="AE48" s="721">
        <f t="shared" si="33"/>
        <v>0</v>
      </c>
      <c r="AF48" s="721">
        <f t="shared" si="33"/>
        <v>0</v>
      </c>
      <c r="AG48" s="721">
        <f t="shared" si="33"/>
        <v>0</v>
      </c>
      <c r="AH48" s="721">
        <f t="shared" si="33"/>
        <v>0</v>
      </c>
      <c r="AI48" s="721">
        <f t="shared" si="33"/>
        <v>0</v>
      </c>
      <c r="AJ48" s="721">
        <f t="shared" si="33"/>
        <v>0</v>
      </c>
      <c r="AK48" s="721">
        <f t="shared" si="33"/>
        <v>0</v>
      </c>
      <c r="AL48" s="721">
        <f t="shared" si="33"/>
        <v>0</v>
      </c>
      <c r="AM48" s="721">
        <f t="shared" si="34"/>
        <v>0</v>
      </c>
      <c r="AN48" s="721">
        <f t="shared" si="34"/>
        <v>0</v>
      </c>
      <c r="AO48" s="721">
        <f t="shared" si="34"/>
        <v>0</v>
      </c>
      <c r="AP48" s="721">
        <f t="shared" si="34"/>
        <v>0</v>
      </c>
      <c r="AQ48" s="721">
        <f t="shared" si="34"/>
        <v>0</v>
      </c>
      <c r="AR48" s="721">
        <f t="shared" si="34"/>
        <v>0</v>
      </c>
      <c r="AS48" s="721">
        <f t="shared" si="34"/>
        <v>0</v>
      </c>
      <c r="AT48" s="721">
        <f t="shared" si="34"/>
        <v>0</v>
      </c>
      <c r="AU48" s="721">
        <f t="shared" si="34"/>
        <v>0</v>
      </c>
      <c r="AV48" s="721">
        <f t="shared" si="34"/>
        <v>0</v>
      </c>
      <c r="AW48" s="721">
        <f t="shared" si="35"/>
        <v>0</v>
      </c>
      <c r="AX48" s="721">
        <f t="shared" si="35"/>
        <v>0</v>
      </c>
      <c r="AY48" s="721">
        <f t="shared" si="35"/>
        <v>0</v>
      </c>
      <c r="AZ48" s="721">
        <f t="shared" si="35"/>
        <v>0</v>
      </c>
      <c r="BA48" s="721">
        <f t="shared" si="35"/>
        <v>0</v>
      </c>
      <c r="BB48" s="721">
        <f t="shared" si="35"/>
        <v>0</v>
      </c>
      <c r="BC48" s="721">
        <f t="shared" si="35"/>
        <v>0</v>
      </c>
      <c r="BD48" s="721">
        <f t="shared" si="35"/>
        <v>0</v>
      </c>
      <c r="BE48" s="721">
        <f t="shared" si="35"/>
        <v>0</v>
      </c>
      <c r="BF48" s="721">
        <f t="shared" si="35"/>
        <v>0</v>
      </c>
      <c r="BG48" s="721">
        <f t="shared" si="36"/>
        <v>0</v>
      </c>
      <c r="BH48" s="721">
        <f t="shared" si="36"/>
        <v>0</v>
      </c>
      <c r="BI48" s="721">
        <f t="shared" si="36"/>
        <v>0</v>
      </c>
      <c r="BJ48" s="721">
        <f t="shared" si="36"/>
        <v>0</v>
      </c>
      <c r="BK48" s="721">
        <f t="shared" si="36"/>
        <v>0</v>
      </c>
      <c r="BL48" s="721">
        <f t="shared" si="36"/>
        <v>0</v>
      </c>
      <c r="BM48" s="721">
        <f t="shared" si="36"/>
        <v>0</v>
      </c>
      <c r="BN48" s="721">
        <f t="shared" si="36"/>
        <v>0</v>
      </c>
      <c r="BO48" s="721">
        <f t="shared" si="36"/>
        <v>0</v>
      </c>
      <c r="BP48" s="721">
        <f t="shared" si="36"/>
        <v>0</v>
      </c>
    </row>
    <row r="49" spans="1:68" x14ac:dyDescent="0.25">
      <c r="A49" s="1002" t="s">
        <v>194</v>
      </c>
      <c r="B49" s="1003"/>
      <c r="C49" s="386" t="str">
        <f>IF($B49&lt;&gt;"",VLOOKUP($B49,COSTS_Spell_Freeze[#All],2),"")</f>
        <v/>
      </c>
      <c r="D49" s="1004" t="str">
        <f>IF($B49&lt;&gt;"",VLOOKUP($B49,COSTS_Spell_Freeze[#All],3)/24,"")</f>
        <v/>
      </c>
      <c r="E49" s="996"/>
      <c r="F49" s="1005"/>
      <c r="G49" s="924" t="str">
        <f t="shared" si="37"/>
        <v/>
      </c>
      <c r="H49" s="921"/>
      <c r="I49" s="721">
        <f t="shared" si="31"/>
        <v>0</v>
      </c>
      <c r="J49" s="721">
        <f t="shared" si="31"/>
        <v>0</v>
      </c>
      <c r="K49" s="721">
        <f t="shared" si="31"/>
        <v>0</v>
      </c>
      <c r="L49" s="721">
        <f t="shared" si="31"/>
        <v>0</v>
      </c>
      <c r="M49" s="721">
        <f t="shared" si="31"/>
        <v>0</v>
      </c>
      <c r="N49" s="721">
        <f t="shared" si="31"/>
        <v>0</v>
      </c>
      <c r="O49" s="721">
        <f t="shared" si="31"/>
        <v>0</v>
      </c>
      <c r="P49" s="721">
        <f t="shared" si="31"/>
        <v>0</v>
      </c>
      <c r="Q49" s="721">
        <f t="shared" si="31"/>
        <v>0</v>
      </c>
      <c r="R49" s="721">
        <f t="shared" si="31"/>
        <v>0</v>
      </c>
      <c r="S49" s="721">
        <f t="shared" si="32"/>
        <v>0</v>
      </c>
      <c r="T49" s="721">
        <f t="shared" si="32"/>
        <v>0</v>
      </c>
      <c r="U49" s="721">
        <f t="shared" si="32"/>
        <v>0</v>
      </c>
      <c r="V49" s="721">
        <f t="shared" si="32"/>
        <v>0</v>
      </c>
      <c r="W49" s="721">
        <f t="shared" si="32"/>
        <v>0</v>
      </c>
      <c r="X49" s="721">
        <f t="shared" si="32"/>
        <v>0</v>
      </c>
      <c r="Y49" s="721">
        <f t="shared" si="32"/>
        <v>0</v>
      </c>
      <c r="Z49" s="721">
        <f t="shared" si="32"/>
        <v>0</v>
      </c>
      <c r="AA49" s="721">
        <f t="shared" si="32"/>
        <v>0</v>
      </c>
      <c r="AB49" s="721">
        <f t="shared" si="32"/>
        <v>0</v>
      </c>
      <c r="AC49" s="721">
        <f t="shared" si="33"/>
        <v>0</v>
      </c>
      <c r="AD49" s="721">
        <f t="shared" si="33"/>
        <v>0</v>
      </c>
      <c r="AE49" s="721">
        <f t="shared" si="33"/>
        <v>0</v>
      </c>
      <c r="AF49" s="721">
        <f t="shared" si="33"/>
        <v>0</v>
      </c>
      <c r="AG49" s="721">
        <f t="shared" si="33"/>
        <v>0</v>
      </c>
      <c r="AH49" s="721">
        <f t="shared" si="33"/>
        <v>0</v>
      </c>
      <c r="AI49" s="721">
        <f t="shared" si="33"/>
        <v>0</v>
      </c>
      <c r="AJ49" s="721">
        <f t="shared" si="33"/>
        <v>0</v>
      </c>
      <c r="AK49" s="721">
        <f t="shared" si="33"/>
        <v>0</v>
      </c>
      <c r="AL49" s="721">
        <f t="shared" si="33"/>
        <v>0</v>
      </c>
      <c r="AM49" s="721">
        <f t="shared" si="34"/>
        <v>0</v>
      </c>
      <c r="AN49" s="721">
        <f t="shared" si="34"/>
        <v>0</v>
      </c>
      <c r="AO49" s="721">
        <f t="shared" si="34"/>
        <v>0</v>
      </c>
      <c r="AP49" s="721">
        <f t="shared" si="34"/>
        <v>0</v>
      </c>
      <c r="AQ49" s="721">
        <f t="shared" si="34"/>
        <v>0</v>
      </c>
      <c r="AR49" s="721">
        <f t="shared" si="34"/>
        <v>0</v>
      </c>
      <c r="AS49" s="721">
        <f t="shared" si="34"/>
        <v>0</v>
      </c>
      <c r="AT49" s="721">
        <f t="shared" si="34"/>
        <v>0</v>
      </c>
      <c r="AU49" s="721">
        <f t="shared" si="34"/>
        <v>0</v>
      </c>
      <c r="AV49" s="721">
        <f t="shared" si="34"/>
        <v>0</v>
      </c>
      <c r="AW49" s="721">
        <f t="shared" si="35"/>
        <v>0</v>
      </c>
      <c r="AX49" s="721">
        <f t="shared" si="35"/>
        <v>0</v>
      </c>
      <c r="AY49" s="721">
        <f t="shared" si="35"/>
        <v>0</v>
      </c>
      <c r="AZ49" s="721">
        <f t="shared" si="35"/>
        <v>0</v>
      </c>
      <c r="BA49" s="721">
        <f t="shared" si="35"/>
        <v>0</v>
      </c>
      <c r="BB49" s="721">
        <f t="shared" si="35"/>
        <v>0</v>
      </c>
      <c r="BC49" s="721">
        <f t="shared" si="35"/>
        <v>0</v>
      </c>
      <c r="BD49" s="721">
        <f t="shared" si="35"/>
        <v>0</v>
      </c>
      <c r="BE49" s="721">
        <f t="shared" si="35"/>
        <v>0</v>
      </c>
      <c r="BF49" s="721">
        <f t="shared" si="35"/>
        <v>0</v>
      </c>
      <c r="BG49" s="721">
        <f t="shared" si="36"/>
        <v>0</v>
      </c>
      <c r="BH49" s="721">
        <f t="shared" si="36"/>
        <v>0</v>
      </c>
      <c r="BI49" s="721">
        <f t="shared" si="36"/>
        <v>0</v>
      </c>
      <c r="BJ49" s="721">
        <f t="shared" si="36"/>
        <v>0</v>
      </c>
      <c r="BK49" s="721">
        <f t="shared" si="36"/>
        <v>0</v>
      </c>
      <c r="BL49" s="721">
        <f t="shared" si="36"/>
        <v>0</v>
      </c>
      <c r="BM49" s="721">
        <f t="shared" si="36"/>
        <v>0</v>
      </c>
      <c r="BN49" s="721">
        <f t="shared" si="36"/>
        <v>0</v>
      </c>
      <c r="BO49" s="721">
        <f t="shared" si="36"/>
        <v>0</v>
      </c>
      <c r="BP49" s="721">
        <f t="shared" si="36"/>
        <v>0</v>
      </c>
    </row>
    <row r="50" spans="1:68" x14ac:dyDescent="0.25">
      <c r="A50" s="1002" t="s">
        <v>706</v>
      </c>
      <c r="B50" s="1003"/>
      <c r="C50" s="121" t="str">
        <f>IF($B50&lt;&gt;"",VLOOKUP($B50,COSTS_Spell_Poison[#All],2),"")</f>
        <v/>
      </c>
      <c r="D50" s="1004" t="str">
        <f>IF($B50&lt;&gt;"",VLOOKUP($B50,COSTS_Spell_Poison[#All],3)/24,"")</f>
        <v/>
      </c>
      <c r="E50" s="996"/>
      <c r="F50" s="1005"/>
      <c r="G50" s="924" t="str">
        <f t="shared" si="37"/>
        <v/>
      </c>
      <c r="H50" s="921"/>
      <c r="I50" s="721">
        <f t="shared" si="31"/>
        <v>0</v>
      </c>
      <c r="J50" s="721">
        <f t="shared" si="31"/>
        <v>0</v>
      </c>
      <c r="K50" s="721">
        <f t="shared" si="31"/>
        <v>0</v>
      </c>
      <c r="L50" s="721">
        <f t="shared" si="31"/>
        <v>0</v>
      </c>
      <c r="M50" s="721">
        <f t="shared" si="31"/>
        <v>0</v>
      </c>
      <c r="N50" s="721">
        <f t="shared" si="31"/>
        <v>0</v>
      </c>
      <c r="O50" s="721">
        <f t="shared" si="31"/>
        <v>0</v>
      </c>
      <c r="P50" s="721">
        <f t="shared" si="31"/>
        <v>0</v>
      </c>
      <c r="Q50" s="721">
        <f t="shared" si="31"/>
        <v>0</v>
      </c>
      <c r="R50" s="721">
        <f t="shared" si="31"/>
        <v>0</v>
      </c>
      <c r="S50" s="721">
        <f t="shared" si="32"/>
        <v>0</v>
      </c>
      <c r="T50" s="721">
        <f t="shared" si="32"/>
        <v>0</v>
      </c>
      <c r="U50" s="721">
        <f t="shared" si="32"/>
        <v>0</v>
      </c>
      <c r="V50" s="721">
        <f t="shared" si="32"/>
        <v>0</v>
      </c>
      <c r="W50" s="721">
        <f t="shared" si="32"/>
        <v>0</v>
      </c>
      <c r="X50" s="721">
        <f t="shared" si="32"/>
        <v>0</v>
      </c>
      <c r="Y50" s="721">
        <f t="shared" si="32"/>
        <v>0</v>
      </c>
      <c r="Z50" s="721">
        <f t="shared" si="32"/>
        <v>0</v>
      </c>
      <c r="AA50" s="721">
        <f t="shared" si="32"/>
        <v>0</v>
      </c>
      <c r="AB50" s="721">
        <f t="shared" si="32"/>
        <v>0</v>
      </c>
      <c r="AC50" s="721">
        <f t="shared" si="33"/>
        <v>0</v>
      </c>
      <c r="AD50" s="721">
        <f t="shared" si="33"/>
        <v>0</v>
      </c>
      <c r="AE50" s="721">
        <f t="shared" si="33"/>
        <v>0</v>
      </c>
      <c r="AF50" s="721">
        <f t="shared" si="33"/>
        <v>0</v>
      </c>
      <c r="AG50" s="721">
        <f t="shared" si="33"/>
        <v>0</v>
      </c>
      <c r="AH50" s="721">
        <f t="shared" si="33"/>
        <v>0</v>
      </c>
      <c r="AI50" s="721">
        <f t="shared" si="33"/>
        <v>0</v>
      </c>
      <c r="AJ50" s="721">
        <f t="shared" si="33"/>
        <v>0</v>
      </c>
      <c r="AK50" s="721">
        <f t="shared" si="33"/>
        <v>0</v>
      </c>
      <c r="AL50" s="721">
        <f t="shared" si="33"/>
        <v>0</v>
      </c>
      <c r="AM50" s="721">
        <f t="shared" si="34"/>
        <v>0</v>
      </c>
      <c r="AN50" s="721">
        <f t="shared" si="34"/>
        <v>0</v>
      </c>
      <c r="AO50" s="721">
        <f t="shared" si="34"/>
        <v>0</v>
      </c>
      <c r="AP50" s="721">
        <f t="shared" si="34"/>
        <v>0</v>
      </c>
      <c r="AQ50" s="721">
        <f t="shared" si="34"/>
        <v>0</v>
      </c>
      <c r="AR50" s="721">
        <f t="shared" si="34"/>
        <v>0</v>
      </c>
      <c r="AS50" s="721">
        <f t="shared" si="34"/>
        <v>0</v>
      </c>
      <c r="AT50" s="721">
        <f t="shared" si="34"/>
        <v>0</v>
      </c>
      <c r="AU50" s="721">
        <f t="shared" si="34"/>
        <v>0</v>
      </c>
      <c r="AV50" s="721">
        <f t="shared" si="34"/>
        <v>0</v>
      </c>
      <c r="AW50" s="721">
        <f t="shared" si="35"/>
        <v>0</v>
      </c>
      <c r="AX50" s="721">
        <f t="shared" si="35"/>
        <v>0</v>
      </c>
      <c r="AY50" s="721">
        <f t="shared" si="35"/>
        <v>0</v>
      </c>
      <c r="AZ50" s="721">
        <f t="shared" si="35"/>
        <v>0</v>
      </c>
      <c r="BA50" s="721">
        <f t="shared" si="35"/>
        <v>0</v>
      </c>
      <c r="BB50" s="721">
        <f t="shared" si="35"/>
        <v>0</v>
      </c>
      <c r="BC50" s="721">
        <f t="shared" si="35"/>
        <v>0</v>
      </c>
      <c r="BD50" s="721">
        <f t="shared" si="35"/>
        <v>0</v>
      </c>
      <c r="BE50" s="721">
        <f t="shared" si="35"/>
        <v>0</v>
      </c>
      <c r="BF50" s="721">
        <f t="shared" si="35"/>
        <v>0</v>
      </c>
      <c r="BG50" s="721">
        <f t="shared" si="36"/>
        <v>0</v>
      </c>
      <c r="BH50" s="721">
        <f t="shared" si="36"/>
        <v>0</v>
      </c>
      <c r="BI50" s="721">
        <f t="shared" si="36"/>
        <v>0</v>
      </c>
      <c r="BJ50" s="721">
        <f t="shared" si="36"/>
        <v>0</v>
      </c>
      <c r="BK50" s="721">
        <f t="shared" si="36"/>
        <v>0</v>
      </c>
      <c r="BL50" s="721">
        <f t="shared" si="36"/>
        <v>0</v>
      </c>
      <c r="BM50" s="721">
        <f t="shared" si="36"/>
        <v>0</v>
      </c>
      <c r="BN50" s="721">
        <f t="shared" si="36"/>
        <v>0</v>
      </c>
      <c r="BO50" s="721">
        <f t="shared" si="36"/>
        <v>0</v>
      </c>
      <c r="BP50" s="721">
        <f t="shared" si="36"/>
        <v>0</v>
      </c>
    </row>
    <row r="51" spans="1:68" x14ac:dyDescent="0.25">
      <c r="A51" s="1002" t="s">
        <v>718</v>
      </c>
      <c r="B51" s="1003"/>
      <c r="C51" s="121" t="str">
        <f>IF($B51&lt;&gt;"",VLOOKUP($B51,COSTS_Spell_Earthquake[#All],2),"")</f>
        <v/>
      </c>
      <c r="D51" s="1004" t="str">
        <f>IF($B51&lt;&gt;"",VLOOKUP($B51,COSTS_Spell_Earthquake[#All],3)/24,"")</f>
        <v/>
      </c>
      <c r="E51" s="996"/>
      <c r="F51" s="1005"/>
      <c r="G51" s="924" t="str">
        <f t="shared" si="37"/>
        <v/>
      </c>
      <c r="H51" s="921"/>
      <c r="I51" s="721">
        <f t="shared" si="31"/>
        <v>0</v>
      </c>
      <c r="J51" s="721">
        <f t="shared" si="31"/>
        <v>0</v>
      </c>
      <c r="K51" s="721">
        <f t="shared" si="31"/>
        <v>0</v>
      </c>
      <c r="L51" s="721">
        <f t="shared" si="31"/>
        <v>0</v>
      </c>
      <c r="M51" s="721">
        <f t="shared" si="31"/>
        <v>0</v>
      </c>
      <c r="N51" s="721">
        <f t="shared" si="31"/>
        <v>0</v>
      </c>
      <c r="O51" s="721">
        <f t="shared" si="31"/>
        <v>0</v>
      </c>
      <c r="P51" s="721">
        <f t="shared" si="31"/>
        <v>0</v>
      </c>
      <c r="Q51" s="721">
        <f t="shared" si="31"/>
        <v>0</v>
      </c>
      <c r="R51" s="721">
        <f t="shared" si="31"/>
        <v>0</v>
      </c>
      <c r="S51" s="721">
        <f t="shared" si="32"/>
        <v>0</v>
      </c>
      <c r="T51" s="721">
        <f t="shared" si="32"/>
        <v>0</v>
      </c>
      <c r="U51" s="721">
        <f t="shared" si="32"/>
        <v>0</v>
      </c>
      <c r="V51" s="721">
        <f t="shared" si="32"/>
        <v>0</v>
      </c>
      <c r="W51" s="721">
        <f t="shared" si="32"/>
        <v>0</v>
      </c>
      <c r="X51" s="721">
        <f t="shared" si="32"/>
        <v>0</v>
      </c>
      <c r="Y51" s="721">
        <f t="shared" si="32"/>
        <v>0</v>
      </c>
      <c r="Z51" s="721">
        <f t="shared" si="32"/>
        <v>0</v>
      </c>
      <c r="AA51" s="721">
        <f t="shared" si="32"/>
        <v>0</v>
      </c>
      <c r="AB51" s="721">
        <f t="shared" si="32"/>
        <v>0</v>
      </c>
      <c r="AC51" s="721">
        <f t="shared" si="33"/>
        <v>0</v>
      </c>
      <c r="AD51" s="721">
        <f t="shared" si="33"/>
        <v>0</v>
      </c>
      <c r="AE51" s="721">
        <f t="shared" si="33"/>
        <v>0</v>
      </c>
      <c r="AF51" s="721">
        <f t="shared" si="33"/>
        <v>0</v>
      </c>
      <c r="AG51" s="721">
        <f t="shared" si="33"/>
        <v>0</v>
      </c>
      <c r="AH51" s="721">
        <f t="shared" si="33"/>
        <v>0</v>
      </c>
      <c r="AI51" s="721">
        <f t="shared" si="33"/>
        <v>0</v>
      </c>
      <c r="AJ51" s="721">
        <f t="shared" si="33"/>
        <v>0</v>
      </c>
      <c r="AK51" s="721">
        <f t="shared" si="33"/>
        <v>0</v>
      </c>
      <c r="AL51" s="721">
        <f t="shared" si="33"/>
        <v>0</v>
      </c>
      <c r="AM51" s="721">
        <f t="shared" si="34"/>
        <v>0</v>
      </c>
      <c r="AN51" s="721">
        <f t="shared" si="34"/>
        <v>0</v>
      </c>
      <c r="AO51" s="721">
        <f t="shared" si="34"/>
        <v>0</v>
      </c>
      <c r="AP51" s="721">
        <f t="shared" si="34"/>
        <v>0</v>
      </c>
      <c r="AQ51" s="721">
        <f t="shared" si="34"/>
        <v>0</v>
      </c>
      <c r="AR51" s="721">
        <f t="shared" si="34"/>
        <v>0</v>
      </c>
      <c r="AS51" s="721">
        <f t="shared" si="34"/>
        <v>0</v>
      </c>
      <c r="AT51" s="721">
        <f t="shared" si="34"/>
        <v>0</v>
      </c>
      <c r="AU51" s="721">
        <f t="shared" si="34"/>
        <v>0</v>
      </c>
      <c r="AV51" s="721">
        <f t="shared" si="34"/>
        <v>0</v>
      </c>
      <c r="AW51" s="721">
        <f t="shared" si="35"/>
        <v>0</v>
      </c>
      <c r="AX51" s="721">
        <f t="shared" si="35"/>
        <v>0</v>
      </c>
      <c r="AY51" s="721">
        <f t="shared" si="35"/>
        <v>0</v>
      </c>
      <c r="AZ51" s="721">
        <f t="shared" si="35"/>
        <v>0</v>
      </c>
      <c r="BA51" s="721">
        <f t="shared" si="35"/>
        <v>0</v>
      </c>
      <c r="BB51" s="721">
        <f t="shared" si="35"/>
        <v>0</v>
      </c>
      <c r="BC51" s="721">
        <f t="shared" si="35"/>
        <v>0</v>
      </c>
      <c r="BD51" s="721">
        <f t="shared" si="35"/>
        <v>0</v>
      </c>
      <c r="BE51" s="721">
        <f t="shared" si="35"/>
        <v>0</v>
      </c>
      <c r="BF51" s="721">
        <f t="shared" si="35"/>
        <v>0</v>
      </c>
      <c r="BG51" s="721">
        <f t="shared" si="36"/>
        <v>0</v>
      </c>
      <c r="BH51" s="721">
        <f t="shared" si="36"/>
        <v>0</v>
      </c>
      <c r="BI51" s="721">
        <f t="shared" si="36"/>
        <v>0</v>
      </c>
      <c r="BJ51" s="721">
        <f t="shared" si="36"/>
        <v>0</v>
      </c>
      <c r="BK51" s="721">
        <f t="shared" si="36"/>
        <v>0</v>
      </c>
      <c r="BL51" s="721">
        <f t="shared" si="36"/>
        <v>0</v>
      </c>
      <c r="BM51" s="721">
        <f t="shared" si="36"/>
        <v>0</v>
      </c>
      <c r="BN51" s="721">
        <f t="shared" si="36"/>
        <v>0</v>
      </c>
      <c r="BO51" s="721">
        <f t="shared" si="36"/>
        <v>0</v>
      </c>
      <c r="BP51" s="721">
        <f t="shared" si="36"/>
        <v>0</v>
      </c>
    </row>
    <row r="52" spans="1:68" ht="15.75" thickBot="1" x14ac:dyDescent="0.3">
      <c r="A52" s="1006" t="s">
        <v>707</v>
      </c>
      <c r="B52" s="1007"/>
      <c r="C52" s="203" t="str">
        <f>IF($B52&lt;&gt;"",VLOOKUP($B52,COSTS_Spell_Haste[#All],2),"")</f>
        <v/>
      </c>
      <c r="D52" s="1008" t="str">
        <f>IF($B52&lt;&gt;"",VLOOKUP($B52,COSTS_Spell_Haste[#All],3)/24,"")</f>
        <v/>
      </c>
      <c r="E52" s="1009"/>
      <c r="F52" s="1010"/>
      <c r="G52" s="925" t="str">
        <f t="shared" si="37"/>
        <v/>
      </c>
      <c r="H52" s="922"/>
      <c r="I52" s="721">
        <f t="shared" ref="I52:R57" si="38">IF(ISERROR(Plan),0,0)</f>
        <v>0</v>
      </c>
      <c r="J52" s="721">
        <f t="shared" si="38"/>
        <v>0</v>
      </c>
      <c r="K52" s="721">
        <f t="shared" si="38"/>
        <v>0</v>
      </c>
      <c r="L52" s="721">
        <f t="shared" si="38"/>
        <v>0</v>
      </c>
      <c r="M52" s="721">
        <f t="shared" si="38"/>
        <v>0</v>
      </c>
      <c r="N52" s="721">
        <f t="shared" si="38"/>
        <v>0</v>
      </c>
      <c r="O52" s="721">
        <f t="shared" si="38"/>
        <v>0</v>
      </c>
      <c r="P52" s="721">
        <f t="shared" si="38"/>
        <v>0</v>
      </c>
      <c r="Q52" s="721">
        <f t="shared" si="38"/>
        <v>0</v>
      </c>
      <c r="R52" s="721">
        <f t="shared" si="38"/>
        <v>0</v>
      </c>
      <c r="S52" s="721">
        <f t="shared" ref="S52:AB57" si="39">IF(ISERROR(Plan),0,0)</f>
        <v>0</v>
      </c>
      <c r="T52" s="721">
        <f t="shared" si="39"/>
        <v>0</v>
      </c>
      <c r="U52" s="721">
        <f t="shared" si="39"/>
        <v>0</v>
      </c>
      <c r="V52" s="721">
        <f t="shared" si="39"/>
        <v>0</v>
      </c>
      <c r="W52" s="721">
        <f t="shared" si="39"/>
        <v>0</v>
      </c>
      <c r="X52" s="721">
        <f t="shared" si="39"/>
        <v>0</v>
      </c>
      <c r="Y52" s="721">
        <f t="shared" si="39"/>
        <v>0</v>
      </c>
      <c r="Z52" s="721">
        <f t="shared" si="39"/>
        <v>0</v>
      </c>
      <c r="AA52" s="721">
        <f t="shared" si="39"/>
        <v>0</v>
      </c>
      <c r="AB52" s="721">
        <f t="shared" si="39"/>
        <v>0</v>
      </c>
      <c r="AC52" s="721">
        <f t="shared" ref="AC52:AL57" si="40">IF(ISERROR(Plan),0,0)</f>
        <v>0</v>
      </c>
      <c r="AD52" s="721">
        <f t="shared" si="40"/>
        <v>0</v>
      </c>
      <c r="AE52" s="721">
        <f t="shared" si="40"/>
        <v>0</v>
      </c>
      <c r="AF52" s="721">
        <f t="shared" si="40"/>
        <v>0</v>
      </c>
      <c r="AG52" s="721">
        <f t="shared" si="40"/>
        <v>0</v>
      </c>
      <c r="AH52" s="721">
        <f t="shared" si="40"/>
        <v>0</v>
      </c>
      <c r="AI52" s="721">
        <f t="shared" si="40"/>
        <v>0</v>
      </c>
      <c r="AJ52" s="721">
        <f t="shared" si="40"/>
        <v>0</v>
      </c>
      <c r="AK52" s="721">
        <f t="shared" si="40"/>
        <v>0</v>
      </c>
      <c r="AL52" s="721">
        <f t="shared" si="40"/>
        <v>0</v>
      </c>
      <c r="AM52" s="721">
        <f t="shared" ref="AM52:AV57" si="41">IF(ISERROR(Plan),0,0)</f>
        <v>0</v>
      </c>
      <c r="AN52" s="721">
        <f t="shared" si="41"/>
        <v>0</v>
      </c>
      <c r="AO52" s="721">
        <f t="shared" si="41"/>
        <v>0</v>
      </c>
      <c r="AP52" s="721">
        <f t="shared" si="41"/>
        <v>0</v>
      </c>
      <c r="AQ52" s="721">
        <f t="shared" si="41"/>
        <v>0</v>
      </c>
      <c r="AR52" s="721">
        <f t="shared" si="41"/>
        <v>0</v>
      </c>
      <c r="AS52" s="721">
        <f t="shared" si="41"/>
        <v>0</v>
      </c>
      <c r="AT52" s="721">
        <f t="shared" si="41"/>
        <v>0</v>
      </c>
      <c r="AU52" s="721">
        <f t="shared" si="41"/>
        <v>0</v>
      </c>
      <c r="AV52" s="721">
        <f t="shared" si="41"/>
        <v>0</v>
      </c>
      <c r="AW52" s="721">
        <f t="shared" ref="AW52:BF57" si="42">IF(ISERROR(Plan),0,0)</f>
        <v>0</v>
      </c>
      <c r="AX52" s="721">
        <f t="shared" si="42"/>
        <v>0</v>
      </c>
      <c r="AY52" s="721">
        <f t="shared" si="42"/>
        <v>0</v>
      </c>
      <c r="AZ52" s="721">
        <f t="shared" si="42"/>
        <v>0</v>
      </c>
      <c r="BA52" s="721">
        <f t="shared" si="42"/>
        <v>0</v>
      </c>
      <c r="BB52" s="721">
        <f t="shared" si="42"/>
        <v>0</v>
      </c>
      <c r="BC52" s="721">
        <f t="shared" si="42"/>
        <v>0</v>
      </c>
      <c r="BD52" s="721">
        <f t="shared" si="42"/>
        <v>0</v>
      </c>
      <c r="BE52" s="721">
        <f t="shared" si="42"/>
        <v>0</v>
      </c>
      <c r="BF52" s="721">
        <f t="shared" si="42"/>
        <v>0</v>
      </c>
      <c r="BG52" s="721">
        <f t="shared" ref="BG52:BP57" si="43">IF(ISERROR(Plan),0,0)</f>
        <v>0</v>
      </c>
      <c r="BH52" s="721">
        <f t="shared" si="43"/>
        <v>0</v>
      </c>
      <c r="BI52" s="721">
        <f t="shared" si="43"/>
        <v>0</v>
      </c>
      <c r="BJ52" s="721">
        <f t="shared" si="43"/>
        <v>0</v>
      </c>
      <c r="BK52" s="721">
        <f t="shared" si="43"/>
        <v>0</v>
      </c>
      <c r="BL52" s="721">
        <f t="shared" si="43"/>
        <v>0</v>
      </c>
      <c r="BM52" s="721">
        <f t="shared" si="43"/>
        <v>0</v>
      </c>
      <c r="BN52" s="721">
        <f t="shared" si="43"/>
        <v>0</v>
      </c>
      <c r="BO52" s="721">
        <f t="shared" si="43"/>
        <v>0</v>
      </c>
      <c r="BP52" s="721">
        <f t="shared" si="43"/>
        <v>0</v>
      </c>
    </row>
    <row r="53" spans="1:68" ht="16.5" thickBot="1" x14ac:dyDescent="0.3">
      <c r="A53" s="1045" t="s">
        <v>240</v>
      </c>
      <c r="B53" s="1046"/>
      <c r="C53" s="1046"/>
      <c r="D53" s="1046"/>
      <c r="E53" s="1046"/>
      <c r="F53" s="1046"/>
      <c r="G53" s="1046"/>
      <c r="H53" s="1047"/>
      <c r="I53" s="721">
        <f t="shared" si="38"/>
        <v>0</v>
      </c>
      <c r="J53" s="721">
        <f t="shared" si="38"/>
        <v>0</v>
      </c>
      <c r="K53" s="721">
        <f t="shared" si="38"/>
        <v>0</v>
      </c>
      <c r="L53" s="721">
        <f t="shared" si="38"/>
        <v>0</v>
      </c>
      <c r="M53" s="721">
        <f t="shared" si="38"/>
        <v>0</v>
      </c>
      <c r="N53" s="721">
        <f t="shared" si="38"/>
        <v>0</v>
      </c>
      <c r="O53" s="721">
        <f t="shared" si="38"/>
        <v>0</v>
      </c>
      <c r="P53" s="721">
        <f t="shared" si="38"/>
        <v>0</v>
      </c>
      <c r="Q53" s="721">
        <f t="shared" si="38"/>
        <v>0</v>
      </c>
      <c r="R53" s="721">
        <f t="shared" si="38"/>
        <v>0</v>
      </c>
      <c r="S53" s="721">
        <f t="shared" si="39"/>
        <v>0</v>
      </c>
      <c r="T53" s="721">
        <f t="shared" si="39"/>
        <v>0</v>
      </c>
      <c r="U53" s="721">
        <f t="shared" si="39"/>
        <v>0</v>
      </c>
      <c r="V53" s="721">
        <f t="shared" si="39"/>
        <v>0</v>
      </c>
      <c r="W53" s="721">
        <f t="shared" si="39"/>
        <v>0</v>
      </c>
      <c r="X53" s="721">
        <f t="shared" si="39"/>
        <v>0</v>
      </c>
      <c r="Y53" s="721">
        <f t="shared" si="39"/>
        <v>0</v>
      </c>
      <c r="Z53" s="721">
        <f t="shared" si="39"/>
        <v>0</v>
      </c>
      <c r="AA53" s="721">
        <f t="shared" si="39"/>
        <v>0</v>
      </c>
      <c r="AB53" s="721">
        <f t="shared" si="39"/>
        <v>0</v>
      </c>
      <c r="AC53" s="721">
        <f t="shared" si="40"/>
        <v>0</v>
      </c>
      <c r="AD53" s="721">
        <f t="shared" si="40"/>
        <v>0</v>
      </c>
      <c r="AE53" s="721">
        <f t="shared" si="40"/>
        <v>0</v>
      </c>
      <c r="AF53" s="721">
        <f t="shared" si="40"/>
        <v>0</v>
      </c>
      <c r="AG53" s="721">
        <f t="shared" si="40"/>
        <v>0</v>
      </c>
      <c r="AH53" s="721">
        <f t="shared" si="40"/>
        <v>0</v>
      </c>
      <c r="AI53" s="721">
        <f t="shared" si="40"/>
        <v>0</v>
      </c>
      <c r="AJ53" s="721">
        <f t="shared" si="40"/>
        <v>0</v>
      </c>
      <c r="AK53" s="721">
        <f t="shared" si="40"/>
        <v>0</v>
      </c>
      <c r="AL53" s="721">
        <f t="shared" si="40"/>
        <v>0</v>
      </c>
      <c r="AM53" s="721">
        <f t="shared" si="41"/>
        <v>0</v>
      </c>
      <c r="AN53" s="721">
        <f t="shared" si="41"/>
        <v>0</v>
      </c>
      <c r="AO53" s="721">
        <f t="shared" si="41"/>
        <v>0</v>
      </c>
      <c r="AP53" s="721">
        <f t="shared" si="41"/>
        <v>0</v>
      </c>
      <c r="AQ53" s="721">
        <f t="shared" si="41"/>
        <v>0</v>
      </c>
      <c r="AR53" s="721">
        <f t="shared" si="41"/>
        <v>0</v>
      </c>
      <c r="AS53" s="721">
        <f t="shared" si="41"/>
        <v>0</v>
      </c>
      <c r="AT53" s="721">
        <f t="shared" si="41"/>
        <v>0</v>
      </c>
      <c r="AU53" s="721">
        <f t="shared" si="41"/>
        <v>0</v>
      </c>
      <c r="AV53" s="721">
        <f t="shared" si="41"/>
        <v>0</v>
      </c>
      <c r="AW53" s="721">
        <f t="shared" si="42"/>
        <v>0</v>
      </c>
      <c r="AX53" s="721">
        <f t="shared" si="42"/>
        <v>0</v>
      </c>
      <c r="AY53" s="721">
        <f t="shared" si="42"/>
        <v>0</v>
      </c>
      <c r="AZ53" s="721">
        <f t="shared" si="42"/>
        <v>0</v>
      </c>
      <c r="BA53" s="721">
        <f t="shared" si="42"/>
        <v>0</v>
      </c>
      <c r="BB53" s="721">
        <f t="shared" si="42"/>
        <v>0</v>
      </c>
      <c r="BC53" s="721">
        <f t="shared" si="42"/>
        <v>0</v>
      </c>
      <c r="BD53" s="721">
        <f t="shared" si="42"/>
        <v>0</v>
      </c>
      <c r="BE53" s="721">
        <f t="shared" si="42"/>
        <v>0</v>
      </c>
      <c r="BF53" s="721">
        <f t="shared" si="42"/>
        <v>0</v>
      </c>
      <c r="BG53" s="721">
        <f t="shared" si="43"/>
        <v>0</v>
      </c>
      <c r="BH53" s="721">
        <f t="shared" si="43"/>
        <v>0</v>
      </c>
      <c r="BI53" s="721">
        <f t="shared" si="43"/>
        <v>0</v>
      </c>
      <c r="BJ53" s="721">
        <f t="shared" si="43"/>
        <v>0</v>
      </c>
      <c r="BK53" s="721">
        <f t="shared" si="43"/>
        <v>0</v>
      </c>
      <c r="BL53" s="721">
        <f t="shared" si="43"/>
        <v>0</v>
      </c>
      <c r="BM53" s="721">
        <f t="shared" si="43"/>
        <v>0</v>
      </c>
      <c r="BN53" s="721">
        <f t="shared" si="43"/>
        <v>0</v>
      </c>
      <c r="BO53" s="721">
        <f t="shared" si="43"/>
        <v>0</v>
      </c>
      <c r="BP53" s="721">
        <f t="shared" si="43"/>
        <v>0</v>
      </c>
    </row>
    <row r="54" spans="1:68" x14ac:dyDescent="0.25">
      <c r="A54" s="997" t="s">
        <v>195</v>
      </c>
      <c r="B54" s="998"/>
      <c r="C54" s="385" t="str">
        <f>IF($B54&lt;&gt;"",VLOOKUP($B54,COSTS_Barbarian[#All],2),"")</f>
        <v/>
      </c>
      <c r="D54" s="999" t="str">
        <f>IF($B54&lt;&gt;"",VLOOKUP($B54,COSTS_Barbarian[#All],3)/24,"")</f>
        <v/>
      </c>
      <c r="E54" s="1000"/>
      <c r="F54" s="1001"/>
      <c r="G54" s="923" t="str">
        <f t="shared" si="37"/>
        <v/>
      </c>
      <c r="H54" s="920"/>
      <c r="I54" s="721">
        <f t="shared" si="38"/>
        <v>0</v>
      </c>
      <c r="J54" s="721">
        <f t="shared" si="38"/>
        <v>0</v>
      </c>
      <c r="K54" s="721">
        <f t="shared" si="38"/>
        <v>0</v>
      </c>
      <c r="L54" s="721">
        <f t="shared" si="38"/>
        <v>0</v>
      </c>
      <c r="M54" s="721">
        <f t="shared" si="38"/>
        <v>0</v>
      </c>
      <c r="N54" s="721">
        <f t="shared" si="38"/>
        <v>0</v>
      </c>
      <c r="O54" s="721">
        <f t="shared" si="38"/>
        <v>0</v>
      </c>
      <c r="P54" s="721">
        <f t="shared" si="38"/>
        <v>0</v>
      </c>
      <c r="Q54" s="721">
        <f t="shared" si="38"/>
        <v>0</v>
      </c>
      <c r="R54" s="721">
        <f t="shared" si="38"/>
        <v>0</v>
      </c>
      <c r="S54" s="721">
        <f t="shared" si="39"/>
        <v>0</v>
      </c>
      <c r="T54" s="721">
        <f t="shared" si="39"/>
        <v>0</v>
      </c>
      <c r="U54" s="721">
        <f t="shared" si="39"/>
        <v>0</v>
      </c>
      <c r="V54" s="721">
        <f t="shared" si="39"/>
        <v>0</v>
      </c>
      <c r="W54" s="721">
        <f t="shared" si="39"/>
        <v>0</v>
      </c>
      <c r="X54" s="721">
        <f t="shared" si="39"/>
        <v>0</v>
      </c>
      <c r="Y54" s="721">
        <f t="shared" si="39"/>
        <v>0</v>
      </c>
      <c r="Z54" s="721">
        <f t="shared" si="39"/>
        <v>0</v>
      </c>
      <c r="AA54" s="721">
        <f t="shared" si="39"/>
        <v>0</v>
      </c>
      <c r="AB54" s="721">
        <f t="shared" si="39"/>
        <v>0</v>
      </c>
      <c r="AC54" s="721">
        <f t="shared" si="40"/>
        <v>0</v>
      </c>
      <c r="AD54" s="721">
        <f t="shared" si="40"/>
        <v>0</v>
      </c>
      <c r="AE54" s="721">
        <f t="shared" si="40"/>
        <v>0</v>
      </c>
      <c r="AF54" s="721">
        <f t="shared" si="40"/>
        <v>0</v>
      </c>
      <c r="AG54" s="721">
        <f t="shared" si="40"/>
        <v>0</v>
      </c>
      <c r="AH54" s="721">
        <f t="shared" si="40"/>
        <v>0</v>
      </c>
      <c r="AI54" s="721">
        <f t="shared" si="40"/>
        <v>0</v>
      </c>
      <c r="AJ54" s="721">
        <f t="shared" si="40"/>
        <v>0</v>
      </c>
      <c r="AK54" s="721">
        <f t="shared" si="40"/>
        <v>0</v>
      </c>
      <c r="AL54" s="721">
        <f t="shared" si="40"/>
        <v>0</v>
      </c>
      <c r="AM54" s="721">
        <f t="shared" si="41"/>
        <v>0</v>
      </c>
      <c r="AN54" s="721">
        <f t="shared" si="41"/>
        <v>0</v>
      </c>
      <c r="AO54" s="721">
        <f t="shared" si="41"/>
        <v>0</v>
      </c>
      <c r="AP54" s="721">
        <f t="shared" si="41"/>
        <v>0</v>
      </c>
      <c r="AQ54" s="721">
        <f t="shared" si="41"/>
        <v>0</v>
      </c>
      <c r="AR54" s="721">
        <f t="shared" si="41"/>
        <v>0</v>
      </c>
      <c r="AS54" s="721">
        <f t="shared" si="41"/>
        <v>0</v>
      </c>
      <c r="AT54" s="721">
        <f t="shared" si="41"/>
        <v>0</v>
      </c>
      <c r="AU54" s="721">
        <f t="shared" si="41"/>
        <v>0</v>
      </c>
      <c r="AV54" s="721">
        <f t="shared" si="41"/>
        <v>0</v>
      </c>
      <c r="AW54" s="721">
        <f t="shared" si="42"/>
        <v>0</v>
      </c>
      <c r="AX54" s="721">
        <f t="shared" si="42"/>
        <v>0</v>
      </c>
      <c r="AY54" s="721">
        <f t="shared" si="42"/>
        <v>0</v>
      </c>
      <c r="AZ54" s="721">
        <f t="shared" si="42"/>
        <v>0</v>
      </c>
      <c r="BA54" s="721">
        <f t="shared" si="42"/>
        <v>0</v>
      </c>
      <c r="BB54" s="721">
        <f t="shared" si="42"/>
        <v>0</v>
      </c>
      <c r="BC54" s="721">
        <f t="shared" si="42"/>
        <v>0</v>
      </c>
      <c r="BD54" s="721">
        <f t="shared" si="42"/>
        <v>0</v>
      </c>
      <c r="BE54" s="721">
        <f t="shared" si="42"/>
        <v>0</v>
      </c>
      <c r="BF54" s="721">
        <f t="shared" si="42"/>
        <v>0</v>
      </c>
      <c r="BG54" s="721">
        <f t="shared" si="43"/>
        <v>0</v>
      </c>
      <c r="BH54" s="721">
        <f t="shared" si="43"/>
        <v>0</v>
      </c>
      <c r="BI54" s="721">
        <f t="shared" si="43"/>
        <v>0</v>
      </c>
      <c r="BJ54" s="721">
        <f t="shared" si="43"/>
        <v>0</v>
      </c>
      <c r="BK54" s="721">
        <f t="shared" si="43"/>
        <v>0</v>
      </c>
      <c r="BL54" s="721">
        <f t="shared" si="43"/>
        <v>0</v>
      </c>
      <c r="BM54" s="721">
        <f t="shared" si="43"/>
        <v>0</v>
      </c>
      <c r="BN54" s="721">
        <f t="shared" si="43"/>
        <v>0</v>
      </c>
      <c r="BO54" s="721">
        <f t="shared" si="43"/>
        <v>0</v>
      </c>
      <c r="BP54" s="721">
        <f t="shared" si="43"/>
        <v>0</v>
      </c>
    </row>
    <row r="55" spans="1:68" x14ac:dyDescent="0.25">
      <c r="A55" s="1002" t="s">
        <v>50</v>
      </c>
      <c r="B55" s="1003"/>
      <c r="C55" s="386" t="str">
        <f>IF($B55&lt;&gt;"",VLOOKUP($B55,COSTS_Archer[#All],2),"")</f>
        <v/>
      </c>
      <c r="D55" s="1004" t="str">
        <f>IF($B55&lt;&gt;"",VLOOKUP($B55,COSTS_Archer[#All],3)/24,"")</f>
        <v/>
      </c>
      <c r="E55" s="996"/>
      <c r="F55" s="1005"/>
      <c r="G55" s="924" t="str">
        <f t="shared" si="37"/>
        <v/>
      </c>
      <c r="H55" s="921"/>
      <c r="I55" s="721">
        <f t="shared" si="38"/>
        <v>0</v>
      </c>
      <c r="J55" s="721">
        <f t="shared" si="38"/>
        <v>0</v>
      </c>
      <c r="K55" s="721">
        <f t="shared" si="38"/>
        <v>0</v>
      </c>
      <c r="L55" s="721">
        <f t="shared" si="38"/>
        <v>0</v>
      </c>
      <c r="M55" s="721">
        <f t="shared" si="38"/>
        <v>0</v>
      </c>
      <c r="N55" s="721">
        <f t="shared" si="38"/>
        <v>0</v>
      </c>
      <c r="O55" s="721">
        <f t="shared" si="38"/>
        <v>0</v>
      </c>
      <c r="P55" s="721">
        <f t="shared" si="38"/>
        <v>0</v>
      </c>
      <c r="Q55" s="721">
        <f t="shared" si="38"/>
        <v>0</v>
      </c>
      <c r="R55" s="721">
        <f t="shared" si="38"/>
        <v>0</v>
      </c>
      <c r="S55" s="721">
        <f t="shared" si="39"/>
        <v>0</v>
      </c>
      <c r="T55" s="721">
        <f t="shared" si="39"/>
        <v>0</v>
      </c>
      <c r="U55" s="721">
        <f t="shared" si="39"/>
        <v>0</v>
      </c>
      <c r="V55" s="721">
        <f t="shared" si="39"/>
        <v>0</v>
      </c>
      <c r="W55" s="721">
        <f t="shared" si="39"/>
        <v>0</v>
      </c>
      <c r="X55" s="721">
        <f t="shared" si="39"/>
        <v>0</v>
      </c>
      <c r="Y55" s="721">
        <f t="shared" si="39"/>
        <v>0</v>
      </c>
      <c r="Z55" s="721">
        <f t="shared" si="39"/>
        <v>0</v>
      </c>
      <c r="AA55" s="721">
        <f t="shared" si="39"/>
        <v>0</v>
      </c>
      <c r="AB55" s="721">
        <f t="shared" si="39"/>
        <v>0</v>
      </c>
      <c r="AC55" s="721">
        <f t="shared" si="40"/>
        <v>0</v>
      </c>
      <c r="AD55" s="721">
        <f t="shared" si="40"/>
        <v>0</v>
      </c>
      <c r="AE55" s="721">
        <f t="shared" si="40"/>
        <v>0</v>
      </c>
      <c r="AF55" s="721">
        <f t="shared" si="40"/>
        <v>0</v>
      </c>
      <c r="AG55" s="721">
        <f t="shared" si="40"/>
        <v>0</v>
      </c>
      <c r="AH55" s="721">
        <f t="shared" si="40"/>
        <v>0</v>
      </c>
      <c r="AI55" s="721">
        <f t="shared" si="40"/>
        <v>0</v>
      </c>
      <c r="AJ55" s="721">
        <f t="shared" si="40"/>
        <v>0</v>
      </c>
      <c r="AK55" s="721">
        <f t="shared" si="40"/>
        <v>0</v>
      </c>
      <c r="AL55" s="721">
        <f t="shared" si="40"/>
        <v>0</v>
      </c>
      <c r="AM55" s="721">
        <f t="shared" si="41"/>
        <v>0</v>
      </c>
      <c r="AN55" s="721">
        <f t="shared" si="41"/>
        <v>0</v>
      </c>
      <c r="AO55" s="721">
        <f t="shared" si="41"/>
        <v>0</v>
      </c>
      <c r="AP55" s="721">
        <f t="shared" si="41"/>
        <v>0</v>
      </c>
      <c r="AQ55" s="721">
        <f t="shared" si="41"/>
        <v>0</v>
      </c>
      <c r="AR55" s="721">
        <f t="shared" si="41"/>
        <v>0</v>
      </c>
      <c r="AS55" s="721">
        <f t="shared" si="41"/>
        <v>0</v>
      </c>
      <c r="AT55" s="721">
        <f t="shared" si="41"/>
        <v>0</v>
      </c>
      <c r="AU55" s="721">
        <f t="shared" si="41"/>
        <v>0</v>
      </c>
      <c r="AV55" s="721">
        <f t="shared" si="41"/>
        <v>0</v>
      </c>
      <c r="AW55" s="721">
        <f t="shared" si="42"/>
        <v>0</v>
      </c>
      <c r="AX55" s="721">
        <f t="shared" si="42"/>
        <v>0</v>
      </c>
      <c r="AY55" s="721">
        <f t="shared" si="42"/>
        <v>0</v>
      </c>
      <c r="AZ55" s="721">
        <f t="shared" si="42"/>
        <v>0</v>
      </c>
      <c r="BA55" s="721">
        <f t="shared" si="42"/>
        <v>0</v>
      </c>
      <c r="BB55" s="721">
        <f t="shared" si="42"/>
        <v>0</v>
      </c>
      <c r="BC55" s="721">
        <f t="shared" si="42"/>
        <v>0</v>
      </c>
      <c r="BD55" s="721">
        <f t="shared" si="42"/>
        <v>0</v>
      </c>
      <c r="BE55" s="721">
        <f t="shared" si="42"/>
        <v>0</v>
      </c>
      <c r="BF55" s="721">
        <f t="shared" si="42"/>
        <v>0</v>
      </c>
      <c r="BG55" s="721">
        <f t="shared" si="43"/>
        <v>0</v>
      </c>
      <c r="BH55" s="721">
        <f t="shared" si="43"/>
        <v>0</v>
      </c>
      <c r="BI55" s="721">
        <f t="shared" si="43"/>
        <v>0</v>
      </c>
      <c r="BJ55" s="721">
        <f t="shared" si="43"/>
        <v>0</v>
      </c>
      <c r="BK55" s="721">
        <f t="shared" si="43"/>
        <v>0</v>
      </c>
      <c r="BL55" s="721">
        <f t="shared" si="43"/>
        <v>0</v>
      </c>
      <c r="BM55" s="721">
        <f t="shared" si="43"/>
        <v>0</v>
      </c>
      <c r="BN55" s="721">
        <f t="shared" si="43"/>
        <v>0</v>
      </c>
      <c r="BO55" s="721">
        <f t="shared" si="43"/>
        <v>0</v>
      </c>
      <c r="BP55" s="721">
        <f t="shared" si="43"/>
        <v>0</v>
      </c>
    </row>
    <row r="56" spans="1:68" x14ac:dyDescent="0.25">
      <c r="A56" s="1002" t="s">
        <v>189</v>
      </c>
      <c r="B56" s="1003"/>
      <c r="C56" s="386" t="str">
        <f>IF($B56&lt;&gt;"",VLOOKUP($B56,COSTS_Goblin[#All],2),"")</f>
        <v/>
      </c>
      <c r="D56" s="1004" t="str">
        <f>IF($B56&lt;&gt;"",VLOOKUP($B56,COSTS_Goblin[#All],3)/24,"")</f>
        <v/>
      </c>
      <c r="E56" s="996"/>
      <c r="F56" s="1005"/>
      <c r="G56" s="924" t="str">
        <f t="shared" si="37"/>
        <v/>
      </c>
      <c r="H56" s="921"/>
      <c r="I56" s="721">
        <f t="shared" si="38"/>
        <v>0</v>
      </c>
      <c r="J56" s="721">
        <f t="shared" si="38"/>
        <v>0</v>
      </c>
      <c r="K56" s="721">
        <f t="shared" si="38"/>
        <v>0</v>
      </c>
      <c r="L56" s="721">
        <f t="shared" si="38"/>
        <v>0</v>
      </c>
      <c r="M56" s="721">
        <f t="shared" si="38"/>
        <v>0</v>
      </c>
      <c r="N56" s="721">
        <f t="shared" si="38"/>
        <v>0</v>
      </c>
      <c r="O56" s="721">
        <f t="shared" si="38"/>
        <v>0</v>
      </c>
      <c r="P56" s="721">
        <f t="shared" si="38"/>
        <v>0</v>
      </c>
      <c r="Q56" s="721">
        <f t="shared" si="38"/>
        <v>0</v>
      </c>
      <c r="R56" s="721">
        <f t="shared" si="38"/>
        <v>0</v>
      </c>
      <c r="S56" s="721">
        <f t="shared" si="39"/>
        <v>0</v>
      </c>
      <c r="T56" s="721">
        <f t="shared" si="39"/>
        <v>0</v>
      </c>
      <c r="U56" s="721">
        <f t="shared" si="39"/>
        <v>0</v>
      </c>
      <c r="V56" s="721">
        <f t="shared" si="39"/>
        <v>0</v>
      </c>
      <c r="W56" s="721">
        <f t="shared" si="39"/>
        <v>0</v>
      </c>
      <c r="X56" s="721">
        <f t="shared" si="39"/>
        <v>0</v>
      </c>
      <c r="Y56" s="721">
        <f t="shared" si="39"/>
        <v>0</v>
      </c>
      <c r="Z56" s="721">
        <f t="shared" si="39"/>
        <v>0</v>
      </c>
      <c r="AA56" s="721">
        <f t="shared" si="39"/>
        <v>0</v>
      </c>
      <c r="AB56" s="721">
        <f t="shared" si="39"/>
        <v>0</v>
      </c>
      <c r="AC56" s="721">
        <f t="shared" si="40"/>
        <v>0</v>
      </c>
      <c r="AD56" s="721">
        <f t="shared" si="40"/>
        <v>0</v>
      </c>
      <c r="AE56" s="721">
        <f t="shared" si="40"/>
        <v>0</v>
      </c>
      <c r="AF56" s="721">
        <f t="shared" si="40"/>
        <v>0</v>
      </c>
      <c r="AG56" s="721">
        <f t="shared" si="40"/>
        <v>0</v>
      </c>
      <c r="AH56" s="721">
        <f t="shared" si="40"/>
        <v>0</v>
      </c>
      <c r="AI56" s="721">
        <f t="shared" si="40"/>
        <v>0</v>
      </c>
      <c r="AJ56" s="721">
        <f t="shared" si="40"/>
        <v>0</v>
      </c>
      <c r="AK56" s="721">
        <f t="shared" si="40"/>
        <v>0</v>
      </c>
      <c r="AL56" s="721">
        <f t="shared" si="40"/>
        <v>0</v>
      </c>
      <c r="AM56" s="721">
        <f t="shared" si="41"/>
        <v>0</v>
      </c>
      <c r="AN56" s="721">
        <f t="shared" si="41"/>
        <v>0</v>
      </c>
      <c r="AO56" s="721">
        <f t="shared" si="41"/>
        <v>0</v>
      </c>
      <c r="AP56" s="721">
        <f t="shared" si="41"/>
        <v>0</v>
      </c>
      <c r="AQ56" s="721">
        <f t="shared" si="41"/>
        <v>0</v>
      </c>
      <c r="AR56" s="721">
        <f t="shared" si="41"/>
        <v>0</v>
      </c>
      <c r="AS56" s="721">
        <f t="shared" si="41"/>
        <v>0</v>
      </c>
      <c r="AT56" s="721">
        <f t="shared" si="41"/>
        <v>0</v>
      </c>
      <c r="AU56" s="721">
        <f t="shared" si="41"/>
        <v>0</v>
      </c>
      <c r="AV56" s="721">
        <f t="shared" si="41"/>
        <v>0</v>
      </c>
      <c r="AW56" s="721">
        <f t="shared" si="42"/>
        <v>0</v>
      </c>
      <c r="AX56" s="721">
        <f t="shared" si="42"/>
        <v>0</v>
      </c>
      <c r="AY56" s="721">
        <f t="shared" si="42"/>
        <v>0</v>
      </c>
      <c r="AZ56" s="721">
        <f t="shared" si="42"/>
        <v>0</v>
      </c>
      <c r="BA56" s="721">
        <f t="shared" si="42"/>
        <v>0</v>
      </c>
      <c r="BB56" s="721">
        <f t="shared" si="42"/>
        <v>0</v>
      </c>
      <c r="BC56" s="721">
        <f t="shared" si="42"/>
        <v>0</v>
      </c>
      <c r="BD56" s="721">
        <f t="shared" si="42"/>
        <v>0</v>
      </c>
      <c r="BE56" s="721">
        <f t="shared" si="42"/>
        <v>0</v>
      </c>
      <c r="BF56" s="721">
        <f t="shared" si="42"/>
        <v>0</v>
      </c>
      <c r="BG56" s="721">
        <f t="shared" si="43"/>
        <v>0</v>
      </c>
      <c r="BH56" s="721">
        <f t="shared" si="43"/>
        <v>0</v>
      </c>
      <c r="BI56" s="721">
        <f t="shared" si="43"/>
        <v>0</v>
      </c>
      <c r="BJ56" s="721">
        <f t="shared" si="43"/>
        <v>0</v>
      </c>
      <c r="BK56" s="721">
        <f t="shared" si="43"/>
        <v>0</v>
      </c>
      <c r="BL56" s="721">
        <f t="shared" si="43"/>
        <v>0</v>
      </c>
      <c r="BM56" s="721">
        <f t="shared" si="43"/>
        <v>0</v>
      </c>
      <c r="BN56" s="721">
        <f t="shared" si="43"/>
        <v>0</v>
      </c>
      <c r="BO56" s="721">
        <f t="shared" si="43"/>
        <v>0</v>
      </c>
      <c r="BP56" s="721">
        <f t="shared" si="43"/>
        <v>0</v>
      </c>
    </row>
    <row r="57" spans="1:68" x14ac:dyDescent="0.25">
      <c r="A57" s="1002" t="s">
        <v>188</v>
      </c>
      <c r="B57" s="1003"/>
      <c r="C57" s="386" t="str">
        <f>IF($B57&lt;&gt;"",VLOOKUP($B57,COSTS_Giant[#All],2),"")</f>
        <v/>
      </c>
      <c r="D57" s="1004" t="str">
        <f>IF($B57&lt;&gt;"",VLOOKUP($B57,COSTS_Giant[#All],3)/24,"")</f>
        <v/>
      </c>
      <c r="E57" s="996"/>
      <c r="F57" s="1005"/>
      <c r="G57" s="924" t="str">
        <f t="shared" si="37"/>
        <v/>
      </c>
      <c r="H57" s="921"/>
      <c r="I57" s="721">
        <f t="shared" si="38"/>
        <v>0</v>
      </c>
      <c r="J57" s="721">
        <f t="shared" si="38"/>
        <v>0</v>
      </c>
      <c r="K57" s="721">
        <f t="shared" si="38"/>
        <v>0</v>
      </c>
      <c r="L57" s="721">
        <f t="shared" si="38"/>
        <v>0</v>
      </c>
      <c r="M57" s="721">
        <f t="shared" si="38"/>
        <v>0</v>
      </c>
      <c r="N57" s="721">
        <f t="shared" si="38"/>
        <v>0</v>
      </c>
      <c r="O57" s="721">
        <f t="shared" si="38"/>
        <v>0</v>
      </c>
      <c r="P57" s="721">
        <f t="shared" si="38"/>
        <v>0</v>
      </c>
      <c r="Q57" s="721">
        <f t="shared" si="38"/>
        <v>0</v>
      </c>
      <c r="R57" s="721">
        <f t="shared" si="38"/>
        <v>0</v>
      </c>
      <c r="S57" s="721">
        <f t="shared" si="39"/>
        <v>0</v>
      </c>
      <c r="T57" s="721">
        <f t="shared" si="39"/>
        <v>0</v>
      </c>
      <c r="U57" s="721">
        <f t="shared" si="39"/>
        <v>0</v>
      </c>
      <c r="V57" s="721">
        <f t="shared" si="39"/>
        <v>0</v>
      </c>
      <c r="W57" s="721">
        <f t="shared" si="39"/>
        <v>0</v>
      </c>
      <c r="X57" s="721">
        <f t="shared" si="39"/>
        <v>0</v>
      </c>
      <c r="Y57" s="721">
        <f t="shared" si="39"/>
        <v>0</v>
      </c>
      <c r="Z57" s="721">
        <f t="shared" si="39"/>
        <v>0</v>
      </c>
      <c r="AA57" s="721">
        <f t="shared" si="39"/>
        <v>0</v>
      </c>
      <c r="AB57" s="721">
        <f t="shared" si="39"/>
        <v>0</v>
      </c>
      <c r="AC57" s="721">
        <f t="shared" si="40"/>
        <v>0</v>
      </c>
      <c r="AD57" s="721">
        <f t="shared" si="40"/>
        <v>0</v>
      </c>
      <c r="AE57" s="721">
        <f t="shared" si="40"/>
        <v>0</v>
      </c>
      <c r="AF57" s="721">
        <f t="shared" si="40"/>
        <v>0</v>
      </c>
      <c r="AG57" s="721">
        <f t="shared" si="40"/>
        <v>0</v>
      </c>
      <c r="AH57" s="721">
        <f t="shared" si="40"/>
        <v>0</v>
      </c>
      <c r="AI57" s="721">
        <f t="shared" si="40"/>
        <v>0</v>
      </c>
      <c r="AJ57" s="721">
        <f t="shared" si="40"/>
        <v>0</v>
      </c>
      <c r="AK57" s="721">
        <f t="shared" si="40"/>
        <v>0</v>
      </c>
      <c r="AL57" s="721">
        <f t="shared" si="40"/>
        <v>0</v>
      </c>
      <c r="AM57" s="721">
        <f t="shared" si="41"/>
        <v>0</v>
      </c>
      <c r="AN57" s="721">
        <f t="shared" si="41"/>
        <v>0</v>
      </c>
      <c r="AO57" s="721">
        <f t="shared" si="41"/>
        <v>0</v>
      </c>
      <c r="AP57" s="721">
        <f t="shared" si="41"/>
        <v>0</v>
      </c>
      <c r="AQ57" s="721">
        <f t="shared" si="41"/>
        <v>0</v>
      </c>
      <c r="AR57" s="721">
        <f t="shared" si="41"/>
        <v>0</v>
      </c>
      <c r="AS57" s="721">
        <f t="shared" si="41"/>
        <v>0</v>
      </c>
      <c r="AT57" s="721">
        <f t="shared" si="41"/>
        <v>0</v>
      </c>
      <c r="AU57" s="721">
        <f t="shared" si="41"/>
        <v>0</v>
      </c>
      <c r="AV57" s="721">
        <f t="shared" si="41"/>
        <v>0</v>
      </c>
      <c r="AW57" s="721">
        <f t="shared" si="42"/>
        <v>0</v>
      </c>
      <c r="AX57" s="721">
        <f t="shared" si="42"/>
        <v>0</v>
      </c>
      <c r="AY57" s="721">
        <f t="shared" si="42"/>
        <v>0</v>
      </c>
      <c r="AZ57" s="721">
        <f t="shared" si="42"/>
        <v>0</v>
      </c>
      <c r="BA57" s="721">
        <f t="shared" si="42"/>
        <v>0</v>
      </c>
      <c r="BB57" s="721">
        <f t="shared" si="42"/>
        <v>0</v>
      </c>
      <c r="BC57" s="721">
        <f t="shared" si="42"/>
        <v>0</v>
      </c>
      <c r="BD57" s="721">
        <f t="shared" si="42"/>
        <v>0</v>
      </c>
      <c r="BE57" s="721">
        <f t="shared" si="42"/>
        <v>0</v>
      </c>
      <c r="BF57" s="721">
        <f t="shared" si="42"/>
        <v>0</v>
      </c>
      <c r="BG57" s="721">
        <f t="shared" si="43"/>
        <v>0</v>
      </c>
      <c r="BH57" s="721">
        <f t="shared" si="43"/>
        <v>0</v>
      </c>
      <c r="BI57" s="721">
        <f t="shared" si="43"/>
        <v>0</v>
      </c>
      <c r="BJ57" s="721">
        <f t="shared" si="43"/>
        <v>0</v>
      </c>
      <c r="BK57" s="721">
        <f t="shared" si="43"/>
        <v>0</v>
      </c>
      <c r="BL57" s="721">
        <f t="shared" si="43"/>
        <v>0</v>
      </c>
      <c r="BM57" s="721">
        <f t="shared" si="43"/>
        <v>0</v>
      </c>
      <c r="BN57" s="721">
        <f t="shared" si="43"/>
        <v>0</v>
      </c>
      <c r="BO57" s="721">
        <f t="shared" si="43"/>
        <v>0</v>
      </c>
      <c r="BP57" s="721">
        <f t="shared" si="43"/>
        <v>0</v>
      </c>
    </row>
    <row r="58" spans="1:68" x14ac:dyDescent="0.25">
      <c r="A58" s="1002" t="s">
        <v>187</v>
      </c>
      <c r="B58" s="1003"/>
      <c r="C58" s="386" t="str">
        <f>IF($B58&lt;&gt;"",VLOOKUP($B58,COSTS_Wall_Breaker[#All],2),"")</f>
        <v/>
      </c>
      <c r="D58" s="1004" t="str">
        <f>IF($B58&lt;&gt;"",VLOOKUP($B58,COSTS_Wall_Breaker[#All],3)/24,"")</f>
        <v/>
      </c>
      <c r="E58" s="996"/>
      <c r="F58" s="1005"/>
      <c r="G58" s="924" t="str">
        <f t="shared" si="37"/>
        <v/>
      </c>
      <c r="H58" s="921"/>
      <c r="I58" s="721">
        <f t="shared" ref="I58:R65" si="44">IF(ISERROR(Plan),0,0)</f>
        <v>0</v>
      </c>
      <c r="J58" s="721">
        <f t="shared" si="44"/>
        <v>0</v>
      </c>
      <c r="K58" s="721">
        <f t="shared" si="44"/>
        <v>0</v>
      </c>
      <c r="L58" s="721">
        <f t="shared" si="44"/>
        <v>0</v>
      </c>
      <c r="M58" s="721">
        <f t="shared" si="44"/>
        <v>0</v>
      </c>
      <c r="N58" s="721">
        <f t="shared" si="44"/>
        <v>0</v>
      </c>
      <c r="O58" s="721">
        <f t="shared" si="44"/>
        <v>0</v>
      </c>
      <c r="P58" s="721">
        <f t="shared" si="44"/>
        <v>0</v>
      </c>
      <c r="Q58" s="721">
        <f t="shared" si="44"/>
        <v>0</v>
      </c>
      <c r="R58" s="721">
        <f t="shared" si="44"/>
        <v>0</v>
      </c>
      <c r="S58" s="721">
        <f t="shared" ref="S58:AB65" si="45">IF(ISERROR(Plan),0,0)</f>
        <v>0</v>
      </c>
      <c r="T58" s="721">
        <f t="shared" si="45"/>
        <v>0</v>
      </c>
      <c r="U58" s="721">
        <f t="shared" si="45"/>
        <v>0</v>
      </c>
      <c r="V58" s="721">
        <f t="shared" si="45"/>
        <v>0</v>
      </c>
      <c r="W58" s="721">
        <f t="shared" si="45"/>
        <v>0</v>
      </c>
      <c r="X58" s="721">
        <f t="shared" si="45"/>
        <v>0</v>
      </c>
      <c r="Y58" s="721">
        <f t="shared" si="45"/>
        <v>0</v>
      </c>
      <c r="Z58" s="721">
        <f t="shared" si="45"/>
        <v>0</v>
      </c>
      <c r="AA58" s="721">
        <f t="shared" si="45"/>
        <v>0</v>
      </c>
      <c r="AB58" s="721">
        <f t="shared" si="45"/>
        <v>0</v>
      </c>
      <c r="AC58" s="721">
        <f t="shared" ref="AC58:AL65" si="46">IF(ISERROR(Plan),0,0)</f>
        <v>0</v>
      </c>
      <c r="AD58" s="721">
        <f t="shared" si="46"/>
        <v>0</v>
      </c>
      <c r="AE58" s="721">
        <f t="shared" si="46"/>
        <v>0</v>
      </c>
      <c r="AF58" s="721">
        <f t="shared" si="46"/>
        <v>0</v>
      </c>
      <c r="AG58" s="721">
        <f t="shared" si="46"/>
        <v>0</v>
      </c>
      <c r="AH58" s="721">
        <f t="shared" si="46"/>
        <v>0</v>
      </c>
      <c r="AI58" s="721">
        <f t="shared" si="46"/>
        <v>0</v>
      </c>
      <c r="AJ58" s="721">
        <f t="shared" si="46"/>
        <v>0</v>
      </c>
      <c r="AK58" s="721">
        <f t="shared" si="46"/>
        <v>0</v>
      </c>
      <c r="AL58" s="721">
        <f t="shared" si="46"/>
        <v>0</v>
      </c>
      <c r="AM58" s="721">
        <f t="shared" ref="AM58:AV65" si="47">IF(ISERROR(Plan),0,0)</f>
        <v>0</v>
      </c>
      <c r="AN58" s="721">
        <f t="shared" si="47"/>
        <v>0</v>
      </c>
      <c r="AO58" s="721">
        <f t="shared" si="47"/>
        <v>0</v>
      </c>
      <c r="AP58" s="721">
        <f t="shared" si="47"/>
        <v>0</v>
      </c>
      <c r="AQ58" s="721">
        <f t="shared" si="47"/>
        <v>0</v>
      </c>
      <c r="AR58" s="721">
        <f t="shared" si="47"/>
        <v>0</v>
      </c>
      <c r="AS58" s="721">
        <f t="shared" si="47"/>
        <v>0</v>
      </c>
      <c r="AT58" s="721">
        <f t="shared" si="47"/>
        <v>0</v>
      </c>
      <c r="AU58" s="721">
        <f t="shared" si="47"/>
        <v>0</v>
      </c>
      <c r="AV58" s="721">
        <f t="shared" si="47"/>
        <v>0</v>
      </c>
      <c r="AW58" s="721">
        <f t="shared" ref="AW58:BF65" si="48">IF(ISERROR(Plan),0,0)</f>
        <v>0</v>
      </c>
      <c r="AX58" s="721">
        <f t="shared" si="48"/>
        <v>0</v>
      </c>
      <c r="AY58" s="721">
        <f t="shared" si="48"/>
        <v>0</v>
      </c>
      <c r="AZ58" s="721">
        <f t="shared" si="48"/>
        <v>0</v>
      </c>
      <c r="BA58" s="721">
        <f t="shared" si="48"/>
        <v>0</v>
      </c>
      <c r="BB58" s="721">
        <f t="shared" si="48"/>
        <v>0</v>
      </c>
      <c r="BC58" s="721">
        <f t="shared" si="48"/>
        <v>0</v>
      </c>
      <c r="BD58" s="721">
        <f t="shared" si="48"/>
        <v>0</v>
      </c>
      <c r="BE58" s="721">
        <f t="shared" si="48"/>
        <v>0</v>
      </c>
      <c r="BF58" s="721">
        <f t="shared" si="48"/>
        <v>0</v>
      </c>
      <c r="BG58" s="721">
        <f t="shared" ref="BG58:BP65" si="49">IF(ISERROR(Plan),0,0)</f>
        <v>0</v>
      </c>
      <c r="BH58" s="721">
        <f t="shared" si="49"/>
        <v>0</v>
      </c>
      <c r="BI58" s="721">
        <f t="shared" si="49"/>
        <v>0</v>
      </c>
      <c r="BJ58" s="721">
        <f t="shared" si="49"/>
        <v>0</v>
      </c>
      <c r="BK58" s="721">
        <f t="shared" si="49"/>
        <v>0</v>
      </c>
      <c r="BL58" s="721">
        <f t="shared" si="49"/>
        <v>0</v>
      </c>
      <c r="BM58" s="721">
        <f t="shared" si="49"/>
        <v>0</v>
      </c>
      <c r="BN58" s="721">
        <f t="shared" si="49"/>
        <v>0</v>
      </c>
      <c r="BO58" s="721">
        <f t="shared" si="49"/>
        <v>0</v>
      </c>
      <c r="BP58" s="721">
        <f t="shared" si="49"/>
        <v>0</v>
      </c>
    </row>
    <row r="59" spans="1:68" x14ac:dyDescent="0.25">
      <c r="A59" s="1002" t="s">
        <v>186</v>
      </c>
      <c r="B59" s="1003"/>
      <c r="C59" s="386" t="str">
        <f>IF($B59&lt;&gt;"",VLOOKUP($B59,COSTS_Balloon[#All],2),"")</f>
        <v/>
      </c>
      <c r="D59" s="1004" t="str">
        <f>IF($B59&lt;&gt;"",VLOOKUP($B59,COSTS_Balloon[#All],3)/24,"")</f>
        <v/>
      </c>
      <c r="E59" s="996"/>
      <c r="F59" s="1005"/>
      <c r="G59" s="924" t="str">
        <f t="shared" si="37"/>
        <v/>
      </c>
      <c r="H59" s="921"/>
      <c r="I59" s="721">
        <f t="shared" si="44"/>
        <v>0</v>
      </c>
      <c r="J59" s="721">
        <f t="shared" si="44"/>
        <v>0</v>
      </c>
      <c r="K59" s="721">
        <f t="shared" si="44"/>
        <v>0</v>
      </c>
      <c r="L59" s="721">
        <f t="shared" si="44"/>
        <v>0</v>
      </c>
      <c r="M59" s="721">
        <f t="shared" si="44"/>
        <v>0</v>
      </c>
      <c r="N59" s="721">
        <f t="shared" si="44"/>
        <v>0</v>
      </c>
      <c r="O59" s="721">
        <f t="shared" si="44"/>
        <v>0</v>
      </c>
      <c r="P59" s="721">
        <f t="shared" si="44"/>
        <v>0</v>
      </c>
      <c r="Q59" s="721">
        <f t="shared" si="44"/>
        <v>0</v>
      </c>
      <c r="R59" s="721">
        <f t="shared" si="44"/>
        <v>0</v>
      </c>
      <c r="S59" s="721">
        <f t="shared" si="45"/>
        <v>0</v>
      </c>
      <c r="T59" s="721">
        <f t="shared" si="45"/>
        <v>0</v>
      </c>
      <c r="U59" s="721">
        <f t="shared" si="45"/>
        <v>0</v>
      </c>
      <c r="V59" s="721">
        <f t="shared" si="45"/>
        <v>0</v>
      </c>
      <c r="W59" s="721">
        <f t="shared" si="45"/>
        <v>0</v>
      </c>
      <c r="X59" s="721">
        <f t="shared" si="45"/>
        <v>0</v>
      </c>
      <c r="Y59" s="721">
        <f t="shared" si="45"/>
        <v>0</v>
      </c>
      <c r="Z59" s="721">
        <f t="shared" si="45"/>
        <v>0</v>
      </c>
      <c r="AA59" s="721">
        <f t="shared" si="45"/>
        <v>0</v>
      </c>
      <c r="AB59" s="721">
        <f t="shared" si="45"/>
        <v>0</v>
      </c>
      <c r="AC59" s="721">
        <f t="shared" si="46"/>
        <v>0</v>
      </c>
      <c r="AD59" s="721">
        <f t="shared" si="46"/>
        <v>0</v>
      </c>
      <c r="AE59" s="721">
        <f t="shared" si="46"/>
        <v>0</v>
      </c>
      <c r="AF59" s="721">
        <f t="shared" si="46"/>
        <v>0</v>
      </c>
      <c r="AG59" s="721">
        <f t="shared" si="46"/>
        <v>0</v>
      </c>
      <c r="AH59" s="721">
        <f t="shared" si="46"/>
        <v>0</v>
      </c>
      <c r="AI59" s="721">
        <f t="shared" si="46"/>
        <v>0</v>
      </c>
      <c r="AJ59" s="721">
        <f t="shared" si="46"/>
        <v>0</v>
      </c>
      <c r="AK59" s="721">
        <f t="shared" si="46"/>
        <v>0</v>
      </c>
      <c r="AL59" s="721">
        <f t="shared" si="46"/>
        <v>0</v>
      </c>
      <c r="AM59" s="721">
        <f t="shared" si="47"/>
        <v>0</v>
      </c>
      <c r="AN59" s="721">
        <f t="shared" si="47"/>
        <v>0</v>
      </c>
      <c r="AO59" s="721">
        <f t="shared" si="47"/>
        <v>0</v>
      </c>
      <c r="AP59" s="721">
        <f t="shared" si="47"/>
        <v>0</v>
      </c>
      <c r="AQ59" s="721">
        <f t="shared" si="47"/>
        <v>0</v>
      </c>
      <c r="AR59" s="721">
        <f t="shared" si="47"/>
        <v>0</v>
      </c>
      <c r="AS59" s="721">
        <f t="shared" si="47"/>
        <v>0</v>
      </c>
      <c r="AT59" s="721">
        <f t="shared" si="47"/>
        <v>0</v>
      </c>
      <c r="AU59" s="721">
        <f t="shared" si="47"/>
        <v>0</v>
      </c>
      <c r="AV59" s="721">
        <f t="shared" si="47"/>
        <v>0</v>
      </c>
      <c r="AW59" s="721">
        <f t="shared" si="48"/>
        <v>0</v>
      </c>
      <c r="AX59" s="721">
        <f t="shared" si="48"/>
        <v>0</v>
      </c>
      <c r="AY59" s="721">
        <f t="shared" si="48"/>
        <v>0</v>
      </c>
      <c r="AZ59" s="721">
        <f t="shared" si="48"/>
        <v>0</v>
      </c>
      <c r="BA59" s="721">
        <f t="shared" si="48"/>
        <v>0</v>
      </c>
      <c r="BB59" s="721">
        <f t="shared" si="48"/>
        <v>0</v>
      </c>
      <c r="BC59" s="721">
        <f t="shared" si="48"/>
        <v>0</v>
      </c>
      <c r="BD59" s="721">
        <f t="shared" si="48"/>
        <v>0</v>
      </c>
      <c r="BE59" s="721">
        <f t="shared" si="48"/>
        <v>0</v>
      </c>
      <c r="BF59" s="721">
        <f t="shared" si="48"/>
        <v>0</v>
      </c>
      <c r="BG59" s="721">
        <f t="shared" si="49"/>
        <v>0</v>
      </c>
      <c r="BH59" s="721">
        <f t="shared" si="49"/>
        <v>0</v>
      </c>
      <c r="BI59" s="721">
        <f t="shared" si="49"/>
        <v>0</v>
      </c>
      <c r="BJ59" s="721">
        <f t="shared" si="49"/>
        <v>0</v>
      </c>
      <c r="BK59" s="721">
        <f t="shared" si="49"/>
        <v>0</v>
      </c>
      <c r="BL59" s="721">
        <f t="shared" si="49"/>
        <v>0</v>
      </c>
      <c r="BM59" s="721">
        <f t="shared" si="49"/>
        <v>0</v>
      </c>
      <c r="BN59" s="721">
        <f t="shared" si="49"/>
        <v>0</v>
      </c>
      <c r="BO59" s="721">
        <f t="shared" si="49"/>
        <v>0</v>
      </c>
      <c r="BP59" s="721">
        <f t="shared" si="49"/>
        <v>0</v>
      </c>
    </row>
    <row r="60" spans="1:68" x14ac:dyDescent="0.25">
      <c r="A60" s="1002" t="s">
        <v>185</v>
      </c>
      <c r="B60" s="1003"/>
      <c r="C60" s="386" t="str">
        <f>IF($B60&lt;&gt;"",VLOOKUP($B60,COSTS_Wizard[#All],2),"")</f>
        <v/>
      </c>
      <c r="D60" s="1004" t="str">
        <f>IF($B60&lt;&gt;"",VLOOKUP($B60,COSTS_Wizard[#All],3)/24,"")</f>
        <v/>
      </c>
      <c r="E60" s="996"/>
      <c r="F60" s="1005"/>
      <c r="G60" s="924" t="str">
        <f t="shared" si="37"/>
        <v/>
      </c>
      <c r="H60" s="921"/>
      <c r="I60" s="721">
        <f t="shared" si="44"/>
        <v>0</v>
      </c>
      <c r="J60" s="721">
        <f t="shared" si="44"/>
        <v>0</v>
      </c>
      <c r="K60" s="721">
        <f t="shared" si="44"/>
        <v>0</v>
      </c>
      <c r="L60" s="721">
        <f t="shared" si="44"/>
        <v>0</v>
      </c>
      <c r="M60" s="721">
        <f t="shared" si="44"/>
        <v>0</v>
      </c>
      <c r="N60" s="721">
        <f t="shared" si="44"/>
        <v>0</v>
      </c>
      <c r="O60" s="721">
        <f t="shared" si="44"/>
        <v>0</v>
      </c>
      <c r="P60" s="721">
        <f t="shared" si="44"/>
        <v>0</v>
      </c>
      <c r="Q60" s="721">
        <f t="shared" si="44"/>
        <v>0</v>
      </c>
      <c r="R60" s="721">
        <f t="shared" si="44"/>
        <v>0</v>
      </c>
      <c r="S60" s="721">
        <f t="shared" si="45"/>
        <v>0</v>
      </c>
      <c r="T60" s="721">
        <f t="shared" si="45"/>
        <v>0</v>
      </c>
      <c r="U60" s="721">
        <f t="shared" si="45"/>
        <v>0</v>
      </c>
      <c r="V60" s="721">
        <f t="shared" si="45"/>
        <v>0</v>
      </c>
      <c r="W60" s="721">
        <f t="shared" si="45"/>
        <v>0</v>
      </c>
      <c r="X60" s="721">
        <f t="shared" si="45"/>
        <v>0</v>
      </c>
      <c r="Y60" s="721">
        <f t="shared" si="45"/>
        <v>0</v>
      </c>
      <c r="Z60" s="721">
        <f t="shared" si="45"/>
        <v>0</v>
      </c>
      <c r="AA60" s="721">
        <f t="shared" si="45"/>
        <v>0</v>
      </c>
      <c r="AB60" s="721">
        <f t="shared" si="45"/>
        <v>0</v>
      </c>
      <c r="AC60" s="721">
        <f t="shared" si="46"/>
        <v>0</v>
      </c>
      <c r="AD60" s="721">
        <f t="shared" si="46"/>
        <v>0</v>
      </c>
      <c r="AE60" s="721">
        <f t="shared" si="46"/>
        <v>0</v>
      </c>
      <c r="AF60" s="721">
        <f t="shared" si="46"/>
        <v>0</v>
      </c>
      <c r="AG60" s="721">
        <f t="shared" si="46"/>
        <v>0</v>
      </c>
      <c r="AH60" s="721">
        <f t="shared" si="46"/>
        <v>0</v>
      </c>
      <c r="AI60" s="721">
        <f t="shared" si="46"/>
        <v>0</v>
      </c>
      <c r="AJ60" s="721">
        <f t="shared" si="46"/>
        <v>0</v>
      </c>
      <c r="AK60" s="721">
        <f t="shared" si="46"/>
        <v>0</v>
      </c>
      <c r="AL60" s="721">
        <f t="shared" si="46"/>
        <v>0</v>
      </c>
      <c r="AM60" s="721">
        <f t="shared" si="47"/>
        <v>0</v>
      </c>
      <c r="AN60" s="721">
        <f t="shared" si="47"/>
        <v>0</v>
      </c>
      <c r="AO60" s="721">
        <f t="shared" si="47"/>
        <v>0</v>
      </c>
      <c r="AP60" s="721">
        <f t="shared" si="47"/>
        <v>0</v>
      </c>
      <c r="AQ60" s="721">
        <f t="shared" si="47"/>
        <v>0</v>
      </c>
      <c r="AR60" s="721">
        <f t="shared" si="47"/>
        <v>0</v>
      </c>
      <c r="AS60" s="721">
        <f t="shared" si="47"/>
        <v>0</v>
      </c>
      <c r="AT60" s="721">
        <f t="shared" si="47"/>
        <v>0</v>
      </c>
      <c r="AU60" s="721">
        <f t="shared" si="47"/>
        <v>0</v>
      </c>
      <c r="AV60" s="721">
        <f t="shared" si="47"/>
        <v>0</v>
      </c>
      <c r="AW60" s="721">
        <f t="shared" si="48"/>
        <v>0</v>
      </c>
      <c r="AX60" s="721">
        <f t="shared" si="48"/>
        <v>0</v>
      </c>
      <c r="AY60" s="721">
        <f t="shared" si="48"/>
        <v>0</v>
      </c>
      <c r="AZ60" s="721">
        <f t="shared" si="48"/>
        <v>0</v>
      </c>
      <c r="BA60" s="721">
        <f t="shared" si="48"/>
        <v>0</v>
      </c>
      <c r="BB60" s="721">
        <f t="shared" si="48"/>
        <v>0</v>
      </c>
      <c r="BC60" s="721">
        <f t="shared" si="48"/>
        <v>0</v>
      </c>
      <c r="BD60" s="721">
        <f t="shared" si="48"/>
        <v>0</v>
      </c>
      <c r="BE60" s="721">
        <f t="shared" si="48"/>
        <v>0</v>
      </c>
      <c r="BF60" s="721">
        <f t="shared" si="48"/>
        <v>0</v>
      </c>
      <c r="BG60" s="721">
        <f t="shared" si="49"/>
        <v>0</v>
      </c>
      <c r="BH60" s="721">
        <f t="shared" si="49"/>
        <v>0</v>
      </c>
      <c r="BI60" s="721">
        <f t="shared" si="49"/>
        <v>0</v>
      </c>
      <c r="BJ60" s="721">
        <f t="shared" si="49"/>
        <v>0</v>
      </c>
      <c r="BK60" s="721">
        <f t="shared" si="49"/>
        <v>0</v>
      </c>
      <c r="BL60" s="721">
        <f t="shared" si="49"/>
        <v>0</v>
      </c>
      <c r="BM60" s="721">
        <f t="shared" si="49"/>
        <v>0</v>
      </c>
      <c r="BN60" s="721">
        <f t="shared" si="49"/>
        <v>0</v>
      </c>
      <c r="BO60" s="721">
        <f t="shared" si="49"/>
        <v>0</v>
      </c>
      <c r="BP60" s="721">
        <f t="shared" si="49"/>
        <v>0</v>
      </c>
    </row>
    <row r="61" spans="1:68" x14ac:dyDescent="0.25">
      <c r="A61" s="1002" t="s">
        <v>184</v>
      </c>
      <c r="B61" s="1003"/>
      <c r="C61" s="386" t="str">
        <f>IF($B61&lt;&gt;"",VLOOKUP($B61,COSTS_Healer[#All],2),"")</f>
        <v/>
      </c>
      <c r="D61" s="1004" t="str">
        <f>IF($B61&lt;&gt;"",VLOOKUP($B61,COSTS_Healer[#All],3)/24,"")</f>
        <v/>
      </c>
      <c r="E61" s="996"/>
      <c r="F61" s="1005"/>
      <c r="G61" s="924" t="str">
        <f t="shared" si="37"/>
        <v/>
      </c>
      <c r="H61" s="921"/>
      <c r="I61" s="721">
        <f t="shared" si="44"/>
        <v>0</v>
      </c>
      <c r="J61" s="721">
        <f t="shared" si="44"/>
        <v>0</v>
      </c>
      <c r="K61" s="721">
        <f t="shared" si="44"/>
        <v>0</v>
      </c>
      <c r="L61" s="721">
        <f t="shared" si="44"/>
        <v>0</v>
      </c>
      <c r="M61" s="721">
        <f t="shared" si="44"/>
        <v>0</v>
      </c>
      <c r="N61" s="721">
        <f t="shared" si="44"/>
        <v>0</v>
      </c>
      <c r="O61" s="721">
        <f t="shared" si="44"/>
        <v>0</v>
      </c>
      <c r="P61" s="721">
        <f t="shared" si="44"/>
        <v>0</v>
      </c>
      <c r="Q61" s="721">
        <f t="shared" si="44"/>
        <v>0</v>
      </c>
      <c r="R61" s="721">
        <f t="shared" si="44"/>
        <v>0</v>
      </c>
      <c r="S61" s="721">
        <f t="shared" si="45"/>
        <v>0</v>
      </c>
      <c r="T61" s="721">
        <f t="shared" si="45"/>
        <v>0</v>
      </c>
      <c r="U61" s="721">
        <f t="shared" si="45"/>
        <v>0</v>
      </c>
      <c r="V61" s="721">
        <f t="shared" si="45"/>
        <v>0</v>
      </c>
      <c r="W61" s="721">
        <f t="shared" si="45"/>
        <v>0</v>
      </c>
      <c r="X61" s="721">
        <f t="shared" si="45"/>
        <v>0</v>
      </c>
      <c r="Y61" s="721">
        <f t="shared" si="45"/>
        <v>0</v>
      </c>
      <c r="Z61" s="721">
        <f t="shared" si="45"/>
        <v>0</v>
      </c>
      <c r="AA61" s="721">
        <f t="shared" si="45"/>
        <v>0</v>
      </c>
      <c r="AB61" s="721">
        <f t="shared" si="45"/>
        <v>0</v>
      </c>
      <c r="AC61" s="721">
        <f t="shared" si="46"/>
        <v>0</v>
      </c>
      <c r="AD61" s="721">
        <f t="shared" si="46"/>
        <v>0</v>
      </c>
      <c r="AE61" s="721">
        <f t="shared" si="46"/>
        <v>0</v>
      </c>
      <c r="AF61" s="721">
        <f t="shared" si="46"/>
        <v>0</v>
      </c>
      <c r="AG61" s="721">
        <f t="shared" si="46"/>
        <v>0</v>
      </c>
      <c r="AH61" s="721">
        <f t="shared" si="46"/>
        <v>0</v>
      </c>
      <c r="AI61" s="721">
        <f t="shared" si="46"/>
        <v>0</v>
      </c>
      <c r="AJ61" s="721">
        <f t="shared" si="46"/>
        <v>0</v>
      </c>
      <c r="AK61" s="721">
        <f t="shared" si="46"/>
        <v>0</v>
      </c>
      <c r="AL61" s="721">
        <f t="shared" si="46"/>
        <v>0</v>
      </c>
      <c r="AM61" s="721">
        <f t="shared" si="47"/>
        <v>0</v>
      </c>
      <c r="AN61" s="721">
        <f t="shared" si="47"/>
        <v>0</v>
      </c>
      <c r="AO61" s="721">
        <f t="shared" si="47"/>
        <v>0</v>
      </c>
      <c r="AP61" s="721">
        <f t="shared" si="47"/>
        <v>0</v>
      </c>
      <c r="AQ61" s="721">
        <f t="shared" si="47"/>
        <v>0</v>
      </c>
      <c r="AR61" s="721">
        <f t="shared" si="47"/>
        <v>0</v>
      </c>
      <c r="AS61" s="721">
        <f t="shared" si="47"/>
        <v>0</v>
      </c>
      <c r="AT61" s="721">
        <f t="shared" si="47"/>
        <v>0</v>
      </c>
      <c r="AU61" s="721">
        <f t="shared" si="47"/>
        <v>0</v>
      </c>
      <c r="AV61" s="721">
        <f t="shared" si="47"/>
        <v>0</v>
      </c>
      <c r="AW61" s="721">
        <f t="shared" si="48"/>
        <v>0</v>
      </c>
      <c r="AX61" s="721">
        <f t="shared" si="48"/>
        <v>0</v>
      </c>
      <c r="AY61" s="721">
        <f t="shared" si="48"/>
        <v>0</v>
      </c>
      <c r="AZ61" s="721">
        <f t="shared" si="48"/>
        <v>0</v>
      </c>
      <c r="BA61" s="721">
        <f t="shared" si="48"/>
        <v>0</v>
      </c>
      <c r="BB61" s="721">
        <f t="shared" si="48"/>
        <v>0</v>
      </c>
      <c r="BC61" s="721">
        <f t="shared" si="48"/>
        <v>0</v>
      </c>
      <c r="BD61" s="721">
        <f t="shared" si="48"/>
        <v>0</v>
      </c>
      <c r="BE61" s="721">
        <f t="shared" si="48"/>
        <v>0</v>
      </c>
      <c r="BF61" s="721">
        <f t="shared" si="48"/>
        <v>0</v>
      </c>
      <c r="BG61" s="721">
        <f t="shared" si="49"/>
        <v>0</v>
      </c>
      <c r="BH61" s="721">
        <f t="shared" si="49"/>
        <v>0</v>
      </c>
      <c r="BI61" s="721">
        <f t="shared" si="49"/>
        <v>0</v>
      </c>
      <c r="BJ61" s="721">
        <f t="shared" si="49"/>
        <v>0</v>
      </c>
      <c r="BK61" s="721">
        <f t="shared" si="49"/>
        <v>0</v>
      </c>
      <c r="BL61" s="721">
        <f t="shared" si="49"/>
        <v>0</v>
      </c>
      <c r="BM61" s="721">
        <f t="shared" si="49"/>
        <v>0</v>
      </c>
      <c r="BN61" s="721">
        <f t="shared" si="49"/>
        <v>0</v>
      </c>
      <c r="BO61" s="721">
        <f t="shared" si="49"/>
        <v>0</v>
      </c>
      <c r="BP61" s="721">
        <f t="shared" si="49"/>
        <v>0</v>
      </c>
    </row>
    <row r="62" spans="1:68" x14ac:dyDescent="0.25">
      <c r="A62" s="1002" t="s">
        <v>57</v>
      </c>
      <c r="B62" s="1003"/>
      <c r="C62" s="386" t="str">
        <f>IF($B62&lt;&gt;"",VLOOKUP($B62,COSTS_Dragon[#All],2),"")</f>
        <v/>
      </c>
      <c r="D62" s="1004" t="str">
        <f>IF($B62&lt;&gt;"",VLOOKUP($B62,COSTS_Dragon[#All],3)/24,"")</f>
        <v/>
      </c>
      <c r="E62" s="996"/>
      <c r="F62" s="1005"/>
      <c r="G62" s="924" t="str">
        <f t="shared" si="37"/>
        <v/>
      </c>
      <c r="H62" s="921"/>
      <c r="I62" s="721">
        <f t="shared" si="44"/>
        <v>0</v>
      </c>
      <c r="J62" s="721">
        <f t="shared" si="44"/>
        <v>0</v>
      </c>
      <c r="K62" s="721">
        <f t="shared" si="44"/>
        <v>0</v>
      </c>
      <c r="L62" s="721">
        <f t="shared" si="44"/>
        <v>0</v>
      </c>
      <c r="M62" s="721">
        <f t="shared" si="44"/>
        <v>0</v>
      </c>
      <c r="N62" s="721">
        <f t="shared" si="44"/>
        <v>0</v>
      </c>
      <c r="O62" s="721">
        <f t="shared" si="44"/>
        <v>0</v>
      </c>
      <c r="P62" s="721">
        <f t="shared" si="44"/>
        <v>0</v>
      </c>
      <c r="Q62" s="721">
        <f t="shared" si="44"/>
        <v>0</v>
      </c>
      <c r="R62" s="721">
        <f t="shared" si="44"/>
        <v>0</v>
      </c>
      <c r="S62" s="721">
        <f t="shared" si="45"/>
        <v>0</v>
      </c>
      <c r="T62" s="721">
        <f t="shared" si="45"/>
        <v>0</v>
      </c>
      <c r="U62" s="721">
        <f t="shared" si="45"/>
        <v>0</v>
      </c>
      <c r="V62" s="721">
        <f t="shared" si="45"/>
        <v>0</v>
      </c>
      <c r="W62" s="721">
        <f t="shared" si="45"/>
        <v>0</v>
      </c>
      <c r="X62" s="721">
        <f t="shared" si="45"/>
        <v>0</v>
      </c>
      <c r="Y62" s="721">
        <f t="shared" si="45"/>
        <v>0</v>
      </c>
      <c r="Z62" s="721">
        <f t="shared" si="45"/>
        <v>0</v>
      </c>
      <c r="AA62" s="721">
        <f t="shared" si="45"/>
        <v>0</v>
      </c>
      <c r="AB62" s="721">
        <f t="shared" si="45"/>
        <v>0</v>
      </c>
      <c r="AC62" s="721">
        <f t="shared" si="46"/>
        <v>0</v>
      </c>
      <c r="AD62" s="721">
        <f t="shared" si="46"/>
        <v>0</v>
      </c>
      <c r="AE62" s="721">
        <f t="shared" si="46"/>
        <v>0</v>
      </c>
      <c r="AF62" s="721">
        <f t="shared" si="46"/>
        <v>0</v>
      </c>
      <c r="AG62" s="721">
        <f t="shared" si="46"/>
        <v>0</v>
      </c>
      <c r="AH62" s="721">
        <f t="shared" si="46"/>
        <v>0</v>
      </c>
      <c r="AI62" s="721">
        <f t="shared" si="46"/>
        <v>0</v>
      </c>
      <c r="AJ62" s="721">
        <f t="shared" si="46"/>
        <v>0</v>
      </c>
      <c r="AK62" s="721">
        <f t="shared" si="46"/>
        <v>0</v>
      </c>
      <c r="AL62" s="721">
        <f t="shared" si="46"/>
        <v>0</v>
      </c>
      <c r="AM62" s="721">
        <f t="shared" si="47"/>
        <v>0</v>
      </c>
      <c r="AN62" s="721">
        <f t="shared" si="47"/>
        <v>0</v>
      </c>
      <c r="AO62" s="721">
        <f t="shared" si="47"/>
        <v>0</v>
      </c>
      <c r="AP62" s="721">
        <f t="shared" si="47"/>
        <v>0</v>
      </c>
      <c r="AQ62" s="721">
        <f t="shared" si="47"/>
        <v>0</v>
      </c>
      <c r="AR62" s="721">
        <f t="shared" si="47"/>
        <v>0</v>
      </c>
      <c r="AS62" s="721">
        <f t="shared" si="47"/>
        <v>0</v>
      </c>
      <c r="AT62" s="721">
        <f t="shared" si="47"/>
        <v>0</v>
      </c>
      <c r="AU62" s="721">
        <f t="shared" si="47"/>
        <v>0</v>
      </c>
      <c r="AV62" s="721">
        <f t="shared" si="47"/>
        <v>0</v>
      </c>
      <c r="AW62" s="721">
        <f t="shared" si="48"/>
        <v>0</v>
      </c>
      <c r="AX62" s="721">
        <f t="shared" si="48"/>
        <v>0</v>
      </c>
      <c r="AY62" s="721">
        <f t="shared" si="48"/>
        <v>0</v>
      </c>
      <c r="AZ62" s="721">
        <f t="shared" si="48"/>
        <v>0</v>
      </c>
      <c r="BA62" s="721">
        <f t="shared" si="48"/>
        <v>0</v>
      </c>
      <c r="BB62" s="721">
        <f t="shared" si="48"/>
        <v>0</v>
      </c>
      <c r="BC62" s="721">
        <f t="shared" si="48"/>
        <v>0</v>
      </c>
      <c r="BD62" s="721">
        <f t="shared" si="48"/>
        <v>0</v>
      </c>
      <c r="BE62" s="721">
        <f t="shared" si="48"/>
        <v>0</v>
      </c>
      <c r="BF62" s="721">
        <f t="shared" si="48"/>
        <v>0</v>
      </c>
      <c r="BG62" s="721">
        <f t="shared" si="49"/>
        <v>0</v>
      </c>
      <c r="BH62" s="721">
        <f t="shared" si="49"/>
        <v>0</v>
      </c>
      <c r="BI62" s="721">
        <f t="shared" si="49"/>
        <v>0</v>
      </c>
      <c r="BJ62" s="721">
        <f t="shared" si="49"/>
        <v>0</v>
      </c>
      <c r="BK62" s="721">
        <f t="shared" si="49"/>
        <v>0</v>
      </c>
      <c r="BL62" s="721">
        <f t="shared" si="49"/>
        <v>0</v>
      </c>
      <c r="BM62" s="721">
        <f t="shared" si="49"/>
        <v>0</v>
      </c>
      <c r="BN62" s="721">
        <f t="shared" si="49"/>
        <v>0</v>
      </c>
      <c r="BO62" s="721">
        <f t="shared" si="49"/>
        <v>0</v>
      </c>
      <c r="BP62" s="721">
        <f t="shared" si="49"/>
        <v>0</v>
      </c>
    </row>
    <row r="63" spans="1:68" x14ac:dyDescent="0.25">
      <c r="A63" s="1002" t="s">
        <v>58</v>
      </c>
      <c r="B63" s="1003"/>
      <c r="C63" s="386" t="str">
        <f>IF($B63&lt;&gt;"",VLOOKUP($B63,COSTS_PEKKA[#All],2),"")</f>
        <v/>
      </c>
      <c r="D63" s="1004" t="str">
        <f>IF($B63&lt;&gt;"",VLOOKUP($B63,COSTS_PEKKA[#All],3)/24,"")</f>
        <v/>
      </c>
      <c r="E63" s="996"/>
      <c r="F63" s="1005"/>
      <c r="G63" s="924" t="str">
        <f t="shared" si="37"/>
        <v/>
      </c>
      <c r="H63" s="921"/>
      <c r="I63" s="721">
        <f t="shared" si="44"/>
        <v>0</v>
      </c>
      <c r="J63" s="721">
        <f t="shared" si="44"/>
        <v>0</v>
      </c>
      <c r="K63" s="721">
        <f t="shared" si="44"/>
        <v>0</v>
      </c>
      <c r="L63" s="721">
        <f t="shared" si="44"/>
        <v>0</v>
      </c>
      <c r="M63" s="721">
        <f t="shared" si="44"/>
        <v>0</v>
      </c>
      <c r="N63" s="721">
        <f t="shared" si="44"/>
        <v>0</v>
      </c>
      <c r="O63" s="721">
        <f t="shared" si="44"/>
        <v>0</v>
      </c>
      <c r="P63" s="721">
        <f t="shared" si="44"/>
        <v>0</v>
      </c>
      <c r="Q63" s="721">
        <f t="shared" si="44"/>
        <v>0</v>
      </c>
      <c r="R63" s="721">
        <f t="shared" si="44"/>
        <v>0</v>
      </c>
      <c r="S63" s="721">
        <f t="shared" si="45"/>
        <v>0</v>
      </c>
      <c r="T63" s="721">
        <f t="shared" si="45"/>
        <v>0</v>
      </c>
      <c r="U63" s="721">
        <f t="shared" si="45"/>
        <v>0</v>
      </c>
      <c r="V63" s="721">
        <f t="shared" si="45"/>
        <v>0</v>
      </c>
      <c r="W63" s="721">
        <f t="shared" si="45"/>
        <v>0</v>
      </c>
      <c r="X63" s="721">
        <f t="shared" si="45"/>
        <v>0</v>
      </c>
      <c r="Y63" s="721">
        <f t="shared" si="45"/>
        <v>0</v>
      </c>
      <c r="Z63" s="721">
        <f t="shared" si="45"/>
        <v>0</v>
      </c>
      <c r="AA63" s="721">
        <f t="shared" si="45"/>
        <v>0</v>
      </c>
      <c r="AB63" s="721">
        <f t="shared" si="45"/>
        <v>0</v>
      </c>
      <c r="AC63" s="721">
        <f t="shared" si="46"/>
        <v>0</v>
      </c>
      <c r="AD63" s="721">
        <f t="shared" si="46"/>
        <v>0</v>
      </c>
      <c r="AE63" s="721">
        <f t="shared" si="46"/>
        <v>0</v>
      </c>
      <c r="AF63" s="721">
        <f t="shared" si="46"/>
        <v>0</v>
      </c>
      <c r="AG63" s="721">
        <f t="shared" si="46"/>
        <v>0</v>
      </c>
      <c r="AH63" s="721">
        <f t="shared" si="46"/>
        <v>0</v>
      </c>
      <c r="AI63" s="721">
        <f t="shared" si="46"/>
        <v>0</v>
      </c>
      <c r="AJ63" s="721">
        <f t="shared" si="46"/>
        <v>0</v>
      </c>
      <c r="AK63" s="721">
        <f t="shared" si="46"/>
        <v>0</v>
      </c>
      <c r="AL63" s="721">
        <f t="shared" si="46"/>
        <v>0</v>
      </c>
      <c r="AM63" s="721">
        <f t="shared" si="47"/>
        <v>0</v>
      </c>
      <c r="AN63" s="721">
        <f t="shared" si="47"/>
        <v>0</v>
      </c>
      <c r="AO63" s="721">
        <f t="shared" si="47"/>
        <v>0</v>
      </c>
      <c r="AP63" s="721">
        <f t="shared" si="47"/>
        <v>0</v>
      </c>
      <c r="AQ63" s="721">
        <f t="shared" si="47"/>
        <v>0</v>
      </c>
      <c r="AR63" s="721">
        <f t="shared" si="47"/>
        <v>0</v>
      </c>
      <c r="AS63" s="721">
        <f t="shared" si="47"/>
        <v>0</v>
      </c>
      <c r="AT63" s="721">
        <f t="shared" si="47"/>
        <v>0</v>
      </c>
      <c r="AU63" s="721">
        <f t="shared" si="47"/>
        <v>0</v>
      </c>
      <c r="AV63" s="721">
        <f t="shared" si="47"/>
        <v>0</v>
      </c>
      <c r="AW63" s="721">
        <f t="shared" si="48"/>
        <v>0</v>
      </c>
      <c r="AX63" s="721">
        <f t="shared" si="48"/>
        <v>0</v>
      </c>
      <c r="AY63" s="721">
        <f t="shared" si="48"/>
        <v>0</v>
      </c>
      <c r="AZ63" s="721">
        <f t="shared" si="48"/>
        <v>0</v>
      </c>
      <c r="BA63" s="721">
        <f t="shared" si="48"/>
        <v>0</v>
      </c>
      <c r="BB63" s="721">
        <f t="shared" si="48"/>
        <v>0</v>
      </c>
      <c r="BC63" s="721">
        <f t="shared" si="48"/>
        <v>0</v>
      </c>
      <c r="BD63" s="721">
        <f t="shared" si="48"/>
        <v>0</v>
      </c>
      <c r="BE63" s="721">
        <f t="shared" si="48"/>
        <v>0</v>
      </c>
      <c r="BF63" s="721">
        <f t="shared" si="48"/>
        <v>0</v>
      </c>
      <c r="BG63" s="721">
        <f t="shared" si="49"/>
        <v>0</v>
      </c>
      <c r="BH63" s="721">
        <f t="shared" si="49"/>
        <v>0</v>
      </c>
      <c r="BI63" s="721">
        <f t="shared" si="49"/>
        <v>0</v>
      </c>
      <c r="BJ63" s="721">
        <f t="shared" si="49"/>
        <v>0</v>
      </c>
      <c r="BK63" s="721">
        <f t="shared" si="49"/>
        <v>0</v>
      </c>
      <c r="BL63" s="721">
        <f t="shared" si="49"/>
        <v>0</v>
      </c>
      <c r="BM63" s="721">
        <f t="shared" si="49"/>
        <v>0</v>
      </c>
      <c r="BN63" s="721">
        <f t="shared" si="49"/>
        <v>0</v>
      </c>
      <c r="BO63" s="721">
        <f t="shared" si="49"/>
        <v>0</v>
      </c>
      <c r="BP63" s="721">
        <f t="shared" si="49"/>
        <v>0</v>
      </c>
    </row>
    <row r="64" spans="1:68" x14ac:dyDescent="0.25">
      <c r="A64" s="1002" t="s">
        <v>183</v>
      </c>
      <c r="B64" s="1003"/>
      <c r="C64" s="121" t="str">
        <f>IF($B64&lt;&gt;"",VLOOKUP($B64,COSTS_Minion[#All],2),"")</f>
        <v/>
      </c>
      <c r="D64" s="1004" t="str">
        <f>IF($B64&lt;&gt;"",VLOOKUP($B64,COSTS_Minion[#All],3)/24,"")</f>
        <v/>
      </c>
      <c r="E64" s="996"/>
      <c r="F64" s="1005"/>
      <c r="G64" s="924" t="str">
        <f t="shared" si="37"/>
        <v/>
      </c>
      <c r="H64" s="921"/>
      <c r="I64" s="721">
        <f t="shared" si="44"/>
        <v>0</v>
      </c>
      <c r="J64" s="721">
        <f t="shared" si="44"/>
        <v>0</v>
      </c>
      <c r="K64" s="721">
        <f t="shared" si="44"/>
        <v>0</v>
      </c>
      <c r="L64" s="721">
        <f t="shared" si="44"/>
        <v>0</v>
      </c>
      <c r="M64" s="721">
        <f t="shared" si="44"/>
        <v>0</v>
      </c>
      <c r="N64" s="721">
        <f t="shared" si="44"/>
        <v>0</v>
      </c>
      <c r="O64" s="721">
        <f t="shared" si="44"/>
        <v>0</v>
      </c>
      <c r="P64" s="721">
        <f t="shared" si="44"/>
        <v>0</v>
      </c>
      <c r="Q64" s="721">
        <f t="shared" si="44"/>
        <v>0</v>
      </c>
      <c r="R64" s="721">
        <f t="shared" si="44"/>
        <v>0</v>
      </c>
      <c r="S64" s="721">
        <f t="shared" si="45"/>
        <v>0</v>
      </c>
      <c r="T64" s="721">
        <f t="shared" si="45"/>
        <v>0</v>
      </c>
      <c r="U64" s="721">
        <f t="shared" si="45"/>
        <v>0</v>
      </c>
      <c r="V64" s="721">
        <f t="shared" si="45"/>
        <v>0</v>
      </c>
      <c r="W64" s="721">
        <f t="shared" si="45"/>
        <v>0</v>
      </c>
      <c r="X64" s="721">
        <f t="shared" si="45"/>
        <v>0</v>
      </c>
      <c r="Y64" s="721">
        <f t="shared" si="45"/>
        <v>0</v>
      </c>
      <c r="Z64" s="721">
        <f t="shared" si="45"/>
        <v>0</v>
      </c>
      <c r="AA64" s="721">
        <f t="shared" si="45"/>
        <v>0</v>
      </c>
      <c r="AB64" s="721">
        <f t="shared" si="45"/>
        <v>0</v>
      </c>
      <c r="AC64" s="721">
        <f t="shared" si="46"/>
        <v>0</v>
      </c>
      <c r="AD64" s="721">
        <f t="shared" si="46"/>
        <v>0</v>
      </c>
      <c r="AE64" s="721">
        <f t="shared" si="46"/>
        <v>0</v>
      </c>
      <c r="AF64" s="721">
        <f t="shared" si="46"/>
        <v>0</v>
      </c>
      <c r="AG64" s="721">
        <f t="shared" si="46"/>
        <v>0</v>
      </c>
      <c r="AH64" s="721">
        <f t="shared" si="46"/>
        <v>0</v>
      </c>
      <c r="AI64" s="721">
        <f t="shared" si="46"/>
        <v>0</v>
      </c>
      <c r="AJ64" s="721">
        <f t="shared" si="46"/>
        <v>0</v>
      </c>
      <c r="AK64" s="721">
        <f t="shared" si="46"/>
        <v>0</v>
      </c>
      <c r="AL64" s="721">
        <f t="shared" si="46"/>
        <v>0</v>
      </c>
      <c r="AM64" s="721">
        <f t="shared" si="47"/>
        <v>0</v>
      </c>
      <c r="AN64" s="721">
        <f t="shared" si="47"/>
        <v>0</v>
      </c>
      <c r="AO64" s="721">
        <f t="shared" si="47"/>
        <v>0</v>
      </c>
      <c r="AP64" s="721">
        <f t="shared" si="47"/>
        <v>0</v>
      </c>
      <c r="AQ64" s="721">
        <f t="shared" si="47"/>
        <v>0</v>
      </c>
      <c r="AR64" s="721">
        <f t="shared" si="47"/>
        <v>0</v>
      </c>
      <c r="AS64" s="721">
        <f t="shared" si="47"/>
        <v>0</v>
      </c>
      <c r="AT64" s="721">
        <f t="shared" si="47"/>
        <v>0</v>
      </c>
      <c r="AU64" s="721">
        <f t="shared" si="47"/>
        <v>0</v>
      </c>
      <c r="AV64" s="721">
        <f t="shared" si="47"/>
        <v>0</v>
      </c>
      <c r="AW64" s="721">
        <f t="shared" si="48"/>
        <v>0</v>
      </c>
      <c r="AX64" s="721">
        <f t="shared" si="48"/>
        <v>0</v>
      </c>
      <c r="AY64" s="721">
        <f t="shared" si="48"/>
        <v>0</v>
      </c>
      <c r="AZ64" s="721">
        <f t="shared" si="48"/>
        <v>0</v>
      </c>
      <c r="BA64" s="721">
        <f t="shared" si="48"/>
        <v>0</v>
      </c>
      <c r="BB64" s="721">
        <f t="shared" si="48"/>
        <v>0</v>
      </c>
      <c r="BC64" s="721">
        <f t="shared" si="48"/>
        <v>0</v>
      </c>
      <c r="BD64" s="721">
        <f t="shared" si="48"/>
        <v>0</v>
      </c>
      <c r="BE64" s="721">
        <f t="shared" si="48"/>
        <v>0</v>
      </c>
      <c r="BF64" s="721">
        <f t="shared" si="48"/>
        <v>0</v>
      </c>
      <c r="BG64" s="721">
        <f t="shared" si="49"/>
        <v>0</v>
      </c>
      <c r="BH64" s="721">
        <f t="shared" si="49"/>
        <v>0</v>
      </c>
      <c r="BI64" s="721">
        <f t="shared" si="49"/>
        <v>0</v>
      </c>
      <c r="BJ64" s="721">
        <f t="shared" si="49"/>
        <v>0</v>
      </c>
      <c r="BK64" s="721">
        <f t="shared" si="49"/>
        <v>0</v>
      </c>
      <c r="BL64" s="721">
        <f t="shared" si="49"/>
        <v>0</v>
      </c>
      <c r="BM64" s="721">
        <f t="shared" si="49"/>
        <v>0</v>
      </c>
      <c r="BN64" s="721">
        <f t="shared" si="49"/>
        <v>0</v>
      </c>
      <c r="BO64" s="721">
        <f t="shared" si="49"/>
        <v>0</v>
      </c>
      <c r="BP64" s="721">
        <f t="shared" si="49"/>
        <v>0</v>
      </c>
    </row>
    <row r="65" spans="1:68" x14ac:dyDescent="0.25">
      <c r="A65" s="1002" t="s">
        <v>245</v>
      </c>
      <c r="B65" s="1003"/>
      <c r="C65" s="121" t="str">
        <f>IF($B65&lt;&gt;"",VLOOKUP($B65,COSTS_Hog_Rider[#All],2),"")</f>
        <v/>
      </c>
      <c r="D65" s="1004" t="str">
        <f>IF($B65&lt;&gt;"",VLOOKUP($B65,COSTS_Hog_Rider[#All],3)/24,"")</f>
        <v/>
      </c>
      <c r="E65" s="996"/>
      <c r="F65" s="1005"/>
      <c r="G65" s="924" t="str">
        <f t="shared" si="37"/>
        <v/>
      </c>
      <c r="H65" s="921"/>
      <c r="I65" s="721">
        <f t="shared" si="44"/>
        <v>0</v>
      </c>
      <c r="J65" s="721">
        <f t="shared" si="44"/>
        <v>0</v>
      </c>
      <c r="K65" s="721">
        <f t="shared" si="44"/>
        <v>0</v>
      </c>
      <c r="L65" s="721">
        <f t="shared" si="44"/>
        <v>0</v>
      </c>
      <c r="M65" s="721">
        <f t="shared" si="44"/>
        <v>0</v>
      </c>
      <c r="N65" s="721">
        <f t="shared" si="44"/>
        <v>0</v>
      </c>
      <c r="O65" s="721">
        <f t="shared" si="44"/>
        <v>0</v>
      </c>
      <c r="P65" s="721">
        <f t="shared" si="44"/>
        <v>0</v>
      </c>
      <c r="Q65" s="721">
        <f t="shared" si="44"/>
        <v>0</v>
      </c>
      <c r="R65" s="721">
        <f t="shared" si="44"/>
        <v>0</v>
      </c>
      <c r="S65" s="721">
        <f t="shared" si="45"/>
        <v>0</v>
      </c>
      <c r="T65" s="721">
        <f t="shared" si="45"/>
        <v>0</v>
      </c>
      <c r="U65" s="721">
        <f t="shared" si="45"/>
        <v>0</v>
      </c>
      <c r="V65" s="721">
        <f t="shared" si="45"/>
        <v>0</v>
      </c>
      <c r="W65" s="721">
        <f t="shared" si="45"/>
        <v>0</v>
      </c>
      <c r="X65" s="721">
        <f t="shared" si="45"/>
        <v>0</v>
      </c>
      <c r="Y65" s="721">
        <f t="shared" si="45"/>
        <v>0</v>
      </c>
      <c r="Z65" s="721">
        <f t="shared" si="45"/>
        <v>0</v>
      </c>
      <c r="AA65" s="721">
        <f t="shared" si="45"/>
        <v>0</v>
      </c>
      <c r="AB65" s="721">
        <f t="shared" si="45"/>
        <v>0</v>
      </c>
      <c r="AC65" s="721">
        <f t="shared" si="46"/>
        <v>0</v>
      </c>
      <c r="AD65" s="721">
        <f t="shared" si="46"/>
        <v>0</v>
      </c>
      <c r="AE65" s="721">
        <f t="shared" si="46"/>
        <v>0</v>
      </c>
      <c r="AF65" s="721">
        <f t="shared" si="46"/>
        <v>0</v>
      </c>
      <c r="AG65" s="721">
        <f t="shared" si="46"/>
        <v>0</v>
      </c>
      <c r="AH65" s="721">
        <f t="shared" si="46"/>
        <v>0</v>
      </c>
      <c r="AI65" s="721">
        <f t="shared" si="46"/>
        <v>0</v>
      </c>
      <c r="AJ65" s="721">
        <f t="shared" si="46"/>
        <v>0</v>
      </c>
      <c r="AK65" s="721">
        <f t="shared" si="46"/>
        <v>0</v>
      </c>
      <c r="AL65" s="721">
        <f t="shared" si="46"/>
        <v>0</v>
      </c>
      <c r="AM65" s="721">
        <f t="shared" si="47"/>
        <v>0</v>
      </c>
      <c r="AN65" s="721">
        <f t="shared" si="47"/>
        <v>0</v>
      </c>
      <c r="AO65" s="721">
        <f t="shared" si="47"/>
        <v>0</v>
      </c>
      <c r="AP65" s="721">
        <f t="shared" si="47"/>
        <v>0</v>
      </c>
      <c r="AQ65" s="721">
        <f t="shared" si="47"/>
        <v>0</v>
      </c>
      <c r="AR65" s="721">
        <f t="shared" si="47"/>
        <v>0</v>
      </c>
      <c r="AS65" s="721">
        <f t="shared" si="47"/>
        <v>0</v>
      </c>
      <c r="AT65" s="721">
        <f t="shared" si="47"/>
        <v>0</v>
      </c>
      <c r="AU65" s="721">
        <f t="shared" si="47"/>
        <v>0</v>
      </c>
      <c r="AV65" s="721">
        <f t="shared" si="47"/>
        <v>0</v>
      </c>
      <c r="AW65" s="721">
        <f t="shared" si="48"/>
        <v>0</v>
      </c>
      <c r="AX65" s="721">
        <f t="shared" si="48"/>
        <v>0</v>
      </c>
      <c r="AY65" s="721">
        <f t="shared" si="48"/>
        <v>0</v>
      </c>
      <c r="AZ65" s="721">
        <f t="shared" si="48"/>
        <v>0</v>
      </c>
      <c r="BA65" s="721">
        <f t="shared" si="48"/>
        <v>0</v>
      </c>
      <c r="BB65" s="721">
        <f t="shared" si="48"/>
        <v>0</v>
      </c>
      <c r="BC65" s="721">
        <f t="shared" si="48"/>
        <v>0</v>
      </c>
      <c r="BD65" s="721">
        <f t="shared" si="48"/>
        <v>0</v>
      </c>
      <c r="BE65" s="721">
        <f t="shared" si="48"/>
        <v>0</v>
      </c>
      <c r="BF65" s="721">
        <f t="shared" si="48"/>
        <v>0</v>
      </c>
      <c r="BG65" s="721">
        <f t="shared" si="49"/>
        <v>0</v>
      </c>
      <c r="BH65" s="721">
        <f t="shared" si="49"/>
        <v>0</v>
      </c>
      <c r="BI65" s="721">
        <f t="shared" si="49"/>
        <v>0</v>
      </c>
      <c r="BJ65" s="721">
        <f t="shared" si="49"/>
        <v>0</v>
      </c>
      <c r="BK65" s="721">
        <f t="shared" si="49"/>
        <v>0</v>
      </c>
      <c r="BL65" s="721">
        <f t="shared" si="49"/>
        <v>0</v>
      </c>
      <c r="BM65" s="721">
        <f t="shared" si="49"/>
        <v>0</v>
      </c>
      <c r="BN65" s="721">
        <f t="shared" si="49"/>
        <v>0</v>
      </c>
      <c r="BO65" s="721">
        <f t="shared" si="49"/>
        <v>0</v>
      </c>
      <c r="BP65" s="721">
        <f t="shared" si="49"/>
        <v>0</v>
      </c>
    </row>
    <row r="66" spans="1:68" x14ac:dyDescent="0.25">
      <c r="A66" s="1002" t="s">
        <v>66</v>
      </c>
      <c r="B66" s="1003"/>
      <c r="C66" s="121" t="str">
        <f>IF($B66&lt;&gt;"",VLOOKUP($B66,COSTS_Valkyrie[#All],2),"")</f>
        <v/>
      </c>
      <c r="D66" s="1004" t="str">
        <f>IF($B66&lt;&gt;"",VLOOKUP($B66,COSTS_Valkyrie[#All],3)/24,"")</f>
        <v/>
      </c>
      <c r="E66" s="996"/>
      <c r="F66" s="1005"/>
      <c r="G66" s="924" t="str">
        <f t="shared" si="37"/>
        <v/>
      </c>
      <c r="H66" s="921"/>
      <c r="I66" s="721">
        <f t="shared" ref="I66:R70" si="50">IF(ISERROR(Plan),0,0)</f>
        <v>0</v>
      </c>
      <c r="J66" s="721">
        <f t="shared" si="50"/>
        <v>0</v>
      </c>
      <c r="K66" s="721">
        <f t="shared" si="50"/>
        <v>0</v>
      </c>
      <c r="L66" s="721">
        <f t="shared" si="50"/>
        <v>0</v>
      </c>
      <c r="M66" s="721">
        <f t="shared" si="50"/>
        <v>0</v>
      </c>
      <c r="N66" s="721">
        <f t="shared" si="50"/>
        <v>0</v>
      </c>
      <c r="O66" s="721">
        <f t="shared" si="50"/>
        <v>0</v>
      </c>
      <c r="P66" s="721">
        <f t="shared" si="50"/>
        <v>0</v>
      </c>
      <c r="Q66" s="721">
        <f t="shared" si="50"/>
        <v>0</v>
      </c>
      <c r="R66" s="721">
        <f t="shared" si="50"/>
        <v>0</v>
      </c>
      <c r="S66" s="721">
        <f t="shared" ref="S66:AB70" si="51">IF(ISERROR(Plan),0,0)</f>
        <v>0</v>
      </c>
      <c r="T66" s="721">
        <f t="shared" si="51"/>
        <v>0</v>
      </c>
      <c r="U66" s="721">
        <f t="shared" si="51"/>
        <v>0</v>
      </c>
      <c r="V66" s="721">
        <f t="shared" si="51"/>
        <v>0</v>
      </c>
      <c r="W66" s="721">
        <f t="shared" si="51"/>
        <v>0</v>
      </c>
      <c r="X66" s="721">
        <f t="shared" si="51"/>
        <v>0</v>
      </c>
      <c r="Y66" s="721">
        <f t="shared" si="51"/>
        <v>0</v>
      </c>
      <c r="Z66" s="721">
        <f t="shared" si="51"/>
        <v>0</v>
      </c>
      <c r="AA66" s="721">
        <f t="shared" si="51"/>
        <v>0</v>
      </c>
      <c r="AB66" s="721">
        <f t="shared" si="51"/>
        <v>0</v>
      </c>
      <c r="AC66" s="721">
        <f t="shared" ref="AC66:AL70" si="52">IF(ISERROR(Plan),0,0)</f>
        <v>0</v>
      </c>
      <c r="AD66" s="721">
        <f t="shared" si="52"/>
        <v>0</v>
      </c>
      <c r="AE66" s="721">
        <f t="shared" si="52"/>
        <v>0</v>
      </c>
      <c r="AF66" s="721">
        <f t="shared" si="52"/>
        <v>0</v>
      </c>
      <c r="AG66" s="721">
        <f t="shared" si="52"/>
        <v>0</v>
      </c>
      <c r="AH66" s="721">
        <f t="shared" si="52"/>
        <v>0</v>
      </c>
      <c r="AI66" s="721">
        <f t="shared" si="52"/>
        <v>0</v>
      </c>
      <c r="AJ66" s="721">
        <f t="shared" si="52"/>
        <v>0</v>
      </c>
      <c r="AK66" s="721">
        <f t="shared" si="52"/>
        <v>0</v>
      </c>
      <c r="AL66" s="721">
        <f t="shared" si="52"/>
        <v>0</v>
      </c>
      <c r="AM66" s="721">
        <f t="shared" ref="AM66:AV70" si="53">IF(ISERROR(Plan),0,0)</f>
        <v>0</v>
      </c>
      <c r="AN66" s="721">
        <f t="shared" si="53"/>
        <v>0</v>
      </c>
      <c r="AO66" s="721">
        <f t="shared" si="53"/>
        <v>0</v>
      </c>
      <c r="AP66" s="721">
        <f t="shared" si="53"/>
        <v>0</v>
      </c>
      <c r="AQ66" s="721">
        <f t="shared" si="53"/>
        <v>0</v>
      </c>
      <c r="AR66" s="721">
        <f t="shared" si="53"/>
        <v>0</v>
      </c>
      <c r="AS66" s="721">
        <f t="shared" si="53"/>
        <v>0</v>
      </c>
      <c r="AT66" s="721">
        <f t="shared" si="53"/>
        <v>0</v>
      </c>
      <c r="AU66" s="721">
        <f t="shared" si="53"/>
        <v>0</v>
      </c>
      <c r="AV66" s="721">
        <f t="shared" si="53"/>
        <v>0</v>
      </c>
      <c r="AW66" s="721">
        <f t="shared" ref="AW66:BF70" si="54">IF(ISERROR(Plan),0,0)</f>
        <v>0</v>
      </c>
      <c r="AX66" s="721">
        <f t="shared" si="54"/>
        <v>0</v>
      </c>
      <c r="AY66" s="721">
        <f t="shared" si="54"/>
        <v>0</v>
      </c>
      <c r="AZ66" s="721">
        <f t="shared" si="54"/>
        <v>0</v>
      </c>
      <c r="BA66" s="721">
        <f t="shared" si="54"/>
        <v>0</v>
      </c>
      <c r="BB66" s="721">
        <f t="shared" si="54"/>
        <v>0</v>
      </c>
      <c r="BC66" s="721">
        <f t="shared" si="54"/>
        <v>0</v>
      </c>
      <c r="BD66" s="721">
        <f t="shared" si="54"/>
        <v>0</v>
      </c>
      <c r="BE66" s="721">
        <f t="shared" si="54"/>
        <v>0</v>
      </c>
      <c r="BF66" s="721">
        <f t="shared" si="54"/>
        <v>0</v>
      </c>
      <c r="BG66" s="721">
        <f t="shared" ref="BG66:BP70" si="55">IF(ISERROR(Plan),0,0)</f>
        <v>0</v>
      </c>
      <c r="BH66" s="721">
        <f t="shared" si="55"/>
        <v>0</v>
      </c>
      <c r="BI66" s="721">
        <f t="shared" si="55"/>
        <v>0</v>
      </c>
      <c r="BJ66" s="721">
        <f t="shared" si="55"/>
        <v>0</v>
      </c>
      <c r="BK66" s="721">
        <f t="shared" si="55"/>
        <v>0</v>
      </c>
      <c r="BL66" s="721">
        <f t="shared" si="55"/>
        <v>0</v>
      </c>
      <c r="BM66" s="721">
        <f t="shared" si="55"/>
        <v>0</v>
      </c>
      <c r="BN66" s="721">
        <f t="shared" si="55"/>
        <v>0</v>
      </c>
      <c r="BO66" s="721">
        <f t="shared" si="55"/>
        <v>0</v>
      </c>
      <c r="BP66" s="721">
        <f t="shared" si="55"/>
        <v>0</v>
      </c>
    </row>
    <row r="67" spans="1:68" x14ac:dyDescent="0.25">
      <c r="A67" s="1002" t="s">
        <v>67</v>
      </c>
      <c r="B67" s="1003"/>
      <c r="C67" s="121" t="str">
        <f>IF($B67&lt;&gt;"",VLOOKUP($B67,COSTS_Golem[#All],2),"")</f>
        <v/>
      </c>
      <c r="D67" s="1004" t="str">
        <f>IF($B67&lt;&gt;"",VLOOKUP($B67,COSTS_Golem[#All],3)/24,"")</f>
        <v/>
      </c>
      <c r="E67" s="996"/>
      <c r="F67" s="1005"/>
      <c r="G67" s="924" t="str">
        <f t="shared" ref="G67:G70" si="56">IF($D67&lt;&gt;"",$D67,"")</f>
        <v/>
      </c>
      <c r="H67" s="921"/>
      <c r="I67" s="721">
        <f t="shared" si="50"/>
        <v>0</v>
      </c>
      <c r="J67" s="721">
        <f t="shared" si="50"/>
        <v>0</v>
      </c>
      <c r="K67" s="721">
        <f t="shared" si="50"/>
        <v>0</v>
      </c>
      <c r="L67" s="721">
        <f t="shared" si="50"/>
        <v>0</v>
      </c>
      <c r="M67" s="721">
        <f t="shared" si="50"/>
        <v>0</v>
      </c>
      <c r="N67" s="721">
        <f t="shared" si="50"/>
        <v>0</v>
      </c>
      <c r="O67" s="721">
        <f t="shared" si="50"/>
        <v>0</v>
      </c>
      <c r="P67" s="721">
        <f t="shared" si="50"/>
        <v>0</v>
      </c>
      <c r="Q67" s="721">
        <f t="shared" si="50"/>
        <v>0</v>
      </c>
      <c r="R67" s="721">
        <f t="shared" si="50"/>
        <v>0</v>
      </c>
      <c r="S67" s="721">
        <f t="shared" si="51"/>
        <v>0</v>
      </c>
      <c r="T67" s="721">
        <f t="shared" si="51"/>
        <v>0</v>
      </c>
      <c r="U67" s="721">
        <f t="shared" si="51"/>
        <v>0</v>
      </c>
      <c r="V67" s="721">
        <f t="shared" si="51"/>
        <v>0</v>
      </c>
      <c r="W67" s="721">
        <f t="shared" si="51"/>
        <v>0</v>
      </c>
      <c r="X67" s="721">
        <f t="shared" si="51"/>
        <v>0</v>
      </c>
      <c r="Y67" s="721">
        <f t="shared" si="51"/>
        <v>0</v>
      </c>
      <c r="Z67" s="721">
        <f t="shared" si="51"/>
        <v>0</v>
      </c>
      <c r="AA67" s="721">
        <f t="shared" si="51"/>
        <v>0</v>
      </c>
      <c r="AB67" s="721">
        <f t="shared" si="51"/>
        <v>0</v>
      </c>
      <c r="AC67" s="721">
        <f t="shared" si="52"/>
        <v>0</v>
      </c>
      <c r="AD67" s="721">
        <f t="shared" si="52"/>
        <v>0</v>
      </c>
      <c r="AE67" s="721">
        <f t="shared" si="52"/>
        <v>0</v>
      </c>
      <c r="AF67" s="721">
        <f t="shared" si="52"/>
        <v>0</v>
      </c>
      <c r="AG67" s="721">
        <f t="shared" si="52"/>
        <v>0</v>
      </c>
      <c r="AH67" s="721">
        <f t="shared" si="52"/>
        <v>0</v>
      </c>
      <c r="AI67" s="721">
        <f t="shared" si="52"/>
        <v>0</v>
      </c>
      <c r="AJ67" s="721">
        <f t="shared" si="52"/>
        <v>0</v>
      </c>
      <c r="AK67" s="721">
        <f t="shared" si="52"/>
        <v>0</v>
      </c>
      <c r="AL67" s="721">
        <f t="shared" si="52"/>
        <v>0</v>
      </c>
      <c r="AM67" s="721">
        <f t="shared" si="53"/>
        <v>0</v>
      </c>
      <c r="AN67" s="721">
        <f t="shared" si="53"/>
        <v>0</v>
      </c>
      <c r="AO67" s="721">
        <f t="shared" si="53"/>
        <v>0</v>
      </c>
      <c r="AP67" s="721">
        <f t="shared" si="53"/>
        <v>0</v>
      </c>
      <c r="AQ67" s="721">
        <f t="shared" si="53"/>
        <v>0</v>
      </c>
      <c r="AR67" s="721">
        <f t="shared" si="53"/>
        <v>0</v>
      </c>
      <c r="AS67" s="721">
        <f t="shared" si="53"/>
        <v>0</v>
      </c>
      <c r="AT67" s="721">
        <f t="shared" si="53"/>
        <v>0</v>
      </c>
      <c r="AU67" s="721">
        <f t="shared" si="53"/>
        <v>0</v>
      </c>
      <c r="AV67" s="721">
        <f t="shared" si="53"/>
        <v>0</v>
      </c>
      <c r="AW67" s="721">
        <f t="shared" si="54"/>
        <v>0</v>
      </c>
      <c r="AX67" s="721">
        <f t="shared" si="54"/>
        <v>0</v>
      </c>
      <c r="AY67" s="721">
        <f t="shared" si="54"/>
        <v>0</v>
      </c>
      <c r="AZ67" s="721">
        <f t="shared" si="54"/>
        <v>0</v>
      </c>
      <c r="BA67" s="721">
        <f t="shared" si="54"/>
        <v>0</v>
      </c>
      <c r="BB67" s="721">
        <f t="shared" si="54"/>
        <v>0</v>
      </c>
      <c r="BC67" s="721">
        <f t="shared" si="54"/>
        <v>0</v>
      </c>
      <c r="BD67" s="721">
        <f t="shared" si="54"/>
        <v>0</v>
      </c>
      <c r="BE67" s="721">
        <f t="shared" si="54"/>
        <v>0</v>
      </c>
      <c r="BF67" s="721">
        <f t="shared" si="54"/>
        <v>0</v>
      </c>
      <c r="BG67" s="721">
        <f t="shared" si="55"/>
        <v>0</v>
      </c>
      <c r="BH67" s="721">
        <f t="shared" si="55"/>
        <v>0</v>
      </c>
      <c r="BI67" s="721">
        <f t="shared" si="55"/>
        <v>0</v>
      </c>
      <c r="BJ67" s="721">
        <f t="shared" si="55"/>
        <v>0</v>
      </c>
      <c r="BK67" s="721">
        <f t="shared" si="55"/>
        <v>0</v>
      </c>
      <c r="BL67" s="721">
        <f t="shared" si="55"/>
        <v>0</v>
      </c>
      <c r="BM67" s="721">
        <f t="shared" si="55"/>
        <v>0</v>
      </c>
      <c r="BN67" s="721">
        <f t="shared" si="55"/>
        <v>0</v>
      </c>
      <c r="BO67" s="721">
        <f t="shared" si="55"/>
        <v>0</v>
      </c>
      <c r="BP67" s="721">
        <f t="shared" si="55"/>
        <v>0</v>
      </c>
    </row>
    <row r="68" spans="1:68" x14ac:dyDescent="0.25">
      <c r="A68" s="1002" t="s">
        <v>536</v>
      </c>
      <c r="B68" s="1003"/>
      <c r="C68" s="121" t="str">
        <f>IF($B68&lt;&gt;"",VLOOKUP($B68,COSTS_Witch[#All],2),"")</f>
        <v/>
      </c>
      <c r="D68" s="1004" t="str">
        <f>IF($B68&lt;&gt;"",VLOOKUP($B68,COSTS_Witch[#All],3)/24,"")</f>
        <v/>
      </c>
      <c r="E68" s="996"/>
      <c r="F68" s="1005"/>
      <c r="G68" s="924" t="str">
        <f t="shared" si="56"/>
        <v/>
      </c>
      <c r="H68" s="921"/>
      <c r="I68" s="721">
        <f t="shared" si="50"/>
        <v>0</v>
      </c>
      <c r="J68" s="721">
        <f t="shared" si="50"/>
        <v>0</v>
      </c>
      <c r="K68" s="721">
        <f t="shared" si="50"/>
        <v>0</v>
      </c>
      <c r="L68" s="721">
        <f t="shared" si="50"/>
        <v>0</v>
      </c>
      <c r="M68" s="721">
        <f t="shared" si="50"/>
        <v>0</v>
      </c>
      <c r="N68" s="721">
        <f t="shared" si="50"/>
        <v>0</v>
      </c>
      <c r="O68" s="721">
        <f t="shared" si="50"/>
        <v>0</v>
      </c>
      <c r="P68" s="721">
        <f t="shared" si="50"/>
        <v>0</v>
      </c>
      <c r="Q68" s="721">
        <f t="shared" si="50"/>
        <v>0</v>
      </c>
      <c r="R68" s="721">
        <f t="shared" si="50"/>
        <v>0</v>
      </c>
      <c r="S68" s="721">
        <f t="shared" si="51"/>
        <v>0</v>
      </c>
      <c r="T68" s="721">
        <f t="shared" si="51"/>
        <v>0</v>
      </c>
      <c r="U68" s="721">
        <f t="shared" si="51"/>
        <v>0</v>
      </c>
      <c r="V68" s="721">
        <f t="shared" si="51"/>
        <v>0</v>
      </c>
      <c r="W68" s="721">
        <f t="shared" si="51"/>
        <v>0</v>
      </c>
      <c r="X68" s="721">
        <f t="shared" si="51"/>
        <v>0</v>
      </c>
      <c r="Y68" s="721">
        <f t="shared" si="51"/>
        <v>0</v>
      </c>
      <c r="Z68" s="721">
        <f t="shared" si="51"/>
        <v>0</v>
      </c>
      <c r="AA68" s="721">
        <f t="shared" si="51"/>
        <v>0</v>
      </c>
      <c r="AB68" s="721">
        <f t="shared" si="51"/>
        <v>0</v>
      </c>
      <c r="AC68" s="721">
        <f t="shared" si="52"/>
        <v>0</v>
      </c>
      <c r="AD68" s="721">
        <f t="shared" si="52"/>
        <v>0</v>
      </c>
      <c r="AE68" s="721">
        <f t="shared" si="52"/>
        <v>0</v>
      </c>
      <c r="AF68" s="721">
        <f t="shared" si="52"/>
        <v>0</v>
      </c>
      <c r="AG68" s="721">
        <f t="shared" si="52"/>
        <v>0</v>
      </c>
      <c r="AH68" s="721">
        <f t="shared" si="52"/>
        <v>0</v>
      </c>
      <c r="AI68" s="721">
        <f t="shared" si="52"/>
        <v>0</v>
      </c>
      <c r="AJ68" s="721">
        <f t="shared" si="52"/>
        <v>0</v>
      </c>
      <c r="AK68" s="721">
        <f t="shared" si="52"/>
        <v>0</v>
      </c>
      <c r="AL68" s="721">
        <f t="shared" si="52"/>
        <v>0</v>
      </c>
      <c r="AM68" s="721">
        <f t="shared" si="53"/>
        <v>0</v>
      </c>
      <c r="AN68" s="721">
        <f t="shared" si="53"/>
        <v>0</v>
      </c>
      <c r="AO68" s="721">
        <f t="shared" si="53"/>
        <v>0</v>
      </c>
      <c r="AP68" s="721">
        <f t="shared" si="53"/>
        <v>0</v>
      </c>
      <c r="AQ68" s="721">
        <f t="shared" si="53"/>
        <v>0</v>
      </c>
      <c r="AR68" s="721">
        <f t="shared" si="53"/>
        <v>0</v>
      </c>
      <c r="AS68" s="721">
        <f t="shared" si="53"/>
        <v>0</v>
      </c>
      <c r="AT68" s="721">
        <f t="shared" si="53"/>
        <v>0</v>
      </c>
      <c r="AU68" s="721">
        <f t="shared" si="53"/>
        <v>0</v>
      </c>
      <c r="AV68" s="721">
        <f t="shared" si="53"/>
        <v>0</v>
      </c>
      <c r="AW68" s="721">
        <f t="shared" si="54"/>
        <v>0</v>
      </c>
      <c r="AX68" s="721">
        <f t="shared" si="54"/>
        <v>0</v>
      </c>
      <c r="AY68" s="721">
        <f t="shared" si="54"/>
        <v>0</v>
      </c>
      <c r="AZ68" s="721">
        <f t="shared" si="54"/>
        <v>0</v>
      </c>
      <c r="BA68" s="721">
        <f t="shared" si="54"/>
        <v>0</v>
      </c>
      <c r="BB68" s="721">
        <f t="shared" si="54"/>
        <v>0</v>
      </c>
      <c r="BC68" s="721">
        <f t="shared" si="54"/>
        <v>0</v>
      </c>
      <c r="BD68" s="721">
        <f t="shared" si="54"/>
        <v>0</v>
      </c>
      <c r="BE68" s="721">
        <f t="shared" si="54"/>
        <v>0</v>
      </c>
      <c r="BF68" s="721">
        <f t="shared" si="54"/>
        <v>0</v>
      </c>
      <c r="BG68" s="721">
        <f t="shared" si="55"/>
        <v>0</v>
      </c>
      <c r="BH68" s="721">
        <f t="shared" si="55"/>
        <v>0</v>
      </c>
      <c r="BI68" s="721">
        <f t="shared" si="55"/>
        <v>0</v>
      </c>
      <c r="BJ68" s="721">
        <f t="shared" si="55"/>
        <v>0</v>
      </c>
      <c r="BK68" s="721">
        <f t="shared" si="55"/>
        <v>0</v>
      </c>
      <c r="BL68" s="721">
        <f t="shared" si="55"/>
        <v>0</v>
      </c>
      <c r="BM68" s="721">
        <f t="shared" si="55"/>
        <v>0</v>
      </c>
      <c r="BN68" s="721">
        <f t="shared" si="55"/>
        <v>0</v>
      </c>
      <c r="BO68" s="721">
        <f t="shared" si="55"/>
        <v>0</v>
      </c>
      <c r="BP68" s="721">
        <f t="shared" si="55"/>
        <v>0</v>
      </c>
    </row>
    <row r="69" spans="1:68" x14ac:dyDescent="0.25">
      <c r="A69" s="1002" t="s">
        <v>573</v>
      </c>
      <c r="B69" s="1003"/>
      <c r="C69" s="121" t="str">
        <f>IF($B69&lt;&gt;"",VLOOKUP($B69,COSTS_Lava_Hound[#All],2),"")</f>
        <v/>
      </c>
      <c r="D69" s="1004" t="str">
        <f>IF($B69&lt;&gt;"",VLOOKUP($B69,COSTS_Lava_Hound[#All],3)/24,"")</f>
        <v/>
      </c>
      <c r="E69" s="996"/>
      <c r="F69" s="1005"/>
      <c r="G69" s="924" t="str">
        <f t="shared" si="56"/>
        <v/>
      </c>
      <c r="H69" s="921"/>
      <c r="I69" s="721">
        <f t="shared" si="50"/>
        <v>0</v>
      </c>
      <c r="J69" s="721">
        <f t="shared" si="50"/>
        <v>0</v>
      </c>
      <c r="K69" s="721">
        <f t="shared" si="50"/>
        <v>0</v>
      </c>
      <c r="L69" s="721">
        <f t="shared" si="50"/>
        <v>0</v>
      </c>
      <c r="M69" s="721">
        <f t="shared" si="50"/>
        <v>0</v>
      </c>
      <c r="N69" s="721">
        <f t="shared" si="50"/>
        <v>0</v>
      </c>
      <c r="O69" s="721">
        <f t="shared" si="50"/>
        <v>0</v>
      </c>
      <c r="P69" s="721">
        <f t="shared" si="50"/>
        <v>0</v>
      </c>
      <c r="Q69" s="721">
        <f t="shared" si="50"/>
        <v>0</v>
      </c>
      <c r="R69" s="721">
        <f t="shared" si="50"/>
        <v>0</v>
      </c>
      <c r="S69" s="721">
        <f t="shared" si="51"/>
        <v>0</v>
      </c>
      <c r="T69" s="721">
        <f t="shared" si="51"/>
        <v>0</v>
      </c>
      <c r="U69" s="721">
        <f t="shared" si="51"/>
        <v>0</v>
      </c>
      <c r="V69" s="721">
        <f t="shared" si="51"/>
        <v>0</v>
      </c>
      <c r="W69" s="721">
        <f t="shared" si="51"/>
        <v>0</v>
      </c>
      <c r="X69" s="721">
        <f t="shared" si="51"/>
        <v>0</v>
      </c>
      <c r="Y69" s="721">
        <f t="shared" si="51"/>
        <v>0</v>
      </c>
      <c r="Z69" s="721">
        <f t="shared" si="51"/>
        <v>0</v>
      </c>
      <c r="AA69" s="721">
        <f t="shared" si="51"/>
        <v>0</v>
      </c>
      <c r="AB69" s="721">
        <f t="shared" si="51"/>
        <v>0</v>
      </c>
      <c r="AC69" s="721">
        <f t="shared" si="52"/>
        <v>0</v>
      </c>
      <c r="AD69" s="721">
        <f t="shared" si="52"/>
        <v>0</v>
      </c>
      <c r="AE69" s="721">
        <f t="shared" si="52"/>
        <v>0</v>
      </c>
      <c r="AF69" s="721">
        <f t="shared" si="52"/>
        <v>0</v>
      </c>
      <c r="AG69" s="721">
        <f t="shared" si="52"/>
        <v>0</v>
      </c>
      <c r="AH69" s="721">
        <f t="shared" si="52"/>
        <v>0</v>
      </c>
      <c r="AI69" s="721">
        <f t="shared" si="52"/>
        <v>0</v>
      </c>
      <c r="AJ69" s="721">
        <f t="shared" si="52"/>
        <v>0</v>
      </c>
      <c r="AK69" s="721">
        <f t="shared" si="52"/>
        <v>0</v>
      </c>
      <c r="AL69" s="721">
        <f t="shared" si="52"/>
        <v>0</v>
      </c>
      <c r="AM69" s="721">
        <f t="shared" si="53"/>
        <v>0</v>
      </c>
      <c r="AN69" s="721">
        <f t="shared" si="53"/>
        <v>0</v>
      </c>
      <c r="AO69" s="721">
        <f t="shared" si="53"/>
        <v>0</v>
      </c>
      <c r="AP69" s="721">
        <f t="shared" si="53"/>
        <v>0</v>
      </c>
      <c r="AQ69" s="721">
        <f t="shared" si="53"/>
        <v>0</v>
      </c>
      <c r="AR69" s="721">
        <f t="shared" si="53"/>
        <v>0</v>
      </c>
      <c r="AS69" s="721">
        <f t="shared" si="53"/>
        <v>0</v>
      </c>
      <c r="AT69" s="721">
        <f t="shared" si="53"/>
        <v>0</v>
      </c>
      <c r="AU69" s="721">
        <f t="shared" si="53"/>
        <v>0</v>
      </c>
      <c r="AV69" s="721">
        <f t="shared" si="53"/>
        <v>0</v>
      </c>
      <c r="AW69" s="721">
        <f t="shared" si="54"/>
        <v>0</v>
      </c>
      <c r="AX69" s="721">
        <f t="shared" si="54"/>
        <v>0</v>
      </c>
      <c r="AY69" s="721">
        <f t="shared" si="54"/>
        <v>0</v>
      </c>
      <c r="AZ69" s="721">
        <f t="shared" si="54"/>
        <v>0</v>
      </c>
      <c r="BA69" s="721">
        <f t="shared" si="54"/>
        <v>0</v>
      </c>
      <c r="BB69" s="721">
        <f t="shared" si="54"/>
        <v>0</v>
      </c>
      <c r="BC69" s="721">
        <f t="shared" si="54"/>
        <v>0</v>
      </c>
      <c r="BD69" s="721">
        <f t="shared" si="54"/>
        <v>0</v>
      </c>
      <c r="BE69" s="721">
        <f t="shared" si="54"/>
        <v>0</v>
      </c>
      <c r="BF69" s="721">
        <f t="shared" si="54"/>
        <v>0</v>
      </c>
      <c r="BG69" s="721">
        <f t="shared" si="55"/>
        <v>0</v>
      </c>
      <c r="BH69" s="721">
        <f t="shared" si="55"/>
        <v>0</v>
      </c>
      <c r="BI69" s="721">
        <f t="shared" si="55"/>
        <v>0</v>
      </c>
      <c r="BJ69" s="721">
        <f t="shared" si="55"/>
        <v>0</v>
      </c>
      <c r="BK69" s="721">
        <f t="shared" si="55"/>
        <v>0</v>
      </c>
      <c r="BL69" s="721">
        <f t="shared" si="55"/>
        <v>0</v>
      </c>
      <c r="BM69" s="721">
        <f t="shared" si="55"/>
        <v>0</v>
      </c>
      <c r="BN69" s="721">
        <f t="shared" si="55"/>
        <v>0</v>
      </c>
      <c r="BO69" s="721">
        <f t="shared" si="55"/>
        <v>0</v>
      </c>
      <c r="BP69" s="721">
        <f t="shared" si="55"/>
        <v>0</v>
      </c>
    </row>
    <row r="70" spans="1:68" ht="15.75" thickBot="1" x14ac:dyDescent="0.3">
      <c r="A70" s="1002" t="s">
        <v>818</v>
      </c>
      <c r="B70" s="1003"/>
      <c r="C70" s="121" t="str">
        <f>IF($B70&lt;&gt;"",VLOOKUP($B70,COSTS_Bouliste[#All],2),"")</f>
        <v/>
      </c>
      <c r="D70" s="1004" t="str">
        <f>IF($B70&lt;&gt;"",VLOOKUP($B70,COSTS_Bouliste[#All],3)/24,"")</f>
        <v/>
      </c>
      <c r="E70" s="996"/>
      <c r="F70" s="1005"/>
      <c r="G70" s="924" t="str">
        <f t="shared" si="56"/>
        <v/>
      </c>
      <c r="H70" s="921"/>
      <c r="I70" s="721">
        <f t="shared" si="50"/>
        <v>0</v>
      </c>
      <c r="J70" s="721">
        <f t="shared" si="50"/>
        <v>0</v>
      </c>
      <c r="K70" s="721">
        <f t="shared" si="50"/>
        <v>0</v>
      </c>
      <c r="L70" s="721">
        <f t="shared" si="50"/>
        <v>0</v>
      </c>
      <c r="M70" s="721">
        <f t="shared" si="50"/>
        <v>0</v>
      </c>
      <c r="N70" s="721">
        <f t="shared" si="50"/>
        <v>0</v>
      </c>
      <c r="O70" s="721">
        <f t="shared" si="50"/>
        <v>0</v>
      </c>
      <c r="P70" s="721">
        <f t="shared" si="50"/>
        <v>0</v>
      </c>
      <c r="Q70" s="721">
        <f t="shared" si="50"/>
        <v>0</v>
      </c>
      <c r="R70" s="721">
        <f t="shared" si="50"/>
        <v>0</v>
      </c>
      <c r="S70" s="721">
        <f t="shared" si="51"/>
        <v>0</v>
      </c>
      <c r="T70" s="721">
        <f t="shared" si="51"/>
        <v>0</v>
      </c>
      <c r="U70" s="721">
        <f t="shared" si="51"/>
        <v>0</v>
      </c>
      <c r="V70" s="721">
        <f t="shared" si="51"/>
        <v>0</v>
      </c>
      <c r="W70" s="721">
        <f t="shared" si="51"/>
        <v>0</v>
      </c>
      <c r="X70" s="721">
        <f t="shared" si="51"/>
        <v>0</v>
      </c>
      <c r="Y70" s="721">
        <f t="shared" si="51"/>
        <v>0</v>
      </c>
      <c r="Z70" s="721">
        <f t="shared" si="51"/>
        <v>0</v>
      </c>
      <c r="AA70" s="721">
        <f t="shared" si="51"/>
        <v>0</v>
      </c>
      <c r="AB70" s="721">
        <f t="shared" si="51"/>
        <v>0</v>
      </c>
      <c r="AC70" s="721">
        <f t="shared" si="52"/>
        <v>0</v>
      </c>
      <c r="AD70" s="721">
        <f t="shared" si="52"/>
        <v>0</v>
      </c>
      <c r="AE70" s="721">
        <f t="shared" si="52"/>
        <v>0</v>
      </c>
      <c r="AF70" s="721">
        <f t="shared" si="52"/>
        <v>0</v>
      </c>
      <c r="AG70" s="721">
        <f t="shared" si="52"/>
        <v>0</v>
      </c>
      <c r="AH70" s="721">
        <f t="shared" si="52"/>
        <v>0</v>
      </c>
      <c r="AI70" s="721">
        <f t="shared" si="52"/>
        <v>0</v>
      </c>
      <c r="AJ70" s="721">
        <f t="shared" si="52"/>
        <v>0</v>
      </c>
      <c r="AK70" s="721">
        <f t="shared" si="52"/>
        <v>0</v>
      </c>
      <c r="AL70" s="721">
        <f t="shared" si="52"/>
        <v>0</v>
      </c>
      <c r="AM70" s="721">
        <f t="shared" si="53"/>
        <v>0</v>
      </c>
      <c r="AN70" s="721">
        <f t="shared" si="53"/>
        <v>0</v>
      </c>
      <c r="AO70" s="721">
        <f t="shared" si="53"/>
        <v>0</v>
      </c>
      <c r="AP70" s="721">
        <f t="shared" si="53"/>
        <v>0</v>
      </c>
      <c r="AQ70" s="721">
        <f t="shared" si="53"/>
        <v>0</v>
      </c>
      <c r="AR70" s="721">
        <f t="shared" si="53"/>
        <v>0</v>
      </c>
      <c r="AS70" s="721">
        <f t="shared" si="53"/>
        <v>0</v>
      </c>
      <c r="AT70" s="721">
        <f t="shared" si="53"/>
        <v>0</v>
      </c>
      <c r="AU70" s="721">
        <f t="shared" si="53"/>
        <v>0</v>
      </c>
      <c r="AV70" s="721">
        <f t="shared" si="53"/>
        <v>0</v>
      </c>
      <c r="AW70" s="721">
        <f t="shared" si="54"/>
        <v>0</v>
      </c>
      <c r="AX70" s="721">
        <f t="shared" si="54"/>
        <v>0</v>
      </c>
      <c r="AY70" s="721">
        <f t="shared" si="54"/>
        <v>0</v>
      </c>
      <c r="AZ70" s="721">
        <f t="shared" si="54"/>
        <v>0</v>
      </c>
      <c r="BA70" s="721">
        <f t="shared" si="54"/>
        <v>0</v>
      </c>
      <c r="BB70" s="721">
        <f t="shared" si="54"/>
        <v>0</v>
      </c>
      <c r="BC70" s="721">
        <f t="shared" si="54"/>
        <v>0</v>
      </c>
      <c r="BD70" s="721">
        <f t="shared" si="54"/>
        <v>0</v>
      </c>
      <c r="BE70" s="721">
        <f t="shared" si="54"/>
        <v>0</v>
      </c>
      <c r="BF70" s="721">
        <f t="shared" si="54"/>
        <v>0</v>
      </c>
      <c r="BG70" s="721">
        <f t="shared" si="55"/>
        <v>0</v>
      </c>
      <c r="BH70" s="721">
        <f t="shared" si="55"/>
        <v>0</v>
      </c>
      <c r="BI70" s="721">
        <f t="shared" si="55"/>
        <v>0</v>
      </c>
      <c r="BJ70" s="721">
        <f t="shared" si="55"/>
        <v>0</v>
      </c>
      <c r="BK70" s="721">
        <f t="shared" si="55"/>
        <v>0</v>
      </c>
      <c r="BL70" s="721">
        <f t="shared" si="55"/>
        <v>0</v>
      </c>
      <c r="BM70" s="721">
        <f t="shared" si="55"/>
        <v>0</v>
      </c>
      <c r="BN70" s="721">
        <f t="shared" si="55"/>
        <v>0</v>
      </c>
      <c r="BO70" s="721">
        <f t="shared" si="55"/>
        <v>0</v>
      </c>
      <c r="BP70" s="721">
        <f t="shared" si="55"/>
        <v>0</v>
      </c>
    </row>
    <row r="71" spans="1:68" ht="16.5" thickBot="1" x14ac:dyDescent="0.3">
      <c r="A71" s="1076" t="s">
        <v>178</v>
      </c>
      <c r="B71" s="1077"/>
      <c r="C71" s="1077"/>
      <c r="D71" s="1077"/>
      <c r="E71" s="1077"/>
      <c r="F71" s="1077"/>
      <c r="G71" s="1077"/>
      <c r="H71" s="1078"/>
      <c r="I71" s="721">
        <f t="shared" ref="I71:X72" si="57">IF(ISERROR(Plan),0,Plan)</f>
        <v>0</v>
      </c>
      <c r="J71" s="721">
        <f t="shared" si="57"/>
        <v>0</v>
      </c>
      <c r="K71" s="721">
        <f t="shared" si="57"/>
        <v>0</v>
      </c>
      <c r="L71" s="721">
        <f t="shared" si="57"/>
        <v>0</v>
      </c>
      <c r="M71" s="721">
        <f t="shared" si="57"/>
        <v>0</v>
      </c>
      <c r="N71" s="721">
        <f t="shared" si="57"/>
        <v>0</v>
      </c>
      <c r="O71" s="721">
        <f t="shared" si="57"/>
        <v>0</v>
      </c>
      <c r="P71" s="721">
        <f t="shared" si="57"/>
        <v>0</v>
      </c>
      <c r="Q71" s="721">
        <f t="shared" si="57"/>
        <v>0</v>
      </c>
      <c r="R71" s="721">
        <f t="shared" si="57"/>
        <v>0</v>
      </c>
      <c r="S71" s="721">
        <f t="shared" si="57"/>
        <v>0</v>
      </c>
      <c r="T71" s="721">
        <f t="shared" si="57"/>
        <v>0</v>
      </c>
      <c r="U71" s="721">
        <f t="shared" si="57"/>
        <v>0</v>
      </c>
      <c r="V71" s="721">
        <f t="shared" si="57"/>
        <v>0</v>
      </c>
      <c r="W71" s="721">
        <f t="shared" si="57"/>
        <v>0</v>
      </c>
      <c r="X71" s="721">
        <f t="shared" si="57"/>
        <v>0</v>
      </c>
      <c r="Y71" s="721">
        <f t="shared" ref="Y71:AM72" si="58">IF(ISERROR(Plan),0,Plan)</f>
        <v>0</v>
      </c>
      <c r="Z71" s="721">
        <f t="shared" si="58"/>
        <v>0</v>
      </c>
      <c r="AA71" s="721">
        <f t="shared" si="58"/>
        <v>0</v>
      </c>
      <c r="AB71" s="721">
        <f t="shared" si="58"/>
        <v>0</v>
      </c>
      <c r="AC71" s="721">
        <f t="shared" si="58"/>
        <v>0</v>
      </c>
      <c r="AD71" s="721">
        <f t="shared" si="58"/>
        <v>0</v>
      </c>
      <c r="AE71" s="721">
        <f t="shared" si="58"/>
        <v>0</v>
      </c>
      <c r="AF71" s="721">
        <f t="shared" si="58"/>
        <v>0</v>
      </c>
      <c r="AG71" s="721">
        <f t="shared" si="58"/>
        <v>0</v>
      </c>
      <c r="AH71" s="721">
        <f t="shared" si="58"/>
        <v>0</v>
      </c>
      <c r="AI71" s="721">
        <f t="shared" si="58"/>
        <v>0</v>
      </c>
      <c r="AJ71" s="721">
        <f t="shared" si="58"/>
        <v>0</v>
      </c>
      <c r="AK71" s="721">
        <f t="shared" si="58"/>
        <v>0</v>
      </c>
      <c r="AL71" s="721">
        <f t="shared" si="58"/>
        <v>0</v>
      </c>
      <c r="AM71" s="721">
        <f t="shared" si="58"/>
        <v>0</v>
      </c>
      <c r="AN71" s="721">
        <f t="shared" ref="AN71:BC72" si="59">IF(ISERROR(Plan),0,Plan)</f>
        <v>0</v>
      </c>
      <c r="AO71" s="721">
        <f t="shared" si="59"/>
        <v>0</v>
      </c>
      <c r="AP71" s="721">
        <f t="shared" si="59"/>
        <v>0</v>
      </c>
      <c r="AQ71" s="721">
        <f t="shared" si="59"/>
        <v>0</v>
      </c>
      <c r="AR71" s="721">
        <f t="shared" si="59"/>
        <v>0</v>
      </c>
      <c r="AS71" s="721">
        <f t="shared" si="59"/>
        <v>0</v>
      </c>
      <c r="AT71" s="721">
        <f t="shared" si="59"/>
        <v>0</v>
      </c>
      <c r="AU71" s="721">
        <f t="shared" si="59"/>
        <v>0</v>
      </c>
      <c r="AV71" s="721">
        <f t="shared" si="59"/>
        <v>0</v>
      </c>
      <c r="AW71" s="721">
        <f t="shared" si="59"/>
        <v>0</v>
      </c>
      <c r="AX71" s="721">
        <f t="shared" si="59"/>
        <v>0</v>
      </c>
      <c r="AY71" s="721">
        <f t="shared" si="59"/>
        <v>0</v>
      </c>
      <c r="AZ71" s="721">
        <f t="shared" si="59"/>
        <v>0</v>
      </c>
      <c r="BA71" s="721">
        <f t="shared" si="59"/>
        <v>0</v>
      </c>
      <c r="BB71" s="721">
        <f t="shared" si="59"/>
        <v>0</v>
      </c>
      <c r="BC71" s="721">
        <f t="shared" si="59"/>
        <v>0</v>
      </c>
      <c r="BD71" s="721">
        <f t="shared" ref="BD71:BP72" si="60">IF(ISERROR(Plan),0,Plan)</f>
        <v>0</v>
      </c>
      <c r="BE71" s="721">
        <f t="shared" si="60"/>
        <v>0</v>
      </c>
      <c r="BF71" s="721">
        <f t="shared" si="60"/>
        <v>0</v>
      </c>
      <c r="BG71" s="721">
        <f t="shared" si="60"/>
        <v>0</v>
      </c>
      <c r="BH71" s="721">
        <f t="shared" si="60"/>
        <v>0</v>
      </c>
      <c r="BI71" s="721">
        <f t="shared" si="60"/>
        <v>0</v>
      </c>
      <c r="BJ71" s="721">
        <f t="shared" si="60"/>
        <v>0</v>
      </c>
      <c r="BK71" s="721">
        <f t="shared" si="60"/>
        <v>0</v>
      </c>
      <c r="BL71" s="721">
        <f t="shared" si="60"/>
        <v>0</v>
      </c>
      <c r="BM71" s="721">
        <f t="shared" si="60"/>
        <v>0</v>
      </c>
      <c r="BN71" s="721">
        <f t="shared" si="60"/>
        <v>0</v>
      </c>
      <c r="BO71" s="721">
        <f t="shared" si="60"/>
        <v>0</v>
      </c>
      <c r="BP71" s="721">
        <f t="shared" si="60"/>
        <v>0</v>
      </c>
    </row>
    <row r="72" spans="1:68" x14ac:dyDescent="0.25">
      <c r="A72" s="997" t="s">
        <v>196</v>
      </c>
      <c r="B72" s="998"/>
      <c r="C72" s="118" t="str">
        <f>IF($B72&lt;&gt;"",VLOOKUP($B72,COSTS_Barbarian_King[#All],2),"")</f>
        <v/>
      </c>
      <c r="D72" s="999" t="str">
        <f>IF($B72&lt;&gt;"",VLOOKUP($B72,COSTS_Barbarian_King[#All],3)/24,"")</f>
        <v/>
      </c>
      <c r="E72" s="1000"/>
      <c r="F72" s="1001"/>
      <c r="G72" s="923" t="str">
        <f t="shared" si="37"/>
        <v/>
      </c>
      <c r="H72" s="920"/>
      <c r="I72" s="721">
        <f t="shared" si="57"/>
        <v>0</v>
      </c>
      <c r="J72" s="721">
        <f t="shared" si="57"/>
        <v>0</v>
      </c>
      <c r="K72" s="721">
        <f t="shared" si="57"/>
        <v>0</v>
      </c>
      <c r="L72" s="721">
        <f t="shared" si="57"/>
        <v>0</v>
      </c>
      <c r="M72" s="721">
        <f t="shared" si="57"/>
        <v>0</v>
      </c>
      <c r="N72" s="721">
        <f t="shared" si="57"/>
        <v>0</v>
      </c>
      <c r="O72" s="721">
        <f t="shared" si="57"/>
        <v>0</v>
      </c>
      <c r="P72" s="721">
        <f t="shared" si="57"/>
        <v>0</v>
      </c>
      <c r="Q72" s="721">
        <f t="shared" si="57"/>
        <v>0</v>
      </c>
      <c r="R72" s="721">
        <f t="shared" si="57"/>
        <v>0</v>
      </c>
      <c r="S72" s="721">
        <f t="shared" si="57"/>
        <v>0</v>
      </c>
      <c r="T72" s="721">
        <f t="shared" si="57"/>
        <v>0</v>
      </c>
      <c r="U72" s="721">
        <f t="shared" si="57"/>
        <v>0</v>
      </c>
      <c r="V72" s="721">
        <f t="shared" si="57"/>
        <v>0</v>
      </c>
      <c r="W72" s="721">
        <f t="shared" si="57"/>
        <v>0</v>
      </c>
      <c r="X72" s="721">
        <f t="shared" si="57"/>
        <v>0</v>
      </c>
      <c r="Y72" s="721">
        <f t="shared" si="58"/>
        <v>0</v>
      </c>
      <c r="Z72" s="721">
        <f t="shared" si="58"/>
        <v>0</v>
      </c>
      <c r="AA72" s="721">
        <f t="shared" si="58"/>
        <v>0</v>
      </c>
      <c r="AB72" s="721">
        <f t="shared" si="58"/>
        <v>0</v>
      </c>
      <c r="AC72" s="721">
        <f t="shared" si="58"/>
        <v>0</v>
      </c>
      <c r="AD72" s="721">
        <f t="shared" si="58"/>
        <v>0</v>
      </c>
      <c r="AE72" s="721">
        <f t="shared" si="58"/>
        <v>0</v>
      </c>
      <c r="AF72" s="721">
        <f t="shared" si="58"/>
        <v>0</v>
      </c>
      <c r="AG72" s="721">
        <f t="shared" si="58"/>
        <v>0</v>
      </c>
      <c r="AH72" s="721">
        <f t="shared" si="58"/>
        <v>0</v>
      </c>
      <c r="AI72" s="721">
        <f t="shared" si="58"/>
        <v>0</v>
      </c>
      <c r="AJ72" s="721">
        <f t="shared" si="58"/>
        <v>0</v>
      </c>
      <c r="AK72" s="721">
        <f t="shared" si="58"/>
        <v>0</v>
      </c>
      <c r="AL72" s="721">
        <f t="shared" si="58"/>
        <v>0</v>
      </c>
      <c r="AM72" s="721">
        <f t="shared" si="58"/>
        <v>0</v>
      </c>
      <c r="AN72" s="721">
        <f t="shared" si="59"/>
        <v>0</v>
      </c>
      <c r="AO72" s="721">
        <f t="shared" si="59"/>
        <v>0</v>
      </c>
      <c r="AP72" s="721">
        <f t="shared" si="59"/>
        <v>0</v>
      </c>
      <c r="AQ72" s="721">
        <f t="shared" si="59"/>
        <v>0</v>
      </c>
      <c r="AR72" s="721">
        <f t="shared" si="59"/>
        <v>0</v>
      </c>
      <c r="AS72" s="721">
        <f t="shared" si="59"/>
        <v>0</v>
      </c>
      <c r="AT72" s="721">
        <f t="shared" si="59"/>
        <v>0</v>
      </c>
      <c r="AU72" s="721">
        <f t="shared" si="59"/>
        <v>0</v>
      </c>
      <c r="AV72" s="721">
        <f t="shared" si="59"/>
        <v>0</v>
      </c>
      <c r="AW72" s="721">
        <f t="shared" si="59"/>
        <v>0</v>
      </c>
      <c r="AX72" s="721">
        <f t="shared" si="59"/>
        <v>0</v>
      </c>
      <c r="AY72" s="721">
        <f t="shared" si="59"/>
        <v>0</v>
      </c>
      <c r="AZ72" s="721">
        <f t="shared" si="59"/>
        <v>0</v>
      </c>
      <c r="BA72" s="721">
        <f t="shared" si="59"/>
        <v>0</v>
      </c>
      <c r="BB72" s="721">
        <f t="shared" si="59"/>
        <v>0</v>
      </c>
      <c r="BC72" s="721">
        <f t="shared" si="59"/>
        <v>0</v>
      </c>
      <c r="BD72" s="721">
        <f t="shared" si="60"/>
        <v>0</v>
      </c>
      <c r="BE72" s="721">
        <f t="shared" si="60"/>
        <v>0</v>
      </c>
      <c r="BF72" s="721">
        <f t="shared" si="60"/>
        <v>0</v>
      </c>
      <c r="BG72" s="721">
        <f t="shared" si="60"/>
        <v>0</v>
      </c>
      <c r="BH72" s="721">
        <f t="shared" si="60"/>
        <v>0</v>
      </c>
      <c r="BI72" s="721">
        <f t="shared" si="60"/>
        <v>0</v>
      </c>
      <c r="BJ72" s="721">
        <f t="shared" si="60"/>
        <v>0</v>
      </c>
      <c r="BK72" s="721">
        <f t="shared" si="60"/>
        <v>0</v>
      </c>
      <c r="BL72" s="721">
        <f t="shared" si="60"/>
        <v>0</v>
      </c>
      <c r="BM72" s="721">
        <f t="shared" si="60"/>
        <v>0</v>
      </c>
      <c r="BN72" s="721">
        <f t="shared" si="60"/>
        <v>0</v>
      </c>
      <c r="BO72" s="721">
        <f t="shared" si="60"/>
        <v>0</v>
      </c>
      <c r="BP72" s="721">
        <f t="shared" si="60"/>
        <v>0</v>
      </c>
    </row>
    <row r="73" spans="1:68" x14ac:dyDescent="0.25">
      <c r="A73" s="1002" t="s">
        <v>182</v>
      </c>
      <c r="B73" s="1003"/>
      <c r="C73" s="121" t="str">
        <f>IF($B73&lt;&gt;"",VLOOKUP($B73,COSTS_Archer_Queen[#All],2),"")</f>
        <v/>
      </c>
      <c r="D73" s="1004" t="str">
        <f>IF($B73&lt;&gt;"",VLOOKUP($B73,COSTS_Archer_Queen[#All],3)/24,"")</f>
        <v/>
      </c>
      <c r="E73" s="996"/>
      <c r="F73" s="1005"/>
      <c r="G73" s="924" t="str">
        <f t="shared" si="37"/>
        <v/>
      </c>
      <c r="H73" s="921"/>
      <c r="I73" s="721">
        <f t="shared" ref="I73:X73" si="61">IF(ISERROR(Plan),0,Plan)</f>
        <v>0</v>
      </c>
      <c r="J73" s="721">
        <f t="shared" si="61"/>
        <v>0</v>
      </c>
      <c r="K73" s="721">
        <f t="shared" si="61"/>
        <v>0</v>
      </c>
      <c r="L73" s="721">
        <f t="shared" si="61"/>
        <v>0</v>
      </c>
      <c r="M73" s="721">
        <f t="shared" si="61"/>
        <v>0</v>
      </c>
      <c r="N73" s="721">
        <f t="shared" si="61"/>
        <v>0</v>
      </c>
      <c r="O73" s="721">
        <f t="shared" si="61"/>
        <v>0</v>
      </c>
      <c r="P73" s="721">
        <f t="shared" si="61"/>
        <v>0</v>
      </c>
      <c r="Q73" s="721">
        <f t="shared" si="61"/>
        <v>0</v>
      </c>
      <c r="R73" s="721">
        <f t="shared" si="61"/>
        <v>0</v>
      </c>
      <c r="S73" s="721">
        <f t="shared" si="61"/>
        <v>0</v>
      </c>
      <c r="T73" s="721">
        <f t="shared" si="61"/>
        <v>0</v>
      </c>
      <c r="U73" s="721">
        <f t="shared" si="61"/>
        <v>0</v>
      </c>
      <c r="V73" s="721">
        <f t="shared" si="61"/>
        <v>0</v>
      </c>
      <c r="W73" s="721">
        <f t="shared" si="61"/>
        <v>0</v>
      </c>
      <c r="X73" s="721">
        <f t="shared" si="61"/>
        <v>0</v>
      </c>
      <c r="Y73" s="721">
        <f t="shared" ref="Y73:AM73" si="62">IF(ISERROR(Plan),0,Plan)</f>
        <v>0</v>
      </c>
      <c r="Z73" s="721">
        <f t="shared" si="62"/>
        <v>0</v>
      </c>
      <c r="AA73" s="721">
        <f t="shared" si="62"/>
        <v>0</v>
      </c>
      <c r="AB73" s="721">
        <f t="shared" si="62"/>
        <v>0</v>
      </c>
      <c r="AC73" s="721">
        <f t="shared" si="62"/>
        <v>0</v>
      </c>
      <c r="AD73" s="721">
        <f t="shared" si="62"/>
        <v>0</v>
      </c>
      <c r="AE73" s="721">
        <f t="shared" si="62"/>
        <v>0</v>
      </c>
      <c r="AF73" s="721">
        <f t="shared" si="62"/>
        <v>0</v>
      </c>
      <c r="AG73" s="721">
        <f t="shared" si="62"/>
        <v>0</v>
      </c>
      <c r="AH73" s="721">
        <f t="shared" si="62"/>
        <v>0</v>
      </c>
      <c r="AI73" s="721">
        <f t="shared" si="62"/>
        <v>0</v>
      </c>
      <c r="AJ73" s="721">
        <f t="shared" si="62"/>
        <v>0</v>
      </c>
      <c r="AK73" s="721">
        <f t="shared" si="62"/>
        <v>0</v>
      </c>
      <c r="AL73" s="721">
        <f t="shared" si="62"/>
        <v>0</v>
      </c>
      <c r="AM73" s="721">
        <f t="shared" si="62"/>
        <v>0</v>
      </c>
      <c r="AN73" s="721">
        <f t="shared" ref="AN73:BC73" si="63">IF(ISERROR(Plan),0,Plan)</f>
        <v>0</v>
      </c>
      <c r="AO73" s="721">
        <f t="shared" si="63"/>
        <v>0</v>
      </c>
      <c r="AP73" s="721">
        <f t="shared" si="63"/>
        <v>0</v>
      </c>
      <c r="AQ73" s="721">
        <f t="shared" si="63"/>
        <v>0</v>
      </c>
      <c r="AR73" s="721">
        <f t="shared" si="63"/>
        <v>0</v>
      </c>
      <c r="AS73" s="721">
        <f t="shared" si="63"/>
        <v>0</v>
      </c>
      <c r="AT73" s="721">
        <f t="shared" si="63"/>
        <v>0</v>
      </c>
      <c r="AU73" s="721">
        <f t="shared" si="63"/>
        <v>0</v>
      </c>
      <c r="AV73" s="721">
        <f t="shared" si="63"/>
        <v>0</v>
      </c>
      <c r="AW73" s="721">
        <f t="shared" si="63"/>
        <v>0</v>
      </c>
      <c r="AX73" s="721">
        <f t="shared" si="63"/>
        <v>0</v>
      </c>
      <c r="AY73" s="721">
        <f t="shared" si="63"/>
        <v>0</v>
      </c>
      <c r="AZ73" s="721">
        <f t="shared" si="63"/>
        <v>0</v>
      </c>
      <c r="BA73" s="721">
        <f t="shared" si="63"/>
        <v>0</v>
      </c>
      <c r="BB73" s="721">
        <f t="shared" si="63"/>
        <v>0</v>
      </c>
      <c r="BC73" s="721">
        <f t="shared" si="63"/>
        <v>0</v>
      </c>
      <c r="BD73" s="721">
        <f t="shared" ref="BD73:BP73" si="64">IF(ISERROR(Plan),0,Plan)</f>
        <v>0</v>
      </c>
      <c r="BE73" s="721">
        <f t="shared" si="64"/>
        <v>0</v>
      </c>
      <c r="BF73" s="721">
        <f t="shared" si="64"/>
        <v>0</v>
      </c>
      <c r="BG73" s="721">
        <f t="shared" si="64"/>
        <v>0</v>
      </c>
      <c r="BH73" s="721">
        <f t="shared" si="64"/>
        <v>0</v>
      </c>
      <c r="BI73" s="721">
        <f t="shared" si="64"/>
        <v>0</v>
      </c>
      <c r="BJ73" s="721">
        <f t="shared" si="64"/>
        <v>0</v>
      </c>
      <c r="BK73" s="721">
        <f t="shared" si="64"/>
        <v>0</v>
      </c>
      <c r="BL73" s="721">
        <f t="shared" si="64"/>
        <v>0</v>
      </c>
      <c r="BM73" s="721">
        <f t="shared" si="64"/>
        <v>0</v>
      </c>
      <c r="BN73" s="721">
        <f t="shared" si="64"/>
        <v>0</v>
      </c>
      <c r="BO73" s="721">
        <f t="shared" si="64"/>
        <v>0</v>
      </c>
      <c r="BP73" s="721">
        <f t="shared" si="64"/>
        <v>0</v>
      </c>
    </row>
    <row r="74" spans="1:68" ht="15.75" thickBot="1" x14ac:dyDescent="0.3">
      <c r="A74" s="1006" t="s">
        <v>738</v>
      </c>
      <c r="B74" s="1007"/>
      <c r="C74" s="1011" t="str">
        <f>IF($B74&lt;&gt;"",VLOOKUP($B74,COSTS_Grand_Warden[#All],2),"")</f>
        <v/>
      </c>
      <c r="D74" s="1008" t="str">
        <f>IF($B74&lt;&gt;"",VLOOKUP($B74,COSTS_Grand_Warden[#All],3)/24,"")</f>
        <v/>
      </c>
      <c r="E74" s="1009"/>
      <c r="F74" s="1010"/>
      <c r="G74" s="925" t="str">
        <f>IF($D74&lt;&gt;"",$D74,"")</f>
        <v/>
      </c>
      <c r="H74" s="922"/>
      <c r="I74" s="721">
        <f t="shared" ref="I74:X74" si="65">IF(ISERROR(Plan),0,Plan)</f>
        <v>0</v>
      </c>
      <c r="J74" s="721">
        <f t="shared" si="65"/>
        <v>0</v>
      </c>
      <c r="K74" s="721">
        <f t="shared" si="65"/>
        <v>0</v>
      </c>
      <c r="L74" s="721">
        <f t="shared" si="65"/>
        <v>0</v>
      </c>
      <c r="M74" s="721">
        <f t="shared" si="65"/>
        <v>0</v>
      </c>
      <c r="N74" s="721">
        <f t="shared" si="65"/>
        <v>0</v>
      </c>
      <c r="O74" s="721">
        <f t="shared" si="65"/>
        <v>0</v>
      </c>
      <c r="P74" s="721">
        <f t="shared" si="65"/>
        <v>0</v>
      </c>
      <c r="Q74" s="721">
        <f t="shared" si="65"/>
        <v>0</v>
      </c>
      <c r="R74" s="721">
        <f t="shared" si="65"/>
        <v>0</v>
      </c>
      <c r="S74" s="721">
        <f t="shared" si="65"/>
        <v>0</v>
      </c>
      <c r="T74" s="721">
        <f t="shared" si="65"/>
        <v>0</v>
      </c>
      <c r="U74" s="721">
        <f t="shared" si="65"/>
        <v>0</v>
      </c>
      <c r="V74" s="721">
        <f t="shared" si="65"/>
        <v>0</v>
      </c>
      <c r="W74" s="721">
        <f t="shared" si="65"/>
        <v>0</v>
      </c>
      <c r="X74" s="721">
        <f t="shared" si="65"/>
        <v>0</v>
      </c>
      <c r="Y74" s="721">
        <f t="shared" ref="Y74:AM74" si="66">IF(ISERROR(Plan),0,Plan)</f>
        <v>0</v>
      </c>
      <c r="Z74" s="721">
        <f t="shared" si="66"/>
        <v>0</v>
      </c>
      <c r="AA74" s="721">
        <f t="shared" si="66"/>
        <v>0</v>
      </c>
      <c r="AB74" s="721">
        <f t="shared" si="66"/>
        <v>0</v>
      </c>
      <c r="AC74" s="721">
        <f t="shared" si="66"/>
        <v>0</v>
      </c>
      <c r="AD74" s="721">
        <f t="shared" si="66"/>
        <v>0</v>
      </c>
      <c r="AE74" s="721">
        <f t="shared" si="66"/>
        <v>0</v>
      </c>
      <c r="AF74" s="721">
        <f t="shared" si="66"/>
        <v>0</v>
      </c>
      <c r="AG74" s="721">
        <f t="shared" si="66"/>
        <v>0</v>
      </c>
      <c r="AH74" s="721">
        <f t="shared" si="66"/>
        <v>0</v>
      </c>
      <c r="AI74" s="721">
        <f t="shared" si="66"/>
        <v>0</v>
      </c>
      <c r="AJ74" s="721">
        <f t="shared" si="66"/>
        <v>0</v>
      </c>
      <c r="AK74" s="721">
        <f t="shared" si="66"/>
        <v>0</v>
      </c>
      <c r="AL74" s="721">
        <f t="shared" si="66"/>
        <v>0</v>
      </c>
      <c r="AM74" s="721">
        <f t="shared" si="66"/>
        <v>0</v>
      </c>
      <c r="AN74" s="721">
        <f t="shared" ref="AN74:BC74" si="67">IF(ISERROR(Plan),0,Plan)</f>
        <v>0</v>
      </c>
      <c r="AO74" s="721">
        <f t="shared" si="67"/>
        <v>0</v>
      </c>
      <c r="AP74" s="721">
        <f t="shared" si="67"/>
        <v>0</v>
      </c>
      <c r="AQ74" s="721">
        <f t="shared" si="67"/>
        <v>0</v>
      </c>
      <c r="AR74" s="721">
        <f t="shared" si="67"/>
        <v>0</v>
      </c>
      <c r="AS74" s="721">
        <f t="shared" si="67"/>
        <v>0</v>
      </c>
      <c r="AT74" s="721">
        <f t="shared" si="67"/>
        <v>0</v>
      </c>
      <c r="AU74" s="721">
        <f t="shared" si="67"/>
        <v>0</v>
      </c>
      <c r="AV74" s="721">
        <f t="shared" si="67"/>
        <v>0</v>
      </c>
      <c r="AW74" s="721">
        <f t="shared" si="67"/>
        <v>0</v>
      </c>
      <c r="AX74" s="721">
        <f t="shared" si="67"/>
        <v>0</v>
      </c>
      <c r="AY74" s="721">
        <f t="shared" si="67"/>
        <v>0</v>
      </c>
      <c r="AZ74" s="721">
        <f t="shared" si="67"/>
        <v>0</v>
      </c>
      <c r="BA74" s="721">
        <f t="shared" si="67"/>
        <v>0</v>
      </c>
      <c r="BB74" s="721">
        <f t="shared" si="67"/>
        <v>0</v>
      </c>
      <c r="BC74" s="721">
        <f t="shared" si="67"/>
        <v>0</v>
      </c>
      <c r="BD74" s="721">
        <f t="shared" ref="BD74:BP74" si="68">IF(ISERROR(Plan),0,Plan)</f>
        <v>0</v>
      </c>
      <c r="BE74" s="721">
        <f t="shared" si="68"/>
        <v>0</v>
      </c>
      <c r="BF74" s="721">
        <f t="shared" si="68"/>
        <v>0</v>
      </c>
      <c r="BG74" s="721">
        <f t="shared" si="68"/>
        <v>0</v>
      </c>
      <c r="BH74" s="721">
        <f t="shared" si="68"/>
        <v>0</v>
      </c>
      <c r="BI74" s="721">
        <f t="shared" si="68"/>
        <v>0</v>
      </c>
      <c r="BJ74" s="721">
        <f t="shared" si="68"/>
        <v>0</v>
      </c>
      <c r="BK74" s="721">
        <f t="shared" si="68"/>
        <v>0</v>
      </c>
      <c r="BL74" s="721">
        <f t="shared" si="68"/>
        <v>0</v>
      </c>
      <c r="BM74" s="721">
        <f t="shared" si="68"/>
        <v>0</v>
      </c>
      <c r="BN74" s="721">
        <f t="shared" si="68"/>
        <v>0</v>
      </c>
      <c r="BO74" s="721">
        <f t="shared" si="68"/>
        <v>0</v>
      </c>
      <c r="BP74" s="721">
        <f t="shared" si="68"/>
        <v>0</v>
      </c>
    </row>
  </sheetData>
  <sheetProtection sheet="1" objects="1" scenarios="1" selectLockedCells="1"/>
  <autoFilter ref="A7:H74"/>
  <dataConsolidate/>
  <mergeCells count="40">
    <mergeCell ref="A71:H71"/>
    <mergeCell ref="A22:H22"/>
    <mergeCell ref="A41:H41"/>
    <mergeCell ref="L1:M1"/>
    <mergeCell ref="A8:H8"/>
    <mergeCell ref="I2:J2"/>
    <mergeCell ref="I3:J3"/>
    <mergeCell ref="I4:J4"/>
    <mergeCell ref="A53:H53"/>
    <mergeCell ref="A3:H6"/>
    <mergeCell ref="A34:H34"/>
    <mergeCell ref="N1:O1"/>
    <mergeCell ref="L2:M2"/>
    <mergeCell ref="L3:M3"/>
    <mergeCell ref="L4:M4"/>
    <mergeCell ref="N2:O2"/>
    <mergeCell ref="N3:O3"/>
    <mergeCell ref="N4:O4"/>
    <mergeCell ref="S1:Z1"/>
    <mergeCell ref="A15:H15"/>
    <mergeCell ref="A44:H44"/>
    <mergeCell ref="A1:B1"/>
    <mergeCell ref="A2:B2"/>
    <mergeCell ref="I5:J5"/>
    <mergeCell ref="L5:M5"/>
    <mergeCell ref="N5:O5"/>
    <mergeCell ref="P1:Q1"/>
    <mergeCell ref="P2:Q2"/>
    <mergeCell ref="P3:Q3"/>
    <mergeCell ref="P4:Q4"/>
    <mergeCell ref="I1:J1"/>
    <mergeCell ref="X2:Z2"/>
    <mergeCell ref="X3:Z3"/>
    <mergeCell ref="T5:V5"/>
    <mergeCell ref="T3:V3"/>
    <mergeCell ref="T2:V2"/>
    <mergeCell ref="T4:V4"/>
    <mergeCell ref="X5:Z5"/>
    <mergeCell ref="P5:Q5"/>
    <mergeCell ref="X4:Z4"/>
  </mergeCells>
  <conditionalFormatting sqref="I7:BP7">
    <cfRule type="expression" dxfId="1748" priority="4">
      <formula>I$6=$G$1</formula>
    </cfRule>
    <cfRule type="expression" dxfId="1747" priority="5">
      <formula>I$6&gt;$G$1</formula>
    </cfRule>
    <cfRule type="expression" dxfId="1746" priority="72">
      <formula>I$7=period_selected</formula>
    </cfRule>
  </conditionalFormatting>
  <conditionalFormatting sqref="I8:BP74">
    <cfRule type="expression" dxfId="1745" priority="91">
      <formula>I$7=period_selected</formula>
    </cfRule>
    <cfRule type="expression" dxfId="1744" priority="92">
      <formula>PercentComplete</formula>
    </cfRule>
    <cfRule type="expression" dxfId="1743" priority="94">
      <formula>PercentCompleteBeyond</formula>
    </cfRule>
    <cfRule type="expression" dxfId="1742" priority="95">
      <formula>Actual</formula>
    </cfRule>
    <cfRule type="expression" dxfId="1741" priority="96">
      <formula>ActualBeyond</formula>
    </cfRule>
    <cfRule type="expression" dxfId="1740" priority="99">
      <formula>Plan</formula>
    </cfRule>
    <cfRule type="expression" dxfId="1739" priority="102">
      <formula>MOD(COLUMN(),2)</formula>
    </cfRule>
    <cfRule type="expression" dxfId="1738" priority="103">
      <formula>MOD(COLUMN(),2)=0</formula>
    </cfRule>
  </conditionalFormatting>
  <conditionalFormatting sqref="K2:Q5">
    <cfRule type="expression" dxfId="1737" priority="11">
      <formula>$K2&gt;$G$1</formula>
    </cfRule>
  </conditionalFormatting>
  <conditionalFormatting sqref="W4">
    <cfRule type="expression" dxfId="1736" priority="1">
      <formula>W$6=$G$1</formula>
    </cfRule>
    <cfRule type="expression" dxfId="1735" priority="2">
      <formula>W$6&gt;$G$1</formula>
    </cfRule>
    <cfRule type="expression" dxfId="1734" priority="3">
      <formula>W$7=period_selected</formula>
    </cfRule>
  </conditionalFormatting>
  <dataValidations count="3">
    <dataValidation type="list" allowBlank="1" showInputMessage="1" showErrorMessage="1" sqref="E72:F74 E54:F70 E45:F52 E42:F43 E35:F40 E23:F33 E16:F21 E9:F14 E2">
      <formula1>Calendar</formula1>
    </dataValidation>
    <dataValidation type="list" allowBlank="1" showInputMessage="1" showErrorMessage="1" sqref="D2">
      <formula1>Pas</formula1>
    </dataValidation>
    <dataValidation type="date" allowBlank="1" showInputMessage="1" showErrorMessage="1" sqref="C2">
      <formula1>1</formula1>
      <formula2>73415</formula2>
    </dataValidation>
  </dataValidations>
  <pageMargins left="0.70866141732283472" right="0.70866141732283472" top="0.74803149606299213" bottom="0.7480314960629921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Plannifier">
                <anchor moveWithCells="1">
                  <from>
                    <xdr:col>5</xdr:col>
                    <xdr:colOff>19050</xdr:colOff>
                    <xdr:row>0</xdr:row>
                    <xdr:rowOff>9525</xdr:rowOff>
                  </from>
                  <to>
                    <xdr:col>6</xdr:col>
                    <xdr:colOff>504825</xdr:colOff>
                    <xdr:row>0</xdr:row>
                    <xdr:rowOff>228600</xdr:rowOff>
                  </to>
                </anchor>
              </controlPr>
            </control>
          </mc:Choice>
        </mc:AlternateContent>
        <mc:AlternateContent xmlns:mc="http://schemas.openxmlformats.org/markup-compatibility/2006">
          <mc:Choice Requires="x14">
            <control shapeId="2053" r:id="rId5" name="Button 5">
              <controlPr defaultSize="0" print="0" autoFill="0" autoPict="0" macro="[0]!RAZ_Planning">
                <anchor moveWithCells="1">
                  <from>
                    <xdr:col>5</xdr:col>
                    <xdr:colOff>28575</xdr:colOff>
                    <xdr:row>0</xdr:row>
                    <xdr:rowOff>276225</xdr:rowOff>
                  </from>
                  <to>
                    <xdr:col>6</xdr:col>
                    <xdr:colOff>504825</xdr:colOff>
                    <xdr:row>1</xdr:row>
                    <xdr:rowOff>180975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04" id="{73F5B081-7835-422B-87B2-1DEC784C2A77}">
            <xm:f>I$6&lt;Paramètres!$BK$2</xm:f>
            <x14:dxf>
              <fill>
                <patternFill>
                  <bgColor rgb="FF00B0F0"/>
                </patternFill>
              </fill>
            </x14:dxf>
          </x14:cfRule>
          <xm:sqref>I7:BP7</xm:sqref>
        </x14:conditionalFormatting>
        <x14:conditionalFormatting xmlns:xm="http://schemas.microsoft.com/office/excel/2006/main">
          <x14:cfRule type="expression" priority="73" id="{CBFA38D1-EFCA-4F93-BCED-865B344A5638}">
            <xm:f>I$6&gt;Paramètres!$BK$2</xm:f>
            <x14:dxf>
              <fill>
                <patternFill>
                  <bgColor rgb="FFFF0000"/>
                </patternFill>
              </fill>
            </x14:dxf>
          </x14:cfRule>
          <xm:sqref>I7:BP7</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0070C0"/>
    <pageSetUpPr fitToPage="1"/>
  </sheetPr>
  <dimension ref="A1:AF50"/>
  <sheetViews>
    <sheetView showGridLines="0" zoomScaleNormal="100" zoomScaleSheetLayoutView="90" workbookViewId="0">
      <pane ySplit="2" topLeftCell="A3" activePane="bottomLeft" state="frozen"/>
      <selection activeCell="A3" sqref="A3:H6"/>
      <selection pane="bottomLeft" activeCell="J30" sqref="J30"/>
    </sheetView>
  </sheetViews>
  <sheetFormatPr baseColWidth="10" defaultColWidth="11.42578125" defaultRowHeight="15" customHeight="1" x14ac:dyDescent="0.25"/>
  <cols>
    <col min="1" max="1" width="15.5703125" style="128" bestFit="1" customWidth="1"/>
    <col min="2" max="3" width="5.7109375" style="128" customWidth="1"/>
    <col min="4" max="4" width="9.42578125" style="128" customWidth="1"/>
    <col min="5" max="6" width="8.85546875" style="128" customWidth="1"/>
    <col min="7" max="7" width="14" style="128" bestFit="1" customWidth="1"/>
    <col min="8" max="9" width="5.7109375" style="128" customWidth="1"/>
    <col min="10" max="10" width="9.42578125" style="128" customWidth="1"/>
    <col min="11" max="12" width="8.85546875" style="128" customWidth="1"/>
    <col min="13" max="13" width="13.5703125" style="128" bestFit="1" customWidth="1"/>
    <col min="14" max="15" width="5.7109375" style="128" customWidth="1"/>
    <col min="16" max="16" width="9.42578125" style="128" customWidth="1"/>
    <col min="17" max="18" width="8.85546875" style="128" customWidth="1"/>
    <col min="19" max="19" width="17.140625" style="128" bestFit="1" customWidth="1"/>
    <col min="20" max="21" width="5.7109375" style="128" customWidth="1"/>
    <col min="22" max="22" width="9.42578125" style="128" customWidth="1"/>
    <col min="23" max="24" width="8.85546875" style="128" customWidth="1"/>
    <col min="25" max="25" width="4.7109375" style="698" customWidth="1"/>
    <col min="26" max="27" width="10.7109375" style="698" customWidth="1"/>
    <col min="28" max="29" width="11.42578125" style="698"/>
    <col min="30" max="16384" width="11.42578125" style="128"/>
  </cols>
  <sheetData>
    <row r="1" spans="1:29" ht="15" customHeight="1" thickBot="1" x14ac:dyDescent="0.3">
      <c r="A1" s="329" t="s">
        <v>291</v>
      </c>
      <c r="B1" s="1112" t="s">
        <v>228</v>
      </c>
      <c r="C1" s="1113"/>
      <c r="D1" s="701" t="s">
        <v>659</v>
      </c>
      <c r="E1" s="701" t="s">
        <v>662</v>
      </c>
      <c r="F1" s="701" t="s">
        <v>178</v>
      </c>
      <c r="G1" s="717"/>
      <c r="H1" s="1102" t="s">
        <v>237</v>
      </c>
      <c r="I1" s="1102"/>
      <c r="J1" s="1102"/>
      <c r="K1" s="1114" t="s">
        <v>241</v>
      </c>
      <c r="L1" s="1114"/>
      <c r="M1" s="1116" t="s">
        <v>260</v>
      </c>
      <c r="N1" s="1116"/>
      <c r="O1" s="1097" t="s">
        <v>244</v>
      </c>
      <c r="P1" s="1097"/>
      <c r="Q1" s="1099" t="str">
        <f>'Paramètres - Admin'!$D$7 &amp; IF($B$2='Paramètres - Admin'!$B$2,TEXT((E13+K13+E28+Q27+Q13)*60*60,"# 0")&amp;" " &amp; 'Paramètres - Admin'!$B$2,IF($B$2='Paramètres - Admin'!$B$3,TEXT((E13+K13+E28+Q27+Q13)*60,"# 0")&amp;" " &amp; 'Paramètres - Admin'!$B$3,IF($B$2='Paramètres - Admin'!$B$4,TEXT((E13+K13+E28+Q27+Q13),"# 0,00")&amp;" " &amp; 'Paramètres - Admin'!$B$4,IF($B$2='Paramètres - Admin'!$B$5,TEXT((E13+K13+E28+Q27+Q13)/24,"# 0,00")&amp;" " &amp; 'Paramètres - Admin'!$B$5,IF($B$2='Paramètres - Admin'!$B$6,TEXT(((E13+K13+E28+Q27+Q13)/24)/30,"# 0,00")&amp;" " &amp; 'Paramètres - Admin'!$B$6,IF((E13+K13+E28+Q27+Q13)/24&gt;=1,INT((E13+K13+E28+Q27+Q13)/24)&amp;" " &amp;  'Paramètres - Admin'!$D$4 &amp; " " &amp; HOUR((E13+K13+E28+Q27+Q13)/24-INT((E13+K13+E28+Q27+Q13)/24))&amp;" " &amp;  'Paramètres - Admin'!$D$3 &amp; " " &amp; MINUTE((E13+K13+E28+Q27+Q13)/24-INT((E13+K13+E28+Q27+Q13)/24))&amp;" " &amp;  'Paramètres - Admin'!$D$2,HOUR((E13+K13+E28+Q27+Q13)/24-INT((E13+K13+E28+Q27+Q13)/24))&amp;" " &amp;  'Paramètres - Admin'!$D$3 &amp; " " &amp; MINUTE((E13+K13+E28+Q27+Q13)/24-INT((E13+K13+E28+Q27+Q13)/24))&amp;" " &amp;  'Paramètres - Admin'!$D$2))))))</f>
        <v>Bâtiments : 0,00 jours</v>
      </c>
      <c r="R1" s="1099"/>
      <c r="S1" s="1099"/>
      <c r="T1" s="1097" t="s">
        <v>357</v>
      </c>
      <c r="U1" s="1097"/>
      <c r="V1" s="1097"/>
      <c r="W1" s="1109" t="s">
        <v>671</v>
      </c>
      <c r="X1" s="1109"/>
    </row>
    <row r="2" spans="1:29" ht="15" customHeight="1" thickTop="1" thickBot="1" x14ac:dyDescent="0.3">
      <c r="A2" s="593">
        <f>Paramètres!$BJ$2</f>
        <v>1</v>
      </c>
      <c r="B2" s="1110" t="s">
        <v>221</v>
      </c>
      <c r="C2" s="1111"/>
      <c r="D2" s="702" t="s">
        <v>736</v>
      </c>
      <c r="E2" s="702" t="s">
        <v>736</v>
      </c>
      <c r="F2" s="703" t="s">
        <v>812</v>
      </c>
      <c r="G2" s="717"/>
      <c r="H2" s="1103" t="str">
        <f>TEXT(D8+D11+D28+P27+P13,"# ### ### ##0")</f>
        <v>4 250</v>
      </c>
      <c r="I2" s="1103"/>
      <c r="J2" s="1103"/>
      <c r="K2" s="1115" t="str">
        <f>TEXT(D7+D9+D10+D12+J13+P22+J27+V25,"# ### ### ##0")</f>
        <v>4 700</v>
      </c>
      <c r="L2" s="1115"/>
      <c r="M2" s="1108" t="str">
        <f>TEXT(V14+V26+V20,"# ### ### ##0")</f>
        <v>0</v>
      </c>
      <c r="N2" s="1108"/>
      <c r="O2" s="1098" t="str">
        <f>IF($B$2='Paramètres - Admin'!$B$2,TEXT((Z6)*60*60,"# 0")&amp;" " &amp; 'Paramètres - Admin'!$B$2,IF($B$2='Paramètres - Admin'!$B$3,TEXT(Z6*60,"# 0")&amp;" " &amp; 'Paramètres - Admin'!$B$3,IF($B$2='Paramètres - Admin'!$B$4,TEXT(Z6,"# 0,00")&amp;" " &amp; 'Paramètres - Admin'!$B$4,IF($B$2='Paramètres - Admin'!$B$5,TEXT(Z6/24,"# 0,00")&amp;" " &amp; 'Paramètres - Admin'!$B$5,IF($B$2='Paramètres - Admin'!$B$6,TEXT((Z6/24)/30,"# 0,00")&amp;" " &amp; 'Paramètres - Admin'!$B$6,IF(Z6/24&gt;=1,INT(Z6/24)&amp;" " &amp;  'Paramètres - Admin'!$D$4 &amp; " " &amp; HOUR(Z6/24-INT(Z6/24))&amp;" " &amp;  'Paramètres - Admin'!$D$3 &amp; " " &amp; MINUTE(Z6/24-INT(Z6/24))&amp;" " &amp;  'Paramètres - Admin'!$D$2,HOUR(Z6/24-INT(Z6/24))&amp;" " &amp;  'Paramètres - Admin'!$D$3 &amp; " " &amp; MINUTE(Z6/24-INT(Z6/24))&amp;" " &amp;  'Paramètres - Admin'!$D$2))))))</f>
        <v>0,00 jours</v>
      </c>
      <c r="P2" s="1098"/>
      <c r="Q2" s="1100" t="str">
        <f>'Paramètres - Admin'!$D$6 &amp; IF($B$2='Paramètres - Admin'!$B$2,TEXT(W26*60*60,"# 0")&amp;" " &amp; 'Paramètres - Admin'!$B$2,IF($B$2='Paramètres - Admin'!$B$3,TEXT(W26*60,"# 0")&amp;" " &amp; 'Paramètres - Admin'!$B$3,IF($B$2='Paramètres - Admin'!$B$4,TEXT(W26,"# 0,00")&amp;" " &amp; 'Paramètres - Admin'!$B$4,IF($B$2='Paramètres - Admin'!$B$5,TEXT(W26/24,"# 0,00")&amp;" " &amp; 'Paramètres - Admin'!$B$5,IF($B$2='Paramètres - Admin'!$B$6,TEXT((W26/24)/30,"# 0,00")&amp;" " &amp; 'Paramètres - Admin'!$B$6,IF(W26/24&gt;=1,INT(W26/24)&amp;" " &amp;  'Paramètres - Admin'!$D$4 &amp; " " &amp; HOUR(W26/24-INT(W26/24))&amp;" " &amp;  'Paramètres - Admin'!$D$3 &amp; " " &amp; MINUTE(W26/24-INT(W26/24))&amp;" " &amp;  'Paramètres - Admin'!$D$2,HOUR(W26/24-INT(W26/24))&amp;" " &amp;  'Paramètres - Admin'!$D$3 &amp; " " &amp; MINUTE(W26/24-INT(W26/24))&amp;" " &amp;  'Paramètres - Admin'!$D$2))))))</f>
        <v>Héros : 0,00 jours</v>
      </c>
      <c r="R2" s="1100"/>
      <c r="S2" s="1100"/>
      <c r="T2" s="1098" t="str">
        <f>IF($B$2='Paramètres - Admin'!$B$2,TEXT((E13+K13+E28+Q27+Q13+W26)/Paramètres!$BK$2*60*60,"# 0")&amp;" " &amp; 'Paramètres - Admin'!$B$2,IF($B$2='Paramètres - Admin'!$B$3,TEXT((E13+K13+E28+Q27+Q13+W26)/Paramètres!$BK$2*60,"# 0")&amp;" " &amp; 'Paramètres - Admin'!$B$3,IF($B$2='Paramètres - Admin'!$B$4,TEXT((E13+K13+E28+Q27+Q13+W26)/Paramètres!$BK$2,"# 0,00")&amp;" " &amp; 'Paramètres - Admin'!$B$4,IF($B$2='Paramètres - Admin'!$B$5,TEXT((E13+K13+E28+Q27+Q13+W26)/Paramètres!$BK$2/24,"# 0,00")&amp;" " &amp; 'Paramètres - Admin'!$B$5,IF($B$2='Paramètres - Admin'!$B$6,TEXT(((E13+K13+E28+Q27+Q13+W26)/Paramètres!$BK$2/24)/30,"# 0,00")&amp;" " &amp; 'Paramètres - Admin'!$B$6,IF((E13+K13+E28+Q27+Q13+W26)/Paramètres!$BK$2/24&gt;=1,INT((E13+K13+E28+Q27+Q13+W26)/Paramètres!$BK$2/24)&amp;" " &amp;  'Paramètres - Admin'!$D$4 &amp; " " &amp; HOUR((E13+K13+E28+Q27+Q13+W26)/Paramètres!$BK$2/24-INT((E13+K13+E28+Q27+Q13+W26)/Paramètres!$BK$2/24))&amp;" " &amp;  'Paramètres - Admin'!$D$3 &amp; " " &amp; MINUTE((E13+K13+E28+Q27+Q13+W26)/Paramètres!$BK$2/24-INT((E13+K13+E28+Q27+Q13+W26)/Paramètres!$BK$2/24))&amp;" " &amp;  'Paramètres - Admin'!$D$2,HOUR((E13+K13+E28+Q27+Q13+W26)/Paramètres!$BK$2/24-INT((E13+K13+E28+Q27+Q13+W26)/Paramètres!$BK$2/24))&amp;" " &amp;  'Paramètres - Admin'!$D$3 &amp; " " &amp; MINUTE((E13+K13+E28+Q27+Q13+W26)/Paramètres!$BK$2/24-INT((E13+K13+E28+Q27+Q13+W26)/Paramètres!$BK$2/24))&amp;" " &amp;  'Paramètres - Admin'!$D$2))))))</f>
        <v>0,00 jours</v>
      </c>
      <c r="U2" s="1098"/>
      <c r="V2" s="1098"/>
      <c r="W2" s="1096" t="str">
        <f>IF($B$2='Paramètres - Admin'!$B$2,TEXT((Q22+K27+W14+W20)*60*60,"# 0")&amp;" " &amp; 'Paramètres - Admin'!$B$2,IF($B$2='Paramètres - Admin'!$B$3,TEXT((Q22+K27+W14+W20)*60,"# 0")&amp;" " &amp; 'Paramètres - Admin'!$B$3,IF($B$2='Paramètres - Admin'!$B$4,TEXT((Q22+K27+W14+W20),"# 0,00")&amp;" " &amp; 'Paramètres - Admin'!$B$4,IF($B$2='Paramètres - Admin'!$B$5,TEXT((Q22+K27+W14+W20)/24,"# 0,00")&amp;" " &amp; 'Paramètres - Admin'!$B$5,IF($B$2='Paramètres - Admin'!$B$6,TEXT(((Q22+K27+W14+W20)/24)/30,"# 0,00")&amp;" " &amp; 'Paramètres - Admin'!$B$6,IF((Q22+K27+W14+W20)/24&gt;=1,INT((Q22+K27+W14+W20)/24)&amp;" " &amp;  'Paramètres - Admin'!$D$4 &amp; " " &amp; HOUR((Q22+K27+W14+W20)/24-INT((Q22+K27+W14+W20)/24))&amp;" " &amp;  'Paramètres - Admin'!$D$3 &amp; " " &amp; MINUTE((Q22+K27+W14+W20)/24-INT((Q22+K27+W14+W20)/24))&amp;" " &amp;  'Paramètres - Admin'!$D$2,HOUR((Q22+K27+W14+W20)/24-INT((Q22+K27+W14+W20)/24))&amp;" " &amp;  'Paramètres - Admin'!$D$3 &amp; " " &amp; MINUTE((Q22+K27+W14+W20)/24-INT((Q22+K27+W14+W20)/24))&amp;" " &amp;  'Paramètres - Admin'!$D$2))))))</f>
        <v>0,00 jours</v>
      </c>
      <c r="X2" s="1096"/>
    </row>
    <row r="3" spans="1:29" ht="15" customHeight="1" thickTop="1" x14ac:dyDescent="0.25">
      <c r="A3" s="1104" t="s">
        <v>175</v>
      </c>
      <c r="B3" s="1105"/>
      <c r="C3" s="1105"/>
      <c r="D3" s="1105"/>
      <c r="E3" s="1105"/>
      <c r="F3" s="1105"/>
      <c r="G3" s="1105"/>
      <c r="H3" s="1105"/>
      <c r="I3" s="1105"/>
      <c r="J3" s="1105"/>
      <c r="K3" s="1105"/>
      <c r="L3" s="1105"/>
      <c r="M3" s="1105"/>
      <c r="N3" s="1105"/>
      <c r="O3" s="1105"/>
      <c r="P3" s="1105"/>
      <c r="Q3" s="1105"/>
      <c r="R3" s="1105"/>
      <c r="S3" s="1105"/>
      <c r="T3" s="1105"/>
      <c r="U3" s="1105"/>
      <c r="V3" s="1105"/>
      <c r="W3" s="1105"/>
      <c r="X3" s="1105"/>
      <c r="Y3" s="698" t="s">
        <v>246</v>
      </c>
      <c r="Z3" s="699">
        <f>D8+D11+D28+P27+P13-IF(D2="Non",D17,0)-IF(E2="Non",P26,0)</f>
        <v>3250</v>
      </c>
    </row>
    <row r="4" spans="1:29" ht="15" customHeight="1" thickBot="1" x14ac:dyDescent="0.3">
      <c r="A4" s="1106"/>
      <c r="B4" s="1107"/>
      <c r="C4" s="1107"/>
      <c r="D4" s="1107"/>
      <c r="E4" s="1107"/>
      <c r="F4" s="1107"/>
      <c r="G4" s="1107"/>
      <c r="H4" s="1107"/>
      <c r="I4" s="1107"/>
      <c r="J4" s="1107"/>
      <c r="K4" s="1107"/>
      <c r="L4" s="1107"/>
      <c r="M4" s="1107"/>
      <c r="N4" s="1107"/>
      <c r="O4" s="1107"/>
      <c r="P4" s="1107"/>
      <c r="Q4" s="1107"/>
      <c r="R4" s="1107"/>
      <c r="S4" s="1107"/>
      <c r="T4" s="1107"/>
      <c r="U4" s="1107"/>
      <c r="V4" s="1107"/>
      <c r="W4" s="1107"/>
      <c r="X4" s="1107"/>
      <c r="Y4" s="698" t="s">
        <v>247</v>
      </c>
      <c r="Z4" s="699">
        <f>D7+D9+D10+D12+J13+P22+J27+IF(F2="Non",0,V25)</f>
        <v>4700</v>
      </c>
    </row>
    <row r="5" spans="1:29" ht="20.100000000000001" customHeight="1" thickBot="1" x14ac:dyDescent="0.3">
      <c r="A5" s="1093" t="s">
        <v>447</v>
      </c>
      <c r="B5" s="1094"/>
      <c r="C5" s="1094"/>
      <c r="D5" s="1094"/>
      <c r="E5" s="1094"/>
      <c r="F5" s="1095"/>
      <c r="G5" s="1093" t="s">
        <v>181</v>
      </c>
      <c r="H5" s="1094"/>
      <c r="I5" s="1094"/>
      <c r="J5" s="1094"/>
      <c r="K5" s="1094"/>
      <c r="L5" s="1095"/>
      <c r="M5" s="1093" t="s">
        <v>582</v>
      </c>
      <c r="N5" s="1094"/>
      <c r="O5" s="1094"/>
      <c r="P5" s="1094"/>
      <c r="Q5" s="1094"/>
      <c r="R5" s="1095"/>
      <c r="S5" s="1093" t="s">
        <v>227</v>
      </c>
      <c r="T5" s="1094"/>
      <c r="U5" s="1094"/>
      <c r="V5" s="1094"/>
      <c r="W5" s="1094"/>
      <c r="X5" s="1095"/>
      <c r="Y5" s="698" t="s">
        <v>248</v>
      </c>
      <c r="Z5" s="699">
        <f>V14+V20+IF(F2="Non",0,V26)</f>
        <v>0</v>
      </c>
    </row>
    <row r="6" spans="1:29" s="129" customFormat="1" ht="15" customHeight="1" thickBot="1" x14ac:dyDescent="0.3">
      <c r="A6" s="484" t="s">
        <v>231</v>
      </c>
      <c r="B6" s="274" t="s">
        <v>361</v>
      </c>
      <c r="C6" s="532" t="s">
        <v>70</v>
      </c>
      <c r="D6" s="532" t="s">
        <v>232</v>
      </c>
      <c r="E6" s="532" t="s">
        <v>233</v>
      </c>
      <c r="F6" s="533" t="s">
        <v>233</v>
      </c>
      <c r="G6" s="345" t="s">
        <v>231</v>
      </c>
      <c r="H6" s="100" t="s">
        <v>361</v>
      </c>
      <c r="I6" s="226" t="s">
        <v>70</v>
      </c>
      <c r="J6" s="226" t="s">
        <v>232</v>
      </c>
      <c r="K6" s="226" t="s">
        <v>233</v>
      </c>
      <c r="L6" s="227" t="s">
        <v>233</v>
      </c>
      <c r="M6" s="228" t="s">
        <v>231</v>
      </c>
      <c r="N6" s="274" t="s">
        <v>361</v>
      </c>
      <c r="O6" s="532" t="s">
        <v>70</v>
      </c>
      <c r="P6" s="532" t="s">
        <v>232</v>
      </c>
      <c r="Q6" s="532" t="s">
        <v>233</v>
      </c>
      <c r="R6" s="533" t="s">
        <v>233</v>
      </c>
      <c r="S6" s="345" t="s">
        <v>236</v>
      </c>
      <c r="T6" s="225" t="s">
        <v>361</v>
      </c>
      <c r="U6" s="226" t="s">
        <v>70</v>
      </c>
      <c r="V6" s="226" t="s">
        <v>232</v>
      </c>
      <c r="W6" s="226" t="s">
        <v>233</v>
      </c>
      <c r="X6" s="227" t="s">
        <v>233</v>
      </c>
      <c r="Y6" s="704" t="s">
        <v>259</v>
      </c>
      <c r="Z6" s="794">
        <f>E13+K13+Q13+W14+K27+E28+Q22+Q27+W20+W26</f>
        <v>3.6700000000000004</v>
      </c>
      <c r="AA6" s="704"/>
      <c r="AB6" s="704"/>
      <c r="AC6" s="704"/>
    </row>
    <row r="7" spans="1:29" s="129" customFormat="1" ht="15" customHeight="1" x14ac:dyDescent="0.25">
      <c r="A7" s="341" t="s">
        <v>176</v>
      </c>
      <c r="B7" s="83">
        <f>'À Faire - Détails'!H5</f>
        <v>1</v>
      </c>
      <c r="C7" s="84">
        <f>'À Faire - Détails'!I5</f>
        <v>2</v>
      </c>
      <c r="D7" s="391">
        <f>'À Faire - Détails'!H19</f>
        <v>450</v>
      </c>
      <c r="E7" s="325">
        <f>'À Faire - Détails'!I19</f>
        <v>9.9999999999999992E-2</v>
      </c>
      <c r="F7" s="85" t="str">
        <f>IF($B$2='Paramètres - Admin'!$B$2,TEXT(E7*60*60,"# 0")&amp;" " &amp; 'Paramètres - Admin'!$B$2,IF($B$2='Paramètres - Admin'!$B$3,TEXT(E7*60,"# 0")&amp;" " &amp; 'Paramètres - Admin'!$B$3,IF($B$2='Paramètres - Admin'!$B$4,TEXT(E7,"# 0,00")&amp;" " &amp; 'Paramètres - Admin'!$B$4,IF($B$2='Paramètres - Admin'!$B$5,TEXT(E7/24,"# 0,00")&amp;" " &amp; 'Paramètres - Admin'!$B$5,IF($B$2='Paramètres - Admin'!$B$6,TEXT((E7/24)/30,"# 0,00")&amp;" " &amp; 'Paramètres - Admin'!$B$6,IF(E7/24&gt;=1,INT(E7/24)&amp;" " &amp;  'Paramètres - Admin'!$D$4 &amp; " " &amp; HOUR(E7/24-INT(E7/24))&amp;" " &amp;  'Paramètres - Admin'!$D$3 &amp; " " &amp; MINUTE(E7/24-INT(E7/24))&amp;" " &amp;  'Paramètres - Admin'!$D$2,HOUR(E7/24-INT(E7/24))&amp;" " &amp;  'Paramètres - Admin'!$D$3 &amp; " " &amp; MINUTE(E7/24-INT(E7/24))&amp;" " &amp;  'Paramètres - Admin'!$D$2))))))</f>
        <v>0,00 jours</v>
      </c>
      <c r="G7" s="281" t="s">
        <v>207</v>
      </c>
      <c r="H7" s="461">
        <f>'À Faire - Détails'!H40</f>
        <v>1</v>
      </c>
      <c r="I7" s="786">
        <f>'À Faire - Détails'!I40</f>
        <v>3</v>
      </c>
      <c r="J7" s="385">
        <f>'À Faire - Détails'!H52</f>
        <v>3700</v>
      </c>
      <c r="K7" s="787">
        <f>'À Faire - Détails'!I52</f>
        <v>2.27</v>
      </c>
      <c r="L7" s="788" t="str">
        <f>IF($B$2='Paramètres - Admin'!$B$2,TEXT(K7*60*60,"# 0")&amp;" " &amp; 'Paramètres - Admin'!$B$2,IF($B$2='Paramètres - Admin'!$B$3,TEXT(K7*60,"# 0")&amp;" " &amp; 'Paramètres - Admin'!$B$3,IF($B$2='Paramètres - Admin'!$B$4,TEXT(K7,"# 0,00")&amp;" " &amp; 'Paramètres - Admin'!$B$4,IF($B$2='Paramètres - Admin'!$B$5,TEXT(K7/24,"# 0,00")&amp;" " &amp; 'Paramètres - Admin'!$B$5,IF($B$2='Paramètres - Admin'!$B$6,TEXT((K7/24)/30,"# 0,00")&amp;" " &amp; 'Paramètres - Admin'!$B$6,IF(K7/24&gt;=1,INT(K7/24)&amp;" " &amp;  'Paramètres - Admin'!$D$4 &amp; " " &amp; HOUR(K7/24-INT(K7/24))&amp;" " &amp;  'Paramètres - Admin'!$D$3 &amp; " " &amp; MINUTE(K7/24-INT(K7/24))&amp;" " &amp;  'Paramètres - Admin'!$D$2,HOUR(K7/24-INT(K7/24))&amp;" " &amp;  'Paramètres - Admin'!$D$3 &amp; " " &amp; MINUTE(K7/24-INT(K7/24))&amp;" " &amp;  'Paramètres - Admin'!$D$2))))))</f>
        <v>0,00 jours</v>
      </c>
      <c r="M7" s="341" t="s">
        <v>561</v>
      </c>
      <c r="N7" s="83">
        <f>'À Faire - Détails'!H116</f>
        <v>0</v>
      </c>
      <c r="O7" s="282">
        <f>'À Faire - Détails'!I116</f>
        <v>0</v>
      </c>
      <c r="P7" s="529">
        <f>'À Faire - Détails'!H124</f>
        <v>0</v>
      </c>
      <c r="Q7" s="325">
        <f>'À Faire - Détails'!I124</f>
        <v>0</v>
      </c>
      <c r="R7" s="85" t="str">
        <f>IF($B$2='Paramètres - Admin'!$B$2,TEXT(Q7*60*60,"# 0")&amp;" " &amp; 'Paramètres - Admin'!$B$2,IF($B$2='Paramètres - Admin'!$B$3,TEXT(Q7*60,"# 0")&amp;" " &amp; 'Paramètres - Admin'!$B$3,IF($B$2='Paramètres - Admin'!$B$4,TEXT(Q7,"# 0,00")&amp;" " &amp; 'Paramètres - Admin'!$B$4,IF($B$2='Paramètres - Admin'!$B$5,TEXT(Q7/24,"# 0,00")&amp;" " &amp; 'Paramètres - Admin'!$B$5,IF($B$2='Paramètres - Admin'!$B$6,TEXT((Q7/24)/30,"# 0,00")&amp;" " &amp; 'Paramètres - Admin'!$B$6,IF(Q7/24&gt;=1,INT(Q7/24)&amp;" " &amp;  'Paramètres - Admin'!$D$4 &amp; " " &amp; HOUR(Q7/24-INT(Q7/24))&amp;" " &amp;  'Paramètres - Admin'!$D$3 &amp; " " &amp; MINUTE(Q7/24-INT(Q7/24))&amp;" " &amp;  'Paramètres - Admin'!$D$2,HOUR(Q7/24-INT(Q7/24))&amp;" " &amp;  'Paramètres - Admin'!$D$3 &amp; " " &amp; MINUTE(Q7/24-INT(Q7/24))&amp;" " &amp;  'Paramètres - Admin'!$D$2))))))</f>
        <v>0,00 jours</v>
      </c>
      <c r="S7" s="588" t="s">
        <v>183</v>
      </c>
      <c r="T7" s="285">
        <f>'À Faire - Détails'!H227</f>
        <v>0</v>
      </c>
      <c r="U7" s="92">
        <f>'À Faire - Détails'!I227</f>
        <v>0</v>
      </c>
      <c r="V7" s="121">
        <f>'À Faire - Détails'!H236</f>
        <v>0</v>
      </c>
      <c r="W7" s="326">
        <f>'À Faire - Détails'!I236</f>
        <v>0</v>
      </c>
      <c r="X7" s="589" t="str">
        <f>IF($B$2='Paramètres - Admin'!$B$2,TEXT(W7*60*60,"# 0")&amp;" " &amp; 'Paramètres - Admin'!$B$2,IF($B$2='Paramètres - Admin'!$B$3,TEXT(W7*60,"# 0")&amp;" " &amp; 'Paramètres - Admin'!$B$3,IF($B$2='Paramètres - Admin'!$B$4,TEXT(W7,"# 0,00")&amp;" " &amp; 'Paramètres - Admin'!$B$4,IF($B$2='Paramètres - Admin'!$B$5,TEXT(W7/24,"# 0,00")&amp;" " &amp; 'Paramètres - Admin'!$B$5,IF($B$2='Paramètres - Admin'!$B$6,TEXT((W7/24)/30,"# 0,00")&amp;" " &amp; 'Paramètres - Admin'!$B$6,IF(W7/24&gt;=1,INT(W7/24)&amp;" " &amp;  'Paramètres - Admin'!$D$4 &amp; " " &amp; HOUR(W7/24-INT(W7/24))&amp;" " &amp;  'Paramètres - Admin'!$D$3 &amp; " " &amp; MINUTE(W7/24-INT(W7/24))&amp;" " &amp;  'Paramètres - Admin'!$D$2,HOUR(W7/24-INT(W7/24))&amp;" " &amp;  'Paramètres - Admin'!$D$3 &amp; " " &amp; MINUTE(W7/24-INT(W7/24))&amp;" " &amp;  'Paramètres - Admin'!$D$2))))))</f>
        <v>0,00 jours</v>
      </c>
      <c r="Y7" s="704"/>
      <c r="Z7" s="704"/>
      <c r="AA7" s="704"/>
      <c r="AB7" s="704"/>
    </row>
    <row r="8" spans="1:29" s="129" customFormat="1" ht="15" customHeight="1" x14ac:dyDescent="0.25">
      <c r="A8" s="90" t="s">
        <v>210</v>
      </c>
      <c r="B8" s="91">
        <f>'À Faire - Détails'!Q5</f>
        <v>1</v>
      </c>
      <c r="C8" s="92">
        <f>'À Faire - Détails'!R5</f>
        <v>2</v>
      </c>
      <c r="D8" s="517">
        <f>'À Faire - Détails'!Q19</f>
        <v>450</v>
      </c>
      <c r="E8" s="326">
        <f>'À Faire - Détails'!R19</f>
        <v>9.9999999999999992E-2</v>
      </c>
      <c r="F8" s="85" t="str">
        <f>IF($B$2='Paramètres - Admin'!$B$2,TEXT(E8*60*60,"# 0")&amp;" " &amp; 'Paramètres - Admin'!$B$2,IF($B$2='Paramètres - Admin'!$B$3,TEXT(E8*60,"# 0")&amp;" " &amp; 'Paramètres - Admin'!$B$3,IF($B$2='Paramètres - Admin'!$B$4,TEXT(E8,"# 0,00")&amp;" " &amp; 'Paramètres - Admin'!$B$4,IF($B$2='Paramètres - Admin'!$B$5,TEXT(E8/24,"# 0,00")&amp;" " &amp; 'Paramètres - Admin'!$B$5,IF($B$2='Paramètres - Admin'!$B$6,TEXT((E8/24)/30,"# 0,00")&amp;" " &amp; 'Paramètres - Admin'!$B$6,IF(E8/24&gt;=1,INT(E8/24)&amp;" " &amp;  'Paramètres - Admin'!$D$4 &amp; " " &amp; HOUR(E8/24-INT(E8/24))&amp;" " &amp;  'Paramètres - Admin'!$D$3 &amp; " " &amp; MINUTE(E8/24-INT(E8/24))&amp;" " &amp;  'Paramètres - Admin'!$D$2,HOUR(E8/24-INT(E8/24))&amp;" " &amp;  'Paramètres - Admin'!$D$3 &amp; " " &amp; MINUTE(E8/24-INT(E8/24))&amp;" " &amp;  'Paramètres - Admin'!$D$2))))))</f>
        <v>0,00 jours</v>
      </c>
      <c r="G8" s="116" t="s">
        <v>343</v>
      </c>
      <c r="H8" s="91">
        <f>'À Faire - Détails'!Q40</f>
        <v>0</v>
      </c>
      <c r="I8" s="92">
        <f>'À Faire - Détails'!R40</f>
        <v>0</v>
      </c>
      <c r="J8" s="386">
        <f>'À Faire - Détails'!Q49</f>
        <v>0</v>
      </c>
      <c r="K8" s="326">
        <f>'À Faire - Détails'!R49</f>
        <v>0</v>
      </c>
      <c r="L8" s="589" t="str">
        <f>IF($B$2='Paramètres - Admin'!$B$2,TEXT(K8*60*60,"# 0")&amp;" " &amp; 'Paramètres - Admin'!$B$2,IF($B$2='Paramètres - Admin'!$B$3,TEXT(K8*60,"# 0")&amp;" " &amp; 'Paramètres - Admin'!$B$3,IF($B$2='Paramètres - Admin'!$B$4,TEXT(K8,"# 0,00")&amp;" " &amp; 'Paramètres - Admin'!$B$4,IF($B$2='Paramètres - Admin'!$B$5,TEXT(K8/24,"# 0,00")&amp;" " &amp; 'Paramètres - Admin'!$B$5,IF($B$2='Paramètres - Admin'!$B$6,TEXT((K8/24)/30,"# 0,00")&amp;" " &amp; 'Paramètres - Admin'!$B$6,IF(K8/24&gt;=1,INT(K8/24)&amp;" " &amp;  'Paramètres - Admin'!$D$4 &amp; " " &amp; HOUR(K8/24-INT(K8/24))&amp;" " &amp;  'Paramètres - Admin'!$D$3 &amp; " " &amp; MINUTE(K8/24-INT(K8/24))&amp;" " &amp;  'Paramètres - Admin'!$D$2,HOUR(K8/24-INT(K8/24))&amp;" " &amp;  'Paramètres - Admin'!$D$3 &amp; " " &amp; MINUTE(K8/24-INT(K8/24))&amp;" " &amp;  'Paramètres - Admin'!$D$2))))))</f>
        <v>0,00 jours</v>
      </c>
      <c r="M8" s="341" t="s">
        <v>559</v>
      </c>
      <c r="N8" s="83">
        <f>'À Faire - Détails'!Z116</f>
        <v>0</v>
      </c>
      <c r="O8" s="282">
        <f>'À Faire - Détails'!AA116</f>
        <v>0</v>
      </c>
      <c r="P8" s="529">
        <f>'À Faire - Détails'!Z119</f>
        <v>0</v>
      </c>
      <c r="Q8" s="325">
        <f>'À Faire - Détails'!AA119</f>
        <v>0</v>
      </c>
      <c r="R8" s="85" t="str">
        <f>IF($B$2='Paramètres - Admin'!$B$2,TEXT(Q8*60*60,"# 0")&amp;" " &amp; 'Paramètres - Admin'!$B$2,IF($B$2='Paramètres - Admin'!$B$3,TEXT(Q8*60,"# 0")&amp;" " &amp; 'Paramètres - Admin'!$B$3,IF($B$2='Paramètres - Admin'!$B$4,TEXT(Q8,"# 0,00")&amp;" " &amp; 'Paramètres - Admin'!$B$4,IF($B$2='Paramètres - Admin'!$B$5,TEXT(Q8/24,"# 0,00")&amp;" " &amp; 'Paramètres - Admin'!$B$5,IF($B$2='Paramètres - Admin'!$B$6,TEXT((Q8/24)/30,"# 0,00")&amp;" " &amp; 'Paramètres - Admin'!$B$6,IF(Q8/24&gt;=1,INT(Q8/24)&amp;" " &amp;  'Paramètres - Admin'!$D$4 &amp; " " &amp; HOUR(Q8/24-INT(Q8/24))&amp;" " &amp;  'Paramètres - Admin'!$D$3 &amp; " " &amp; MINUTE(Q8/24-INT(Q8/24))&amp;" " &amp;  'Paramètres - Admin'!$D$2,HOUR(Q8/24-INT(Q8/24))&amp;" " &amp;  'Paramètres - Admin'!$D$3 &amp; " " &amp; MINUTE(Q8/24-INT(Q8/24))&amp;" " &amp;  'Paramètres - Admin'!$D$2))))))</f>
        <v>0,00 jours</v>
      </c>
      <c r="S8" s="588" t="s">
        <v>245</v>
      </c>
      <c r="T8" s="285">
        <f>'À Faire - Détails'!H238</f>
        <v>0</v>
      </c>
      <c r="U8" s="92">
        <f>'À Faire - Détails'!I238</f>
        <v>0</v>
      </c>
      <c r="V8" s="121">
        <f>'À Faire - Détails'!H246</f>
        <v>0</v>
      </c>
      <c r="W8" s="326">
        <f>'À Faire - Détails'!I246</f>
        <v>0</v>
      </c>
      <c r="X8" s="589" t="str">
        <f>IF($B$2='Paramètres - Admin'!$B$2,TEXT(W8*60*60,"# 0")&amp;" " &amp; 'Paramètres - Admin'!$B$2,IF($B$2='Paramètres - Admin'!$B$3,TEXT(W8*60,"# 0")&amp;" " &amp; 'Paramètres - Admin'!$B$3,IF($B$2='Paramètres - Admin'!$B$4,TEXT(W8,"# 0,00")&amp;" " &amp; 'Paramètres - Admin'!$B$4,IF($B$2='Paramètres - Admin'!$B$5,TEXT(W8/24,"# 0,00")&amp;" " &amp; 'Paramètres - Admin'!$B$5,IF($B$2='Paramètres - Admin'!$B$6,TEXT((W8/24)/30,"# 0,00")&amp;" " &amp; 'Paramètres - Admin'!$B$6,IF(W8/24&gt;=1,INT(W8/24)&amp;" " &amp;  'Paramètres - Admin'!$D$4 &amp; " " &amp; HOUR(W8/24-INT(W8/24))&amp;" " &amp;  'Paramètres - Admin'!$D$3 &amp; " " &amp; MINUTE(W8/24-INT(W8/24))&amp;" " &amp;  'Paramètres - Admin'!$D$2,HOUR(W8/24-INT(W8/24))&amp;" " &amp;  'Paramètres - Admin'!$D$3 &amp; " " &amp; MINUTE(W8/24-INT(W8/24))&amp;" " &amp;  'Paramètres - Admin'!$D$2))))))</f>
        <v>0,00 jours</v>
      </c>
      <c r="Y8" s="704"/>
      <c r="Z8" s="704"/>
      <c r="AA8" s="704"/>
      <c r="AB8" s="704"/>
    </row>
    <row r="9" spans="1:29" s="129" customFormat="1" ht="15" customHeight="1" x14ac:dyDescent="0.25">
      <c r="A9" s="90" t="s">
        <v>211</v>
      </c>
      <c r="B9" s="91">
        <f>'À Faire - Détails'!Z5</f>
        <v>0</v>
      </c>
      <c r="C9" s="92">
        <f>'À Faire - Détails'!AA5</f>
        <v>0</v>
      </c>
      <c r="D9" s="386">
        <f>'À Faire - Détails'!Z13</f>
        <v>0</v>
      </c>
      <c r="E9" s="326">
        <f>'À Faire - Détails'!AA13</f>
        <v>0</v>
      </c>
      <c r="F9" s="85" t="str">
        <f>IF($B$2='Paramètres - Admin'!$B$2,TEXT(E9*60*60,"# 0")&amp;" " &amp; 'Paramètres - Admin'!$B$2,IF($B$2='Paramètres - Admin'!$B$3,TEXT(E9*60,"# 0")&amp;" " &amp; 'Paramètres - Admin'!$B$3,IF($B$2='Paramètres - Admin'!$B$4,TEXT(E9,"# 0,00")&amp;" " &amp; 'Paramètres - Admin'!$B$4,IF($B$2='Paramètres - Admin'!$B$5,TEXT(E9/24,"# 0,00")&amp;" " &amp; 'Paramètres - Admin'!$B$5,IF($B$2='Paramètres - Admin'!$B$6,TEXT((E9/24)/30,"# 0,00")&amp;" " &amp; 'Paramètres - Admin'!$B$6,IF(E9/24&gt;=1,INT(E9/24)&amp;" " &amp;  'Paramètres - Admin'!$D$4 &amp; " " &amp; HOUR(E9/24-INT(E9/24))&amp;" " &amp;  'Paramètres - Admin'!$D$3 &amp; " " &amp; MINUTE(E9/24-INT(E9/24))&amp;" " &amp;  'Paramètres - Admin'!$D$2,HOUR(E9/24-INT(E9/24))&amp;" " &amp;  'Paramètres - Admin'!$D$3 &amp; " " &amp; MINUTE(E9/24-INT(E9/24))&amp;" " &amp;  'Paramètres - Admin'!$D$2))))))</f>
        <v>0,00 jours</v>
      </c>
      <c r="G9" s="119" t="s">
        <v>338</v>
      </c>
      <c r="H9" s="91">
        <f>'À Faire - Détails'!Z53</f>
        <v>1</v>
      </c>
      <c r="I9" s="92">
        <f>'À Faire - Détails'!AA53</f>
        <v>1</v>
      </c>
      <c r="J9" s="386">
        <f>'À Faire - Détails'!Z63</f>
        <v>250</v>
      </c>
      <c r="K9" s="326">
        <f>'À Faire - Détails'!AA63</f>
        <v>8.3333333333333329E-2</v>
      </c>
      <c r="L9" s="589" t="str">
        <f>IF($B$2='Paramètres - Admin'!$B$2,TEXT(K9*60*60,"# 0")&amp;" " &amp; 'Paramètres - Admin'!$B$2,IF($B$2='Paramètres - Admin'!$B$3,TEXT(K9*60,"# 0")&amp;" " &amp; 'Paramètres - Admin'!$B$3,IF($B$2='Paramètres - Admin'!$B$4,TEXT(K9,"# 0,00")&amp;" " &amp; 'Paramètres - Admin'!$B$4,IF($B$2='Paramètres - Admin'!$B$5,TEXT(K9/24,"# 0,00")&amp;" " &amp; 'Paramètres - Admin'!$B$5,IF($B$2='Paramètres - Admin'!$B$6,TEXT((K9/24)/30,"# 0,00")&amp;" " &amp; 'Paramètres - Admin'!$B$6,IF(K9/24&gt;=1,INT(K9/24)&amp;" " &amp;  'Paramètres - Admin'!$D$4 &amp; " " &amp; HOUR(K9/24-INT(K9/24))&amp;" " &amp;  'Paramètres - Admin'!$D$3 &amp; " " &amp; MINUTE(K9/24-INT(K9/24))&amp;" " &amp;  'Paramètres - Admin'!$D$2,HOUR(K9/24-INT(K9/24))&amp;" " &amp;  'Paramètres - Admin'!$D$3 &amp; " " &amp; MINUTE(K9/24-INT(K9/24))&amp;" " &amp;  'Paramètres - Admin'!$D$2))))))</f>
        <v>0,00 jours</v>
      </c>
      <c r="M9" s="341" t="s">
        <v>558</v>
      </c>
      <c r="N9" s="83">
        <f>'À Faire - Détails'!H126</f>
        <v>0</v>
      </c>
      <c r="O9" s="282">
        <f>'À Faire - Détails'!I126</f>
        <v>0</v>
      </c>
      <c r="P9" s="529">
        <f>'À Faire - Détails'!H132</f>
        <v>0</v>
      </c>
      <c r="Q9" s="325">
        <f>'À Faire - Détails'!I132</f>
        <v>0</v>
      </c>
      <c r="R9" s="85" t="str">
        <f>IF($B$2='Paramètres - Admin'!$B$2,TEXT(Q9*60*60,"# 0")&amp;" " &amp; 'Paramètres - Admin'!$B$2,IF($B$2='Paramètres - Admin'!$B$3,TEXT(Q9*60,"# 0")&amp;" " &amp; 'Paramètres - Admin'!$B$3,IF($B$2='Paramètres - Admin'!$B$4,TEXT(Q9,"# 0,00")&amp;" " &amp; 'Paramètres - Admin'!$B$4,IF($B$2='Paramètres - Admin'!$B$5,TEXT(Q9/24,"# 0,00")&amp;" " &amp; 'Paramètres - Admin'!$B$5,IF($B$2='Paramètres - Admin'!$B$6,TEXT((Q9/24)/30,"# 0,00")&amp;" " &amp; 'Paramètres - Admin'!$B$6,IF(Q9/24&gt;=1,INT(Q9/24)&amp;" " &amp;  'Paramètres - Admin'!$D$4 &amp; " " &amp; HOUR(Q9/24-INT(Q9/24))&amp;" " &amp;  'Paramètres - Admin'!$D$3 &amp; " " &amp; MINUTE(Q9/24-INT(Q9/24))&amp;" " &amp;  'Paramètres - Admin'!$D$2,HOUR(Q9/24-INT(Q9/24))&amp;" " &amp;  'Paramètres - Admin'!$D$3 &amp; " " &amp; MINUTE(Q9/24-INT(Q9/24))&amp;" " &amp;  'Paramètres - Admin'!$D$2))))))</f>
        <v>0,00 jours</v>
      </c>
      <c r="S9" s="588" t="s">
        <v>66</v>
      </c>
      <c r="T9" s="285">
        <f>'À Faire - Détails'!Q238</f>
        <v>0</v>
      </c>
      <c r="U9" s="92">
        <f>'À Faire - Détails'!R238</f>
        <v>0</v>
      </c>
      <c r="V9" s="121">
        <f>'À Faire - Détails'!Q245</f>
        <v>0</v>
      </c>
      <c r="W9" s="326">
        <f>'À Faire - Détails'!R245</f>
        <v>0</v>
      </c>
      <c r="X9" s="589" t="str">
        <f>IF($B$2='Paramètres - Admin'!$B$2,TEXT(W9*60*60,"# 0")&amp;" " &amp; 'Paramètres - Admin'!$B$2,IF($B$2='Paramètres - Admin'!$B$3,TEXT(W9*60,"# 0")&amp;" " &amp; 'Paramètres - Admin'!$B$3,IF($B$2='Paramètres - Admin'!$B$4,TEXT(W9,"# 0,00")&amp;" " &amp; 'Paramètres - Admin'!$B$4,IF($B$2='Paramètres - Admin'!$B$5,TEXT(W9/24,"# 0,00")&amp;" " &amp; 'Paramètres - Admin'!$B$5,IF($B$2='Paramètres - Admin'!$B$6,TEXT((W9/24)/30,"# 0,00")&amp;" " &amp; 'Paramètres - Admin'!$B$6,IF(W9/24&gt;=1,INT(W9/24)&amp;" " &amp;  'Paramètres - Admin'!$D$4 &amp; " " &amp; HOUR(W9/24-INT(W9/24))&amp;" " &amp;  'Paramètres - Admin'!$D$3 &amp; " " &amp; MINUTE(W9/24-INT(W9/24))&amp;" " &amp;  'Paramètres - Admin'!$D$2,HOUR(W9/24-INT(W9/24))&amp;" " &amp;  'Paramètres - Admin'!$D$3 &amp; " " &amp; MINUTE(W9/24-INT(W9/24))&amp;" " &amp;  'Paramètres - Admin'!$D$2))))))</f>
        <v>0,00 jours</v>
      </c>
      <c r="Y9" s="704"/>
      <c r="Z9" s="704"/>
      <c r="AA9" s="704"/>
      <c r="AB9" s="704"/>
    </row>
    <row r="10" spans="1:29" s="129" customFormat="1" ht="15" customHeight="1" x14ac:dyDescent="0.25">
      <c r="A10" s="90" t="s">
        <v>212</v>
      </c>
      <c r="B10" s="91">
        <f>'À Faire - Détails'!H21</f>
        <v>1</v>
      </c>
      <c r="C10" s="92">
        <f>'À Faire - Détails'!I21</f>
        <v>1</v>
      </c>
      <c r="D10" s="386">
        <f>'À Faire - Détails'!H35</f>
        <v>300</v>
      </c>
      <c r="E10" s="326">
        <f>'À Faire - Détails'!I35</f>
        <v>0.25</v>
      </c>
      <c r="F10" s="85" t="str">
        <f>IF($B$2='Paramètres - Admin'!$B$2,TEXT(E10*60*60,"# 0")&amp;" " &amp; 'Paramètres - Admin'!$B$2,IF($B$2='Paramètres - Admin'!$B$3,TEXT(E10*60,"# 0")&amp;" " &amp; 'Paramètres - Admin'!$B$3,IF($B$2='Paramètres - Admin'!$B$4,TEXT(E10,"# 0,00")&amp;" " &amp; 'Paramètres - Admin'!$B$4,IF($B$2='Paramètres - Admin'!$B$5,TEXT(E10/24,"# 0,00")&amp;" " &amp; 'Paramètres - Admin'!$B$5,IF($B$2='Paramètres - Admin'!$B$6,TEXT((E10/24)/30,"# 0,00")&amp;" " &amp; 'Paramètres - Admin'!$B$6,IF(E10/24&gt;=1,INT(E10/24)&amp;" " &amp;  'Paramètres - Admin'!$D$4 &amp; " " &amp; HOUR(E10/24-INT(E10/24))&amp;" " &amp;  'Paramètres - Admin'!$D$3 &amp; " " &amp; MINUTE(E10/24-INT(E10/24))&amp;" " &amp;  'Paramètres - Admin'!$D$2,HOUR(E10/24-INT(E10/24))&amp;" " &amp;  'Paramètres - Admin'!$D$3 &amp; " " &amp; MINUTE(E10/24-INT(E10/24))&amp;" " &amp;  'Paramètres - Admin'!$D$2))))))</f>
        <v>0,00 jours</v>
      </c>
      <c r="G10" s="119" t="s">
        <v>208</v>
      </c>
      <c r="H10" s="91">
        <f>'À Faire - Détails'!Z40</f>
        <v>0</v>
      </c>
      <c r="I10" s="92">
        <f>'À Faire - Détails'!AA40</f>
        <v>0</v>
      </c>
      <c r="J10" s="386">
        <f>'À Faire - Détails'!Z51</f>
        <v>0</v>
      </c>
      <c r="K10" s="326">
        <f>'À Faire - Détails'!AA51</f>
        <v>0</v>
      </c>
      <c r="L10" s="589" t="str">
        <f>IF($B$2='Paramètres - Admin'!$B$2,TEXT(K10*60*60,"# 0")&amp;" " &amp; 'Paramètres - Admin'!$B$2,IF($B$2='Paramètres - Admin'!$B$3,TEXT(K10*60,"# 0")&amp;" " &amp; 'Paramètres - Admin'!$B$3,IF($B$2='Paramètres - Admin'!$B$4,TEXT(K10,"# 0,00")&amp;" " &amp; 'Paramètres - Admin'!$B$4,IF($B$2='Paramètres - Admin'!$B$5,TEXT(K10/24,"# 0,00")&amp;" " &amp; 'Paramètres - Admin'!$B$5,IF($B$2='Paramètres - Admin'!$B$6,TEXT((K10/24)/30,"# 0,00")&amp;" " &amp; 'Paramètres - Admin'!$B$6,IF(K10/24&gt;=1,INT(K10/24)&amp;" " &amp;  'Paramètres - Admin'!$D$4 &amp; " " &amp; HOUR(K10/24-INT(K10/24))&amp;" " &amp;  'Paramètres - Admin'!$D$3 &amp; " " &amp; MINUTE(K10/24-INT(K10/24))&amp;" " &amp;  'Paramètres - Admin'!$D$2,HOUR(K10/24-INT(K10/24))&amp;" " &amp;  'Paramètres - Admin'!$D$3 &amp; " " &amp; MINUTE(K10/24-INT(K10/24))&amp;" " &amp;  'Paramètres - Admin'!$D$2))))))</f>
        <v>0,00 jours</v>
      </c>
      <c r="M10" s="341" t="s">
        <v>560</v>
      </c>
      <c r="N10" s="83">
        <f>'À Faire - Détails'!Q116</f>
        <v>0</v>
      </c>
      <c r="O10" s="282">
        <f>'À Faire - Détails'!R116</f>
        <v>0</v>
      </c>
      <c r="P10" s="529">
        <f>'À Faire - Détails'!Q122</f>
        <v>0</v>
      </c>
      <c r="Q10" s="325">
        <f>'À Faire - Détails'!R122</f>
        <v>0</v>
      </c>
      <c r="R10" s="85" t="str">
        <f>IF($B$2='Paramètres - Admin'!$B$2,TEXT(Q10*60*60,"# 0")&amp;" " &amp; 'Paramètres - Admin'!$B$2,IF($B$2='Paramètres - Admin'!$B$3,TEXT(Q10*60,"# 0")&amp;" " &amp; 'Paramètres - Admin'!$B$3,IF($B$2='Paramètres - Admin'!$B$4,TEXT(Q10,"# 0,00")&amp;" " &amp; 'Paramètres - Admin'!$B$4,IF($B$2='Paramètres - Admin'!$B$5,TEXT(Q10/24,"# 0,00")&amp;" " &amp; 'Paramètres - Admin'!$B$5,IF($B$2='Paramètres - Admin'!$B$6,TEXT((Q10/24)/30,"# 0,00")&amp;" " &amp; 'Paramètres - Admin'!$B$6,IF(Q10/24&gt;=1,INT(Q10/24)&amp;" " &amp;  'Paramètres - Admin'!$D$4 &amp; " " &amp; HOUR(Q10/24-INT(Q10/24))&amp;" " &amp;  'Paramètres - Admin'!$D$3 &amp; " " &amp; MINUTE(Q10/24-INT(Q10/24))&amp;" " &amp;  'Paramètres - Admin'!$D$2,HOUR(Q10/24-INT(Q10/24))&amp;" " &amp;  'Paramètres - Admin'!$D$3 &amp; " " &amp; MINUTE(Q10/24-INT(Q10/24))&amp;" " &amp;  'Paramètres - Admin'!$D$2))))))</f>
        <v>0,00 jours</v>
      </c>
      <c r="S10" s="588" t="s">
        <v>67</v>
      </c>
      <c r="T10" s="285">
        <f>'À Faire - Détails'!Q227</f>
        <v>0</v>
      </c>
      <c r="U10" s="92">
        <f>'À Faire - Détails'!R227</f>
        <v>0</v>
      </c>
      <c r="V10" s="121">
        <f>'À Faire - Détails'!Q234</f>
        <v>0</v>
      </c>
      <c r="W10" s="326">
        <f>'À Faire - Détails'!R234</f>
        <v>0</v>
      </c>
      <c r="X10" s="589" t="str">
        <f>IF($B$2='Paramètres - Admin'!$B$2,TEXT(W10*60*60,"# 0")&amp;" " &amp; 'Paramètres - Admin'!$B$2,IF($B$2='Paramètres - Admin'!$B$3,TEXT(W10*60,"# 0")&amp;" " &amp; 'Paramètres - Admin'!$B$3,IF($B$2='Paramètres - Admin'!$B$4,TEXT(W10,"# 0,00")&amp;" " &amp; 'Paramètres - Admin'!$B$4,IF($B$2='Paramètres - Admin'!$B$5,TEXT(W10/24,"# 0,00")&amp;" " &amp; 'Paramètres - Admin'!$B$5,IF($B$2='Paramètres - Admin'!$B$6,TEXT((W10/24)/30,"# 0,00")&amp;" " &amp; 'Paramètres - Admin'!$B$6,IF(W10/24&gt;=1,INT(W10/24)&amp;" " &amp;  'Paramètres - Admin'!$D$4 &amp; " " &amp; HOUR(W10/24-INT(W10/24))&amp;" " &amp;  'Paramètres - Admin'!$D$3 &amp; " " &amp; MINUTE(W10/24-INT(W10/24))&amp;" " &amp;  'Paramètres - Admin'!$D$2,HOUR(W10/24-INT(W10/24))&amp;" " &amp;  'Paramètres - Admin'!$D$3 &amp; " " &amp; MINUTE(W10/24-INT(W10/24))&amp;" " &amp;  'Paramètres - Admin'!$D$2))))))</f>
        <v>0,00 jours</v>
      </c>
      <c r="Y10" s="704"/>
      <c r="Z10" s="704"/>
      <c r="AA10" s="704"/>
      <c r="AB10" s="704"/>
    </row>
    <row r="11" spans="1:29" s="129" customFormat="1" ht="15" customHeight="1" x14ac:dyDescent="0.25">
      <c r="A11" s="90" t="s">
        <v>452</v>
      </c>
      <c r="B11" s="91">
        <f>'À Faire - Détails'!Q21</f>
        <v>1</v>
      </c>
      <c r="C11" s="92">
        <f>'À Faire - Détails'!R21</f>
        <v>1</v>
      </c>
      <c r="D11" s="517">
        <f>'À Faire - Détails'!Q35</f>
        <v>300</v>
      </c>
      <c r="E11" s="326">
        <f>'À Faire - Détails'!R35</f>
        <v>0.25</v>
      </c>
      <c r="F11" s="85" t="str">
        <f>IF($B$2='Paramètres - Admin'!$B$2,TEXT(E11*60*60,"# 0")&amp;" " &amp; 'Paramètres - Admin'!$B$2,IF($B$2='Paramètres - Admin'!$B$3,TEXT(E11*60,"# 0")&amp;" " &amp; 'Paramètres - Admin'!$B$3,IF($B$2='Paramètres - Admin'!$B$4,TEXT(E11,"# 0,00")&amp;" " &amp; 'Paramètres - Admin'!$B$4,IF($B$2='Paramètres - Admin'!$B$5,TEXT(E11/24,"# 0,00")&amp;" " &amp; 'Paramètres - Admin'!$B$5,IF($B$2='Paramètres - Admin'!$B$6,TEXT((E11/24)/30,"# 0,00")&amp;" " &amp; 'Paramètres - Admin'!$B$6,IF(E11/24&gt;=1,INT(E11/24)&amp;" " &amp;  'Paramètres - Admin'!$D$4 &amp; " " &amp; HOUR(E11/24-INT(E11/24))&amp;" " &amp;  'Paramètres - Admin'!$D$3 &amp; " " &amp; MINUTE(E11/24-INT(E11/24))&amp;" " &amp;  'Paramètres - Admin'!$D$2,HOUR(E11/24-INT(E11/24))&amp;" " &amp;  'Paramètres - Admin'!$D$3 &amp; " " &amp; MINUTE(E11/24-INT(E11/24))&amp;" " &amp;  'Paramètres - Admin'!$D$2))))))</f>
        <v>0,00 jours</v>
      </c>
      <c r="G11" s="154" t="s">
        <v>209</v>
      </c>
      <c r="H11" s="91">
        <f>'À Faire - Détails'!H54</f>
        <v>0</v>
      </c>
      <c r="I11" s="92">
        <f>'À Faire - Détails'!I54</f>
        <v>0</v>
      </c>
      <c r="J11" s="386">
        <f>'À Faire - Détails'!H61</f>
        <v>0</v>
      </c>
      <c r="K11" s="326">
        <f>'À Faire - Détails'!I61</f>
        <v>0</v>
      </c>
      <c r="L11" s="589" t="str">
        <f>IF($B$2='Paramètres - Admin'!$B$2,TEXT(K11*60*60,"# 0")&amp;" " &amp; 'Paramètres - Admin'!$B$2,IF($B$2='Paramètres - Admin'!$B$3,TEXT(K11*60,"# 0")&amp;" " &amp; 'Paramètres - Admin'!$B$3,IF($B$2='Paramètres - Admin'!$B$4,TEXT(K11,"# 0,00")&amp;" " &amp; 'Paramètres - Admin'!$B$4,IF($B$2='Paramètres - Admin'!$B$5,TEXT(K11/24,"# 0,00")&amp;" " &amp; 'Paramètres - Admin'!$B$5,IF($B$2='Paramètres - Admin'!$B$6,TEXT((K11/24)/30,"# 0,00")&amp;" " &amp; 'Paramètres - Admin'!$B$6,IF(K11/24&gt;=1,INT(K11/24)&amp;" " &amp;  'Paramètres - Admin'!$D$4 &amp; " " &amp; HOUR(K11/24-INT(K11/24))&amp;" " &amp;  'Paramètres - Admin'!$D$3 &amp; " " &amp; MINUTE(K11/24-INT(K11/24))&amp;" " &amp;  'Paramètres - Admin'!$D$2,HOUR(K11/24-INT(K11/24))&amp;" " &amp;  'Paramètres - Admin'!$D$3 &amp; " " &amp; MINUTE(K11/24-INT(K11/24))&amp;" " &amp;  'Paramètres - Admin'!$D$2))))))</f>
        <v>0,00 jours</v>
      </c>
      <c r="M11" s="341" t="s">
        <v>562</v>
      </c>
      <c r="N11" s="83">
        <f>'À Faire - Détails'!Q124</f>
        <v>0</v>
      </c>
      <c r="O11" s="282">
        <f>'À Faire - Détails'!R124</f>
        <v>0</v>
      </c>
      <c r="P11" s="529">
        <f>'À Faire - Détails'!Q129</f>
        <v>0</v>
      </c>
      <c r="Q11" s="325">
        <f>'À Faire - Détails'!R129</f>
        <v>0</v>
      </c>
      <c r="R11" s="85" t="str">
        <f>IF($B$2='Paramètres - Admin'!$B$2,TEXT(Q11*60*60,"# 0")&amp;" " &amp; 'Paramètres - Admin'!$B$2,IF($B$2='Paramètres - Admin'!$B$3,TEXT(Q11*60,"# 0")&amp;" " &amp; 'Paramètres - Admin'!$B$3,IF($B$2='Paramètres - Admin'!$B$4,TEXT(Q11,"# 0,00")&amp;" " &amp; 'Paramètres - Admin'!$B$4,IF($B$2='Paramètres - Admin'!$B$5,TEXT(Q11/24,"# 0,00")&amp;" " &amp; 'Paramètres - Admin'!$B$5,IF($B$2='Paramètres - Admin'!$B$6,TEXT((Q11/24)/30,"# 0,00")&amp;" " &amp; 'Paramètres - Admin'!$B$6,IF(Q11/24&gt;=1,INT(Q11/24)&amp;" " &amp;  'Paramètres - Admin'!$D$4 &amp; " " &amp; HOUR(Q11/24-INT(Q11/24))&amp;" " &amp;  'Paramètres - Admin'!$D$3 &amp; " " &amp; MINUTE(Q11/24-INT(Q11/24))&amp;" " &amp;  'Paramètres - Admin'!$D$2,HOUR(Q11/24-INT(Q11/24))&amp;" " &amp;  'Paramètres - Admin'!$D$3 &amp; " " &amp; MINUTE(Q11/24-INT(Q11/24))&amp;" " &amp;  'Paramètres - Admin'!$D$2))))))</f>
        <v>0,00 jours</v>
      </c>
      <c r="S11" s="588" t="s">
        <v>536</v>
      </c>
      <c r="T11" s="285">
        <f>'À Faire - Détails'!Z227</f>
        <v>0</v>
      </c>
      <c r="U11" s="92">
        <f>'À Faire - Détails'!AA227</f>
        <v>0</v>
      </c>
      <c r="V11" s="121">
        <f>'À Faire - Détails'!Z230</f>
        <v>0</v>
      </c>
      <c r="W11" s="326">
        <f>'À Faire - Détails'!AA232</f>
        <v>0</v>
      </c>
      <c r="X11" s="589" t="str">
        <f>IF($B$2='Paramètres - Admin'!$B$2,TEXT(W11*60*60,"# 0")&amp;" " &amp; 'Paramètres - Admin'!$B$2,IF($B$2='Paramètres - Admin'!$B$3,TEXT(W11*60,"# 0")&amp;" " &amp; 'Paramètres - Admin'!$B$3,IF($B$2='Paramètres - Admin'!$B$4,TEXT(W11,"# 0,00")&amp;" " &amp; 'Paramètres - Admin'!$B$4,IF($B$2='Paramètres - Admin'!$B$5,TEXT(W11/24,"# 0,00")&amp;" " &amp; 'Paramètres - Admin'!$B$5,IF($B$2='Paramètres - Admin'!$B$6,TEXT((W11/24)/30,"# 0,00")&amp;" " &amp; 'Paramètres - Admin'!$B$6,IF(W11/24&gt;=1,INT(W11/24)&amp;" " &amp;  'Paramètres - Admin'!$D$4 &amp; " " &amp; HOUR(W11/24-INT(W11/24))&amp;" " &amp;  'Paramètres - Admin'!$D$3 &amp; " " &amp; MINUTE(W11/24-INT(W11/24))&amp;" " &amp;  'Paramètres - Admin'!$D$2,HOUR(W11/24-INT(W11/24))&amp;" " &amp;  'Paramètres - Admin'!$D$3 &amp; " " &amp; MINUTE(W11/24-INT(W11/24))&amp;" " &amp;  'Paramètres - Admin'!$D$2))))))</f>
        <v>0,00 jours</v>
      </c>
      <c r="Y11" s="704"/>
      <c r="Z11" s="704"/>
    </row>
    <row r="12" spans="1:29" s="129" customFormat="1" ht="15" customHeight="1" thickBot="1" x14ac:dyDescent="0.3">
      <c r="A12" s="111" t="s">
        <v>451</v>
      </c>
      <c r="B12" s="518">
        <f>'À Faire - Détails'!Z21</f>
        <v>0</v>
      </c>
      <c r="C12" s="109">
        <f>'À Faire - Détails'!AA21</f>
        <v>0</v>
      </c>
      <c r="D12" s="392">
        <f>'À Faire - Détails'!Z29</f>
        <v>0</v>
      </c>
      <c r="E12" s="327">
        <f>'À Faire - Détails'!AA29</f>
        <v>0</v>
      </c>
      <c r="F12" s="153" t="str">
        <f>IF($B$2='Paramètres - Admin'!$B$2,TEXT(E12*60*60,"# 0")&amp;" " &amp; 'Paramètres - Admin'!$B$2,IF($B$2='Paramètres - Admin'!$B$3,TEXT(E12*60,"# 0")&amp;" " &amp; 'Paramètres - Admin'!$B$3,IF($B$2='Paramètres - Admin'!$B$4,TEXT(E12,"# 0,00")&amp;" " &amp; 'Paramètres - Admin'!$B$4,IF($B$2='Paramètres - Admin'!$B$5,TEXT(E12/24,"# 0,00")&amp;" " &amp; 'Paramètres - Admin'!$B$5,IF($B$2='Paramètres - Admin'!$B$6,TEXT((E12/24)/30,"# 0,00")&amp;" " &amp; 'Paramètres - Admin'!$B$6,IF(E12/24&gt;=1,INT(E12/24)&amp;" " &amp;  'Paramètres - Admin'!$D$4 &amp; " " &amp; HOUR(E12/24-INT(E12/24))&amp;" " &amp;  'Paramètres - Admin'!$D$3 &amp; " " &amp; MINUTE(E12/24-INT(E12/24))&amp;" " &amp;  'Paramètres - Admin'!$D$2,HOUR(E12/24-INT(E12/24))&amp;" " &amp;  'Paramètres - Admin'!$D$3 &amp; " " &amp; MINUTE(E12/24-INT(E12/24))&amp;" " &amp;  'Paramètres - Admin'!$D$2))))))</f>
        <v>0,00 jours</v>
      </c>
      <c r="G12" s="289" t="s">
        <v>701</v>
      </c>
      <c r="H12" s="515">
        <f>'À Faire - Détails'!Q54</f>
        <v>0</v>
      </c>
      <c r="I12" s="793">
        <f>'À Faire - Détails'!R54</f>
        <v>0</v>
      </c>
      <c r="J12" s="387">
        <f>'À Faire - Détails'!Q59</f>
        <v>0</v>
      </c>
      <c r="K12" s="789">
        <f>'À Faire - Détails'!R59</f>
        <v>0</v>
      </c>
      <c r="L12" s="790" t="str">
        <f>IF($B$2='Paramètres - Admin'!$B$2,TEXT(K12*60*60,"# 0")&amp;" " &amp; 'Paramètres - Admin'!$B$2,IF($B$2='Paramètres - Admin'!$B$3,TEXT(K12*60,"# 0")&amp;" " &amp; 'Paramètres - Admin'!$B$3,IF($B$2='Paramètres - Admin'!$B$4,TEXT(K12,"# 0,00")&amp;" " &amp; 'Paramètres - Admin'!$B$4,IF($B$2='Paramètres - Admin'!$B$5,TEXT(K12/24,"# 0,00")&amp;" " &amp; 'Paramètres - Admin'!$B$5,IF($B$2='Paramètres - Admin'!$B$6,TEXT((K12/24)/30,"# 0,00")&amp;" " &amp; 'Paramètres - Admin'!$B$6,IF(K12/24&gt;=1,INT(K12/24)&amp;" " &amp;  'Paramètres - Admin'!$D$4 &amp; " " &amp; HOUR(K12/24-INT(K12/24))&amp;" " &amp;  'Paramètres - Admin'!$D$3 &amp; " " &amp; MINUTE(K12/24-INT(K12/24))&amp;" " &amp;  'Paramètres - Admin'!$D$2,HOUR(K12/24-INT(K12/24))&amp;" " &amp;  'Paramètres - Admin'!$D$3 &amp; " " &amp; MINUTE(K12/24-INT(K12/24))&amp;" " &amp;  'Paramètres - Admin'!$D$2))))))</f>
        <v>0,00 jours</v>
      </c>
      <c r="M12" s="341" t="s">
        <v>564</v>
      </c>
      <c r="N12" s="83">
        <f>'À Faire - Détails'!Z121</f>
        <v>0</v>
      </c>
      <c r="O12" s="282">
        <f>'À Faire - Détails'!AA121</f>
        <v>0</v>
      </c>
      <c r="P12" s="529">
        <f>'À Faire - Détails'!Z126</f>
        <v>0</v>
      </c>
      <c r="Q12" s="325">
        <f>'À Faire - Détails'!AA126</f>
        <v>0</v>
      </c>
      <c r="R12" s="85" t="str">
        <f>IF($B$2='Paramètres - Admin'!$B$2,TEXT(Q12*60*60,"# 0")&amp;" " &amp; 'Paramètres - Admin'!$B$2,IF($B$2='Paramètres - Admin'!$B$3,TEXT(Q12*60,"# 0")&amp;" " &amp; 'Paramètres - Admin'!$B$3,IF($B$2='Paramètres - Admin'!$B$4,TEXT(Q12,"# 0,00")&amp;" " &amp; 'Paramètres - Admin'!$B$4,IF($B$2='Paramètres - Admin'!$B$5,TEXT(Q12/24,"# 0,00")&amp;" " &amp; 'Paramètres - Admin'!$B$5,IF($B$2='Paramètres - Admin'!$B$6,TEXT((Q12/24)/30,"# 0,00")&amp;" " &amp; 'Paramètres - Admin'!$B$6,IF(Q12/24&gt;=1,INT(Q12/24)&amp;" " &amp;  'Paramètres - Admin'!$D$4 &amp; " " &amp; HOUR(Q12/24-INT(Q12/24))&amp;" " &amp;  'Paramètres - Admin'!$D$3 &amp; " " &amp; MINUTE(Q12/24-INT(Q12/24))&amp;" " &amp;  'Paramètres - Admin'!$D$2,HOUR(Q12/24-INT(Q12/24))&amp;" " &amp;  'Paramètres - Admin'!$D$3 &amp; " " &amp; MINUTE(Q12/24-INT(Q12/24))&amp;" " &amp;  'Paramètres - Admin'!$D$2))))))</f>
        <v>0,00 jours</v>
      </c>
      <c r="S12" s="590" t="s">
        <v>573</v>
      </c>
      <c r="T12" s="587">
        <f>'À Faire - Détails'!Z234</f>
        <v>0</v>
      </c>
      <c r="U12" s="109">
        <f>'À Faire - Détails'!AA234</f>
        <v>0</v>
      </c>
      <c r="V12" s="122">
        <f>'À Faire - Détails'!Z239</f>
        <v>0</v>
      </c>
      <c r="W12" s="327">
        <f>'À Faire - Détails'!AA239</f>
        <v>0</v>
      </c>
      <c r="X12" s="591" t="str">
        <f>IF($B$2='Paramètres - Admin'!$B$2,TEXT(W12*60*60,"# 0")&amp;" " &amp; 'Paramètres - Admin'!$B$2,IF($B$2='Paramètres - Admin'!$B$3,TEXT(W12*60,"# 0")&amp;" " &amp; 'Paramètres - Admin'!$B$3,IF($B$2='Paramètres - Admin'!$B$4,TEXT(W12,"# 0,00")&amp;" " &amp; 'Paramètres - Admin'!$B$4,IF($B$2='Paramètres - Admin'!$B$5,TEXT(W12/24,"# 0,00")&amp;" " &amp; 'Paramètres - Admin'!$B$5,IF($B$2='Paramètres - Admin'!$B$6,TEXT((W12/24)/30,"# 0,00")&amp;" " &amp; 'Paramètres - Admin'!$B$6,IF(W12/24&gt;=1,INT(W12/24)&amp;" " &amp;  'Paramètres - Admin'!$D$4 &amp; " " &amp; HOUR(W12/24-INT(W12/24))&amp;" " &amp;  'Paramètres - Admin'!$D$3 &amp; " " &amp; MINUTE(W12/24-INT(W12/24))&amp;" " &amp;  'Paramètres - Admin'!$D$2,HOUR(W12/24-INT(W12/24))&amp;" " &amp;  'Paramètres - Admin'!$D$3 &amp; " " &amp; MINUTE(W12/24-INT(W12/24))&amp;" " &amp;  'Paramètres - Admin'!$D$2))))))</f>
        <v>0,00 jours</v>
      </c>
      <c r="Y12" s="704"/>
      <c r="Z12" s="704"/>
    </row>
    <row r="13" spans="1:29" s="129" customFormat="1" ht="15" customHeight="1" thickBot="1" x14ac:dyDescent="0.3">
      <c r="A13" s="484" t="s">
        <v>31</v>
      </c>
      <c r="B13" s="102">
        <f>SUM(B7:B12)</f>
        <v>4</v>
      </c>
      <c r="C13" s="103">
        <f>SUM(C7:C12)</f>
        <v>6</v>
      </c>
      <c r="D13" s="393">
        <f>SUM(D7:D12)</f>
        <v>1500</v>
      </c>
      <c r="E13" s="328">
        <f>SUM(E7:E12)</f>
        <v>0.7</v>
      </c>
      <c r="F13" s="105" t="str">
        <f>IF($B$2='Paramètres - Admin'!$B$2,TEXT(E13*60*60,"# 0")&amp;" " &amp; 'Paramètres - Admin'!$B$2,IF($B$2='Paramètres - Admin'!$B$3,TEXT(E13*60,"# 0")&amp;" " &amp; 'Paramètres - Admin'!$B$3,IF($B$2='Paramètres - Admin'!$B$4,TEXT(E13,"# 0,00")&amp;" " &amp; 'Paramètres - Admin'!$B$4,IF($B$2='Paramètres - Admin'!$B$5,TEXT(E13/24,"# 0,00")&amp;" " &amp; 'Paramètres - Admin'!$B$5,IF($B$2='Paramètres - Admin'!$B$6,TEXT((E13/24)/30,"# 0,00")&amp;" " &amp; 'Paramètres - Admin'!$B$6,IF(E13/24&gt;=1,INT(E13/24)&amp;" " &amp;  'Paramètres - Admin'!$D$4 &amp; " " &amp; HOUR(E13/24-INT(E13/24))&amp;" " &amp;  'Paramètres - Admin'!$D$3 &amp; " " &amp; MINUTE(E13/24-INT(E13/24))&amp;" " &amp;  'Paramètres - Admin'!$D$2,HOUR(E13/24-INT(E13/24))&amp;" " &amp;  'Paramètres - Admin'!$D$3 &amp; " " &amp; MINUTE(E13/24-INT(E13/24))&amp;" " &amp;  'Paramètres - Admin'!$D$2))))))</f>
        <v>0,00 jours</v>
      </c>
      <c r="G13" s="792" t="s">
        <v>31</v>
      </c>
      <c r="H13" s="791">
        <f>SUM(H7:H12)</f>
        <v>2</v>
      </c>
      <c r="I13" s="783">
        <f>SUM(I7:I12)</f>
        <v>4</v>
      </c>
      <c r="J13" s="388">
        <f>SUM(J7:J12)</f>
        <v>3950</v>
      </c>
      <c r="K13" s="784">
        <f>SUM(K7:K12)</f>
        <v>2.3533333333333335</v>
      </c>
      <c r="L13" s="785" t="str">
        <f>IF($B$2='Paramètres - Admin'!$B$2,TEXT(K13*60*60,"# 0")&amp;" " &amp; 'Paramètres - Admin'!$B$2,IF($B$2='Paramètres - Admin'!$B$3,TEXT(K13*60,"# 0")&amp;" " &amp; 'Paramètres - Admin'!$B$3,IF($B$2='Paramètres - Admin'!$B$4,TEXT(K13,"# 0,00")&amp;" " &amp; 'Paramètres - Admin'!$B$4,IF($B$2='Paramètres - Admin'!$B$5,TEXT(K13/24,"# 0,00")&amp;" " &amp; 'Paramètres - Admin'!$B$5,IF($B$2='Paramètres - Admin'!$B$6,TEXT((K13/24)/30,"# 0,00")&amp;" " &amp; 'Paramètres - Admin'!$B$6,IF(K13/24&gt;=1,INT(K13/24)&amp;" " &amp;  'Paramètres - Admin'!$D$4 &amp; " " &amp; HOUR(K13/24-INT(K13/24))&amp;" " &amp;  'Paramètres - Admin'!$D$3 &amp; " " &amp; MINUTE(K13/24-INT(K13/24))&amp;" " &amp;  'Paramètres - Admin'!$D$2,HOUR(K13/24-INT(K13/24))&amp;" " &amp;  'Paramètres - Admin'!$D$3 &amp; " " &amp; MINUTE(K13/24-INT(K13/24))&amp;" " &amp;  'Paramètres - Admin'!$D$2))))))</f>
        <v>0,00 jours</v>
      </c>
      <c r="M13" s="484" t="s">
        <v>31</v>
      </c>
      <c r="N13" s="102">
        <f>SUM(N7:N12)</f>
        <v>0</v>
      </c>
      <c r="O13" s="103">
        <f>SUM(O7:O12)</f>
        <v>0</v>
      </c>
      <c r="P13" s="104">
        <f>SUM(P7:P12)</f>
        <v>0</v>
      </c>
      <c r="Q13" s="328">
        <f>SUM(Q7:Q12)</f>
        <v>0</v>
      </c>
      <c r="R13" s="105" t="str">
        <f>IF($B$2='Paramètres - Admin'!$B$2,TEXT(Q13*60*60,"# 0")&amp;" " &amp; 'Paramètres - Admin'!$B$2,IF($B$2='Paramètres - Admin'!$B$3,TEXT(Q13*60,"# 0")&amp;" " &amp; 'Paramètres - Admin'!$B$3,IF($B$2='Paramètres - Admin'!$B$4,TEXT(Q13,"# 0,00")&amp;" " &amp; 'Paramètres - Admin'!$B$4,IF($B$2='Paramètres - Admin'!$B$5,TEXT(Q13/24,"# 0,00")&amp;" " &amp; 'Paramètres - Admin'!$B$5,IF($B$2='Paramètres - Admin'!$B$6,TEXT((Q13/24)/30,"# 0,00")&amp;" " &amp; 'Paramètres - Admin'!$B$6,IF(Q13/24&gt;=1,INT(Q13/24)&amp;" " &amp;  'Paramètres - Admin'!$D$4 &amp; " " &amp; HOUR(Q13/24-INT(Q13/24))&amp;" " &amp;  'Paramètres - Admin'!$D$3 &amp; " " &amp; MINUTE(Q13/24-INT(Q13/24))&amp;" " &amp;  'Paramètres - Admin'!$D$2,HOUR(Q13/24-INT(Q13/24))&amp;" " &amp;  'Paramètres - Admin'!$D$3 &amp; " " &amp; MINUTE(Q13/24-INT(Q13/24))&amp;" " &amp;  'Paramètres - Admin'!$D$2))))))</f>
        <v>0,00 jours</v>
      </c>
      <c r="S13" s="590" t="s">
        <v>818</v>
      </c>
      <c r="T13" s="587">
        <f>'À Faire - Détails'!Z241</f>
        <v>0</v>
      </c>
      <c r="U13" s="109">
        <f>'À Faire - Détails'!AA241</f>
        <v>0</v>
      </c>
      <c r="V13" s="122">
        <f>'À Faire - Détails'!Z246</f>
        <v>0</v>
      </c>
      <c r="W13" s="327">
        <f>'À Faire - Détails'!AA246</f>
        <v>0</v>
      </c>
      <c r="X13" s="591" t="str">
        <f>IF($B$2='Paramètres - Admin'!$B$2,TEXT(W13*60*60,"# 0")&amp;" " &amp; 'Paramètres - Admin'!$B$2,IF($B$2='Paramètres - Admin'!$B$3,TEXT(W13*60,"# 0")&amp;" " &amp; 'Paramètres - Admin'!$B$3,IF($B$2='Paramètres - Admin'!$B$4,TEXT(W13,"# 0,00")&amp;" " &amp; 'Paramètres - Admin'!$B$4,IF($B$2='Paramètres - Admin'!$B$5,TEXT(W13/24,"# 0,00")&amp;" " &amp; 'Paramètres - Admin'!$B$5,IF($B$2='Paramètres - Admin'!$B$6,TEXT((W13/24)/30,"# 0,00")&amp;" " &amp; 'Paramètres - Admin'!$B$6,IF(W13/24&gt;=1,INT(W13/24)&amp;" " &amp;  'Paramètres - Admin'!$D$4 &amp; " " &amp; HOUR(W13/24-INT(W13/24))&amp;" " &amp;  'Paramètres - Admin'!$D$3 &amp; " " &amp; MINUTE(W13/24-INT(W13/24))&amp;" " &amp;  'Paramètres - Admin'!$D$2,HOUR(W13/24-INT(W13/24))&amp;" " &amp;  'Paramètres - Admin'!$D$3 &amp; " " &amp; MINUTE(W13/24-INT(W13/24))&amp;" " &amp;  'Paramètres - Admin'!$D$2))))))</f>
        <v>0,00 jours</v>
      </c>
      <c r="Y13" s="704"/>
      <c r="Z13" s="704"/>
    </row>
    <row r="14" spans="1:29" s="129" customFormat="1" ht="15" customHeight="1" thickBot="1" x14ac:dyDescent="0.3">
      <c r="S14" s="274" t="s">
        <v>31</v>
      </c>
      <c r="T14" s="409">
        <f>SUM(T7:T13)</f>
        <v>0</v>
      </c>
      <c r="U14" s="103">
        <f>SUM(U7:U13)</f>
        <v>0</v>
      </c>
      <c r="V14" s="123">
        <f>SUM(V7:V13)</f>
        <v>0</v>
      </c>
      <c r="W14" s="328">
        <f>SUM(W7:W13)</f>
        <v>0</v>
      </c>
      <c r="X14" s="105" t="str">
        <f>IF($B$2='Paramètres - Admin'!$B$2,TEXT(W14*60*60,"# 0")&amp;" " &amp; 'Paramètres - Admin'!$B$2,IF($B$2='Paramètres - Admin'!$B$3,TEXT(W14*60,"# 0")&amp;" " &amp; 'Paramètres - Admin'!$B$3,IF($B$2='Paramètres - Admin'!$B$4,TEXT(W14,"# 0,00")&amp;" " &amp; 'Paramètres - Admin'!$B$4,IF($B$2='Paramètres - Admin'!$B$5,TEXT(W14/24,"# 0,00")&amp;" " &amp; 'Paramètres - Admin'!$B$5,IF($B$2='Paramètres - Admin'!$B$6,TEXT((W14/24)/30,"# 0,00")&amp;" " &amp; 'Paramètres - Admin'!$B$6,IF(W14/24&gt;=1,INT(W14/24)&amp;" " &amp;  'Paramètres - Admin'!$D$4 &amp; " " &amp; HOUR(W14/24-INT(W14/24))&amp;" " &amp;  'Paramètres - Admin'!$D$3 &amp; " " &amp; MINUTE(W14/24-INT(W14/24))&amp;" " &amp;  'Paramètres - Admin'!$D$2,HOUR(W14/24-INT(W14/24))&amp;" " &amp;  'Paramètres - Admin'!$D$3 &amp; " " &amp; MINUTE(W14/24-INT(W14/24))&amp;" " &amp;  'Paramètres - Admin'!$D$2))))))</f>
        <v>0,00 jours</v>
      </c>
      <c r="Y14" s="704"/>
      <c r="Z14" s="704"/>
    </row>
    <row r="15" spans="1:29" s="129" customFormat="1" ht="19.5" thickBot="1" x14ac:dyDescent="0.3">
      <c r="A15" s="1093" t="s">
        <v>179</v>
      </c>
      <c r="B15" s="1094"/>
      <c r="C15" s="1094"/>
      <c r="D15" s="1094"/>
      <c r="E15" s="1094"/>
      <c r="F15" s="1095"/>
      <c r="G15" s="1093" t="s">
        <v>240</v>
      </c>
      <c r="H15" s="1094"/>
      <c r="I15" s="1094"/>
      <c r="J15" s="1094"/>
      <c r="K15" s="1094"/>
      <c r="L15" s="1095"/>
      <c r="M15" s="1093" t="s">
        <v>226</v>
      </c>
      <c r="N15" s="1094"/>
      <c r="O15" s="1094"/>
      <c r="P15" s="1094"/>
      <c r="Q15" s="1094"/>
      <c r="R15" s="1095"/>
      <c r="S15" s="1093" t="s">
        <v>709</v>
      </c>
      <c r="T15" s="1094"/>
      <c r="U15" s="1094"/>
      <c r="V15" s="1094"/>
      <c r="W15" s="1094"/>
      <c r="X15" s="1095"/>
    </row>
    <row r="16" spans="1:29" s="129" customFormat="1" ht="15" customHeight="1" thickBot="1" x14ac:dyDescent="0.3">
      <c r="A16" s="228" t="s">
        <v>231</v>
      </c>
      <c r="B16" s="274" t="s">
        <v>361</v>
      </c>
      <c r="C16" s="532" t="s">
        <v>70</v>
      </c>
      <c r="D16" s="532" t="s">
        <v>232</v>
      </c>
      <c r="E16" s="532" t="s">
        <v>233</v>
      </c>
      <c r="F16" s="533" t="s">
        <v>233</v>
      </c>
      <c r="G16" s="228" t="s">
        <v>235</v>
      </c>
      <c r="H16" s="274" t="s">
        <v>361</v>
      </c>
      <c r="I16" s="532" t="s">
        <v>70</v>
      </c>
      <c r="J16" s="532" t="s">
        <v>232</v>
      </c>
      <c r="K16" s="532" t="s">
        <v>233</v>
      </c>
      <c r="L16" s="276" t="s">
        <v>233</v>
      </c>
      <c r="M16" s="228" t="s">
        <v>234</v>
      </c>
      <c r="N16" s="274" t="s">
        <v>361</v>
      </c>
      <c r="O16" s="532" t="s">
        <v>70</v>
      </c>
      <c r="P16" s="532" t="s">
        <v>232</v>
      </c>
      <c r="Q16" s="532" t="s">
        <v>233</v>
      </c>
      <c r="R16" s="533" t="s">
        <v>233</v>
      </c>
      <c r="S16" s="228" t="s">
        <v>234</v>
      </c>
      <c r="T16" s="274" t="s">
        <v>361</v>
      </c>
      <c r="U16" s="532" t="s">
        <v>70</v>
      </c>
      <c r="V16" s="532" t="s">
        <v>232</v>
      </c>
      <c r="W16" s="532" t="s">
        <v>233</v>
      </c>
      <c r="X16" s="533" t="s">
        <v>233</v>
      </c>
    </row>
    <row r="17" spans="1:25" s="129" customFormat="1" ht="15" customHeight="1" x14ac:dyDescent="0.25">
      <c r="A17" s="340" t="s">
        <v>206</v>
      </c>
      <c r="B17" s="83">
        <f>'À Faire - Détails'!H68</f>
        <v>0</v>
      </c>
      <c r="C17" s="84">
        <f>'À Faire - Détails'!I68</f>
        <v>0</v>
      </c>
      <c r="D17" s="599">
        <f>'À Faire - Détails'!H81</f>
        <v>0</v>
      </c>
      <c r="E17" s="325">
        <f>'À Faire - Détails'!I81</f>
        <v>0</v>
      </c>
      <c r="F17" s="85" t="str">
        <f>IF($B$2='Paramètres - Admin'!$B$2,TEXT(E17*60*60,"# 0")&amp;" " &amp; 'Paramètres - Admin'!$B$2,IF($B$2='Paramètres - Admin'!$B$3,TEXT(E17*60,"# 0")&amp;" " &amp; 'Paramètres - Admin'!$B$3,IF($B$2='Paramètres - Admin'!$B$4,TEXT(E17,"# 0,00")&amp;" " &amp; 'Paramètres - Admin'!$B$4,IF($B$2='Paramètres - Admin'!$B$5,TEXT(E17/24,"# 0,00")&amp;" " &amp; 'Paramètres - Admin'!$B$5,IF($B$2='Paramètres - Admin'!$B$6,TEXT((E17/24)/30,"# 0,00")&amp;" " &amp; 'Paramètres - Admin'!$B$6,IF(E17/24&gt;=1,INT(E17/24)&amp;" " &amp;  'Paramètres - Admin'!$D$4 &amp; " " &amp; HOUR(E17/24-INT(E17/24))&amp;" " &amp;  'Paramètres - Admin'!$D$3 &amp; " " &amp; MINUTE(E17/24-INT(E17/24))&amp;" " &amp;  'Paramètres - Admin'!$D$2,HOUR(E17/24-INT(E17/24))&amp;" " &amp;  'Paramètres - Admin'!$D$3 &amp; " " &amp; MINUTE(E17/24-INT(E17/24))&amp;" " &amp;  'Paramètres - Admin'!$D$2))))))</f>
        <v>0,00 jours</v>
      </c>
      <c r="G17" s="340" t="s">
        <v>195</v>
      </c>
      <c r="H17" s="83">
        <f>'À Faire - Détails'!H177</f>
        <v>0</v>
      </c>
      <c r="I17" s="84">
        <f>'À Faire - Détails'!I177</f>
        <v>0</v>
      </c>
      <c r="J17" s="391">
        <f>'À Faire - Détails'!H186</f>
        <v>0</v>
      </c>
      <c r="K17" s="325">
        <f>'À Faire - Détails'!I186</f>
        <v>0</v>
      </c>
      <c r="L17" s="564" t="str">
        <f>IF($B$2='Paramètres - Admin'!$B$2,TEXT(K17*60*60,"# 0")&amp;" " &amp; 'Paramètres - Admin'!$B$2,IF($B$2='Paramètres - Admin'!$B$3,TEXT(K17*60,"# 0")&amp;" " &amp; 'Paramètres - Admin'!$B$3,IF($B$2='Paramètres - Admin'!$B$4,TEXT(K17,"# 0,00")&amp;" " &amp; 'Paramètres - Admin'!$B$4,IF($B$2='Paramètres - Admin'!$B$5,TEXT(K17/24,"# 0,00")&amp;" " &amp; 'Paramètres - Admin'!$B$5,IF($B$2='Paramètres - Admin'!$B$6,TEXT((K17/24)/30,"# 0,00")&amp;" " &amp; 'Paramètres - Admin'!$B$6,IF(K17/24&gt;=1,INT(K17/24)&amp;" " &amp;  'Paramètres - Admin'!$D$4 &amp; " " &amp; HOUR(K17/24-INT(K17/24))&amp;" " &amp;  'Paramètres - Admin'!$D$3 &amp; " " &amp; MINUTE(K17/24-INT(K17/24))&amp;" " &amp;  'Paramètres - Admin'!$D$2,HOUR(K17/24-INT(K17/24))&amp;" " &amp;  'Paramètres - Admin'!$D$3 &amp; " " &amp; MINUTE(K17/24-INT(K17/24))&amp;" " &amp;  'Paramètres - Admin'!$D$2))))))</f>
        <v>0,00 jours</v>
      </c>
      <c r="M17" s="116" t="s">
        <v>190</v>
      </c>
      <c r="N17" s="117">
        <f>'À Faire - Détails'!H154</f>
        <v>0</v>
      </c>
      <c r="O17" s="84">
        <f>'À Faire - Détails'!I154</f>
        <v>0</v>
      </c>
      <c r="P17" s="391">
        <f>'À Faire - Détails'!H163</f>
        <v>0</v>
      </c>
      <c r="Q17" s="325">
        <f>'À Faire - Détails'!I163</f>
        <v>0</v>
      </c>
      <c r="R17" s="85" t="str">
        <f>IF($B$2='Paramètres - Admin'!$B$2,TEXT(Q17*60*60,"# 0")&amp;" " &amp; 'Paramètres - Admin'!$B$2,IF($B$2='Paramètres - Admin'!$B$3,TEXT(Q17*60,"# 0")&amp;" " &amp; 'Paramètres - Admin'!$B$3,IF($B$2='Paramètres - Admin'!$B$4,TEXT(Q17,"# 0,00")&amp;" " &amp; 'Paramètres - Admin'!$B$4,IF($B$2='Paramètres - Admin'!$B$5,TEXT(Q17/24,"# 0,00")&amp;" " &amp; 'Paramètres - Admin'!$B$5,IF($B$2='Paramètres - Admin'!$B$6,TEXT((Q17/24)/30,"# 0,00")&amp;" " &amp; 'Paramètres - Admin'!$B$6,IF(Q17/24&gt;=1,INT(Q17/24)&amp;" " &amp;  'Paramètres - Admin'!$D$4 &amp; " " &amp; HOUR(Q17/24-INT(Q17/24))&amp;" " &amp;  'Paramètres - Admin'!$D$3 &amp; " " &amp; MINUTE(Q17/24-INT(Q17/24))&amp;" " &amp;  'Paramètres - Admin'!$D$2,HOUR(Q17/24-INT(Q17/24))&amp;" " &amp;  'Paramètres - Admin'!$D$3 &amp; " " &amp; MINUTE(Q17/24-INT(Q17/24))&amp;" " &amp;  'Paramètres - Admin'!$D$2))))))</f>
        <v>0,00 jours</v>
      </c>
      <c r="S17" s="116" t="s">
        <v>706</v>
      </c>
      <c r="T17" s="117">
        <f>'À Faire - Détails'!H216</f>
        <v>0</v>
      </c>
      <c r="U17" s="84">
        <f>'À Faire - Détails'!I216</f>
        <v>0</v>
      </c>
      <c r="V17" s="121">
        <f>'À Faire - Détails'!H222</f>
        <v>0</v>
      </c>
      <c r="W17" s="325">
        <f>'À Faire - Détails'!I222</f>
        <v>0</v>
      </c>
      <c r="X17" s="85" t="str">
        <f>IF($B$2='Paramètres - Admin'!$B$2,TEXT(W17*60*60,"# 0")&amp;" " &amp; 'Paramètres - Admin'!$B$2,IF($B$2='Paramètres - Admin'!$B$3,TEXT(W17*60,"# 0")&amp;" " &amp; 'Paramètres - Admin'!$B$3,IF($B$2='Paramètres - Admin'!$B$4,TEXT(W17,"# 0,00")&amp;" " &amp; 'Paramètres - Admin'!$B$4,IF($B$2='Paramètres - Admin'!$B$5,TEXT(W17/24,"# 0,00")&amp;" " &amp; 'Paramètres - Admin'!$B$5,IF($B$2='Paramètres - Admin'!$B$6,TEXT((W17/24)/30,"# 0,00")&amp;" " &amp; 'Paramètres - Admin'!$B$6,IF(W17/24&gt;=1,INT(W17/24)&amp;" " &amp;  'Paramètres - Admin'!$D$4 &amp; " " &amp; HOUR(W17/24-INT(W17/24))&amp;" " &amp;  'Paramètres - Admin'!$D$3 &amp; " " &amp; MINUTE(W17/24-INT(W17/24))&amp;" " &amp;  'Paramètres - Admin'!$D$2,HOUR(W17/24-INT(W17/24))&amp;" " &amp;  'Paramètres - Admin'!$D$3 &amp; " " &amp; MINUTE(W17/24-INT(W17/24))&amp;" " &amp;  'Paramètres - Admin'!$D$2))))))</f>
        <v>0,00 jours</v>
      </c>
    </row>
    <row r="18" spans="1:25" s="129" customFormat="1" ht="15" customHeight="1" x14ac:dyDescent="0.25">
      <c r="A18" s="87" t="s">
        <v>205</v>
      </c>
      <c r="B18" s="91">
        <f>'À Faire - Détails'!H96</f>
        <v>2</v>
      </c>
      <c r="C18" s="92">
        <f>'À Faire - Détails'!I96</f>
        <v>4</v>
      </c>
      <c r="D18" s="517">
        <f>'À Faire - Détails'!H111</f>
        <v>2500</v>
      </c>
      <c r="E18" s="326">
        <f>'À Faire - Détails'!I111</f>
        <v>0.53333333333333333</v>
      </c>
      <c r="F18" s="85" t="str">
        <f>IF($B$2='Paramètres - Admin'!$B$2,TEXT(E18*60*60,"# 0")&amp;" " &amp; 'Paramètres - Admin'!$B$2,IF($B$2='Paramètres - Admin'!$B$3,TEXT(E18*60,"# 0")&amp;" " &amp; 'Paramètres - Admin'!$B$3,IF($B$2='Paramètres - Admin'!$B$4,TEXT(E18,"# 0,00")&amp;" " &amp; 'Paramètres - Admin'!$B$4,IF($B$2='Paramètres - Admin'!$B$5,TEXT(E18/24,"# 0,00")&amp;" " &amp; 'Paramètres - Admin'!$B$5,IF($B$2='Paramètres - Admin'!$B$6,TEXT((E18/24)/30,"# 0,00")&amp;" " &amp; 'Paramètres - Admin'!$B$6,IF(E18/24&gt;=1,INT(E18/24)&amp;" " &amp;  'Paramètres - Admin'!$D$4 &amp; " " &amp; HOUR(E18/24-INT(E18/24))&amp;" " &amp;  'Paramètres - Admin'!$D$3 &amp; " " &amp; MINUTE(E18/24-INT(E18/24))&amp;" " &amp;  'Paramètres - Admin'!$D$2,HOUR(E18/24-INT(E18/24))&amp;" " &amp;  'Paramètres - Admin'!$D$3 &amp; " " &amp; MINUTE(E18/24-INT(E18/24))&amp;" " &amp;  'Paramètres - Admin'!$D$2))))))</f>
        <v>0,00 jours</v>
      </c>
      <c r="G18" s="87" t="s">
        <v>50</v>
      </c>
      <c r="H18" s="91">
        <f>'À Faire - Détails'!H188</f>
        <v>0</v>
      </c>
      <c r="I18" s="92">
        <f>'À Faire - Détails'!I188</f>
        <v>0</v>
      </c>
      <c r="J18" s="386">
        <f>'À Faire - Détails'!H197</f>
        <v>0</v>
      </c>
      <c r="K18" s="326">
        <f>'À Faire - Détails'!I197</f>
        <v>0</v>
      </c>
      <c r="L18" s="564" t="str">
        <f>IF($B$2='Paramètres - Admin'!$B$2,TEXT(K18*60*60,"# 0")&amp;" " &amp; 'Paramètres - Admin'!$B$2,IF($B$2='Paramètres - Admin'!$B$3,TEXT(K18*60,"# 0")&amp;" " &amp; 'Paramètres - Admin'!$B$3,IF($B$2='Paramètres - Admin'!$B$4,TEXT(K18,"# 0,00")&amp;" " &amp; 'Paramètres - Admin'!$B$4,IF($B$2='Paramètres - Admin'!$B$5,TEXT(K18/24,"# 0,00")&amp;" " &amp; 'Paramètres - Admin'!$B$5,IF($B$2='Paramètres - Admin'!$B$6,TEXT((K18/24)/30,"# 0,00")&amp;" " &amp; 'Paramètres - Admin'!$B$6,IF(K18/24&gt;=1,INT(K18/24)&amp;" " &amp;  'Paramètres - Admin'!$D$4 &amp; " " &amp; HOUR(K18/24-INT(K18/24))&amp;" " &amp;  'Paramètres - Admin'!$D$3 &amp; " " &amp; MINUTE(K18/24-INT(K18/24))&amp;" " &amp;  'Paramètres - Admin'!$D$2,HOUR(K18/24-INT(K18/24))&amp;" " &amp;  'Paramètres - Admin'!$D$3 &amp; " " &amp; MINUTE(K18/24-INT(K18/24))&amp;" " &amp;  'Paramètres - Admin'!$D$2))))))</f>
        <v>0,00 jours</v>
      </c>
      <c r="M18" s="119" t="s">
        <v>191</v>
      </c>
      <c r="N18" s="120">
        <f>'À Faire - Détails'!Q154</f>
        <v>0</v>
      </c>
      <c r="O18" s="92">
        <f>'À Faire - Détails'!R154</f>
        <v>0</v>
      </c>
      <c r="P18" s="386">
        <f>'À Faire - Détails'!Q162</f>
        <v>0</v>
      </c>
      <c r="Q18" s="326">
        <f>'À Faire - Détails'!R162</f>
        <v>0</v>
      </c>
      <c r="R18" s="85" t="str">
        <f>IF($B$2='Paramètres - Admin'!$B$2,TEXT(Q18*60*60,"# 0")&amp;" " &amp; 'Paramètres - Admin'!$B$2,IF($B$2='Paramètres - Admin'!$B$3,TEXT(Q18*60,"# 0")&amp;" " &amp; 'Paramètres - Admin'!$B$3,IF($B$2='Paramètres - Admin'!$B$4,TEXT(Q18,"# 0,00")&amp;" " &amp; 'Paramètres - Admin'!$B$4,IF($B$2='Paramètres - Admin'!$B$5,TEXT(Q18/24,"# 0,00")&amp;" " &amp; 'Paramètres - Admin'!$B$5,IF($B$2='Paramètres - Admin'!$B$6,TEXT((Q18/24)/30,"# 0,00")&amp;" " &amp; 'Paramètres - Admin'!$B$6,IF(Q18/24&gt;=1,INT(Q18/24)&amp;" " &amp;  'Paramètres - Admin'!$D$4 &amp; " " &amp; HOUR(Q18/24-INT(Q18/24))&amp;" " &amp;  'Paramètres - Admin'!$D$3 &amp; " " &amp; MINUTE(Q18/24-INT(Q18/24))&amp;" " &amp;  'Paramètres - Admin'!$D$2,HOUR(Q18/24-INT(Q18/24))&amp;" " &amp;  'Paramètres - Admin'!$D$3 &amp; " " &amp; MINUTE(Q18/24-INT(Q18/24))&amp;" " &amp;  'Paramètres - Admin'!$D$2))))))</f>
        <v>0,00 jours</v>
      </c>
      <c r="S18" s="119" t="s">
        <v>718</v>
      </c>
      <c r="T18" s="120">
        <f>'À Faire - Détails'!Z216</f>
        <v>0</v>
      </c>
      <c r="U18" s="92">
        <f>'À Faire - Détails'!AA216</f>
        <v>0</v>
      </c>
      <c r="V18" s="121">
        <f>'À Faire - Détails'!Z222</f>
        <v>0</v>
      </c>
      <c r="W18" s="326">
        <f>'À Faire - Détails'!AA222</f>
        <v>0</v>
      </c>
      <c r="X18" s="85" t="str">
        <f>IF($B$2='Paramètres - Admin'!$B$2,TEXT(W18*60*60,"# 0")&amp;" " &amp; 'Paramètres - Admin'!$B$2,IF($B$2='Paramètres - Admin'!$B$3,TEXT(W18*60,"# 0")&amp;" " &amp; 'Paramètres - Admin'!$B$3,IF($B$2='Paramètres - Admin'!$B$4,TEXT(W18,"# 0,00")&amp;" " &amp; 'Paramètres - Admin'!$B$4,IF($B$2='Paramètres - Admin'!$B$5,TEXT(W18/24,"# 0,00")&amp;" " &amp; 'Paramètres - Admin'!$B$5,IF($B$2='Paramètres - Admin'!$B$6,TEXT((W18/24)/30,"# 0,00")&amp;" " &amp; 'Paramètres - Admin'!$B$6,IF(W18/24&gt;=1,INT(W18/24)&amp;" " &amp;  'Paramètres - Admin'!$D$4 &amp; " " &amp; HOUR(W18/24-INT(W18/24))&amp;" " &amp;  'Paramètres - Admin'!$D$3 &amp; " " &amp; MINUTE(W18/24-INT(W18/24))&amp;" " &amp;  'Paramètres - Admin'!$D$2,HOUR(W18/24-INT(W18/24))&amp;" " &amp;  'Paramètres - Admin'!$D$3 &amp; " " &amp; MINUTE(W18/24-INT(W18/24))&amp;" " &amp;  'Paramètres - Admin'!$D$2))))))</f>
        <v>0,00 jours</v>
      </c>
    </row>
    <row r="19" spans="1:25" s="129" customFormat="1" ht="15" customHeight="1" thickBot="1" x14ac:dyDescent="0.3">
      <c r="A19" s="87" t="s">
        <v>204</v>
      </c>
      <c r="B19" s="91">
        <f>'À Faire - Détails'!Q68</f>
        <v>0</v>
      </c>
      <c r="C19" s="92">
        <f>'À Faire - Détails'!R68</f>
        <v>0</v>
      </c>
      <c r="D19" s="517">
        <f>'À Faire - Détails'!Q83</f>
        <v>0</v>
      </c>
      <c r="E19" s="326">
        <f>'À Faire - Détails'!R83</f>
        <v>0</v>
      </c>
      <c r="F19" s="85" t="str">
        <f>IF($B$2='Paramètres - Admin'!$B$2,TEXT(E19*60*60,"# 0")&amp;" " &amp; 'Paramètres - Admin'!$B$2,IF($B$2='Paramètres - Admin'!$B$3,TEXT(E19*60,"# 0")&amp;" " &amp; 'Paramètres - Admin'!$B$3,IF($B$2='Paramètres - Admin'!$B$4,TEXT(E19,"# 0,00")&amp;" " &amp; 'Paramètres - Admin'!$B$4,IF($B$2='Paramètres - Admin'!$B$5,TEXT(E19/24,"# 0,00")&amp;" " &amp; 'Paramètres - Admin'!$B$5,IF($B$2='Paramètres - Admin'!$B$6,TEXT((E19/24)/30,"# 0,00")&amp;" " &amp; 'Paramètres - Admin'!$B$6,IF(E19/24&gt;=1,INT(E19/24)&amp;" " &amp;  'Paramètres - Admin'!$D$4 &amp; " " &amp; HOUR(E19/24-INT(E19/24))&amp;" " &amp;  'Paramètres - Admin'!$D$3 &amp; " " &amp; MINUTE(E19/24-INT(E19/24))&amp;" " &amp;  'Paramètres - Admin'!$D$2,HOUR(E19/24-INT(E19/24))&amp;" " &amp;  'Paramètres - Admin'!$D$3 &amp; " " &amp; MINUTE(E19/24-INT(E19/24))&amp;" " &amp;  'Paramètres - Admin'!$D$2))))))</f>
        <v>0,00 jours</v>
      </c>
      <c r="G19" s="87" t="s">
        <v>189</v>
      </c>
      <c r="H19" s="91">
        <f>'À Faire - Détails'!Q197</f>
        <v>0</v>
      </c>
      <c r="I19" s="92">
        <f>'À Faire - Détails'!R197</f>
        <v>0</v>
      </c>
      <c r="J19" s="386">
        <f>'À Faire - Détails'!Q206</f>
        <v>0</v>
      </c>
      <c r="K19" s="326">
        <f>'À Faire - Détails'!R206</f>
        <v>0</v>
      </c>
      <c r="L19" s="564" t="str">
        <f>IF($B$2='Paramètres - Admin'!$B$2,TEXT(K19*60*60,"# 0")&amp;" " &amp; 'Paramètres - Admin'!$B$2,IF($B$2='Paramètres - Admin'!$B$3,TEXT(K19*60,"# 0")&amp;" " &amp; 'Paramètres - Admin'!$B$3,IF($B$2='Paramètres - Admin'!$B$4,TEXT(K19,"# 0,00")&amp;" " &amp; 'Paramètres - Admin'!$B$4,IF($B$2='Paramètres - Admin'!$B$5,TEXT(K19/24,"# 0,00")&amp;" " &amp; 'Paramètres - Admin'!$B$5,IF($B$2='Paramètres - Admin'!$B$6,TEXT((K19/24)/30,"# 0,00")&amp;" " &amp; 'Paramètres - Admin'!$B$6,IF(K19/24&gt;=1,INT(K19/24)&amp;" " &amp;  'Paramètres - Admin'!$D$4 &amp; " " &amp; HOUR(K19/24-INT(K19/24))&amp;" " &amp;  'Paramètres - Admin'!$D$3 &amp; " " &amp; MINUTE(K19/24-INT(K19/24))&amp;" " &amp;  'Paramètres - Admin'!$D$2,HOUR(K19/24-INT(K19/24))&amp;" " &amp;  'Paramètres - Admin'!$D$3 &amp; " " &amp; MINUTE(K19/24-INT(K19/24))&amp;" " &amp;  'Paramètres - Admin'!$D$2))))))</f>
        <v>0,00 jours</v>
      </c>
      <c r="M19" s="119" t="s">
        <v>192</v>
      </c>
      <c r="N19" s="120">
        <f>'À Faire - Détails'!H165</f>
        <v>0</v>
      </c>
      <c r="O19" s="92">
        <f>'À Faire - Détails'!I165</f>
        <v>0</v>
      </c>
      <c r="P19" s="386">
        <f>'À Faire - Détails'!H172</f>
        <v>0</v>
      </c>
      <c r="Q19" s="326">
        <f>'À Faire - Détails'!I172</f>
        <v>0</v>
      </c>
      <c r="R19" s="85" t="str">
        <f>IF($B$2='Paramètres - Admin'!$B$2,TEXT(Q19*60*60,"# 0")&amp;" " &amp; 'Paramètres - Admin'!$B$2,IF($B$2='Paramètres - Admin'!$B$3,TEXT(Q19*60,"# 0")&amp;" " &amp; 'Paramètres - Admin'!$B$3,IF($B$2='Paramètres - Admin'!$B$4,TEXT(Q19,"# 0,00")&amp;" " &amp; 'Paramètres - Admin'!$B$4,IF($B$2='Paramètres - Admin'!$B$5,TEXT(Q19/24,"# 0,00")&amp;" " &amp; 'Paramètres - Admin'!$B$5,IF($B$2='Paramètres - Admin'!$B$6,TEXT((Q19/24)/30,"# 0,00")&amp;" " &amp; 'Paramètres - Admin'!$B$6,IF(Q19/24&gt;=1,INT(Q19/24)&amp;" " &amp;  'Paramètres - Admin'!$D$4 &amp; " " &amp; HOUR(Q19/24-INT(Q19/24))&amp;" " &amp;  'Paramètres - Admin'!$D$3 &amp; " " &amp; MINUTE(Q19/24-INT(Q19/24))&amp;" " &amp;  'Paramètres - Admin'!$D$2,HOUR(Q19/24-INT(Q19/24))&amp;" " &amp;  'Paramètres - Admin'!$D$3 &amp; " " &amp; MINUTE(Q19/24-INT(Q19/24))&amp;" " &amp;  'Paramètres - Admin'!$D$2))))))</f>
        <v>0,00 jours</v>
      </c>
      <c r="S19" s="119" t="s">
        <v>707</v>
      </c>
      <c r="T19" s="120">
        <f>'À Faire - Détails'!Q216</f>
        <v>0</v>
      </c>
      <c r="U19" s="92">
        <f>'À Faire - Détails'!R216</f>
        <v>0</v>
      </c>
      <c r="V19" s="122">
        <f>'À Faire - Détails'!Q222</f>
        <v>0</v>
      </c>
      <c r="W19" s="326">
        <f>'À Faire - Détails'!R222</f>
        <v>0</v>
      </c>
      <c r="X19" s="85" t="str">
        <f>IF($B$2='Paramètres - Admin'!$B$2,TEXT(W19*60*60,"# 0")&amp;" " &amp; 'Paramètres - Admin'!$B$2,IF($B$2='Paramètres - Admin'!$B$3,TEXT(W19*60,"# 0")&amp;" " &amp; 'Paramètres - Admin'!$B$3,IF($B$2='Paramètres - Admin'!$B$4,TEXT(W19,"# 0,00")&amp;" " &amp; 'Paramètres - Admin'!$B$4,IF($B$2='Paramètres - Admin'!$B$5,TEXT(W19/24,"# 0,00")&amp;" " &amp; 'Paramètres - Admin'!$B$5,IF($B$2='Paramètres - Admin'!$B$6,TEXT((W19/24)/30,"# 0,00")&amp;" " &amp; 'Paramètres - Admin'!$B$6,IF(W19/24&gt;=1,INT(W19/24)&amp;" " &amp;  'Paramètres - Admin'!$D$4 &amp; " " &amp; HOUR(W19/24-INT(W19/24))&amp;" " &amp;  'Paramètres - Admin'!$D$3 &amp; " " &amp; MINUTE(W19/24-INT(W19/24))&amp;" " &amp;  'Paramètres - Admin'!$D$2,HOUR(W19/24-INT(W19/24))&amp;" " &amp;  'Paramètres - Admin'!$D$3 &amp; " " &amp; MINUTE(W19/24-INT(W19/24))&amp;" " &amp;  'Paramètres - Admin'!$D$2))))))</f>
        <v>0,00 jours</v>
      </c>
    </row>
    <row r="20" spans="1:25" s="129" customFormat="1" ht="15" customHeight="1" thickBot="1" x14ac:dyDescent="0.3">
      <c r="A20" s="87" t="s">
        <v>203</v>
      </c>
      <c r="B20" s="91">
        <f>'À Faire - Détails'!H83</f>
        <v>0</v>
      </c>
      <c r="C20" s="92">
        <f>'À Faire - Détails'!I83</f>
        <v>0</v>
      </c>
      <c r="D20" s="517">
        <f>'À Faire - Détails'!H94</f>
        <v>0</v>
      </c>
      <c r="E20" s="326">
        <f>'À Faire - Détails'!I94</f>
        <v>0</v>
      </c>
      <c r="F20" s="85" t="str">
        <f>IF($B$2='Paramètres - Admin'!$B$2,TEXT(E20*60*60,"# 0")&amp;" " &amp; 'Paramètres - Admin'!$B$2,IF($B$2='Paramètres - Admin'!$B$3,TEXT(E20*60,"# 0")&amp;" " &amp; 'Paramètres - Admin'!$B$3,IF($B$2='Paramètres - Admin'!$B$4,TEXT(E20,"# 0,00")&amp;" " &amp; 'Paramètres - Admin'!$B$4,IF($B$2='Paramètres - Admin'!$B$5,TEXT(E20/24,"# 0,00")&amp;" " &amp; 'Paramètres - Admin'!$B$5,IF($B$2='Paramètres - Admin'!$B$6,TEXT((E20/24)/30,"# 0,00")&amp;" " &amp; 'Paramètres - Admin'!$B$6,IF(E20/24&gt;=1,INT(E20/24)&amp;" " &amp;  'Paramètres - Admin'!$D$4 &amp; " " &amp; HOUR(E20/24-INT(E20/24))&amp;" " &amp;  'Paramètres - Admin'!$D$3 &amp; " " &amp; MINUTE(E20/24-INT(E20/24))&amp;" " &amp;  'Paramètres - Admin'!$D$2,HOUR(E20/24-INT(E20/24))&amp;" " &amp;  'Paramètres - Admin'!$D$3 &amp; " " &amp; MINUTE(E20/24-INT(E20/24))&amp;" " &amp;  'Paramètres - Admin'!$D$2))))))</f>
        <v>0,00 jours</v>
      </c>
      <c r="G20" s="87" t="s">
        <v>188</v>
      </c>
      <c r="H20" s="91">
        <f>'À Faire - Détails'!H199</f>
        <v>0</v>
      </c>
      <c r="I20" s="92">
        <f>'À Faire - Détails'!I199</f>
        <v>0</v>
      </c>
      <c r="J20" s="386">
        <f>'À Faire - Détails'!H208</f>
        <v>0</v>
      </c>
      <c r="K20" s="326">
        <f>'À Faire - Détails'!I208</f>
        <v>0</v>
      </c>
      <c r="L20" s="564" t="str">
        <f>IF($B$2='Paramètres - Admin'!$B$2,TEXT(K20*60*60,"# 0")&amp;" " &amp; 'Paramètres - Admin'!$B$2,IF($B$2='Paramètres - Admin'!$B$3,TEXT(K20*60,"# 0")&amp;" " &amp; 'Paramètres - Admin'!$B$3,IF($B$2='Paramètres - Admin'!$B$4,TEXT(K20,"# 0,00")&amp;" " &amp; 'Paramètres - Admin'!$B$4,IF($B$2='Paramètres - Admin'!$B$5,TEXT(K20/24,"# 0,00")&amp;" " &amp; 'Paramètres - Admin'!$B$5,IF($B$2='Paramètres - Admin'!$B$6,TEXT((K20/24)/30,"# 0,00")&amp;" " &amp; 'Paramètres - Admin'!$B$6,IF(K20/24&gt;=1,INT(K20/24)&amp;" " &amp;  'Paramètres - Admin'!$D$4 &amp; " " &amp; HOUR(K20/24-INT(K20/24))&amp;" " &amp;  'Paramètres - Admin'!$D$3 &amp; " " &amp; MINUTE(K20/24-INT(K20/24))&amp;" " &amp;  'Paramètres - Admin'!$D$2,HOUR(K20/24-INT(K20/24))&amp;" " &amp;  'Paramètres - Admin'!$D$3 &amp; " " &amp; MINUTE(K20/24-INT(K20/24))&amp;" " &amp;  'Paramètres - Admin'!$D$2))))))</f>
        <v>0,00 jours</v>
      </c>
      <c r="M20" s="119" t="s">
        <v>193</v>
      </c>
      <c r="N20" s="120">
        <f>'À Faire - Détails'!Q164</f>
        <v>0</v>
      </c>
      <c r="O20" s="92">
        <f>'À Faire - Détails'!R164</f>
        <v>0</v>
      </c>
      <c r="P20" s="386">
        <f>'À Faire - Détails'!Q169</f>
        <v>0</v>
      </c>
      <c r="Q20" s="326">
        <f>'À Faire - Détails'!R169</f>
        <v>0</v>
      </c>
      <c r="R20" s="85" t="str">
        <f>IF($B$2='Paramètres - Admin'!$B$2,TEXT(Q20*60*60,"# 0")&amp;" " &amp; 'Paramètres - Admin'!$B$2,IF($B$2='Paramètres - Admin'!$B$3,TEXT(Q20*60,"# 0")&amp;" " &amp; 'Paramètres - Admin'!$B$3,IF($B$2='Paramètres - Admin'!$B$4,TEXT(Q20,"# 0,00")&amp;" " &amp; 'Paramètres - Admin'!$B$4,IF($B$2='Paramètres - Admin'!$B$5,TEXT(Q20/24,"# 0,00")&amp;" " &amp; 'Paramètres - Admin'!$B$5,IF($B$2='Paramètres - Admin'!$B$6,TEXT((Q20/24)/30,"# 0,00")&amp;" " &amp; 'Paramètres - Admin'!$B$6,IF(Q20/24&gt;=1,INT(Q20/24)&amp;" " &amp;  'Paramètres - Admin'!$D$4 &amp; " " &amp; HOUR(Q20/24-INT(Q20/24))&amp;" " &amp;  'Paramètres - Admin'!$D$3 &amp; " " &amp; MINUTE(Q20/24-INT(Q20/24))&amp;" " &amp;  'Paramètres - Admin'!$D$2,HOUR(Q20/24-INT(Q20/24))&amp;" " &amp;  'Paramètres - Admin'!$D$3 &amp; " " &amp; MINUTE(Q20/24-INT(Q20/24))&amp;" " &amp;  'Paramètres - Admin'!$D$2))))))</f>
        <v>0,00 jours</v>
      </c>
      <c r="S20" s="228" t="s">
        <v>31</v>
      </c>
      <c r="T20" s="124">
        <f>SUM(T17:T19)</f>
        <v>0</v>
      </c>
      <c r="U20" s="103">
        <f>SUM(U17:U19)</f>
        <v>0</v>
      </c>
      <c r="V20" s="123">
        <f>SUM(V17:V19)</f>
        <v>0</v>
      </c>
      <c r="W20" s="328">
        <f>SUM(W17:W19)</f>
        <v>0</v>
      </c>
      <c r="X20" s="105" t="str">
        <f>IF($B$2='Paramètres - Admin'!$B$2,TEXT(W20*60*60,"# 0")&amp;" " &amp; 'Paramètres - Admin'!$B$2,IF($B$2='Paramètres - Admin'!$B$3,TEXT(W20*60,"# 0")&amp;" " &amp; 'Paramètres - Admin'!$B$3,IF($B$2='Paramètres - Admin'!$B$4,TEXT(W20,"# 0,00")&amp;" " &amp; 'Paramètres - Admin'!$B$4,IF($B$2='Paramètres - Admin'!$B$5,TEXT(W20/24,"# 0,00")&amp;" " &amp; 'Paramètres - Admin'!$B$5,IF($B$2='Paramètres - Admin'!$B$6,TEXT((W20/24)/30,"# 0,00")&amp;" " &amp; 'Paramètres - Admin'!$B$6,IF(W20/24&gt;=1,INT(W20/24)&amp;" " &amp;  'Paramètres - Admin'!$D$4 &amp; " " &amp; HOUR(W20/24-INT(W20/24))&amp;" " &amp;  'Paramètres - Admin'!$D$3 &amp; " " &amp; MINUTE(W20/24-INT(W20/24))&amp;" " &amp;  'Paramètres - Admin'!$D$2,HOUR(W20/24-INT(W20/24))&amp;" " &amp;  'Paramètres - Admin'!$D$3 &amp; " " &amp; MINUTE(W20/24-INT(W20/24))&amp;" " &amp;  'Paramètres - Admin'!$D$2))))))</f>
        <v>0,00 jours</v>
      </c>
      <c r="Y20" s="704"/>
    </row>
    <row r="21" spans="1:25" s="129" customFormat="1" ht="19.5" customHeight="1" thickBot="1" x14ac:dyDescent="0.3">
      <c r="A21" s="87" t="s">
        <v>202</v>
      </c>
      <c r="B21" s="91">
        <f>'À Faire - Détails'!Z68</f>
        <v>0</v>
      </c>
      <c r="C21" s="92">
        <f>'À Faire - Détails'!AA68</f>
        <v>0</v>
      </c>
      <c r="D21" s="517">
        <f>'À Faire - Détails'!Z78</f>
        <v>0</v>
      </c>
      <c r="E21" s="326">
        <f>'À Faire - Détails'!AA78</f>
        <v>0</v>
      </c>
      <c r="F21" s="85" t="str">
        <f>IF($B$2='Paramètres - Admin'!$B$2,TEXT(E21*60*60,"# 0")&amp;" " &amp; 'Paramètres - Admin'!$B$2,IF($B$2='Paramètres - Admin'!$B$3,TEXT(E21*60,"# 0")&amp;" " &amp; 'Paramètres - Admin'!$B$3,IF($B$2='Paramètres - Admin'!$B$4,TEXT(E21,"# 0,00")&amp;" " &amp; 'Paramètres - Admin'!$B$4,IF($B$2='Paramètres - Admin'!$B$5,TEXT(E21/24,"# 0,00")&amp;" " &amp; 'Paramètres - Admin'!$B$5,IF($B$2='Paramètres - Admin'!$B$6,TEXT((E21/24)/30,"# 0,00")&amp;" " &amp; 'Paramètres - Admin'!$B$6,IF(E21/24&gt;=1,INT(E21/24)&amp;" " &amp;  'Paramètres - Admin'!$D$4 &amp; " " &amp; HOUR(E21/24-INT(E21/24))&amp;" " &amp;  'Paramètres - Admin'!$D$3 &amp; " " &amp; MINUTE(E21/24-INT(E21/24))&amp;" " &amp;  'Paramètres - Admin'!$D$2,HOUR(E21/24-INT(E21/24))&amp;" " &amp;  'Paramètres - Admin'!$D$3 &amp; " " &amp; MINUTE(E21/24-INT(E21/24))&amp;" " &amp;  'Paramètres - Admin'!$D$2))))))</f>
        <v>0,00 jours</v>
      </c>
      <c r="G21" s="87" t="s">
        <v>187</v>
      </c>
      <c r="H21" s="91">
        <f>'À Faire - Détails'!Z185</f>
        <v>0</v>
      </c>
      <c r="I21" s="92">
        <f>'À Faire - Détails'!AA185</f>
        <v>0</v>
      </c>
      <c r="J21" s="386">
        <f>'À Faire - Détails'!Z193</f>
        <v>0</v>
      </c>
      <c r="K21" s="326">
        <f>'À Faire - Détails'!AA193</f>
        <v>0</v>
      </c>
      <c r="L21" s="564" t="str">
        <f>IF($B$2='Paramètres - Admin'!$B$2,TEXT(K21*60*60,"# 0")&amp;" " &amp; 'Paramètres - Admin'!$B$2,IF($B$2='Paramètres - Admin'!$B$3,TEXT(K21*60,"# 0")&amp;" " &amp; 'Paramètres - Admin'!$B$3,IF($B$2='Paramètres - Admin'!$B$4,TEXT(K21,"# 0,00")&amp;" " &amp; 'Paramètres - Admin'!$B$4,IF($B$2='Paramètres - Admin'!$B$5,TEXT(K21/24,"# 0,00")&amp;" " &amp; 'Paramètres - Admin'!$B$5,IF($B$2='Paramètres - Admin'!$B$6,TEXT((K21/24)/30,"# 0,00")&amp;" " &amp; 'Paramètres - Admin'!$B$6,IF(K21/24&gt;=1,INT(K21/24)&amp;" " &amp;  'Paramètres - Admin'!$D$4 &amp; " " &amp; HOUR(K21/24-INT(K21/24))&amp;" " &amp;  'Paramètres - Admin'!$D$3 &amp; " " &amp; MINUTE(K21/24-INT(K21/24))&amp;" " &amp;  'Paramètres - Admin'!$D$2,HOUR(K21/24-INT(K21/24))&amp;" " &amp;  'Paramètres - Admin'!$D$3 &amp; " " &amp; MINUTE(K21/24-INT(K21/24))&amp;" " &amp;  'Paramètres - Admin'!$D$2))))))</f>
        <v>0,00 jours</v>
      </c>
      <c r="M21" s="154" t="s">
        <v>194</v>
      </c>
      <c r="N21" s="155">
        <f>'À Faire - Détails'!Z154</f>
        <v>0</v>
      </c>
      <c r="O21" s="109">
        <f>'À Faire - Détails'!AA154</f>
        <v>0</v>
      </c>
      <c r="P21" s="392">
        <f>'À Faire - Détails'!Z161</f>
        <v>0</v>
      </c>
      <c r="Q21" s="327">
        <f>'À Faire - Détails'!AA161</f>
        <v>0</v>
      </c>
      <c r="R21" s="153" t="str">
        <f>IF($B$2='Paramètres - Admin'!$B$2,TEXT(Q21*60*60,"# 0")&amp;" " &amp; 'Paramètres - Admin'!$B$2,IF($B$2='Paramètres - Admin'!$B$3,TEXT(Q21*60,"# 0")&amp;" " &amp; 'Paramètres - Admin'!$B$3,IF($B$2='Paramètres - Admin'!$B$4,TEXT(Q21,"# 0,00")&amp;" " &amp; 'Paramètres - Admin'!$B$4,IF($B$2='Paramètres - Admin'!$B$5,TEXT(Q21/24,"# 0,00")&amp;" " &amp; 'Paramètres - Admin'!$B$5,IF($B$2='Paramètres - Admin'!$B$6,TEXT((Q21/24)/30,"# 0,00")&amp;" " &amp; 'Paramètres - Admin'!$B$6,IF(Q21/24&gt;=1,INT(Q21/24)&amp;" " &amp;  'Paramètres - Admin'!$D$4 &amp; " " &amp; HOUR(Q21/24-INT(Q21/24))&amp;" " &amp;  'Paramètres - Admin'!$D$3 &amp; " " &amp; MINUTE(Q21/24-INT(Q21/24))&amp;" " &amp;  'Paramètres - Admin'!$D$2,HOUR(Q21/24-INT(Q21/24))&amp;" " &amp;  'Paramètres - Admin'!$D$3 &amp; " " &amp; MINUTE(Q21/24-INT(Q21/24))&amp;" " &amp;  'Paramètres - Admin'!$D$2))))))</f>
        <v>0,00 jours</v>
      </c>
      <c r="S21" s="1093" t="s">
        <v>178</v>
      </c>
      <c r="T21" s="1094"/>
      <c r="U21" s="1094"/>
      <c r="V21" s="1094"/>
      <c r="W21" s="1094"/>
      <c r="X21" s="1095"/>
      <c r="Y21" s="704"/>
    </row>
    <row r="22" spans="1:25" s="129" customFormat="1" ht="15" customHeight="1" thickBot="1" x14ac:dyDescent="0.3">
      <c r="A22" s="87" t="s">
        <v>454</v>
      </c>
      <c r="B22" s="91">
        <f>'À Faire - Détails'!Q85</f>
        <v>0</v>
      </c>
      <c r="C22" s="92">
        <f>'À Faire - Détails'!R85</f>
        <v>0</v>
      </c>
      <c r="D22" s="517">
        <f>'À Faire - Détails'!Q96</f>
        <v>0</v>
      </c>
      <c r="E22" s="326">
        <f>'À Faire - Détails'!R96</f>
        <v>0</v>
      </c>
      <c r="F22" s="85" t="str">
        <f>IF($B$2='Paramètres - Admin'!$B$2,TEXT(E22*60*60,"# 0")&amp;" " &amp; 'Paramètres - Admin'!$B$2,IF($B$2='Paramètres - Admin'!$B$3,TEXT(E22*60,"# 0")&amp;" " &amp; 'Paramètres - Admin'!$B$3,IF($B$2='Paramètres - Admin'!$B$4,TEXT(E22,"# 0,00")&amp;" " &amp; 'Paramètres - Admin'!$B$4,IF($B$2='Paramètres - Admin'!$B$5,TEXT(E22/24,"# 0,00")&amp;" " &amp; 'Paramètres - Admin'!$B$5,IF($B$2='Paramètres - Admin'!$B$6,TEXT((E22/24)/30,"# 0,00")&amp;" " &amp; 'Paramètres - Admin'!$B$6,IF(E22/24&gt;=1,INT(E22/24)&amp;" " &amp;  'Paramètres - Admin'!$D$4 &amp; " " &amp; HOUR(E22/24-INT(E22/24))&amp;" " &amp;  'Paramètres - Admin'!$D$3 &amp; " " &amp; MINUTE(E22/24-INT(E22/24))&amp;" " &amp;  'Paramètres - Admin'!$D$2,HOUR(E22/24-INT(E22/24))&amp;" " &amp;  'Paramètres - Admin'!$D$3 &amp; " " &amp; MINUTE(E22/24-INT(E22/24))&amp;" " &amp;  'Paramètres - Admin'!$D$2))))))</f>
        <v>0,00 jours</v>
      </c>
      <c r="G22" s="87" t="s">
        <v>186</v>
      </c>
      <c r="H22" s="91">
        <f>'À Faire - Détails'!Q177</f>
        <v>0</v>
      </c>
      <c r="I22" s="92">
        <f>'À Faire - Détails'!R177</f>
        <v>0</v>
      </c>
      <c r="J22" s="386">
        <f>'À Faire - Détails'!Q185</f>
        <v>0</v>
      </c>
      <c r="K22" s="326">
        <f>'À Faire - Détails'!R185</f>
        <v>0</v>
      </c>
      <c r="L22" s="564" t="str">
        <f>IF($B$2='Paramètres - Admin'!$B$2,TEXT(K22*60*60,"# 0")&amp;" " &amp; 'Paramètres - Admin'!$B$2,IF($B$2='Paramètres - Admin'!$B$3,TEXT(K22*60,"# 0")&amp;" " &amp; 'Paramètres - Admin'!$B$3,IF($B$2='Paramètres - Admin'!$B$4,TEXT(K22,"# 0,00")&amp;" " &amp; 'Paramètres - Admin'!$B$4,IF($B$2='Paramètres - Admin'!$B$5,TEXT(K22/24,"# 0,00")&amp;" " &amp; 'Paramètres - Admin'!$B$5,IF($B$2='Paramètres - Admin'!$B$6,TEXT((K22/24)/30,"# 0,00")&amp;" " &amp; 'Paramètres - Admin'!$B$6,IF(K22/24&gt;=1,INT(K22/24)&amp;" " &amp;  'Paramètres - Admin'!$D$4 &amp; " " &amp; HOUR(K22/24-INT(K22/24))&amp;" " &amp;  'Paramètres - Admin'!$D$3 &amp; " " &amp; MINUTE(K22/24-INT(K22/24))&amp;" " &amp;  'Paramètres - Admin'!$D$2,HOUR(K22/24-INT(K22/24))&amp;" " &amp;  'Paramètres - Admin'!$D$3 &amp; " " &amp; MINUTE(K22/24-INT(K22/24))&amp;" " &amp;  'Paramètres - Admin'!$D$2))))))</f>
        <v>0,00 jours</v>
      </c>
      <c r="M22" s="228" t="s">
        <v>31</v>
      </c>
      <c r="N22" s="124">
        <f>SUM(N17:N21)</f>
        <v>0</v>
      </c>
      <c r="O22" s="103">
        <f>SUM(O17:O21)</f>
        <v>0</v>
      </c>
      <c r="P22" s="394">
        <f>SUM(P17:P21)</f>
        <v>0</v>
      </c>
      <c r="Q22" s="328">
        <f>SUM(Q17:Q21)</f>
        <v>0</v>
      </c>
      <c r="R22" s="105" t="str">
        <f>IF($B$2='Paramètres - Admin'!$B$2,TEXT(Q22*60*60,"# 0")&amp;" " &amp; 'Paramètres - Admin'!$B$2,IF($B$2='Paramètres - Admin'!$B$3,TEXT(Q22*60,"# 0")&amp;" " &amp; 'Paramètres - Admin'!$B$3,IF($B$2='Paramètres - Admin'!$B$4,TEXT(Q22,"# 0,00")&amp;" " &amp; 'Paramètres - Admin'!$B$4,IF($B$2='Paramètres - Admin'!$B$5,TEXT(Q22/24,"# 0,00")&amp;" " &amp; 'Paramètres - Admin'!$B$5,IF($B$2='Paramètres - Admin'!$B$6,TEXT((Q22/24)/30,"# 0,00")&amp;" " &amp; 'Paramètres - Admin'!$B$6,IF(Q22/24&gt;=1,INT(Q22/24)&amp;" " &amp;  'Paramètres - Admin'!$D$4 &amp; " " &amp; HOUR(Q22/24-INT(Q22/24))&amp;" " &amp;  'Paramètres - Admin'!$D$3 &amp; " " &amp; MINUTE(Q22/24-INT(Q22/24))&amp;" " &amp;  'Paramètres - Admin'!$D$2,HOUR(Q22/24-INT(Q22/24))&amp;" " &amp;  'Paramètres - Admin'!$D$3 &amp; " " &amp; MINUTE(Q22/24-INT(Q22/24))&amp;" " &amp;  'Paramètres - Admin'!$D$2))))))</f>
        <v>0,00 jours</v>
      </c>
      <c r="S22" s="968" t="s">
        <v>178</v>
      </c>
      <c r="T22" s="225" t="s">
        <v>361</v>
      </c>
      <c r="U22" s="226" t="s">
        <v>70</v>
      </c>
      <c r="V22" s="226" t="s">
        <v>232</v>
      </c>
      <c r="W22" s="226" t="s">
        <v>233</v>
      </c>
      <c r="X22" s="227" t="s">
        <v>233</v>
      </c>
    </row>
    <row r="23" spans="1:25" s="129" customFormat="1" ht="15" customHeight="1" thickBot="1" x14ac:dyDescent="0.3">
      <c r="A23" s="111" t="s">
        <v>643</v>
      </c>
      <c r="B23" s="518">
        <f>'À Faire - Détails'!Z80</f>
        <v>0</v>
      </c>
      <c r="C23" s="109">
        <f>'À Faire - Détails'!AA80</f>
        <v>0</v>
      </c>
      <c r="D23" s="98">
        <f>'À Faire - Détails'!Z88</f>
        <v>0</v>
      </c>
      <c r="E23" s="327">
        <f>'À Faire - Détails'!AA88</f>
        <v>0</v>
      </c>
      <c r="F23" s="85" t="str">
        <f>IF($B$2='Paramètres - Admin'!$B$2,TEXT(E23*60*60,"# 0")&amp;" " &amp; 'Paramètres - Admin'!$B$2,IF($B$2='Paramètres - Admin'!$B$3,TEXT(E23*60,"# 0")&amp;" " &amp; 'Paramètres - Admin'!$B$3,IF($B$2='Paramètres - Admin'!$B$4,TEXT(E23,"# 0,00")&amp;" " &amp; 'Paramètres - Admin'!$B$4,IF($B$2='Paramètres - Admin'!$B$5,TEXT(E23/24,"# 0,00")&amp;" " &amp; 'Paramètres - Admin'!$B$5,IF($B$2='Paramètres - Admin'!$B$6,TEXT((E23/24)/30,"# 0,00")&amp;" " &amp; 'Paramètres - Admin'!$B$6,IF(E23/24&gt;=1,INT(E23/24)&amp;" " &amp;  'Paramètres - Admin'!$D$4 &amp; " " &amp; HOUR(E23/24-INT(E23/24))&amp;" " &amp;  'Paramètres - Admin'!$D$3 &amp; " " &amp; MINUTE(E23/24-INT(E23/24))&amp;" " &amp;  'Paramètres - Admin'!$D$2,HOUR(E23/24-INT(E23/24))&amp;" " &amp;  'Paramètres - Admin'!$D$3 &amp; " " &amp; MINUTE(E23/24-INT(E23/24))&amp;" " &amp;  'Paramètres - Admin'!$D$2))))))</f>
        <v>0,00 jours</v>
      </c>
      <c r="G23" s="90" t="s">
        <v>185</v>
      </c>
      <c r="H23" s="91">
        <f>'À Faire - Détails'!Q187</f>
        <v>0</v>
      </c>
      <c r="I23" s="92">
        <f>'À Faire - Détails'!R187</f>
        <v>0</v>
      </c>
      <c r="J23" s="386">
        <f>'À Faire - Détails'!Q195</f>
        <v>0</v>
      </c>
      <c r="K23" s="326">
        <f>'À Faire - Détails'!R195</f>
        <v>0</v>
      </c>
      <c r="L23" s="564" t="str">
        <f>IF($B$2='Paramètres - Admin'!$B$2,TEXT(K23*60*60,"# 0")&amp;" " &amp; 'Paramètres - Admin'!$B$2,IF($B$2='Paramètres - Admin'!$B$3,TEXT(K23*60,"# 0")&amp;" " &amp; 'Paramètres - Admin'!$B$3,IF($B$2='Paramètres - Admin'!$B$4,TEXT(K23,"# 0,00")&amp;" " &amp; 'Paramètres - Admin'!$B$4,IF($B$2='Paramètres - Admin'!$B$5,TEXT(K23/24,"# 0,00")&amp;" " &amp; 'Paramètres - Admin'!$B$5,IF($B$2='Paramètres - Admin'!$B$6,TEXT((K23/24)/30,"# 0,00")&amp;" " &amp; 'Paramètres - Admin'!$B$6,IF(K23/24&gt;=1,INT(K23/24)&amp;" " &amp;  'Paramètres - Admin'!$D$4 &amp; " " &amp; HOUR(K23/24-INT(K23/24))&amp;" " &amp;  'Paramètres - Admin'!$D$3 &amp; " " &amp; MINUTE(K23/24-INT(K23/24))&amp;" " &amp;  'Paramètres - Admin'!$D$2,HOUR(K23/24-INT(K23/24))&amp;" " &amp;  'Paramètres - Admin'!$D$3 &amp; " " &amp; MINUTE(K23/24-INT(K23/24))&amp;" " &amp;  'Paramètres - Admin'!$D$2))))))</f>
        <v>0,00 jours</v>
      </c>
      <c r="M23" s="1093" t="s">
        <v>180</v>
      </c>
      <c r="N23" s="1094"/>
      <c r="O23" s="1094"/>
      <c r="P23" s="1094"/>
      <c r="Q23" s="1094"/>
      <c r="R23" s="1095"/>
      <c r="S23" s="916" t="s">
        <v>196</v>
      </c>
      <c r="T23" s="285">
        <f>'À Faire - Détails'!H251</f>
        <v>0</v>
      </c>
      <c r="U23" s="285">
        <f>'À Faire - Détails'!I251</f>
        <v>0</v>
      </c>
      <c r="V23" s="121">
        <f>'À Faire - Détails'!H293</f>
        <v>0</v>
      </c>
      <c r="W23" s="326">
        <f>'À Faire - Détails'!I293</f>
        <v>0</v>
      </c>
      <c r="X23" s="917" t="str">
        <f>IF($B$2='Paramètres - Admin'!$B$2,TEXT(W23*60*60,"# 0")&amp;" " &amp; 'Paramètres - Admin'!$B$2,IF($B$2='Paramètres - Admin'!$B$3,TEXT(W23*60,"# 0")&amp;" " &amp; 'Paramètres - Admin'!$B$3,IF($B$2='Paramètres - Admin'!$B$4,TEXT(W23,"# 0,00")&amp;" " &amp; 'Paramètres - Admin'!$B$4,IF($B$2='Paramètres - Admin'!$B$5,TEXT(W23/24,"# 0,00")&amp;" " &amp; 'Paramètres - Admin'!$B$5,IF($B$2='Paramètres - Admin'!$B$6,TEXT((W23/24)/30,"# 0,00")&amp;" " &amp; 'Paramètres - Admin'!$B$6,IF(W23/24&gt;=1,INT(W23/24)&amp;" " &amp;  'Paramètres - Admin'!$D$4 &amp; " " &amp; HOUR(W23/24-INT(W23/24))&amp;" " &amp;  'Paramètres - Admin'!$D$3 &amp; " " &amp; MINUTE(W23/24-INT(W23/24))&amp;" " &amp;  'Paramètres - Admin'!$D$2,HOUR(W23/24-INT(W23/24))&amp;" " &amp;  'Paramètres - Admin'!$D$3 &amp; " " &amp; MINUTE(W23/24-INT(W23/24))&amp;" " &amp;  'Paramètres - Admin'!$D$2))))))</f>
        <v>0,00 jours</v>
      </c>
    </row>
    <row r="24" spans="1:25" s="129" customFormat="1" ht="15" customHeight="1" thickBot="1" x14ac:dyDescent="0.3">
      <c r="A24" s="90" t="s">
        <v>201</v>
      </c>
      <c r="B24" s="91">
        <f>'À Faire - Détails'!Q98</f>
        <v>0</v>
      </c>
      <c r="C24" s="92">
        <f>'À Faire - Détails'!R98</f>
        <v>0</v>
      </c>
      <c r="D24" s="517">
        <f>'À Faire - Détails'!Q108</f>
        <v>0</v>
      </c>
      <c r="E24" s="326">
        <f>'À Faire - Détails'!R108</f>
        <v>0</v>
      </c>
      <c r="F24" s="85" t="str">
        <f>IF($B$2='Paramètres - Admin'!$B$2,TEXT(E24*60*60,"# 0")&amp;" " &amp; 'Paramètres - Admin'!$B$2,IF($B$2='Paramètres - Admin'!$B$3,TEXT(E24*60,"# 0")&amp;" " &amp; 'Paramètres - Admin'!$B$3,IF($B$2='Paramètres - Admin'!$B$4,TEXT(E24,"# 0,00")&amp;" " &amp; 'Paramètres - Admin'!$B$4,IF($B$2='Paramètres - Admin'!$B$5,TEXT(E24/24,"# 0,00")&amp;" " &amp; 'Paramètres - Admin'!$B$5,IF($B$2='Paramètres - Admin'!$B$6,TEXT((E24/24)/30,"# 0,00")&amp;" " &amp; 'Paramètres - Admin'!$B$6,IF(E24/24&gt;=1,INT(E24/24)&amp;" " &amp;  'Paramètres - Admin'!$D$4 &amp; " " &amp; HOUR(E24/24-INT(E24/24))&amp;" " &amp;  'Paramètres - Admin'!$D$3 &amp; " " &amp; MINUTE(E24/24-INT(E24/24))&amp;" " &amp;  'Paramètres - Admin'!$D$2,HOUR(E24/24-INT(E24/24))&amp;" " &amp;  'Paramètres - Admin'!$D$3 &amp; " " &amp; MINUTE(E24/24-INT(E24/24))&amp;" " &amp;  'Paramètres - Admin'!$D$2))))))</f>
        <v>0,00 jours</v>
      </c>
      <c r="G24" s="90" t="s">
        <v>184</v>
      </c>
      <c r="H24" s="91">
        <f>'À Faire - Détails'!Z177</f>
        <v>0</v>
      </c>
      <c r="I24" s="92">
        <f>'À Faire - Détails'!AA177</f>
        <v>0</v>
      </c>
      <c r="J24" s="386">
        <f>'À Faire - Détails'!Z183</f>
        <v>0</v>
      </c>
      <c r="K24" s="326">
        <f>'À Faire - Détails'!AA183</f>
        <v>0</v>
      </c>
      <c r="L24" s="85" t="str">
        <f>IF($B$2='Paramètres - Admin'!$B$2,TEXT(K24*60*60,"# 0")&amp;" " &amp; 'Paramètres - Admin'!$B$2,IF($B$2='Paramètres - Admin'!$B$3,TEXT(K24*60,"# 0")&amp;" " &amp; 'Paramètres - Admin'!$B$3,IF($B$2='Paramètres - Admin'!$B$4,TEXT(K24,"# 0,00")&amp;" " &amp; 'Paramètres - Admin'!$B$4,IF($B$2='Paramètres - Admin'!$B$5,TEXT(K24/24,"# 0,00")&amp;" " &amp; 'Paramètres - Admin'!$B$5,IF($B$2='Paramètres - Admin'!$B$6,TEXT((K24/24)/30,"# 0,00")&amp;" " &amp; 'Paramètres - Admin'!$B$6,IF(K24/24&gt;=1,INT(K24/24)&amp;" " &amp;  'Paramètres - Admin'!$D$4 &amp; " " &amp; HOUR(K24/24-INT(K24/24))&amp;" " &amp;  'Paramètres - Admin'!$D$3 &amp; " " &amp; MINUTE(K24/24-INT(K24/24))&amp;" " &amp;  'Paramètres - Admin'!$D$2,HOUR(K24/24-INT(K24/24))&amp;" " &amp;  'Paramètres - Admin'!$D$3 &amp; " " &amp; MINUTE(K24/24-INT(K24/24))&amp;" " &amp;  'Paramètres - Admin'!$D$2))))))</f>
        <v>0,00 jours</v>
      </c>
      <c r="M24" s="228" t="s">
        <v>231</v>
      </c>
      <c r="N24" s="274" t="s">
        <v>361</v>
      </c>
      <c r="O24" s="532" t="s">
        <v>70</v>
      </c>
      <c r="P24" s="532" t="s">
        <v>232</v>
      </c>
      <c r="Q24" s="532" t="s">
        <v>233</v>
      </c>
      <c r="R24" s="276" t="s">
        <v>233</v>
      </c>
      <c r="S24" s="916" t="s">
        <v>182</v>
      </c>
      <c r="T24" s="285">
        <f>'À Faire - Détails'!Q251</f>
        <v>0</v>
      </c>
      <c r="U24" s="285">
        <f>'À Faire - Détails'!R251</f>
        <v>0</v>
      </c>
      <c r="V24" s="121">
        <f>'À Faire - Détails'!Q293</f>
        <v>0</v>
      </c>
      <c r="W24" s="326">
        <f>'À Faire - Détails'!R293</f>
        <v>0</v>
      </c>
      <c r="X24" s="917" t="str">
        <f>IF($B$2='Paramètres - Admin'!$B$2,TEXT(W24*60*60,"# 0")&amp;" " &amp; 'Paramètres - Admin'!$B$2,IF($B$2='Paramètres - Admin'!$B$3,TEXT(W24*60,"# 0")&amp;" " &amp; 'Paramètres - Admin'!$B$3,IF($B$2='Paramètres - Admin'!$B$4,TEXT(W24,"# 0,00")&amp;" " &amp; 'Paramètres - Admin'!$B$4,IF($B$2='Paramètres - Admin'!$B$5,TEXT(W24/24,"# 0,00")&amp;" " &amp; 'Paramètres - Admin'!$B$5,IF($B$2='Paramètres - Admin'!$B$6,TEXT((W24/24)/30,"# 0,00")&amp;" " &amp; 'Paramètres - Admin'!$B$6,IF(W24/24&gt;=1,INT(W24/24)&amp;" " &amp;  'Paramètres - Admin'!$D$4 &amp; " " &amp; HOUR(W24/24-INT(W24/24))&amp;" " &amp;  'Paramètres - Admin'!$D$3 &amp; " " &amp; MINUTE(W24/24-INT(W24/24))&amp;" " &amp;  'Paramètres - Admin'!$D$2,HOUR(W24/24-INT(W24/24))&amp;" " &amp;  'Paramètres - Admin'!$D$3 &amp; " " &amp; MINUTE(W24/24-INT(W24/24))&amp;" " &amp;  'Paramètres - Admin'!$D$2))))))</f>
        <v>0,00 jours</v>
      </c>
    </row>
    <row r="25" spans="1:25" s="129" customFormat="1" ht="15" customHeight="1" x14ac:dyDescent="0.25">
      <c r="A25" s="90" t="s">
        <v>200</v>
      </c>
      <c r="B25" s="91">
        <f>'À Faire - Détails'!Z90</f>
        <v>0</v>
      </c>
      <c r="C25" s="92">
        <f>'À Faire - Détails'!AA90</f>
        <v>0</v>
      </c>
      <c r="D25" s="517">
        <f>'À Faire - Détails'!Z96</f>
        <v>0</v>
      </c>
      <c r="E25" s="326">
        <f>'À Faire - Détails'!AA96</f>
        <v>0</v>
      </c>
      <c r="F25" s="85" t="str">
        <f>IF($B$2='Paramètres - Admin'!$B$2,TEXT(E25*60*60,"# 0")&amp;" " &amp; 'Paramètres - Admin'!$B$2,IF($B$2='Paramètres - Admin'!$B$3,TEXT(E25*60,"# 0")&amp;" " &amp; 'Paramètres - Admin'!$B$3,IF($B$2='Paramètres - Admin'!$B$4,TEXT(E25,"# 0,00")&amp;" " &amp; 'Paramètres - Admin'!$B$4,IF($B$2='Paramètres - Admin'!$B$5,TEXT(E25/24,"# 0,00")&amp;" " &amp; 'Paramètres - Admin'!$B$5,IF($B$2='Paramètres - Admin'!$B$6,TEXT((E25/24)/30,"# 0,00")&amp;" " &amp; 'Paramètres - Admin'!$B$6,IF(E25/24&gt;=1,INT(E25/24)&amp;" " &amp;  'Paramètres - Admin'!$D$4 &amp; " " &amp; HOUR(E25/24-INT(E25/24))&amp;" " &amp;  'Paramètres - Admin'!$D$3 &amp; " " &amp; MINUTE(E25/24-INT(E25/24))&amp;" " &amp;  'Paramètres - Admin'!$D$2,HOUR(E25/24-INT(E25/24))&amp;" " &amp;  'Paramètres - Admin'!$D$3 &amp; " " &amp; MINUTE(E25/24-INT(E25/24))&amp;" " &amp;  'Paramètres - Admin'!$D$2))))))</f>
        <v>0,00 jours</v>
      </c>
      <c r="G25" s="90" t="s">
        <v>57</v>
      </c>
      <c r="H25" s="91">
        <f>'À Faire - Détails'!Z195</f>
        <v>0</v>
      </c>
      <c r="I25" s="92">
        <f>'À Faire - Détails'!AA195</f>
        <v>0</v>
      </c>
      <c r="J25" s="386">
        <f>'À Faire - Détails'!Z202</f>
        <v>0</v>
      </c>
      <c r="K25" s="326">
        <f>'À Faire - Détails'!AA202</f>
        <v>0</v>
      </c>
      <c r="L25" s="85" t="str">
        <f>IF($B$2='Paramètres - Admin'!$B$2,TEXT(K25*60*60,"# 0")&amp;" " &amp; 'Paramètres - Admin'!$B$2,IF($B$2='Paramètres - Admin'!$B$3,TEXT(K25*60,"# 0")&amp;" " &amp; 'Paramètres - Admin'!$B$3,IF($B$2='Paramètres - Admin'!$B$4,TEXT(K25,"# 0,00")&amp;" " &amp; 'Paramètres - Admin'!$B$4,IF($B$2='Paramètres - Admin'!$B$5,TEXT(K25/24,"# 0,00")&amp;" " &amp; 'Paramètres - Admin'!$B$5,IF($B$2='Paramètres - Admin'!$B$6,TEXT((K25/24)/30,"# 0,00")&amp;" " &amp; 'Paramètres - Admin'!$B$6,IF(K25/24&gt;=1,INT(K25/24)&amp;" " &amp;  'Paramètres - Admin'!$D$4 &amp; " " &amp; HOUR(K25/24-INT(K25/24))&amp;" " &amp;  'Paramètres - Admin'!$D$3 &amp; " " &amp; MINUTE(K25/24-INT(K25/24))&amp;" " &amp;  'Paramètres - Admin'!$D$2,HOUR(K25/24-INT(K25/24))&amp;" " &amp;  'Paramètres - Admin'!$D$3 &amp; " " &amp; MINUTE(K25/24-INT(K25/24))&amp;" " &amp;  'Paramètres - Admin'!$D$2))))))</f>
        <v>0,00 jours</v>
      </c>
      <c r="M25" s="341" t="s">
        <v>198</v>
      </c>
      <c r="N25" s="83">
        <f>'À Faire - Détails'!Q137</f>
        <v>0</v>
      </c>
      <c r="O25" s="282">
        <f>'À Faire - Détails'!R137</f>
        <v>0</v>
      </c>
      <c r="P25" s="529">
        <f>'À Faire - Détails'!Q145</f>
        <v>0</v>
      </c>
      <c r="Q25" s="325">
        <f>'À Faire - Détails'!R145</f>
        <v>0</v>
      </c>
      <c r="R25" s="564" t="str">
        <f>IF($B$2='Paramètres - Admin'!$B$2,TEXT(Q25*60*60,"# 0")&amp;" " &amp; 'Paramètres - Admin'!$B$2,IF($B$2='Paramètres - Admin'!$B$3,TEXT(Q25*60,"# 0")&amp;" " &amp; 'Paramètres - Admin'!$B$3,IF($B$2='Paramètres - Admin'!$B$4,TEXT(Q25,"# 0,00")&amp;" " &amp; 'Paramètres - Admin'!$B$4,IF($B$2='Paramètres - Admin'!$B$5,TEXT(Q25/24,"# 0,00")&amp;" " &amp; 'Paramètres - Admin'!$B$5,IF($B$2='Paramètres - Admin'!$B$6,TEXT((Q25/24)/30,"# 0,00")&amp;" " &amp; 'Paramètres - Admin'!$B$6,IF(Q25/24&gt;=1,INT(Q25/24)&amp;" " &amp;  'Paramètres - Admin'!$D$4 &amp; " " &amp; HOUR(Q25/24-INT(Q25/24))&amp;" " &amp;  'Paramètres - Admin'!$D$3 &amp; " " &amp; MINUTE(Q25/24-INT(Q25/24))&amp;" " &amp;  'Paramètres - Admin'!$D$2,HOUR(Q25/24-INT(Q25/24))&amp;" " &amp;  'Paramètres - Admin'!$D$3 &amp; " " &amp; MINUTE(Q25/24-INT(Q25/24))&amp;" " &amp;  'Paramètres - Admin'!$D$2))))))</f>
        <v>0,00 jours</v>
      </c>
      <c r="S25" s="916" t="s">
        <v>738</v>
      </c>
      <c r="T25" s="285">
        <f>'À Faire - Détails'!Z251</f>
        <v>0</v>
      </c>
      <c r="U25" s="285">
        <f>'À Faire - Détails'!AA251</f>
        <v>0</v>
      </c>
      <c r="V25" s="800">
        <f>'À Faire - Détails'!Z293</f>
        <v>0</v>
      </c>
      <c r="W25" s="326">
        <f>'À Faire - Détails'!AA293</f>
        <v>0</v>
      </c>
      <c r="X25" s="917" t="str">
        <f>IF($B$2='Paramètres - Admin'!$B$2,TEXT(W25*60*60,"# 0")&amp;" " &amp; 'Paramètres - Admin'!$B$2,IF($B$2='Paramètres - Admin'!$B$3,TEXT(W25*60,"# 0")&amp;" " &amp; 'Paramètres - Admin'!$B$3,IF($B$2='Paramètres - Admin'!$B$4,TEXT(W25,"# 0,00")&amp;" " &amp; 'Paramètres - Admin'!$B$4,IF($B$2='Paramètres - Admin'!$B$5,TEXT(W25/24,"# 0,00")&amp;" " &amp; 'Paramètres - Admin'!$B$5,IF($B$2='Paramètres - Admin'!$B$6,TEXT((W25/24)/30,"# 0,00")&amp;" " &amp; 'Paramètres - Admin'!$B$6,IF(W25/24&gt;=1,INT(W25/24)&amp;" " &amp;  'Paramètres - Admin'!$D$4 &amp; " " &amp; HOUR(W25/24-INT(W25/24))&amp;" " &amp;  'Paramètres - Admin'!$D$3 &amp; " " &amp; MINUTE(W25/24-INT(W25/24))&amp;" " &amp;  'Paramètres - Admin'!$D$2,HOUR(W25/24-INT(W25/24))&amp;" " &amp;  'Paramètres - Admin'!$D$3 &amp; " " &amp; MINUTE(W25/24-INT(W25/24))&amp;" " &amp;  'Paramètres - Admin'!$D$2))))))</f>
        <v>0,00 jours</v>
      </c>
    </row>
    <row r="26" spans="1:25" s="129" customFormat="1" ht="15" customHeight="1" thickBot="1" x14ac:dyDescent="0.3">
      <c r="A26" s="90" t="s">
        <v>199</v>
      </c>
      <c r="B26" s="91">
        <f>'À Faire - Détails'!Z98</f>
        <v>0</v>
      </c>
      <c r="C26" s="92">
        <f>'À Faire - Détails'!AA98</f>
        <v>0</v>
      </c>
      <c r="D26" s="517">
        <f>'À Faire - Détails'!Z104</f>
        <v>0</v>
      </c>
      <c r="E26" s="326">
        <f>'À Faire - Détails'!AA104</f>
        <v>0</v>
      </c>
      <c r="F26" s="85" t="str">
        <f>IF($B$2='Paramètres - Admin'!$B$2,TEXT(E26*60*60,"# 0")&amp;" " &amp; 'Paramètres - Admin'!$B$2,IF($B$2='Paramètres - Admin'!$B$3,TEXT(E26*60,"# 0")&amp;" " &amp; 'Paramètres - Admin'!$B$3,IF($B$2='Paramètres - Admin'!$B$4,TEXT(E26,"# 0,00")&amp;" " &amp; 'Paramètres - Admin'!$B$4,IF($B$2='Paramètres - Admin'!$B$5,TEXT(E26/24,"# 0,00")&amp;" " &amp; 'Paramètres - Admin'!$B$5,IF($B$2='Paramètres - Admin'!$B$6,TEXT((E26/24)/30,"# 0,00")&amp;" " &amp; 'Paramètres - Admin'!$B$6,IF(E26/24&gt;=1,INT(E26/24)&amp;" " &amp;  'Paramètres - Admin'!$D$4 &amp; " " &amp; HOUR(E26/24-INT(E26/24))&amp;" " &amp;  'Paramètres - Admin'!$D$3 &amp; " " &amp; MINUTE(E26/24-INT(E26/24))&amp;" " &amp;  'Paramètres - Admin'!$D$2,HOUR(E26/24-INT(E26/24))&amp;" " &amp;  'Paramètres - Admin'!$D$3 &amp; " " &amp; MINUTE(E26/24-INT(E26/24))&amp;" " &amp;  'Paramètres - Admin'!$D$2))))))</f>
        <v>0,00 jours</v>
      </c>
      <c r="G26" s="111" t="s">
        <v>58</v>
      </c>
      <c r="H26" s="518">
        <f>'À Faire - Détails'!Z204</f>
        <v>0</v>
      </c>
      <c r="I26" s="109">
        <f>'À Faire - Détails'!AA204</f>
        <v>0</v>
      </c>
      <c r="J26" s="392">
        <f>'À Faire - Détails'!Z211</f>
        <v>0</v>
      </c>
      <c r="K26" s="327">
        <f>'À Faire - Détails'!AA211</f>
        <v>0</v>
      </c>
      <c r="L26" s="153" t="str">
        <f>IF($B$2='Paramètres - Admin'!$B$2,TEXT(K26*60*60,"# 0")&amp;" " &amp; 'Paramètres - Admin'!$B$2,IF($B$2='Paramètres - Admin'!$B$3,TEXT(K26*60,"# 0")&amp;" " &amp; 'Paramètres - Admin'!$B$3,IF($B$2='Paramètres - Admin'!$B$4,TEXT(K26,"# 0,00")&amp;" " &amp; 'Paramètres - Admin'!$B$4,IF($B$2='Paramètres - Admin'!$B$5,TEXT(K26/24,"# 0,00")&amp;" " &amp; 'Paramètres - Admin'!$B$5,IF($B$2='Paramètres - Admin'!$B$6,TEXT((K26/24)/30,"# 0,00")&amp;" " &amp; 'Paramètres - Admin'!$B$6,IF(K26/24&gt;=1,INT(K26/24)&amp;" " &amp;  'Paramètres - Admin'!$D$4 &amp; " " &amp; HOUR(K26/24-INT(K26/24))&amp;" " &amp;  'Paramètres - Admin'!$D$3 &amp; " " &amp; MINUTE(K26/24-INT(K26/24))&amp;" " &amp;  'Paramètres - Admin'!$D$2,HOUR(K26/24-INT(K26/24))&amp;" " &amp;  'Paramètres - Admin'!$D$3 &amp; " " &amp; MINUTE(K26/24-INT(K26/24))&amp;" " &amp;  'Paramètres - Admin'!$D$2))))))</f>
        <v>0,00 jours</v>
      </c>
      <c r="M26" s="111" t="s">
        <v>197</v>
      </c>
      <c r="N26" s="518">
        <f>'À Faire - Détails'!H137</f>
        <v>0</v>
      </c>
      <c r="O26" s="519">
        <f>'À Faire - Détails'!I137</f>
        <v>1</v>
      </c>
      <c r="P26" s="98">
        <f>'À Faire - Détails'!H150</f>
        <v>1000</v>
      </c>
      <c r="Q26" s="327">
        <f>'À Faire - Détails'!I150</f>
        <v>8.3333333333333329E-2</v>
      </c>
      <c r="R26" s="913" t="str">
        <f>IF($B$2='Paramètres - Admin'!$B$2,TEXT(Q26*60*60,"# 0")&amp;" " &amp; 'Paramètres - Admin'!$B$2,IF($B$2='Paramètres - Admin'!$B$3,TEXT(Q26*60,"# 0")&amp;" " &amp; 'Paramètres - Admin'!$B$3,IF($B$2='Paramètres - Admin'!$B$4,TEXT(Q26,"# 0,00")&amp;" " &amp; 'Paramètres - Admin'!$B$4,IF($B$2='Paramètres - Admin'!$B$5,TEXT(Q26/24,"# 0,00")&amp;" " &amp; 'Paramètres - Admin'!$B$5,IF($B$2='Paramètres - Admin'!$B$6,TEXT((Q26/24)/30,"# 0,00")&amp;" " &amp; 'Paramètres - Admin'!$B$6,IF(Q26/24&gt;=1,INT(Q26/24)&amp;" " &amp;  'Paramètres - Admin'!$D$4 &amp; " " &amp; HOUR(Q26/24-INT(Q26/24))&amp;" " &amp;  'Paramètres - Admin'!$D$3 &amp; " " &amp; MINUTE(Q26/24-INT(Q26/24))&amp;" " &amp;  'Paramètres - Admin'!$D$2,HOUR(Q26/24-INT(Q26/24))&amp;" " &amp;  'Paramètres - Admin'!$D$3 &amp; " " &amp; MINUTE(Q26/24-INT(Q26/24))&amp;" " &amp;  'Paramètres - Admin'!$D$2))))))</f>
        <v>0,00 jours</v>
      </c>
      <c r="S26" s="914" t="s">
        <v>31</v>
      </c>
      <c r="T26" s="915">
        <f>SUM(T23:T25)</f>
        <v>0</v>
      </c>
      <c r="U26" s="783">
        <f>SUM(U23:U25)</f>
        <v>0</v>
      </c>
      <c r="V26" s="224">
        <f>SUM(V23:V24)</f>
        <v>0</v>
      </c>
      <c r="W26" s="784">
        <f>SUM(W23:W25)</f>
        <v>0</v>
      </c>
      <c r="X26" s="785" t="str">
        <f>IF($B$2='Paramètres - Admin'!$B$2,TEXT(W26*60*60,"# 0")&amp;" " &amp; 'Paramètres - Admin'!$B$2,IF($B$2='Paramètres - Admin'!$B$3,TEXT(W26*60,"# 0")&amp;" " &amp; 'Paramètres - Admin'!$B$3,IF($B$2='Paramètres - Admin'!$B$4,TEXT(W26,"# 0,00")&amp;" " &amp; 'Paramètres - Admin'!$B$4,IF($B$2='Paramètres - Admin'!$B$5,TEXT(W26/24,"# 0,00")&amp;" " &amp; 'Paramètres - Admin'!$B$5,IF($B$2='Paramètres - Admin'!$B$6,TEXT((W26/24)/30,"# 0,00")&amp;" " &amp; 'Paramètres - Admin'!$B$6,IF(W26/24&gt;=1,INT(W26/24)&amp;" " &amp;  'Paramètres - Admin'!$D$4 &amp; " " &amp; HOUR(W26/24-INT(W26/24))&amp;" " &amp;  'Paramètres - Admin'!$D$3 &amp; " " &amp; MINUTE(W26/24-INT(W26/24))&amp;" " &amp;  'Paramètres - Admin'!$D$2,HOUR(W26/24-INT(W26/24))&amp;" " &amp;  'Paramètres - Admin'!$D$3 &amp; " " &amp; MINUTE(W26/24-INT(W26/24))&amp;" " &amp;  'Paramètres - Admin'!$D$2))))))</f>
        <v>0,00 jours</v>
      </c>
    </row>
    <row r="27" spans="1:25" s="129" customFormat="1" ht="15" customHeight="1" thickBot="1" x14ac:dyDescent="0.3">
      <c r="A27" s="90" t="s">
        <v>745</v>
      </c>
      <c r="B27" s="91">
        <f>'À Faire - Détails'!Z106</f>
        <v>0</v>
      </c>
      <c r="C27" s="92">
        <f>'À Faire - Détails'!AA106</f>
        <v>0</v>
      </c>
      <c r="D27" s="517">
        <f>'À Faire - Détails'!Z110</f>
        <v>0</v>
      </c>
      <c r="E27" s="326">
        <f>'À Faire - Détails'!AA110</f>
        <v>0</v>
      </c>
      <c r="F27" s="85" t="str">
        <f>IF($B$2='Paramètres - Admin'!$B$2,TEXT(E27*60*60,"# 0")&amp;" " &amp; 'Paramètres - Admin'!$B$2,IF($B$2='Paramètres - Admin'!$B$3,TEXT(E27*60,"# 0")&amp;" " &amp; 'Paramètres - Admin'!$B$3,IF($B$2='Paramètres - Admin'!$B$4,TEXT(E27,"# 0,00")&amp;" " &amp; 'Paramètres - Admin'!$B$4,IF($B$2='Paramètres - Admin'!$B$5,TEXT(E27/24,"# 0,00")&amp;" " &amp; 'Paramètres - Admin'!$B$5,IF($B$2='Paramètres - Admin'!$B$6,TEXT((E27/24)/30,"# 0,00")&amp;" " &amp; 'Paramètres - Admin'!$B$6,IF(E27/24&gt;=1,INT(E27/24)&amp;" " &amp;  'Paramètres - Admin'!$D$4 &amp; " " &amp; HOUR(E27/24-INT(E27/24))&amp;" " &amp;  'Paramètres - Admin'!$D$3 &amp; " " &amp; MINUTE(E27/24-INT(E27/24))&amp;" " &amp;  'Paramètres - Admin'!$D$2,HOUR(E27/24-INT(E27/24))&amp;" " &amp;  'Paramètres - Admin'!$D$3 &amp; " " &amp; MINUTE(E27/24-INT(E27/24))&amp;" " &amp;  'Paramètres - Admin'!$D$2))))))</f>
        <v>0,00 jours</v>
      </c>
      <c r="G27" s="484" t="s">
        <v>31</v>
      </c>
      <c r="H27" s="102">
        <f>SUM(H17:H26)</f>
        <v>0</v>
      </c>
      <c r="I27" s="103">
        <f>SUM(I17:I26)</f>
        <v>0</v>
      </c>
      <c r="J27" s="394">
        <f>SUM(J17:J26)</f>
        <v>0</v>
      </c>
      <c r="K27" s="328">
        <f>SUM(K17:K26)</f>
        <v>0</v>
      </c>
      <c r="L27" s="105" t="str">
        <f>IF($B$2='Paramètres - Admin'!$B$2,TEXT(K27*60*60,"# 0")&amp;" " &amp; 'Paramètres - Admin'!$B$2,IF($B$2='Paramètres - Admin'!$B$3,TEXT(K27*60,"# 0")&amp;" " &amp; 'Paramètres - Admin'!$B$3,IF($B$2='Paramètres - Admin'!$B$4,TEXT(K27,"# 0,00")&amp;" " &amp; 'Paramètres - Admin'!$B$4,IF($B$2='Paramètres - Admin'!$B$5,TEXT(K27/24,"# 0,00")&amp;" " &amp; 'Paramètres - Admin'!$B$5,IF($B$2='Paramètres - Admin'!$B$6,TEXT((K27/24)/30,"# 0,00")&amp;" " &amp; 'Paramètres - Admin'!$B$6,IF(K27/24&gt;=1,INT(K27/24)&amp;" " &amp;  'Paramètres - Admin'!$D$4 &amp; " " &amp; HOUR(K27/24-INT(K27/24))&amp;" " &amp;  'Paramètres - Admin'!$D$3 &amp; " " &amp; MINUTE(K27/24-INT(K27/24))&amp;" " &amp;  'Paramètres - Admin'!$D$2,HOUR(K27/24-INT(K27/24))&amp;" " &amp;  'Paramètres - Admin'!$D$3 &amp; " " &amp; MINUTE(K27/24-INT(K27/24))&amp;" " &amp;  'Paramètres - Admin'!$D$2))))))</f>
        <v>0,00 jours</v>
      </c>
      <c r="M27" s="484" t="s">
        <v>31</v>
      </c>
      <c r="N27" s="102">
        <f>SUM(N25:N26)</f>
        <v>0</v>
      </c>
      <c r="O27" s="103">
        <f>SUM(O25:O26)</f>
        <v>1</v>
      </c>
      <c r="P27" s="104">
        <f>SUM(P25:P26)</f>
        <v>1000</v>
      </c>
      <c r="Q27" s="328">
        <f>SUM(Q25:Q26)</f>
        <v>8.3333333333333329E-2</v>
      </c>
      <c r="R27" s="105" t="str">
        <f>IF($B$2='Paramètres - Admin'!$B$2,TEXT(Q27*60*60,"# 0")&amp;" " &amp; 'Paramètres - Admin'!$B$2,IF($B$2='Paramètres - Admin'!$B$3,TEXT(Q27*60,"# 0")&amp;" " &amp; 'Paramètres - Admin'!$B$3,IF($B$2='Paramètres - Admin'!$B$4,TEXT(Q27,"# 0,00")&amp;" " &amp; 'Paramètres - Admin'!$B$4,IF($B$2='Paramètres - Admin'!$B$5,TEXT(Q27/24,"# 0,00")&amp;" " &amp; 'Paramètres - Admin'!$B$5,IF($B$2='Paramètres - Admin'!$B$6,TEXT((Q27/24)/30,"# 0,00")&amp;" " &amp; 'Paramètres - Admin'!$B$6,IF(Q27/24&gt;=1,INT(Q27/24)&amp;" " &amp;  'Paramètres - Admin'!$D$4 &amp; " " &amp; HOUR(Q27/24-INT(Q27/24))&amp;" " &amp;  'Paramètres - Admin'!$D$3 &amp; " " &amp; MINUTE(Q27/24-INT(Q27/24))&amp;" " &amp;  'Paramètres - Admin'!$D$2,HOUR(Q27/24-INT(Q27/24))&amp;" " &amp;  'Paramètres - Admin'!$D$3 &amp; " " &amp; MINUTE(Q27/24-INT(Q27/24))&amp;" " &amp;  'Paramètres - Admin'!$D$2))))))</f>
        <v>0,00 jours</v>
      </c>
    </row>
    <row r="28" spans="1:25" s="129" customFormat="1" ht="15" customHeight="1" thickBot="1" x14ac:dyDescent="0.3">
      <c r="A28" s="484" t="s">
        <v>31</v>
      </c>
      <c r="B28" s="102">
        <f>SUM(B17:B27)</f>
        <v>2</v>
      </c>
      <c r="C28" s="103">
        <f>SUM(C17:C27)</f>
        <v>4</v>
      </c>
      <c r="D28" s="705">
        <f>SUM(D17:D27)</f>
        <v>2500</v>
      </c>
      <c r="E28" s="328">
        <f>SUM(E17:E27)</f>
        <v>0.53333333333333333</v>
      </c>
      <c r="F28" s="105" t="str">
        <f>IF($B$2='Paramètres - Admin'!$B$2,TEXT(E28*60*60,"# 0")&amp;" " &amp; 'Paramètres - Admin'!$B$2,IF($B$2='Paramètres - Admin'!$B$3,TEXT(E28*60,"# 0")&amp;" " &amp; 'Paramètres - Admin'!$B$3,IF($B$2='Paramètres - Admin'!$B$4,TEXT(E28,"# 0,00")&amp;" " &amp; 'Paramètres - Admin'!$B$4,IF($B$2='Paramètres - Admin'!$B$5,TEXT(E28/24,"# 0,00")&amp;" " &amp; 'Paramètres - Admin'!$B$5,IF($B$2='Paramètres - Admin'!$B$6,TEXT((E28/24)/30,"# 0,00")&amp;" " &amp; 'Paramètres - Admin'!$B$6,IF(E28/24&gt;=1,INT(E28/24)&amp;" " &amp;  'Paramètres - Admin'!$D$4 &amp; " " &amp; HOUR(E28/24-INT(E28/24))&amp;" " &amp;  'Paramètres - Admin'!$D$3 &amp; " " &amp; MINUTE(E28/24-INT(E28/24))&amp;" " &amp;  'Paramètres - Admin'!$D$2,HOUR(E28/24-INT(E28/24))&amp;" " &amp;  'Paramètres - Admin'!$D$3 &amp; " " &amp; MINUTE(E28/24-INT(E28/24))&amp;" " &amp;  'Paramètres - Admin'!$D$2))))))</f>
        <v>0,00 jours</v>
      </c>
      <c r="U28" s="132"/>
      <c r="V28" s="132"/>
      <c r="W28" s="132"/>
      <c r="X28" s="132"/>
    </row>
    <row r="29" spans="1:25" s="129" customFormat="1" ht="15" customHeight="1" x14ac:dyDescent="0.25">
      <c r="U29" s="132"/>
      <c r="V29" s="132"/>
      <c r="W29" s="132"/>
      <c r="X29" s="132"/>
    </row>
    <row r="30" spans="1:25" s="129" customFormat="1" ht="15" customHeight="1" x14ac:dyDescent="0.25">
      <c r="M30" s="132"/>
      <c r="N30" s="132"/>
      <c r="O30" s="1101"/>
      <c r="P30" s="1101"/>
      <c r="Q30" s="1101"/>
      <c r="R30" s="1101"/>
      <c r="S30" s="132"/>
      <c r="T30" s="132"/>
      <c r="U30" s="132"/>
      <c r="V30" s="132"/>
      <c r="W30" s="132"/>
      <c r="X30" s="132"/>
      <c r="Y30" s="704"/>
    </row>
    <row r="31" spans="1:25" s="129" customFormat="1" ht="15" customHeight="1" x14ac:dyDescent="0.25">
      <c r="M31" s="132"/>
      <c r="O31" s="642"/>
      <c r="P31" s="642"/>
      <c r="Q31" s="642"/>
      <c r="R31" s="642"/>
      <c r="S31" s="132"/>
      <c r="T31" s="132"/>
      <c r="U31" s="132"/>
      <c r="V31" s="132"/>
      <c r="W31" s="132"/>
      <c r="X31" s="132"/>
      <c r="Y31" s="704"/>
    </row>
    <row r="32" spans="1:25" s="129" customFormat="1" ht="15" customHeight="1" x14ac:dyDescent="0.25">
      <c r="M32" s="132"/>
      <c r="Y32" s="704"/>
    </row>
    <row r="33" spans="13:32" s="129" customFormat="1" ht="15" customHeight="1" x14ac:dyDescent="0.25">
      <c r="M33" s="132"/>
      <c r="R33" s="132"/>
      <c r="S33" s="128"/>
      <c r="T33" s="128"/>
      <c r="U33" s="128"/>
      <c r="V33" s="128"/>
      <c r="W33" s="128"/>
      <c r="X33" s="128"/>
      <c r="Y33" s="704"/>
    </row>
    <row r="34" spans="13:32" s="129" customFormat="1" ht="15" customHeight="1" x14ac:dyDescent="0.25">
      <c r="M34" s="132"/>
      <c r="N34" s="132"/>
      <c r="P34" s="132"/>
      <c r="Q34" s="132"/>
      <c r="R34" s="132"/>
      <c r="S34" s="128"/>
      <c r="T34" s="128"/>
      <c r="U34" s="128"/>
      <c r="V34" s="128"/>
      <c r="W34" s="128"/>
      <c r="X34" s="128"/>
      <c r="Y34" s="704"/>
      <c r="Z34" s="704"/>
      <c r="AA34" s="704"/>
      <c r="AB34" s="704"/>
      <c r="AC34" s="704"/>
    </row>
    <row r="41" spans="13:32" ht="15" customHeight="1" x14ac:dyDescent="0.25">
      <c r="M41" s="134"/>
    </row>
    <row r="42" spans="13:32" ht="15" customHeight="1" x14ac:dyDescent="0.25">
      <c r="M42" s="135"/>
      <c r="V42" s="133"/>
      <c r="W42" s="133"/>
      <c r="X42" s="133"/>
    </row>
    <row r="43" spans="13:32" ht="15" customHeight="1" x14ac:dyDescent="0.25">
      <c r="M43" s="136"/>
      <c r="V43" s="133"/>
      <c r="W43" s="133"/>
      <c r="X43" s="133"/>
    </row>
    <row r="45" spans="13:32" ht="15" customHeight="1" x14ac:dyDescent="0.25">
      <c r="M45" s="134"/>
    </row>
    <row r="47" spans="13:32" ht="15" customHeight="1" x14ac:dyDescent="0.25">
      <c r="M47" s="134"/>
      <c r="Y47" s="700"/>
      <c r="Z47" s="700"/>
      <c r="AA47" s="700"/>
      <c r="AB47" s="700"/>
      <c r="AC47" s="700"/>
      <c r="AD47" s="133"/>
      <c r="AE47" s="133"/>
      <c r="AF47" s="133"/>
    </row>
    <row r="48" spans="13:32" ht="15" customHeight="1" x14ac:dyDescent="0.25">
      <c r="M48" s="135"/>
      <c r="Y48" s="700"/>
      <c r="Z48" s="700"/>
      <c r="AA48" s="700"/>
      <c r="AB48" s="700"/>
      <c r="AC48" s="700"/>
      <c r="AD48" s="133"/>
      <c r="AE48" s="133"/>
      <c r="AF48" s="133"/>
    </row>
    <row r="49" spans="25:32" ht="15" customHeight="1" x14ac:dyDescent="0.25">
      <c r="Y49" s="700"/>
      <c r="Z49" s="700"/>
      <c r="AA49" s="700"/>
      <c r="AB49" s="700"/>
      <c r="AC49" s="700"/>
      <c r="AD49" s="133"/>
      <c r="AE49" s="133"/>
      <c r="AF49" s="133"/>
    </row>
    <row r="50" spans="25:32" ht="15" customHeight="1" x14ac:dyDescent="0.25">
      <c r="Y50" s="700"/>
      <c r="Z50" s="700"/>
      <c r="AA50" s="700"/>
      <c r="AB50" s="700"/>
      <c r="AC50" s="700"/>
      <c r="AD50" s="133"/>
      <c r="AE50" s="133"/>
      <c r="AF50" s="133"/>
    </row>
  </sheetData>
  <sheetProtection selectLockedCells="1"/>
  <mergeCells count="28">
    <mergeCell ref="B2:C2"/>
    <mergeCell ref="B1:C1"/>
    <mergeCell ref="K1:L1"/>
    <mergeCell ref="K2:L2"/>
    <mergeCell ref="M1:N1"/>
    <mergeCell ref="O30:R30"/>
    <mergeCell ref="O2:P2"/>
    <mergeCell ref="O1:P1"/>
    <mergeCell ref="G15:L15"/>
    <mergeCell ref="H1:J1"/>
    <mergeCell ref="H2:J2"/>
    <mergeCell ref="A3:X4"/>
    <mergeCell ref="S21:X21"/>
    <mergeCell ref="A5:F5"/>
    <mergeCell ref="G5:L5"/>
    <mergeCell ref="A15:F15"/>
    <mergeCell ref="M23:R23"/>
    <mergeCell ref="M2:N2"/>
    <mergeCell ref="M15:R15"/>
    <mergeCell ref="M5:R5"/>
    <mergeCell ref="W1:X1"/>
    <mergeCell ref="S15:X15"/>
    <mergeCell ref="W2:X2"/>
    <mergeCell ref="T1:V1"/>
    <mergeCell ref="T2:V2"/>
    <mergeCell ref="Q1:S1"/>
    <mergeCell ref="Q2:S2"/>
    <mergeCell ref="S5:X5"/>
  </mergeCells>
  <dataValidations count="2">
    <dataValidation type="list" allowBlank="1" showInputMessage="1" showErrorMessage="1" sqref="B2">
      <formula1>TimeDisplay</formula1>
    </dataValidation>
    <dataValidation type="list" showErrorMessage="1" sqref="D2:F2">
      <formula1>"Oui,Non"</formula1>
    </dataValidation>
  </dataValidations>
  <pageMargins left="0.70866141732283472" right="0.70866141732283472" top="0.74803149606299213" bottom="0.74803149606299213" header="0.31496062992125984" footer="0.31496062992125984"/>
  <pageSetup paperSize="9" scale="61" fitToHeight="5"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00B0F0"/>
    <pageSetUpPr fitToPage="1"/>
  </sheetPr>
  <dimension ref="A1:CF320"/>
  <sheetViews>
    <sheetView showGridLines="0" zoomScale="85" zoomScaleNormal="85" workbookViewId="0">
      <pane ySplit="2" topLeftCell="A3" activePane="bottomLeft" state="frozen"/>
      <selection activeCell="A3" sqref="A3:H6"/>
      <selection pane="bottomLeft" activeCell="M48" sqref="M48"/>
    </sheetView>
  </sheetViews>
  <sheetFormatPr baseColWidth="10" defaultColWidth="11.42578125" defaultRowHeight="15" customHeight="1" x14ac:dyDescent="0.25"/>
  <cols>
    <col min="1" max="3" width="6.7109375" style="129" customWidth="1"/>
    <col min="4" max="4" width="5.28515625" style="129" customWidth="1"/>
    <col min="5" max="5" width="6.7109375" style="129" bestFit="1" customWidth="1"/>
    <col min="6" max="6" width="7.5703125" style="129" customWidth="1"/>
    <col min="7" max="7" width="8.140625" style="128" customWidth="1"/>
    <col min="8" max="8" width="12.85546875" style="128" customWidth="1"/>
    <col min="9" max="9" width="13.85546875" style="128" customWidth="1"/>
    <col min="10" max="11" width="10.7109375" style="128" customWidth="1"/>
    <col min="12" max="12" width="6.7109375" style="128" customWidth="1"/>
    <col min="13" max="13" width="5.28515625" style="128" bestFit="1" customWidth="1"/>
    <col min="14" max="14" width="6.7109375" style="128" bestFit="1" customWidth="1"/>
    <col min="15" max="15" width="7.5703125" style="128" bestFit="1" customWidth="1"/>
    <col min="16" max="16" width="8.140625" style="128" bestFit="1" customWidth="1"/>
    <col min="17" max="17" width="10.7109375" style="128" bestFit="1" customWidth="1"/>
    <col min="18" max="18" width="13.85546875" style="128" bestFit="1" customWidth="1"/>
    <col min="19" max="19" width="8.7109375" style="128" customWidth="1"/>
    <col min="20" max="20" width="8.140625" style="128" bestFit="1" customWidth="1"/>
    <col min="21" max="21" width="7.7109375" style="128" bestFit="1" customWidth="1"/>
    <col min="22" max="22" width="5.28515625" style="128" customWidth="1"/>
    <col min="23" max="23" width="6.7109375" style="128" bestFit="1" customWidth="1"/>
    <col min="24" max="24" width="7.5703125" style="128" customWidth="1"/>
    <col min="25" max="25" width="8.140625" style="128" customWidth="1"/>
    <col min="26" max="26" width="12.85546875" style="128" customWidth="1"/>
    <col min="27" max="27" width="13.85546875" style="128" customWidth="1"/>
    <col min="28" max="16384" width="11.42578125" style="128"/>
  </cols>
  <sheetData>
    <row r="1" spans="1:27" ht="15" customHeight="1" x14ac:dyDescent="0.25">
      <c r="A1" s="1163" t="s">
        <v>291</v>
      </c>
      <c r="B1" s="1164"/>
      <c r="C1" s="1134" t="s">
        <v>237</v>
      </c>
      <c r="D1" s="1135"/>
      <c r="E1" s="1136"/>
      <c r="F1" s="1137" t="s">
        <v>241</v>
      </c>
      <c r="G1" s="1138"/>
      <c r="H1" s="1139"/>
      <c r="I1" s="1143" t="s">
        <v>260</v>
      </c>
      <c r="J1" s="1144"/>
      <c r="K1" s="1140" t="s">
        <v>244</v>
      </c>
      <c r="L1" s="1145"/>
      <c r="M1" s="1146"/>
      <c r="N1" s="1149" t="str">
        <f>'À Faire - Récapitulatif'!Q1</f>
        <v>Bâtiments : 0,00 jours</v>
      </c>
      <c r="O1" s="1150"/>
      <c r="P1" s="1150"/>
      <c r="Q1" s="1151"/>
      <c r="R1" s="1140" t="s">
        <v>357</v>
      </c>
      <c r="S1" s="1141"/>
      <c r="T1" s="1142"/>
      <c r="U1" s="1147" t="s">
        <v>255</v>
      </c>
      <c r="V1" s="1148"/>
    </row>
    <row r="2" spans="1:27" ht="15" customHeight="1" thickBot="1" x14ac:dyDescent="0.3">
      <c r="A2" s="1161">
        <f>Paramètres!$BJ$2</f>
        <v>1</v>
      </c>
      <c r="B2" s="1162"/>
      <c r="C2" s="1165" t="str">
        <f>'À Faire - Récapitulatif'!H2</f>
        <v>4 250</v>
      </c>
      <c r="D2" s="1166"/>
      <c r="E2" s="1167"/>
      <c r="F2" s="1168" t="str">
        <f>'À Faire - Récapitulatif'!K2</f>
        <v>4 700</v>
      </c>
      <c r="G2" s="1169"/>
      <c r="H2" s="1170"/>
      <c r="I2" s="1171" t="str">
        <f>'À Faire - Récapitulatif'!M2</f>
        <v>0</v>
      </c>
      <c r="J2" s="1172"/>
      <c r="K2" s="1155" t="str">
        <f>'À Faire - Récapitulatif'!O2</f>
        <v>0,00 jours</v>
      </c>
      <c r="L2" s="1156"/>
      <c r="M2" s="1157"/>
      <c r="N2" s="1152" t="str">
        <f>'À Faire - Récapitulatif'!Q2</f>
        <v>Héros : 0,00 jours</v>
      </c>
      <c r="O2" s="1153"/>
      <c r="P2" s="1153"/>
      <c r="Q2" s="1154"/>
      <c r="R2" s="1158" t="str">
        <f>'À Faire - Récapitulatif'!T2</f>
        <v>0,00 jours</v>
      </c>
      <c r="S2" s="1159"/>
      <c r="T2" s="1160"/>
      <c r="U2" s="1132" t="str">
        <f>'À Faire - Récapitulatif'!W2</f>
        <v>0,00 jours</v>
      </c>
      <c r="V2" s="1133"/>
    </row>
    <row r="3" spans="1:27" s="525" customFormat="1" ht="19.5" customHeight="1" thickBot="1" x14ac:dyDescent="0.3">
      <c r="A3" s="1117" t="s">
        <v>447</v>
      </c>
      <c r="B3" s="1118"/>
      <c r="C3" s="1118"/>
      <c r="D3" s="1118"/>
      <c r="E3" s="1118"/>
      <c r="F3" s="1118"/>
      <c r="G3" s="1118"/>
      <c r="H3" s="1118"/>
      <c r="I3" s="1118"/>
      <c r="J3" s="1118"/>
      <c r="K3" s="1118"/>
      <c r="L3" s="1118"/>
      <c r="M3" s="1118"/>
      <c r="N3" s="1118"/>
      <c r="O3" s="1118"/>
      <c r="P3" s="1118"/>
      <c r="Q3" s="1118"/>
      <c r="R3" s="1118"/>
      <c r="S3" s="1118"/>
      <c r="T3" s="1118"/>
      <c r="U3" s="1118"/>
      <c r="V3" s="1118"/>
      <c r="W3" s="1118"/>
      <c r="X3" s="1118"/>
      <c r="Y3" s="1118"/>
      <c r="Z3" s="1118"/>
      <c r="AA3" s="1118"/>
    </row>
    <row r="4" spans="1:27" ht="15" customHeight="1" x14ac:dyDescent="0.25">
      <c r="A4" s="1119" t="s">
        <v>176</v>
      </c>
      <c r="B4" s="1120"/>
      <c r="C4" s="1121"/>
      <c r="D4" s="80" t="s">
        <v>38</v>
      </c>
      <c r="E4" s="81" t="s">
        <v>39</v>
      </c>
      <c r="F4" s="214"/>
      <c r="G4" s="512" t="s">
        <v>256</v>
      </c>
      <c r="H4" s="514" t="s">
        <v>361</v>
      </c>
      <c r="I4" s="513" t="s">
        <v>257</v>
      </c>
      <c r="J4" s="1119" t="s">
        <v>210</v>
      </c>
      <c r="K4" s="1120"/>
      <c r="L4" s="1121"/>
      <c r="M4" s="80" t="s">
        <v>38</v>
      </c>
      <c r="N4" s="81" t="s">
        <v>39</v>
      </c>
      <c r="O4" s="82"/>
      <c r="P4" s="512" t="s">
        <v>256</v>
      </c>
      <c r="Q4" s="514" t="s">
        <v>361</v>
      </c>
      <c r="R4" s="513" t="s">
        <v>257</v>
      </c>
      <c r="S4" s="1119" t="s">
        <v>211</v>
      </c>
      <c r="T4" s="1120"/>
      <c r="U4" s="1121"/>
      <c r="V4" s="80" t="s">
        <v>38</v>
      </c>
      <c r="W4" s="81" t="s">
        <v>39</v>
      </c>
      <c r="X4" s="214"/>
      <c r="Y4" s="512" t="s">
        <v>256</v>
      </c>
      <c r="Z4" s="514" t="s">
        <v>361</v>
      </c>
      <c r="AA4" s="513" t="s">
        <v>257</v>
      </c>
    </row>
    <row r="5" spans="1:27" ht="15" customHeight="1" thickBot="1" x14ac:dyDescent="0.3">
      <c r="A5" s="1125"/>
      <c r="B5" s="1126"/>
      <c r="C5" s="1127"/>
      <c r="D5" s="518">
        <f>VLOOKUP($A$2,AVAILABLE_Buildings_Resource[#All],MATCH(A4,AVAILABLE_Buildings_Resource[#Headers],0))</f>
        <v>1</v>
      </c>
      <c r="E5" s="408">
        <f>VLOOKUP($A$2,AVAILABLE_Buildings_Resource[#All],MATCH(A4,AVAILABLE_Buildings_Resource[#Headers],0)+1)</f>
        <v>2</v>
      </c>
      <c r="F5" s="215"/>
      <c r="G5" s="96">
        <f>IF(SUM(B7:B18)&gt;D5,"Error",SUM(B7:B18))</f>
        <v>0</v>
      </c>
      <c r="H5" s="97">
        <f>IF(G$5="Error","Error",D5-G5)</f>
        <v>1</v>
      </c>
      <c r="I5" s="202">
        <f>IF(G$5="Error","Error",SUM(D7:D18))</f>
        <v>2</v>
      </c>
      <c r="J5" s="1122"/>
      <c r="K5" s="1123"/>
      <c r="L5" s="1124"/>
      <c r="M5" s="88">
        <f>VLOOKUP($A$2,AVAILABLE_Buildings_Resource[#All],MATCH(J4,AVAILABLE_Buildings_Resource[#Headers],0))</f>
        <v>1</v>
      </c>
      <c r="N5" s="89">
        <f>VLOOKUP($A$2,AVAILABLE_Buildings_Resource[#All],MATCH(J4,AVAILABLE_Buildings_Resource[#Headers],0)+1)</f>
        <v>2</v>
      </c>
      <c r="O5" s="201"/>
      <c r="P5" s="96">
        <f>IF(SUM(K7:K18)&gt;M5,"Error",SUM(K7:K18))</f>
        <v>0</v>
      </c>
      <c r="Q5" s="97">
        <f>IF(P$5="Error","Error",M5-P5)</f>
        <v>1</v>
      </c>
      <c r="R5" s="202">
        <f>IF(P$5="Error","Error",SUM(M7:M18))</f>
        <v>2</v>
      </c>
      <c r="S5" s="1122"/>
      <c r="T5" s="1123"/>
      <c r="U5" s="1124"/>
      <c r="V5" s="88">
        <f>VLOOKUP($A$2,AVAILABLE_Buildings_Resource[#All],MATCH(S4,AVAILABLE_Buildings_Resource[#Headers],0))</f>
        <v>0</v>
      </c>
      <c r="W5" s="89">
        <f>VLOOKUP($A$2,AVAILABLE_Buildings_Resource[#All],MATCH(S4,AVAILABLE_Buildings_Resource[#Headers],0)+1)</f>
        <v>0</v>
      </c>
      <c r="X5" s="215"/>
      <c r="Y5" s="96">
        <f>IF(SUM(T7:T12)&gt;V5,"Error",SUM(T7:T12))</f>
        <v>0</v>
      </c>
      <c r="Z5" s="97">
        <f>IF(Y$5="Error","Error",V5-Y5)</f>
        <v>0</v>
      </c>
      <c r="AA5" s="202">
        <f>IF(Y$5="Error","Error",SUM(V7:V12))</f>
        <v>0</v>
      </c>
    </row>
    <row r="6" spans="1:27" ht="15" customHeight="1" thickBot="1" x14ac:dyDescent="0.3">
      <c r="A6" s="931" t="s">
        <v>30</v>
      </c>
      <c r="B6" s="345" t="s">
        <v>29</v>
      </c>
      <c r="C6" s="581"/>
      <c r="D6" s="456" t="s">
        <v>29</v>
      </c>
      <c r="E6" s="456" t="s">
        <v>30</v>
      </c>
      <c r="F6" s="226" t="s">
        <v>258</v>
      </c>
      <c r="G6" s="226" t="s">
        <v>259</v>
      </c>
      <c r="H6" s="226" t="s">
        <v>232</v>
      </c>
      <c r="I6" s="227" t="s">
        <v>233</v>
      </c>
      <c r="J6" s="204" t="s">
        <v>30</v>
      </c>
      <c r="K6" s="345" t="s">
        <v>29</v>
      </c>
      <c r="L6" s="460"/>
      <c r="M6" s="530" t="s">
        <v>29</v>
      </c>
      <c r="N6" s="531" t="s">
        <v>30</v>
      </c>
      <c r="O6" s="532" t="s">
        <v>258</v>
      </c>
      <c r="P6" s="532" t="s">
        <v>259</v>
      </c>
      <c r="Q6" s="532" t="s">
        <v>232</v>
      </c>
      <c r="R6" s="533" t="s">
        <v>233</v>
      </c>
      <c r="S6" s="520" t="s">
        <v>30</v>
      </c>
      <c r="T6" s="339" t="s">
        <v>29</v>
      </c>
      <c r="U6" s="460"/>
      <c r="V6" s="216" t="s">
        <v>29</v>
      </c>
      <c r="W6" s="217" t="s">
        <v>30</v>
      </c>
      <c r="X6" s="532" t="s">
        <v>258</v>
      </c>
      <c r="Y6" s="532" t="s">
        <v>259</v>
      </c>
      <c r="Z6" s="532" t="s">
        <v>232</v>
      </c>
      <c r="AA6" s="533" t="s">
        <v>233</v>
      </c>
    </row>
    <row r="7" spans="1:27" ht="15" customHeight="1" x14ac:dyDescent="0.25">
      <c r="A7" s="512">
        <v>1</v>
      </c>
      <c r="B7" s="926" t="str">
        <f>IF(Paramètres!B6=0,"",Paramètres!B6)</f>
        <v/>
      </c>
      <c r="C7" s="586">
        <f>IF(C6&lt;&gt;0,C6+IF(AND(B6&lt;&gt;"",A6&lt;E$5),B6,0),IF(AND(B6&lt;&gt;"",A6&lt;E$5),B6,0))</f>
        <v>0</v>
      </c>
      <c r="D7" s="573">
        <f t="shared" ref="D7:D18" si="0">IF(E7&lt;&gt;"/",IF(G$5="Error","Error",$H$5+C7),"/")</f>
        <v>1</v>
      </c>
      <c r="E7" s="457">
        <f>IF(G$5="Error","Error",IF(AND($E$5&lt;&gt;"/",$E$5&gt;'Paramètres - Admin'!$A2),'Paramètres - Admin'!$A3,"/"))</f>
        <v>1</v>
      </c>
      <c r="F7" s="385">
        <f>IF(E7&lt;&gt;"/",VLOOKUP(E7,COSTS_Gold_Mine[#All],2),"/")</f>
        <v>150</v>
      </c>
      <c r="G7" s="458">
        <f>IF(E7&lt;&gt;"/",VLOOKUP(E7,COSTS_Gold_Mine[#All],3),"/")</f>
        <v>1.6666666666666666E-2</v>
      </c>
      <c r="H7" s="385">
        <f t="shared" ref="H7:H18" si="1">IF(G$5="Error","Error",IF(F7&lt;&gt;"/",D7*F7,0))</f>
        <v>150</v>
      </c>
      <c r="I7" s="459">
        <f t="shared" ref="I7:I18" si="2">IF(G$5="Error","Error",IF(G7&lt;&gt;"/",D7*G7,0))</f>
        <v>1.6666666666666666E-2</v>
      </c>
      <c r="J7" s="512">
        <v>1</v>
      </c>
      <c r="K7" s="926" t="str">
        <f>IF(Paramètres!C6=0,"",Paramètres!C6)</f>
        <v/>
      </c>
      <c r="L7" s="586">
        <f>IF(L6&lt;&gt;0,L6+IF(AND(K6&lt;&gt;"",J6&lt;N$5),K6,0),IF(AND(K6&lt;&gt;"",J6&lt;N$5),K6,0))</f>
        <v>0</v>
      </c>
      <c r="M7" s="573">
        <f t="shared" ref="M7:M18" si="3">IF(N7&lt;&gt;"/",IF(P$5="Error","Error",$Q$5+L7),"/")</f>
        <v>1</v>
      </c>
      <c r="N7" s="457">
        <f>IF(P$5="Error","Error",IF(AND($N$5&lt;&gt;"/",$N$5&gt;'Paramètres - Admin'!$A2),'Paramètres - Admin'!$A3,"/"))</f>
        <v>1</v>
      </c>
      <c r="O7" s="86">
        <f>IF(N7&lt;&gt;"/",VLOOKUP(N7,COSTS_Elixir_Collector[#All],2),"/")</f>
        <v>150</v>
      </c>
      <c r="P7" s="458">
        <f>IF(N7&lt;&gt;"/",VLOOKUP(N7,COSTS_Elixir_Collector[#All],3),"/")</f>
        <v>1.6666666666666666E-2</v>
      </c>
      <c r="Q7" s="86">
        <f t="shared" ref="Q7:Q18" si="4">IF(P$5="Error","Error",IF(O7&lt;&gt;"/",M7*O7,0))</f>
        <v>150</v>
      </c>
      <c r="R7" s="459">
        <f t="shared" ref="R7:R18" si="5">IF(P$5="Error","Error",IF(P7&lt;&gt;"/",M7*P7,0))</f>
        <v>1.6666666666666666E-2</v>
      </c>
      <c r="S7" s="512">
        <v>1</v>
      </c>
      <c r="T7" s="926" t="str">
        <f>IF(Paramètres!D6=0,"",Paramètres!D6)</f>
        <v/>
      </c>
      <c r="U7" s="586">
        <f t="shared" ref="U7:U12" si="6">IF(U6&lt;&gt;0,U6+IF(AND(T6&lt;&gt;"",S6&lt;W$5),T6,0),IF(AND(T6&lt;&gt;"",S6&lt;W$5),T6,0))</f>
        <v>0</v>
      </c>
      <c r="V7" s="573" t="str">
        <f t="shared" ref="V7:V12" si="7">IF(W7&lt;&gt;"/",IF(Y$5="Error","Error",$Z$5+U7),"/")</f>
        <v>/</v>
      </c>
      <c r="W7" s="457" t="str">
        <f>IF(Y$5="Error","Error",IF(AND($W$5&lt;&gt;"/",$W$5&gt;'Paramètres - Admin'!$A2),'Paramètres - Admin'!$A3,"/"))</f>
        <v>/</v>
      </c>
      <c r="X7" s="385" t="str">
        <f>IF(W7&lt;&gt;"/",VLOOKUP(W7,COSTS_Dark_Elixir_Drill[#All],2),"/")</f>
        <v>/</v>
      </c>
      <c r="Y7" s="458" t="str">
        <f>IF(W7&lt;&gt;"/",VLOOKUP(W7,COSTS_Dark_Elixir_Drill[#All],3),"/")</f>
        <v>/</v>
      </c>
      <c r="Z7" s="385">
        <f t="shared" ref="Z7:Z12" si="8">IF(Y$5="Error","Error",IF(X7&lt;&gt;"/",V7*X7,0))</f>
        <v>0</v>
      </c>
      <c r="AA7" s="459">
        <f t="shared" ref="AA7:AA12" si="9">IF(Y$5="Error","Error",IF(Y7&lt;&gt;"/",V7*Y7,0))</f>
        <v>0</v>
      </c>
    </row>
    <row r="8" spans="1:27" ht="15" customHeight="1" x14ac:dyDescent="0.25">
      <c r="A8" s="927">
        <v>2</v>
      </c>
      <c r="B8" s="928" t="str">
        <f>IF(Paramètres!B7=0,"",Paramètres!B7)</f>
        <v/>
      </c>
      <c r="C8" s="781">
        <f t="shared" ref="C8:C17" si="10">IF(C7&lt;&gt;0,C7+IF(AND(B7&lt;&gt;"",A7&lt;E$5),B7,0),IF(AND(B7&lt;&gt;"",A7&lt;E$5),B7,0))</f>
        <v>0</v>
      </c>
      <c r="D8" s="574">
        <f t="shared" si="0"/>
        <v>1</v>
      </c>
      <c r="E8" s="107">
        <f>IF(G$5="Error","Error",IF(AND($E$5&lt;&gt;"/",$E$5&gt;'Paramètres - Admin'!$A3),'Paramètres - Admin'!$A4,"/"))</f>
        <v>2</v>
      </c>
      <c r="F8" s="386">
        <f>IF(E8&lt;&gt;"/",VLOOKUP(E8,COSTS_Gold_Mine[#All],2),"/")</f>
        <v>300</v>
      </c>
      <c r="G8" s="94">
        <f>IF(E8&lt;&gt;"/",VLOOKUP(E8,COSTS_Gold_Mine[#All],3),"/")</f>
        <v>8.3333333333333329E-2</v>
      </c>
      <c r="H8" s="386">
        <f t="shared" si="1"/>
        <v>300</v>
      </c>
      <c r="I8" s="522">
        <f t="shared" si="2"/>
        <v>8.3333333333333329E-2</v>
      </c>
      <c r="J8" s="927">
        <v>2</v>
      </c>
      <c r="K8" s="928" t="str">
        <f>IF(Paramètres!C7=0,"",Paramètres!C7)</f>
        <v/>
      </c>
      <c r="L8" s="781">
        <f t="shared" ref="L8:L16" si="11">IF(L7&lt;&gt;0,L7+IF(AND(K7&lt;&gt;"",J7&lt;N$5),K7,0),IF(AND(K7&lt;&gt;"",J7&lt;N$5),K7,0))</f>
        <v>0</v>
      </c>
      <c r="M8" s="574">
        <f t="shared" si="3"/>
        <v>1</v>
      </c>
      <c r="N8" s="107">
        <f>IF(P$5="Error","Error",IF(AND($N$5&lt;&gt;"/",$N$5&gt;'Paramètres - Admin'!$A3),'Paramètres - Admin'!$A4,"/"))</f>
        <v>2</v>
      </c>
      <c r="O8" s="517">
        <f>IF(N8&lt;&gt;"/",VLOOKUP(N8,COSTS_Elixir_Collector[#All],2),"/")</f>
        <v>300</v>
      </c>
      <c r="P8" s="94">
        <f>IF(N8&lt;&gt;"/",VLOOKUP(N8,COSTS_Elixir_Collector[#All],3),"/")</f>
        <v>8.3333333333333329E-2</v>
      </c>
      <c r="Q8" s="517">
        <f t="shared" si="4"/>
        <v>300</v>
      </c>
      <c r="R8" s="522">
        <f t="shared" si="5"/>
        <v>8.3333333333333329E-2</v>
      </c>
      <c r="S8" s="927">
        <v>2</v>
      </c>
      <c r="T8" s="928" t="str">
        <f>IF(Paramètres!D7=0,"",Paramètres!D7)</f>
        <v/>
      </c>
      <c r="U8" s="781">
        <f t="shared" si="6"/>
        <v>0</v>
      </c>
      <c r="V8" s="574" t="str">
        <f t="shared" si="7"/>
        <v>/</v>
      </c>
      <c r="W8" s="107" t="str">
        <f>IF(Y$5="Error","Error",IF(AND($W$5&lt;&gt;"/",$W$5&gt;'Paramètres - Admin'!$A3),'Paramètres - Admin'!$A4,"/"))</f>
        <v>/</v>
      </c>
      <c r="X8" s="386" t="str">
        <f>IF(W8&lt;&gt;"/",VLOOKUP(W8,COSTS_Dark_Elixir_Drill[#All],2),"/")</f>
        <v>/</v>
      </c>
      <c r="Y8" s="94" t="str">
        <f>IF(W8&lt;&gt;"/",VLOOKUP(W8,COSTS_Dark_Elixir_Drill[#All],3),"/")</f>
        <v>/</v>
      </c>
      <c r="Z8" s="386">
        <f t="shared" si="8"/>
        <v>0</v>
      </c>
      <c r="AA8" s="522">
        <f t="shared" si="9"/>
        <v>0</v>
      </c>
    </row>
    <row r="9" spans="1:27" ht="15" customHeight="1" x14ac:dyDescent="0.25">
      <c r="A9" s="927">
        <v>3</v>
      </c>
      <c r="B9" s="928" t="str">
        <f>IF(Paramètres!B8=0,"",Paramètres!B8)</f>
        <v/>
      </c>
      <c r="C9" s="781">
        <f t="shared" si="10"/>
        <v>0</v>
      </c>
      <c r="D9" s="574" t="str">
        <f t="shared" si="0"/>
        <v>/</v>
      </c>
      <c r="E9" s="107" t="str">
        <f>IF(G$5="Error","Error",IF(AND($E$5&lt;&gt;"/",$E$5&gt;'Paramètres - Admin'!$A4),'Paramètres - Admin'!$A5,"/"))</f>
        <v>/</v>
      </c>
      <c r="F9" s="386" t="str">
        <f>IF(E9&lt;&gt;"/",VLOOKUP(E9,COSTS_Gold_Mine[#All],2),"/")</f>
        <v>/</v>
      </c>
      <c r="G9" s="94" t="str">
        <f>IF(E9&lt;&gt;"/",VLOOKUP(E9,COSTS_Gold_Mine[#All],3),"/")</f>
        <v>/</v>
      </c>
      <c r="H9" s="386">
        <f t="shared" si="1"/>
        <v>0</v>
      </c>
      <c r="I9" s="522">
        <f t="shared" si="2"/>
        <v>0</v>
      </c>
      <c r="J9" s="927">
        <v>3</v>
      </c>
      <c r="K9" s="928" t="str">
        <f>IF(Paramètres!C8=0,"",Paramètres!C8)</f>
        <v/>
      </c>
      <c r="L9" s="781">
        <f t="shared" si="11"/>
        <v>0</v>
      </c>
      <c r="M9" s="574" t="str">
        <f t="shared" si="3"/>
        <v>/</v>
      </c>
      <c r="N9" s="107" t="str">
        <f>IF(P$5="Error","Error",IF(AND($N$5&lt;&gt;"/",$N$5&gt;'Paramètres - Admin'!$A4),'Paramètres - Admin'!$A5,"/"))</f>
        <v>/</v>
      </c>
      <c r="O9" s="517" t="str">
        <f>IF(N9&lt;&gt;"/",VLOOKUP(N9,COSTS_Elixir_Collector[#All],2),"/")</f>
        <v>/</v>
      </c>
      <c r="P9" s="94" t="str">
        <f>IF(N9&lt;&gt;"/",VLOOKUP(N9,COSTS_Elixir_Collector[#All],3),"/")</f>
        <v>/</v>
      </c>
      <c r="Q9" s="517">
        <f t="shared" si="4"/>
        <v>0</v>
      </c>
      <c r="R9" s="522">
        <f t="shared" si="5"/>
        <v>0</v>
      </c>
      <c r="S9" s="927">
        <v>3</v>
      </c>
      <c r="T9" s="928" t="str">
        <f>IF(Paramètres!D8=0,"",Paramètres!D8)</f>
        <v/>
      </c>
      <c r="U9" s="781">
        <f t="shared" si="6"/>
        <v>0</v>
      </c>
      <c r="V9" s="574" t="str">
        <f t="shared" si="7"/>
        <v>/</v>
      </c>
      <c r="W9" s="107" t="str">
        <f>IF(Y$5="Error","Error",IF(AND($W$5&lt;&gt;"/",$W$5&gt;'Paramètres - Admin'!$A4),'Paramètres - Admin'!$A5,"/"))</f>
        <v>/</v>
      </c>
      <c r="X9" s="386" t="str">
        <f>IF(W9&lt;&gt;"/",VLOOKUP(W9,COSTS_Dark_Elixir_Drill[#All],2),"/")</f>
        <v>/</v>
      </c>
      <c r="Y9" s="94" t="str">
        <f>IF(W9&lt;&gt;"/",VLOOKUP(W9,COSTS_Dark_Elixir_Drill[#All],3),"/")</f>
        <v>/</v>
      </c>
      <c r="Z9" s="386">
        <f t="shared" si="8"/>
        <v>0</v>
      </c>
      <c r="AA9" s="522">
        <f t="shared" si="9"/>
        <v>0</v>
      </c>
    </row>
    <row r="10" spans="1:27" ht="15" customHeight="1" x14ac:dyDescent="0.25">
      <c r="A10" s="927">
        <v>4</v>
      </c>
      <c r="B10" s="928" t="str">
        <f>IF(Paramètres!B9=0,"",Paramètres!B9)</f>
        <v/>
      </c>
      <c r="C10" s="781">
        <f t="shared" si="10"/>
        <v>0</v>
      </c>
      <c r="D10" s="574" t="str">
        <f t="shared" si="0"/>
        <v>/</v>
      </c>
      <c r="E10" s="107" t="str">
        <f>IF(G$5="Error","Error",IF(AND($E$5&lt;&gt;"/",$E$5&gt;'Paramètres - Admin'!$A5),'Paramètres - Admin'!$A6,"/"))</f>
        <v>/</v>
      </c>
      <c r="F10" s="386" t="str">
        <f>IF(E10&lt;&gt;"/",VLOOKUP(E10,COSTS_Gold_Mine[#All],2),"/")</f>
        <v>/</v>
      </c>
      <c r="G10" s="94" t="str">
        <f>IF(E10&lt;&gt;"/",VLOOKUP(E10,COSTS_Gold_Mine[#All],3),"/")</f>
        <v>/</v>
      </c>
      <c r="H10" s="386">
        <f t="shared" si="1"/>
        <v>0</v>
      </c>
      <c r="I10" s="522">
        <f t="shared" si="2"/>
        <v>0</v>
      </c>
      <c r="J10" s="927">
        <v>4</v>
      </c>
      <c r="K10" s="928" t="str">
        <f>IF(Paramètres!C9=0,"",Paramètres!C9)</f>
        <v/>
      </c>
      <c r="L10" s="781">
        <f t="shared" si="11"/>
        <v>0</v>
      </c>
      <c r="M10" s="574" t="str">
        <f t="shared" si="3"/>
        <v>/</v>
      </c>
      <c r="N10" s="107" t="str">
        <f>IF(P$5="Error","Error",IF(AND($N$5&lt;&gt;"/",$N$5&gt;'Paramètres - Admin'!$A5),'Paramètres - Admin'!$A6,"/"))</f>
        <v>/</v>
      </c>
      <c r="O10" s="517" t="str">
        <f>IF(N10&lt;&gt;"/",VLOOKUP(N10,COSTS_Elixir_Collector[#All],2),"/")</f>
        <v>/</v>
      </c>
      <c r="P10" s="94" t="str">
        <f>IF(N10&lt;&gt;"/",VLOOKUP(N10,COSTS_Elixir_Collector[#All],3),"/")</f>
        <v>/</v>
      </c>
      <c r="Q10" s="517">
        <f t="shared" si="4"/>
        <v>0</v>
      </c>
      <c r="R10" s="522">
        <f t="shared" si="5"/>
        <v>0</v>
      </c>
      <c r="S10" s="927">
        <v>4</v>
      </c>
      <c r="T10" s="928" t="str">
        <f>IF(Paramètres!D9=0,"",Paramètres!D9)</f>
        <v/>
      </c>
      <c r="U10" s="781">
        <f t="shared" si="6"/>
        <v>0</v>
      </c>
      <c r="V10" s="574" t="str">
        <f t="shared" si="7"/>
        <v>/</v>
      </c>
      <c r="W10" s="107" t="str">
        <f>IF(Y$5="Error","Error",IF(AND($W$5&lt;&gt;"/",$W$5&gt;'Paramètres - Admin'!$A5),'Paramètres - Admin'!$A6,"/"))</f>
        <v>/</v>
      </c>
      <c r="X10" s="386" t="str">
        <f>IF(W10&lt;&gt;"/",VLOOKUP(W10,COSTS_Dark_Elixir_Drill[#All],2),"/")</f>
        <v>/</v>
      </c>
      <c r="Y10" s="94" t="str">
        <f>IF(W10&lt;&gt;"/",VLOOKUP(W10,COSTS_Dark_Elixir_Drill[#All],3),"/")</f>
        <v>/</v>
      </c>
      <c r="Z10" s="386">
        <f t="shared" si="8"/>
        <v>0</v>
      </c>
      <c r="AA10" s="522">
        <f t="shared" si="9"/>
        <v>0</v>
      </c>
    </row>
    <row r="11" spans="1:27" ht="15" customHeight="1" x14ac:dyDescent="0.25">
      <c r="A11" s="927">
        <v>5</v>
      </c>
      <c r="B11" s="928" t="str">
        <f>IF(Paramètres!B10=0,"",Paramètres!B10)</f>
        <v/>
      </c>
      <c r="C11" s="781">
        <f t="shared" si="10"/>
        <v>0</v>
      </c>
      <c r="D11" s="574" t="str">
        <f t="shared" si="0"/>
        <v>/</v>
      </c>
      <c r="E11" s="107" t="str">
        <f>IF(G$5="Error","Error",IF(AND($E$5&lt;&gt;"/",$E$5&gt;'Paramètres - Admin'!$A6),'Paramètres - Admin'!$A7,"/"))</f>
        <v>/</v>
      </c>
      <c r="F11" s="386" t="str">
        <f>IF(E11&lt;&gt;"/",VLOOKUP(E11,COSTS_Gold_Mine[#All],2),"/")</f>
        <v>/</v>
      </c>
      <c r="G11" s="94" t="str">
        <f>IF(E11&lt;&gt;"/",VLOOKUP(E11,COSTS_Gold_Mine[#All],3),"/")</f>
        <v>/</v>
      </c>
      <c r="H11" s="386">
        <f t="shared" si="1"/>
        <v>0</v>
      </c>
      <c r="I11" s="522">
        <f t="shared" si="2"/>
        <v>0</v>
      </c>
      <c r="J11" s="927">
        <v>5</v>
      </c>
      <c r="K11" s="928" t="str">
        <f>IF(Paramètres!C10=0,"",Paramètres!C10)</f>
        <v/>
      </c>
      <c r="L11" s="781">
        <f t="shared" si="11"/>
        <v>0</v>
      </c>
      <c r="M11" s="574" t="str">
        <f t="shared" si="3"/>
        <v>/</v>
      </c>
      <c r="N11" s="107" t="str">
        <f>IF(P$5="Error","Error",IF(AND($N$5&lt;&gt;"/",$N$5&gt;'Paramètres - Admin'!$A6),'Paramètres - Admin'!$A7,"/"))</f>
        <v>/</v>
      </c>
      <c r="O11" s="517" t="str">
        <f>IF(N11&lt;&gt;"/",VLOOKUP(N11,COSTS_Elixir_Collector[#All],2),"/")</f>
        <v>/</v>
      </c>
      <c r="P11" s="94" t="str">
        <f>IF(N11&lt;&gt;"/",VLOOKUP(N11,COSTS_Elixir_Collector[#All],3),"/")</f>
        <v>/</v>
      </c>
      <c r="Q11" s="517">
        <f t="shared" si="4"/>
        <v>0</v>
      </c>
      <c r="R11" s="522">
        <f t="shared" si="5"/>
        <v>0</v>
      </c>
      <c r="S11" s="927">
        <v>5</v>
      </c>
      <c r="T11" s="928" t="str">
        <f>IF(Paramètres!D10=0,"",Paramètres!D10)</f>
        <v/>
      </c>
      <c r="U11" s="781">
        <f t="shared" si="6"/>
        <v>0</v>
      </c>
      <c r="V11" s="574" t="str">
        <f t="shared" si="7"/>
        <v>/</v>
      </c>
      <c r="W11" s="107" t="str">
        <f>IF(Y$5="Error","Error",IF(AND($W$5&lt;&gt;"/",$W$5&gt;'Paramètres - Admin'!$A6),'Paramètres - Admin'!$A7,"/"))</f>
        <v>/</v>
      </c>
      <c r="X11" s="386" t="str">
        <f>IF(W11&lt;&gt;"/",VLOOKUP(W11,COSTS_Dark_Elixir_Drill[#All],2),"/")</f>
        <v>/</v>
      </c>
      <c r="Y11" s="94" t="str">
        <f>IF(W11&lt;&gt;"/",VLOOKUP(W11,COSTS_Dark_Elixir_Drill[#All],3),"/")</f>
        <v>/</v>
      </c>
      <c r="Z11" s="386">
        <f t="shared" si="8"/>
        <v>0</v>
      </c>
      <c r="AA11" s="522">
        <f t="shared" si="9"/>
        <v>0</v>
      </c>
    </row>
    <row r="12" spans="1:27" ht="15" customHeight="1" thickBot="1" x14ac:dyDescent="0.3">
      <c r="A12" s="927">
        <v>6</v>
      </c>
      <c r="B12" s="928" t="str">
        <f>IF(Paramètres!B11=0,"",Paramètres!B11)</f>
        <v/>
      </c>
      <c r="C12" s="781">
        <f t="shared" si="10"/>
        <v>0</v>
      </c>
      <c r="D12" s="574" t="str">
        <f t="shared" si="0"/>
        <v>/</v>
      </c>
      <c r="E12" s="107" t="str">
        <f>IF(G$5="Error","Error",IF(AND($E$5&lt;&gt;"/",$E$5&gt;'Paramètres - Admin'!$A7),'Paramètres - Admin'!$A8,"/"))</f>
        <v>/</v>
      </c>
      <c r="F12" s="386" t="str">
        <f>IF(E12&lt;&gt;"/",VLOOKUP(E12,COSTS_Gold_Mine[#All],2),"/")</f>
        <v>/</v>
      </c>
      <c r="G12" s="94" t="str">
        <f>IF(E12&lt;&gt;"/",VLOOKUP(E12,COSTS_Gold_Mine[#All],3),"/")</f>
        <v>/</v>
      </c>
      <c r="H12" s="386">
        <f t="shared" si="1"/>
        <v>0</v>
      </c>
      <c r="I12" s="522">
        <f t="shared" si="2"/>
        <v>0</v>
      </c>
      <c r="J12" s="927">
        <v>6</v>
      </c>
      <c r="K12" s="928" t="str">
        <f>IF(Paramètres!C11=0,"",Paramètres!C11)</f>
        <v/>
      </c>
      <c r="L12" s="781">
        <f t="shared" si="11"/>
        <v>0</v>
      </c>
      <c r="M12" s="574" t="str">
        <f t="shared" si="3"/>
        <v>/</v>
      </c>
      <c r="N12" s="107" t="str">
        <f>IF(P$5="Error","Error",IF(AND($N$5&lt;&gt;"/",$N$5&gt;'Paramètres - Admin'!$A7),'Paramètres - Admin'!$A8,"/"))</f>
        <v>/</v>
      </c>
      <c r="O12" s="517" t="str">
        <f>IF(N12&lt;&gt;"/",VLOOKUP(N12,COSTS_Elixir_Collector[#All],2),"/")</f>
        <v>/</v>
      </c>
      <c r="P12" s="94" t="str">
        <f>IF(N12&lt;&gt;"/",VLOOKUP(N12,COSTS_Elixir_Collector[#All],3),"/")</f>
        <v>/</v>
      </c>
      <c r="Q12" s="517">
        <f t="shared" si="4"/>
        <v>0</v>
      </c>
      <c r="R12" s="522">
        <f t="shared" si="5"/>
        <v>0</v>
      </c>
      <c r="S12" s="929">
        <v>6</v>
      </c>
      <c r="T12" s="930" t="str">
        <f>IF(Paramètres!D11=0,"",Paramètres!D11)</f>
        <v/>
      </c>
      <c r="U12" s="782">
        <f t="shared" si="6"/>
        <v>0</v>
      </c>
      <c r="V12" s="575" t="str">
        <f t="shared" si="7"/>
        <v>/</v>
      </c>
      <c r="W12" s="113" t="str">
        <f>IF(Y$5="Error","Error",IF(AND($W$5&lt;&gt;"/",$W$5&gt;'Paramètres - Admin'!$A7),'Paramètres - Admin'!$A8,"/"))</f>
        <v>/</v>
      </c>
      <c r="X12" s="387" t="str">
        <f>IF(W12&lt;&gt;"/",VLOOKUP(W12,COSTS_Dark_Elixir_Drill[#All],2),"/")</f>
        <v>/</v>
      </c>
      <c r="Y12" s="112" t="str">
        <f>IF(W12&lt;&gt;"/",VLOOKUP(W12,COSTS_Dark_Elixir_Drill[#All],3),"/")</f>
        <v>/</v>
      </c>
      <c r="Z12" s="387">
        <f t="shared" si="8"/>
        <v>0</v>
      </c>
      <c r="AA12" s="114">
        <f t="shared" si="9"/>
        <v>0</v>
      </c>
    </row>
    <row r="13" spans="1:27" ht="15" customHeight="1" thickBot="1" x14ac:dyDescent="0.3">
      <c r="A13" s="927">
        <v>7</v>
      </c>
      <c r="B13" s="928" t="str">
        <f>IF(Paramètres!B12=0,"",Paramètres!B12)</f>
        <v/>
      </c>
      <c r="C13" s="781">
        <f t="shared" si="10"/>
        <v>0</v>
      </c>
      <c r="D13" s="574" t="str">
        <f t="shared" si="0"/>
        <v>/</v>
      </c>
      <c r="E13" s="107" t="str">
        <f>IF(G$5="Error","Error",IF(AND($E$5&lt;&gt;"/",$E$5&gt;'Paramètres - Admin'!$A8),'Paramètres - Admin'!$A9,"/"))</f>
        <v>/</v>
      </c>
      <c r="F13" s="386" t="str">
        <f>IF(E13&lt;&gt;"/",VLOOKUP(E13,COSTS_Gold_Mine[#All],2),"/")</f>
        <v>/</v>
      </c>
      <c r="G13" s="94" t="str">
        <f>IF(E13&lt;&gt;"/",VLOOKUP(E13,COSTS_Gold_Mine[#All],3),"/")</f>
        <v>/</v>
      </c>
      <c r="H13" s="386">
        <f t="shared" si="1"/>
        <v>0</v>
      </c>
      <c r="I13" s="522">
        <f t="shared" si="2"/>
        <v>0</v>
      </c>
      <c r="J13" s="927">
        <v>7</v>
      </c>
      <c r="K13" s="928" t="str">
        <f>IF(Paramètres!C12=0,"",Paramètres!C12)</f>
        <v/>
      </c>
      <c r="L13" s="781">
        <f t="shared" si="11"/>
        <v>0</v>
      </c>
      <c r="M13" s="574" t="str">
        <f t="shared" si="3"/>
        <v>/</v>
      </c>
      <c r="N13" s="107" t="str">
        <f>IF(P$5="Error","Error",IF(AND($N$5&lt;&gt;"/",$N$5&gt;'Paramètres - Admin'!$A8),'Paramètres - Admin'!$A9,"/"))</f>
        <v>/</v>
      </c>
      <c r="O13" s="517" t="str">
        <f>IF(N13&lt;&gt;"/",VLOOKUP(N13,COSTS_Elixir_Collector[#All],2),"/")</f>
        <v>/</v>
      </c>
      <c r="P13" s="94" t="str">
        <f>IF(N13&lt;&gt;"/",VLOOKUP(N13,COSTS_Elixir_Collector[#All],3),"/")</f>
        <v>/</v>
      </c>
      <c r="Q13" s="517">
        <f t="shared" si="4"/>
        <v>0</v>
      </c>
      <c r="R13" s="522">
        <f t="shared" si="5"/>
        <v>0</v>
      </c>
      <c r="S13" s="910"/>
      <c r="T13" s="911"/>
      <c r="U13" s="911"/>
      <c r="V13" s="911"/>
      <c r="W13" s="911"/>
      <c r="X13" s="912"/>
      <c r="Y13" s="511" t="s">
        <v>31</v>
      </c>
      <c r="Z13" s="388">
        <f>IF(Y$5="Error","Error",SUM(Z7:Z12))</f>
        <v>0</v>
      </c>
      <c r="AA13" s="534">
        <f>IF(Y$5="Error","Error",SUM(AA7:AA12))</f>
        <v>0</v>
      </c>
    </row>
    <row r="14" spans="1:27" ht="15" customHeight="1" x14ac:dyDescent="0.25">
      <c r="A14" s="927">
        <v>8</v>
      </c>
      <c r="B14" s="928" t="str">
        <f>IF(Paramètres!B13=0,"",Paramètres!B13)</f>
        <v/>
      </c>
      <c r="C14" s="781">
        <f t="shared" si="10"/>
        <v>0</v>
      </c>
      <c r="D14" s="574" t="str">
        <f t="shared" si="0"/>
        <v>/</v>
      </c>
      <c r="E14" s="107" t="str">
        <f>IF(G$5="Error","Error",IF(AND($E$5&lt;&gt;"/",$E$5&gt;'Paramètres - Admin'!$A9),'Paramètres - Admin'!$A10,"/"))</f>
        <v>/</v>
      </c>
      <c r="F14" s="386" t="str">
        <f>IF(E14&lt;&gt;"/",VLOOKUP(E14,COSTS_Gold_Mine[#All],2),"/")</f>
        <v>/</v>
      </c>
      <c r="G14" s="94" t="str">
        <f>IF(E14&lt;&gt;"/",VLOOKUP(E14,COSTS_Gold_Mine[#All],3),"/")</f>
        <v>/</v>
      </c>
      <c r="H14" s="386">
        <f t="shared" si="1"/>
        <v>0</v>
      </c>
      <c r="I14" s="522">
        <f t="shared" si="2"/>
        <v>0</v>
      </c>
      <c r="J14" s="927">
        <v>8</v>
      </c>
      <c r="K14" s="928" t="str">
        <f>IF(Paramètres!C13=0,"",Paramètres!C13)</f>
        <v/>
      </c>
      <c r="L14" s="781">
        <f t="shared" si="11"/>
        <v>0</v>
      </c>
      <c r="M14" s="574" t="str">
        <f t="shared" si="3"/>
        <v>/</v>
      </c>
      <c r="N14" s="107" t="str">
        <f>IF(P$5="Error","Error",IF(AND($N$5&lt;&gt;"/",$N$5&gt;'Paramètres - Admin'!$A9),'Paramètres - Admin'!$A10,"/"))</f>
        <v>/</v>
      </c>
      <c r="O14" s="517" t="str">
        <f>IF(N14&lt;&gt;"/",VLOOKUP(N14,COSTS_Elixir_Collector[#All],2),"/")</f>
        <v>/</v>
      </c>
      <c r="P14" s="94" t="str">
        <f>IF(N14&lt;&gt;"/",VLOOKUP(N14,COSTS_Elixir_Collector[#All],3),"/")</f>
        <v>/</v>
      </c>
      <c r="Q14" s="517">
        <f t="shared" si="4"/>
        <v>0</v>
      </c>
      <c r="R14" s="522">
        <f t="shared" si="5"/>
        <v>0</v>
      </c>
    </row>
    <row r="15" spans="1:27" ht="15" customHeight="1" x14ac:dyDescent="0.25">
      <c r="A15" s="927">
        <v>9</v>
      </c>
      <c r="B15" s="928" t="str">
        <f>IF(Paramètres!B14=0,"",Paramètres!B14)</f>
        <v/>
      </c>
      <c r="C15" s="781">
        <f t="shared" si="10"/>
        <v>0</v>
      </c>
      <c r="D15" s="574" t="str">
        <f t="shared" si="0"/>
        <v>/</v>
      </c>
      <c r="E15" s="107" t="str">
        <f>IF(G$5="Error","Error",IF(AND($E$5&lt;&gt;"/",$E$5&gt;'Paramètres - Admin'!$A10),'Paramètres - Admin'!$A11,"/"))</f>
        <v>/</v>
      </c>
      <c r="F15" s="386" t="str">
        <f>IF(E15&lt;&gt;"/",VLOOKUP(E15,COSTS_Gold_Mine[#All],2),"/")</f>
        <v>/</v>
      </c>
      <c r="G15" s="94" t="str">
        <f>IF(E15&lt;&gt;"/",VLOOKUP(E15,COSTS_Gold_Mine[#All],3),"/")</f>
        <v>/</v>
      </c>
      <c r="H15" s="386">
        <f t="shared" si="1"/>
        <v>0</v>
      </c>
      <c r="I15" s="522">
        <f t="shared" si="2"/>
        <v>0</v>
      </c>
      <c r="J15" s="927">
        <v>9</v>
      </c>
      <c r="K15" s="928" t="str">
        <f>IF(Paramètres!C14=0,"",Paramètres!C14)</f>
        <v/>
      </c>
      <c r="L15" s="781">
        <f t="shared" si="11"/>
        <v>0</v>
      </c>
      <c r="M15" s="574" t="str">
        <f t="shared" si="3"/>
        <v>/</v>
      </c>
      <c r="N15" s="107" t="str">
        <f>IF(P$5="Error","Error",IF(AND($N$5&lt;&gt;"/",$N$5&gt;'Paramètres - Admin'!$A10),'Paramètres - Admin'!$A11,"/"))</f>
        <v>/</v>
      </c>
      <c r="O15" s="517" t="str">
        <f>IF(N15&lt;&gt;"/",VLOOKUP(N15,COSTS_Elixir_Collector[#All],2),"/")</f>
        <v>/</v>
      </c>
      <c r="P15" s="94" t="str">
        <f>IF(N15&lt;&gt;"/",VLOOKUP(N15,COSTS_Elixir_Collector[#All],3),"/")</f>
        <v>/</v>
      </c>
      <c r="Q15" s="517">
        <f t="shared" si="4"/>
        <v>0</v>
      </c>
      <c r="R15" s="522">
        <f t="shared" si="5"/>
        <v>0</v>
      </c>
    </row>
    <row r="16" spans="1:27" ht="15" customHeight="1" x14ac:dyDescent="0.25">
      <c r="A16" s="927">
        <v>10</v>
      </c>
      <c r="B16" s="928" t="str">
        <f>IF(Paramètres!B15=0,"",Paramètres!B15)</f>
        <v/>
      </c>
      <c r="C16" s="781">
        <f t="shared" si="10"/>
        <v>0</v>
      </c>
      <c r="D16" s="574" t="str">
        <f t="shared" si="0"/>
        <v>/</v>
      </c>
      <c r="E16" s="107" t="str">
        <f>IF(G$5="Error","Error",IF(AND($E$5&lt;&gt;"/",$E$5&gt;'Paramètres - Admin'!$A11),'Paramètres - Admin'!$A12,"/"))</f>
        <v>/</v>
      </c>
      <c r="F16" s="386" t="str">
        <f>IF(E16&lt;&gt;"/",VLOOKUP(E16,COSTS_Gold_Mine[#All],2),"/")</f>
        <v>/</v>
      </c>
      <c r="G16" s="94" t="str">
        <f>IF(E16&lt;&gt;"/",VLOOKUP(E16,COSTS_Gold_Mine[#All],3),"/")</f>
        <v>/</v>
      </c>
      <c r="H16" s="386">
        <f t="shared" si="1"/>
        <v>0</v>
      </c>
      <c r="I16" s="522">
        <f t="shared" si="2"/>
        <v>0</v>
      </c>
      <c r="J16" s="927">
        <v>10</v>
      </c>
      <c r="K16" s="928" t="str">
        <f>IF(Paramètres!C15=0,"",Paramètres!C15)</f>
        <v/>
      </c>
      <c r="L16" s="781">
        <f t="shared" si="11"/>
        <v>0</v>
      </c>
      <c r="M16" s="574" t="str">
        <f t="shared" si="3"/>
        <v>/</v>
      </c>
      <c r="N16" s="107" t="str">
        <f>IF(P$5="Error","Error",IF(AND($N$5&lt;&gt;"/",$N$5&gt;'Paramètres - Admin'!$A11),'Paramètres - Admin'!$A12,"/"))</f>
        <v>/</v>
      </c>
      <c r="O16" s="517" t="str">
        <f>IF(N16&lt;&gt;"/",VLOOKUP(N16,COSTS_Elixir_Collector[#All],2),"/")</f>
        <v>/</v>
      </c>
      <c r="P16" s="94" t="str">
        <f>IF(N16&lt;&gt;"/",VLOOKUP(N16,COSTS_Elixir_Collector[#All],3),"/")</f>
        <v>/</v>
      </c>
      <c r="Q16" s="517">
        <f t="shared" si="4"/>
        <v>0</v>
      </c>
      <c r="R16" s="522">
        <f t="shared" si="5"/>
        <v>0</v>
      </c>
    </row>
    <row r="17" spans="1:27" ht="15" customHeight="1" x14ac:dyDescent="0.25">
      <c r="A17" s="927">
        <v>11</v>
      </c>
      <c r="B17" s="928" t="str">
        <f>IF(Paramètres!B16=0,"",Paramètres!B16)</f>
        <v/>
      </c>
      <c r="C17" s="781">
        <f t="shared" si="10"/>
        <v>0</v>
      </c>
      <c r="D17" s="574" t="str">
        <f t="shared" si="0"/>
        <v>/</v>
      </c>
      <c r="E17" s="107" t="str">
        <f>IF(G$5="Error","Error",IF(AND($E$5&lt;&gt;"/",$E$5&gt;'Paramètres - Admin'!$A12),'Paramètres - Admin'!$A13,"/"))</f>
        <v>/</v>
      </c>
      <c r="F17" s="386" t="str">
        <f>IF(E17&lt;&gt;"/",VLOOKUP(E17,COSTS_Gold_Mine[#All],2),"/")</f>
        <v>/</v>
      </c>
      <c r="G17" s="94" t="str">
        <f>IF(E17&lt;&gt;"/",VLOOKUP(E17,COSTS_Gold_Mine[#All],3),"/")</f>
        <v>/</v>
      </c>
      <c r="H17" s="386">
        <f t="shared" si="1"/>
        <v>0</v>
      </c>
      <c r="I17" s="522">
        <f t="shared" si="2"/>
        <v>0</v>
      </c>
      <c r="J17" s="927">
        <v>11</v>
      </c>
      <c r="K17" s="928" t="str">
        <f>IF(Paramètres!C16=0,"",Paramètres!C16)</f>
        <v/>
      </c>
      <c r="L17" s="781">
        <f>IF(L16&lt;&gt;0,L16+IF(AND(K16&lt;&gt;"",J16&lt;N$5),K16,0),IF(AND(K16&lt;&gt;"",J16&lt;N$5),K16,0))</f>
        <v>0</v>
      </c>
      <c r="M17" s="574" t="str">
        <f t="shared" si="3"/>
        <v>/</v>
      </c>
      <c r="N17" s="107" t="str">
        <f>IF(P$5="Error","Error",IF(AND($N$5&lt;&gt;"/",$N$5&gt;'Paramètres - Admin'!$A12),'Paramètres - Admin'!$A13,"/"))</f>
        <v>/</v>
      </c>
      <c r="O17" s="517" t="str">
        <f>IF(N17&lt;&gt;"/",VLOOKUP(N17,COSTS_Elixir_Collector[#All],2),"/")</f>
        <v>/</v>
      </c>
      <c r="P17" s="94" t="str">
        <f>IF(N17&lt;&gt;"/",VLOOKUP(N17,COSTS_Elixir_Collector[#All],3),"/")</f>
        <v>/</v>
      </c>
      <c r="Q17" s="517">
        <f t="shared" si="4"/>
        <v>0</v>
      </c>
      <c r="R17" s="522">
        <f t="shared" si="5"/>
        <v>0</v>
      </c>
    </row>
    <row r="18" spans="1:27" ht="15" customHeight="1" thickBot="1" x14ac:dyDescent="0.3">
      <c r="A18" s="929">
        <v>12</v>
      </c>
      <c r="B18" s="930" t="str">
        <f>IF(Paramètres!B17=0,"",Paramètres!B17)</f>
        <v/>
      </c>
      <c r="C18" s="782">
        <f>IF(C17&lt;&gt;0,C17+IF(AND(B17&lt;&gt;"",A17&lt;E$5),B17,0),IF(AND(B17&lt;&gt;"",A17&lt;E$5),B17,0))</f>
        <v>0</v>
      </c>
      <c r="D18" s="575" t="str">
        <f t="shared" si="0"/>
        <v>/</v>
      </c>
      <c r="E18" s="113" t="str">
        <f>IF(G$5="Error","Error",IF(AND($E$5&lt;&gt;"/",$E$5&gt;'Paramètres - Admin'!$A13),'Paramètres - Admin'!$A14,"/"))</f>
        <v>/</v>
      </c>
      <c r="F18" s="387" t="str">
        <f>IF(E18&lt;&gt;"/",VLOOKUP(E18,COSTS_Gold_Mine[#All],2),"/")</f>
        <v>/</v>
      </c>
      <c r="G18" s="112" t="str">
        <f>IF(E18&lt;&gt;"/",VLOOKUP(E18,COSTS_Gold_Mine[#All],3),"/")</f>
        <v>/</v>
      </c>
      <c r="H18" s="387">
        <f t="shared" si="1"/>
        <v>0</v>
      </c>
      <c r="I18" s="114">
        <f t="shared" si="2"/>
        <v>0</v>
      </c>
      <c r="J18" s="929">
        <v>12</v>
      </c>
      <c r="K18" s="930" t="str">
        <f>IF(Paramètres!C17=0,"",Paramètres!C17)</f>
        <v/>
      </c>
      <c r="L18" s="782">
        <f>IF(L17&lt;&gt;0,L17+IF(AND(K17&lt;&gt;"",J17&lt;N$5),K17,0),IF(AND(K17&lt;&gt;"",J17&lt;N$5),K17,0))</f>
        <v>0</v>
      </c>
      <c r="M18" s="575" t="str">
        <f t="shared" si="3"/>
        <v>/</v>
      </c>
      <c r="N18" s="113" t="str">
        <f>IF(P$5="Error","Error",IF(AND($N$5&lt;&gt;"/",$N$5&gt;'Paramètres - Admin'!$A13),'Paramètres - Admin'!$A14,"/"))</f>
        <v>/</v>
      </c>
      <c r="O18" s="115" t="str">
        <f>IF(N18&lt;&gt;"/",VLOOKUP(N18,COSTS_Elixir_Collector[#All],2),"/")</f>
        <v>/</v>
      </c>
      <c r="P18" s="112" t="str">
        <f>IF(N18&lt;&gt;"/",VLOOKUP(N18,COSTS_Elixir_Collector[#All],3),"/")</f>
        <v>/</v>
      </c>
      <c r="Q18" s="115">
        <f t="shared" si="4"/>
        <v>0</v>
      </c>
      <c r="R18" s="114">
        <f t="shared" si="5"/>
        <v>0</v>
      </c>
    </row>
    <row r="19" spans="1:27" ht="15" customHeight="1" thickBot="1" x14ac:dyDescent="0.3">
      <c r="A19" s="907"/>
      <c r="B19" s="908"/>
      <c r="C19" s="908"/>
      <c r="D19" s="908"/>
      <c r="E19" s="908"/>
      <c r="F19" s="908"/>
      <c r="G19" s="511" t="s">
        <v>31</v>
      </c>
      <c r="H19" s="388">
        <f>IF(G$5="Error","Error",SUM(H7:H18))</f>
        <v>450</v>
      </c>
      <c r="I19" s="534">
        <f>IF(G$5="Error","Error",SUM(I7:I18))</f>
        <v>9.9999999999999992E-2</v>
      </c>
      <c r="J19" s="908"/>
      <c r="K19" s="908"/>
      <c r="L19" s="908"/>
      <c r="M19" s="908"/>
      <c r="P19" s="511" t="s">
        <v>31</v>
      </c>
      <c r="Q19" s="223">
        <f>IF(P$5="Error","Error",SUM(Q7:Q18))</f>
        <v>450</v>
      </c>
      <c r="R19" s="534">
        <f>IF(P$5="Error","Error",SUM(R7:R18))</f>
        <v>9.9999999999999992E-2</v>
      </c>
      <c r="S19" s="133"/>
    </row>
    <row r="20" spans="1:27" ht="15" customHeight="1" x14ac:dyDescent="0.25">
      <c r="A20" s="1119" t="s">
        <v>212</v>
      </c>
      <c r="B20" s="1120"/>
      <c r="C20" s="1121"/>
      <c r="D20" s="80" t="s">
        <v>38</v>
      </c>
      <c r="E20" s="81" t="s">
        <v>39</v>
      </c>
      <c r="F20" s="214"/>
      <c r="G20" s="512" t="s">
        <v>256</v>
      </c>
      <c r="H20" s="514" t="s">
        <v>361</v>
      </c>
      <c r="I20" s="513" t="s">
        <v>257</v>
      </c>
      <c r="J20" s="1119" t="s">
        <v>452</v>
      </c>
      <c r="K20" s="1120"/>
      <c r="L20" s="1121"/>
      <c r="M20" s="80" t="s">
        <v>38</v>
      </c>
      <c r="N20" s="81" t="s">
        <v>39</v>
      </c>
      <c r="O20" s="214"/>
      <c r="P20" s="512" t="s">
        <v>256</v>
      </c>
      <c r="Q20" s="514" t="s">
        <v>361</v>
      </c>
      <c r="R20" s="513" t="s">
        <v>257</v>
      </c>
      <c r="S20" s="1119" t="s">
        <v>451</v>
      </c>
      <c r="T20" s="1120"/>
      <c r="U20" s="1121"/>
      <c r="V20" s="80" t="s">
        <v>38</v>
      </c>
      <c r="W20" s="81" t="s">
        <v>39</v>
      </c>
      <c r="X20" s="214"/>
      <c r="Y20" s="512" t="s">
        <v>256</v>
      </c>
      <c r="Z20" s="514" t="s">
        <v>361</v>
      </c>
      <c r="AA20" s="513" t="s">
        <v>257</v>
      </c>
    </row>
    <row r="21" spans="1:27" ht="15" customHeight="1" thickBot="1" x14ac:dyDescent="0.3">
      <c r="A21" s="1122"/>
      <c r="B21" s="1123"/>
      <c r="C21" s="1124"/>
      <c r="D21" s="88">
        <f>VLOOKUP($A$2,AVAILABLE_Buildings_Resource[#All],MATCH(A20,AVAILABLE_Buildings_Resource[#Headers],0))</f>
        <v>1</v>
      </c>
      <c r="E21" s="89">
        <f>VLOOKUP($A$2,AVAILABLE_Buildings_Resource[#All],MATCH(A20,AVAILABLE_Buildings_Resource[#Headers],0)+1)</f>
        <v>1</v>
      </c>
      <c r="F21" s="215"/>
      <c r="G21" s="96">
        <f>IF(SUM(B23:B34)&gt;D21,"Error",SUM(B23:B34))</f>
        <v>0</v>
      </c>
      <c r="H21" s="97">
        <f>IF(G$21="Error","Error",D21-G21)</f>
        <v>1</v>
      </c>
      <c r="I21" s="202">
        <f>IF(G$21="Error","Error",SUM(D23:D34))</f>
        <v>1</v>
      </c>
      <c r="J21" s="1122"/>
      <c r="K21" s="1123"/>
      <c r="L21" s="1124"/>
      <c r="M21" s="88">
        <f>VLOOKUP($A$2,AVAILABLE_Buildings_Resource[#All],MATCH(J20,AVAILABLE_Buildings_Resource[#Headers],0))</f>
        <v>1</v>
      </c>
      <c r="N21" s="89">
        <f>VLOOKUP($A$2,AVAILABLE_Buildings_Resource[#All],MATCH(J20,AVAILABLE_Buildings_Resource[#Headers],0)+1)</f>
        <v>1</v>
      </c>
      <c r="O21" s="215"/>
      <c r="P21" s="88">
        <f>IF(SUM(K23:K34)&gt;M21,"Error",SUM(K23:K34))</f>
        <v>0</v>
      </c>
      <c r="Q21" s="218">
        <f>IF(P$21="Error","Error",M21-P21)</f>
        <v>1</v>
      </c>
      <c r="R21" s="219">
        <f>IF(P$21="Error","Error",SUM(M23:M34))</f>
        <v>1</v>
      </c>
      <c r="S21" s="1122"/>
      <c r="T21" s="1123"/>
      <c r="U21" s="1124"/>
      <c r="V21" s="88">
        <f>VLOOKUP($A$2,AVAILABLE_Buildings_Resource[#All],MATCH(S20,AVAILABLE_Buildings_Resource[#Headers],0))</f>
        <v>0</v>
      </c>
      <c r="W21" s="89">
        <f>VLOOKUP($A$2,AVAILABLE_Buildings_Resource[#All],MATCH(S20,AVAILABLE_Buildings_Resource[#Headers],0)+1)</f>
        <v>0</v>
      </c>
      <c r="X21" s="215"/>
      <c r="Y21" s="96">
        <f>IF(SUM(T23:T28)&gt;V21,"Error",SUM(T23:T28))</f>
        <v>0</v>
      </c>
      <c r="Z21" s="97">
        <f>IF(Y$21="Error","Error",V21-Y21)</f>
        <v>0</v>
      </c>
      <c r="AA21" s="202">
        <f>IF(Y$21="Error","Error",SUM(V23:V28))</f>
        <v>0</v>
      </c>
    </row>
    <row r="22" spans="1:27" ht="15" customHeight="1" thickBot="1" x14ac:dyDescent="0.3">
      <c r="A22" s="520" t="s">
        <v>30</v>
      </c>
      <c r="B22" s="339" t="s">
        <v>29</v>
      </c>
      <c r="C22" s="460"/>
      <c r="D22" s="216" t="s">
        <v>29</v>
      </c>
      <c r="E22" s="217" t="s">
        <v>30</v>
      </c>
      <c r="F22" s="532" t="s">
        <v>258</v>
      </c>
      <c r="G22" s="532" t="s">
        <v>259</v>
      </c>
      <c r="H22" s="532" t="s">
        <v>232</v>
      </c>
      <c r="I22" s="533" t="s">
        <v>233</v>
      </c>
      <c r="J22" s="520" t="s">
        <v>30</v>
      </c>
      <c r="K22" s="339" t="s">
        <v>29</v>
      </c>
      <c r="L22" s="460"/>
      <c r="M22" s="216" t="s">
        <v>29</v>
      </c>
      <c r="N22" s="217" t="s">
        <v>30</v>
      </c>
      <c r="O22" s="532" t="s">
        <v>258</v>
      </c>
      <c r="P22" s="532" t="s">
        <v>259</v>
      </c>
      <c r="Q22" s="532" t="s">
        <v>232</v>
      </c>
      <c r="R22" s="533" t="s">
        <v>233</v>
      </c>
      <c r="S22" s="520" t="s">
        <v>30</v>
      </c>
      <c r="T22" s="339" t="s">
        <v>29</v>
      </c>
      <c r="U22" s="460"/>
      <c r="V22" s="216" t="s">
        <v>29</v>
      </c>
      <c r="W22" s="217" t="s">
        <v>30</v>
      </c>
      <c r="X22" s="532" t="s">
        <v>258</v>
      </c>
      <c r="Y22" s="532" t="s">
        <v>259</v>
      </c>
      <c r="Z22" s="532" t="s">
        <v>232</v>
      </c>
      <c r="AA22" s="533" t="s">
        <v>233</v>
      </c>
    </row>
    <row r="23" spans="1:27" ht="15" customHeight="1" x14ac:dyDescent="0.25">
      <c r="A23" s="512">
        <v>1</v>
      </c>
      <c r="B23" s="926" t="str">
        <f>IF(Paramètres!E6=0,"",Paramètres!E6)</f>
        <v/>
      </c>
      <c r="C23" s="586">
        <f t="shared" ref="C23:C34" si="12">IF(C22&lt;&gt;0,C22+IF(AND(B22&lt;&gt;"",A22&lt;E$21),B22,0),IF(AND(B22&lt;&gt;"",A22&lt;E$21),B22,0))</f>
        <v>0</v>
      </c>
      <c r="D23" s="573">
        <f t="shared" ref="D23:D34" si="13">IF(E23&lt;&gt;"/",IF(G$21="Error","Error",$H$21+C23),"/")</f>
        <v>1</v>
      </c>
      <c r="E23" s="457">
        <f>IF(G$21="Error","Error",IF(AND($E$21&lt;&gt;"/",$E$21&gt;'Paramètres - Admin'!$A2),'Paramètres - Admin'!$A3,"/"))</f>
        <v>1</v>
      </c>
      <c r="F23" s="385">
        <f>IF(E23&lt;&gt;"/",VLOOKUP(E23,COSTS_Gold_Storage[#All],2),"/")</f>
        <v>300</v>
      </c>
      <c r="G23" s="458">
        <f>IF(E23&lt;&gt;"/",VLOOKUP(E23,COSTS_Gold_Storage[#All],3),"/")</f>
        <v>0.25</v>
      </c>
      <c r="H23" s="385">
        <f t="shared" ref="H23:H34" si="14">IF(G$21="Error","Error",IF(F23&lt;&gt;"/",D23*F23,0))</f>
        <v>300</v>
      </c>
      <c r="I23" s="459">
        <f t="shared" ref="I23:I34" si="15">IF(G$21="Error","Error",IF(G23&lt;&gt;"/",D23*G23,0))</f>
        <v>0.25</v>
      </c>
      <c r="J23" s="512">
        <v>1</v>
      </c>
      <c r="K23" s="926" t="str">
        <f>IF(Paramètres!F6=0,"",Paramètres!F6)</f>
        <v/>
      </c>
      <c r="L23" s="586">
        <f>IF(L22&lt;&gt;0,L22+IF(AND(K22&lt;&gt;"",J22&lt;N$21),K22,0),IF(AND(K22&lt;&gt;"",J22&lt;N$21),K22,0))</f>
        <v>0</v>
      </c>
      <c r="M23" s="573">
        <f t="shared" ref="M23:M34" si="16">IF(N23&lt;&gt;"/",IF(P$21="Error","Error",$Q$21+L23),"/")</f>
        <v>1</v>
      </c>
      <c r="N23" s="457">
        <f>IF(P$21="Error","Error",IF(AND($N$21&lt;&gt;"/",$N$21&gt;'Paramètres - Admin'!$A2),'Paramètres - Admin'!$A3,"/"))</f>
        <v>1</v>
      </c>
      <c r="O23" s="86">
        <f>IF(N23&lt;&gt;"/",VLOOKUP(N23,COSTS_Elixir_Storage[#All],2),"/")</f>
        <v>300</v>
      </c>
      <c r="P23" s="458">
        <f>IF(N23&lt;&gt;"/",VLOOKUP(N23,COSTS_Elixir_Storage[#All],3),"/")</f>
        <v>0.25</v>
      </c>
      <c r="Q23" s="86">
        <f t="shared" ref="Q23:Q34" si="17">IF(P$21="Error","Error",IF(O23&lt;&gt;"/",M23*O23,0))</f>
        <v>300</v>
      </c>
      <c r="R23" s="459">
        <f t="shared" ref="R23:R34" si="18">IF(P$21="Error","Error",IF(P23&lt;&gt;"/",M23*P23,0))</f>
        <v>0.25</v>
      </c>
      <c r="S23" s="512">
        <v>1</v>
      </c>
      <c r="T23" s="926" t="str">
        <f>IF(Paramètres!G6=0,"",Paramètres!G6)</f>
        <v/>
      </c>
      <c r="U23" s="586">
        <f t="shared" ref="U23:U28" si="19">IF(U22&lt;&gt;0,U22+IF(AND(T22&lt;&gt;"",S22&lt;W$21),T22,0),IF(AND(T22&lt;&gt;"",S22&lt;W$21),T22,0))</f>
        <v>0</v>
      </c>
      <c r="V23" s="573" t="str">
        <f t="shared" ref="V23:V28" si="20">IF(W23&lt;&gt;"/",IF(Y$21="Error","Error",$Z$21+U23),"/")</f>
        <v>/</v>
      </c>
      <c r="W23" s="457" t="str">
        <f>IF(Y$21="Error","Error",IF(AND($W$21&lt;&gt;"/",$W$21&gt;'Paramètres - Admin'!$A2),'Paramètres - Admin'!$A3,"/"))</f>
        <v>/</v>
      </c>
      <c r="X23" s="385" t="str">
        <f>IF(W23&lt;&gt;"/",VLOOKUP(W23,COSTS_Dark_Elixir_Storage[#All],2),"/")</f>
        <v>/</v>
      </c>
      <c r="Y23" s="458" t="str">
        <f>IF(W23&lt;&gt;"/",VLOOKUP(W23,COSTS_Dark_Elixir_Storage[#All],3),"/")</f>
        <v>/</v>
      </c>
      <c r="Z23" s="385">
        <f t="shared" ref="Z23:Z28" si="21">IF(Y$21="Error","Error",IF(X23&lt;&gt;"/",V23*X23,0))</f>
        <v>0</v>
      </c>
      <c r="AA23" s="459">
        <f t="shared" ref="AA23:AA28" si="22">IF(Y$21="Error","Error",IF(Y23&lt;&gt;"/",V23*Y23,0))</f>
        <v>0</v>
      </c>
    </row>
    <row r="24" spans="1:27" ht="15" customHeight="1" x14ac:dyDescent="0.25">
      <c r="A24" s="927">
        <v>2</v>
      </c>
      <c r="B24" s="928" t="str">
        <f>IF(Paramètres!E7=0,"",Paramètres!E7)</f>
        <v/>
      </c>
      <c r="C24" s="781">
        <f t="shared" si="12"/>
        <v>0</v>
      </c>
      <c r="D24" s="574" t="str">
        <f t="shared" si="13"/>
        <v>/</v>
      </c>
      <c r="E24" s="107" t="str">
        <f>IF(G$21="Error","Error",IF(AND($E$21&lt;&gt;"/",$E$21&gt;'Paramètres - Admin'!$A3),'Paramètres - Admin'!$A4,"/"))</f>
        <v>/</v>
      </c>
      <c r="F24" s="386" t="str">
        <f>IF(E24&lt;&gt;"/",VLOOKUP(E24,COSTS_Gold_Storage[#All],2),"/")</f>
        <v>/</v>
      </c>
      <c r="G24" s="94" t="str">
        <f>IF(E24&lt;&gt;"/",VLOOKUP(E24,COSTS_Gold_Storage[#All],3),"/")</f>
        <v>/</v>
      </c>
      <c r="H24" s="386">
        <f t="shared" si="14"/>
        <v>0</v>
      </c>
      <c r="I24" s="522">
        <f t="shared" si="15"/>
        <v>0</v>
      </c>
      <c r="J24" s="927">
        <v>2</v>
      </c>
      <c r="K24" s="928" t="str">
        <f>IF(Paramètres!F7=0,"",Paramètres!F7)</f>
        <v/>
      </c>
      <c r="L24" s="781">
        <f t="shared" ref="L24:L33" si="23">IF(L23&lt;&gt;0,L23+IF(AND(K23&lt;&gt;"",J23&lt;N$21),K23,0),IF(AND(K23&lt;&gt;"",J23&lt;N$21),K23,0))</f>
        <v>0</v>
      </c>
      <c r="M24" s="574" t="str">
        <f t="shared" si="16"/>
        <v>/</v>
      </c>
      <c r="N24" s="107" t="str">
        <f>IF(P$21="Error","Error",IF(AND($N$21&lt;&gt;"/",$N$21&gt;'Paramètres - Admin'!$A3),'Paramètres - Admin'!$A4,"/"))</f>
        <v>/</v>
      </c>
      <c r="O24" s="517" t="str">
        <f>IF(N24&lt;&gt;"/",VLOOKUP(N24,COSTS_Elixir_Storage[#All],2),"/")</f>
        <v>/</v>
      </c>
      <c r="P24" s="94" t="str">
        <f>IF(N24&lt;&gt;"/",VLOOKUP(N24,COSTS_Elixir_Storage[#All],3),"/")</f>
        <v>/</v>
      </c>
      <c r="Q24" s="517">
        <f t="shared" si="17"/>
        <v>0</v>
      </c>
      <c r="R24" s="522">
        <f t="shared" si="18"/>
        <v>0</v>
      </c>
      <c r="S24" s="927">
        <v>2</v>
      </c>
      <c r="T24" s="928" t="str">
        <f>IF(Paramètres!G7=0,"",Paramètres!G7)</f>
        <v/>
      </c>
      <c r="U24" s="781">
        <f t="shared" si="19"/>
        <v>0</v>
      </c>
      <c r="V24" s="574" t="str">
        <f t="shared" si="20"/>
        <v>/</v>
      </c>
      <c r="W24" s="107" t="str">
        <f>IF(Y$21="Error","Error",IF(AND($W$21&lt;&gt;"/",$W$21&gt;'Paramètres - Admin'!$A3),'Paramètres - Admin'!$A4,"/"))</f>
        <v>/</v>
      </c>
      <c r="X24" s="386" t="str">
        <f>IF(W24&lt;&gt;"/",VLOOKUP(W24,COSTS_Dark_Elixir_Storage[#All],2),"/")</f>
        <v>/</v>
      </c>
      <c r="Y24" s="94" t="str">
        <f>IF(W24&lt;&gt;"/",VLOOKUP(W24,COSTS_Dark_Elixir_Storage[#All],3),"/")</f>
        <v>/</v>
      </c>
      <c r="Z24" s="386">
        <f t="shared" si="21"/>
        <v>0</v>
      </c>
      <c r="AA24" s="522">
        <f t="shared" si="22"/>
        <v>0</v>
      </c>
    </row>
    <row r="25" spans="1:27" ht="15" customHeight="1" x14ac:dyDescent="0.25">
      <c r="A25" s="927">
        <v>3</v>
      </c>
      <c r="B25" s="928" t="str">
        <f>IF(Paramètres!E8=0,"",Paramètres!E8)</f>
        <v/>
      </c>
      <c r="C25" s="781">
        <f t="shared" si="12"/>
        <v>0</v>
      </c>
      <c r="D25" s="574" t="str">
        <f t="shared" si="13"/>
        <v>/</v>
      </c>
      <c r="E25" s="107" t="str">
        <f>IF(G$21="Error","Error",IF(AND($E$21&lt;&gt;"/",$E$21&gt;'Paramètres - Admin'!$A4),'Paramètres - Admin'!$A5,"/"))</f>
        <v>/</v>
      </c>
      <c r="F25" s="386" t="str">
        <f>IF(E25&lt;&gt;"/",VLOOKUP(E25,COSTS_Gold_Storage[#All],2),"/")</f>
        <v>/</v>
      </c>
      <c r="G25" s="94" t="str">
        <f>IF(E25&lt;&gt;"/",VLOOKUP(E25,COSTS_Gold_Storage[#All],3),"/")</f>
        <v>/</v>
      </c>
      <c r="H25" s="386">
        <f t="shared" si="14"/>
        <v>0</v>
      </c>
      <c r="I25" s="522">
        <f t="shared" si="15"/>
        <v>0</v>
      </c>
      <c r="J25" s="927">
        <v>3</v>
      </c>
      <c r="K25" s="928" t="str">
        <f>IF(Paramètres!F8=0,"",Paramètres!F8)</f>
        <v/>
      </c>
      <c r="L25" s="781">
        <f t="shared" si="23"/>
        <v>0</v>
      </c>
      <c r="M25" s="574" t="str">
        <f t="shared" si="16"/>
        <v>/</v>
      </c>
      <c r="N25" s="107" t="str">
        <f>IF(P$21="Error","Error",IF(AND($N$21&lt;&gt;"/",$N$21&gt;'Paramètres - Admin'!$A4),'Paramètres - Admin'!$A5,"/"))</f>
        <v>/</v>
      </c>
      <c r="O25" s="517" t="str">
        <f>IF(N25&lt;&gt;"/",VLOOKUP(N25,COSTS_Elixir_Storage[#All],2),"/")</f>
        <v>/</v>
      </c>
      <c r="P25" s="94" t="str">
        <f>IF(N25&lt;&gt;"/",VLOOKUP(N25,COSTS_Elixir_Storage[#All],3),"/")</f>
        <v>/</v>
      </c>
      <c r="Q25" s="517">
        <f t="shared" si="17"/>
        <v>0</v>
      </c>
      <c r="R25" s="522">
        <f t="shared" si="18"/>
        <v>0</v>
      </c>
      <c r="S25" s="927">
        <v>3</v>
      </c>
      <c r="T25" s="928" t="str">
        <f>IF(Paramètres!G8=0,"",Paramètres!G8)</f>
        <v/>
      </c>
      <c r="U25" s="781">
        <f t="shared" si="19"/>
        <v>0</v>
      </c>
      <c r="V25" s="574" t="str">
        <f t="shared" si="20"/>
        <v>/</v>
      </c>
      <c r="W25" s="107" t="str">
        <f>IF(Y$21="Error","Error",IF(AND($W$21&lt;&gt;"/",$W$21&gt;'Paramètres - Admin'!$A4),'Paramètres - Admin'!$A5,"/"))</f>
        <v>/</v>
      </c>
      <c r="X25" s="386" t="str">
        <f>IF(W25&lt;&gt;"/",VLOOKUP(W25,COSTS_Dark_Elixir_Storage[#All],2),"/")</f>
        <v>/</v>
      </c>
      <c r="Y25" s="94" t="str">
        <f>IF(W25&lt;&gt;"/",VLOOKUP(W25,COSTS_Dark_Elixir_Storage[#All],3),"/")</f>
        <v>/</v>
      </c>
      <c r="Z25" s="386">
        <f t="shared" si="21"/>
        <v>0</v>
      </c>
      <c r="AA25" s="522">
        <f t="shared" si="22"/>
        <v>0</v>
      </c>
    </row>
    <row r="26" spans="1:27" ht="15" customHeight="1" x14ac:dyDescent="0.25">
      <c r="A26" s="927">
        <v>4</v>
      </c>
      <c r="B26" s="928" t="str">
        <f>IF(Paramètres!E9=0,"",Paramètres!E9)</f>
        <v/>
      </c>
      <c r="C26" s="781">
        <f t="shared" si="12"/>
        <v>0</v>
      </c>
      <c r="D26" s="574" t="str">
        <f t="shared" si="13"/>
        <v>/</v>
      </c>
      <c r="E26" s="107" t="str">
        <f>IF(G$21="Error","Error",IF(AND($E$21&lt;&gt;"/",$E$21&gt;'Paramètres - Admin'!$A5),'Paramètres - Admin'!$A6,"/"))</f>
        <v>/</v>
      </c>
      <c r="F26" s="386" t="str">
        <f>IF(E26&lt;&gt;"/",VLOOKUP(E26,COSTS_Gold_Storage[#All],2),"/")</f>
        <v>/</v>
      </c>
      <c r="G26" s="94" t="str">
        <f>IF(E26&lt;&gt;"/",VLOOKUP(E26,COSTS_Gold_Storage[#All],3),"/")</f>
        <v>/</v>
      </c>
      <c r="H26" s="386">
        <f t="shared" si="14"/>
        <v>0</v>
      </c>
      <c r="I26" s="522">
        <f t="shared" si="15"/>
        <v>0</v>
      </c>
      <c r="J26" s="927">
        <v>4</v>
      </c>
      <c r="K26" s="928" t="str">
        <f>IF(Paramètres!F9=0,"",Paramètres!F9)</f>
        <v/>
      </c>
      <c r="L26" s="781">
        <f t="shared" si="23"/>
        <v>0</v>
      </c>
      <c r="M26" s="574" t="str">
        <f t="shared" si="16"/>
        <v>/</v>
      </c>
      <c r="N26" s="107" t="str">
        <f>IF(P$21="Error","Error",IF(AND($N$21&lt;&gt;"/",$N$21&gt;'Paramètres - Admin'!$A5),'Paramètres - Admin'!$A6,"/"))</f>
        <v>/</v>
      </c>
      <c r="O26" s="517" t="str">
        <f>IF(N26&lt;&gt;"/",VLOOKUP(N26,COSTS_Elixir_Storage[#All],2),"/")</f>
        <v>/</v>
      </c>
      <c r="P26" s="94" t="str">
        <f>IF(N26&lt;&gt;"/",VLOOKUP(N26,COSTS_Elixir_Storage[#All],3),"/")</f>
        <v>/</v>
      </c>
      <c r="Q26" s="517">
        <f t="shared" si="17"/>
        <v>0</v>
      </c>
      <c r="R26" s="522">
        <f t="shared" si="18"/>
        <v>0</v>
      </c>
      <c r="S26" s="927">
        <v>4</v>
      </c>
      <c r="T26" s="928" t="str">
        <f>IF(Paramètres!G9=0,"",Paramètres!G9)</f>
        <v/>
      </c>
      <c r="U26" s="781">
        <f t="shared" si="19"/>
        <v>0</v>
      </c>
      <c r="V26" s="574" t="str">
        <f t="shared" si="20"/>
        <v>/</v>
      </c>
      <c r="W26" s="107" t="str">
        <f>IF(Y$21="Error","Error",IF(AND($W$21&lt;&gt;"/",$W$21&gt;'Paramètres - Admin'!$A5),'Paramètres - Admin'!$A6,"/"))</f>
        <v>/</v>
      </c>
      <c r="X26" s="386" t="str">
        <f>IF(W26&lt;&gt;"/",VLOOKUP(W26,COSTS_Dark_Elixir_Storage[#All],2),"/")</f>
        <v>/</v>
      </c>
      <c r="Y26" s="94" t="str">
        <f>IF(W26&lt;&gt;"/",VLOOKUP(W26,COSTS_Dark_Elixir_Storage[#All],3),"/")</f>
        <v>/</v>
      </c>
      <c r="Z26" s="386">
        <f t="shared" si="21"/>
        <v>0</v>
      </c>
      <c r="AA26" s="522">
        <f t="shared" si="22"/>
        <v>0</v>
      </c>
    </row>
    <row r="27" spans="1:27" ht="15" customHeight="1" x14ac:dyDescent="0.25">
      <c r="A27" s="927">
        <v>5</v>
      </c>
      <c r="B27" s="928" t="str">
        <f>IF(Paramètres!E10=0,"",Paramètres!E10)</f>
        <v/>
      </c>
      <c r="C27" s="781">
        <f t="shared" si="12"/>
        <v>0</v>
      </c>
      <c r="D27" s="574" t="str">
        <f t="shared" si="13"/>
        <v>/</v>
      </c>
      <c r="E27" s="107" t="str">
        <f>IF(G$21="Error","Error",IF(AND($E$21&lt;&gt;"/",$E$21&gt;'Paramètres - Admin'!$A6),'Paramètres - Admin'!$A7,"/"))</f>
        <v>/</v>
      </c>
      <c r="F27" s="386" t="str">
        <f>IF(E27&lt;&gt;"/",VLOOKUP(E27,COSTS_Gold_Storage[#All],2),"/")</f>
        <v>/</v>
      </c>
      <c r="G27" s="94" t="str">
        <f>IF(E27&lt;&gt;"/",VLOOKUP(E27,COSTS_Gold_Storage[#All],3),"/")</f>
        <v>/</v>
      </c>
      <c r="H27" s="386">
        <f t="shared" si="14"/>
        <v>0</v>
      </c>
      <c r="I27" s="522">
        <f t="shared" si="15"/>
        <v>0</v>
      </c>
      <c r="J27" s="927">
        <v>5</v>
      </c>
      <c r="K27" s="928" t="str">
        <f>IF(Paramètres!F10=0,"",Paramètres!F10)</f>
        <v/>
      </c>
      <c r="L27" s="781">
        <f t="shared" si="23"/>
        <v>0</v>
      </c>
      <c r="M27" s="574" t="str">
        <f t="shared" si="16"/>
        <v>/</v>
      </c>
      <c r="N27" s="107" t="str">
        <f>IF(P$21="Error","Error",IF(AND($N$21&lt;&gt;"/",$N$21&gt;'Paramètres - Admin'!$A6),'Paramètres - Admin'!$A7,"/"))</f>
        <v>/</v>
      </c>
      <c r="O27" s="517" t="str">
        <f>IF(N27&lt;&gt;"/",VLOOKUP(N27,COSTS_Elixir_Storage[#All],2),"/")</f>
        <v>/</v>
      </c>
      <c r="P27" s="94" t="str">
        <f>IF(N27&lt;&gt;"/",VLOOKUP(N27,COSTS_Elixir_Storage[#All],3),"/")</f>
        <v>/</v>
      </c>
      <c r="Q27" s="517">
        <f t="shared" si="17"/>
        <v>0</v>
      </c>
      <c r="R27" s="522">
        <f t="shared" si="18"/>
        <v>0</v>
      </c>
      <c r="S27" s="927">
        <v>5</v>
      </c>
      <c r="T27" s="928" t="str">
        <f>IF(Paramètres!G10=0,"",Paramètres!G10)</f>
        <v/>
      </c>
      <c r="U27" s="781">
        <f t="shared" si="19"/>
        <v>0</v>
      </c>
      <c r="V27" s="574" t="str">
        <f t="shared" si="20"/>
        <v>/</v>
      </c>
      <c r="W27" s="107" t="str">
        <f>IF(Y$21="Error","Error",IF(AND($W$21&lt;&gt;"/",$W$21&gt;'Paramètres - Admin'!$A6),'Paramètres - Admin'!$A7,"/"))</f>
        <v>/</v>
      </c>
      <c r="X27" s="386" t="str">
        <f>IF(W27&lt;&gt;"/",VLOOKUP(W27,COSTS_Dark_Elixir_Storage[#All],2),"/")</f>
        <v>/</v>
      </c>
      <c r="Y27" s="94" t="str">
        <f>IF(W27&lt;&gt;"/",VLOOKUP(W27,COSTS_Dark_Elixir_Storage[#All],3),"/")</f>
        <v>/</v>
      </c>
      <c r="Z27" s="386">
        <f t="shared" si="21"/>
        <v>0</v>
      </c>
      <c r="AA27" s="522">
        <f t="shared" si="22"/>
        <v>0</v>
      </c>
    </row>
    <row r="28" spans="1:27" ht="15" customHeight="1" thickBot="1" x14ac:dyDescent="0.3">
      <c r="A28" s="927">
        <v>6</v>
      </c>
      <c r="B28" s="928" t="str">
        <f>IF(Paramètres!E11=0,"",Paramètres!E11)</f>
        <v/>
      </c>
      <c r="C28" s="781">
        <f t="shared" si="12"/>
        <v>0</v>
      </c>
      <c r="D28" s="574" t="str">
        <f t="shared" si="13"/>
        <v>/</v>
      </c>
      <c r="E28" s="107" t="str">
        <f>IF(G$21="Error","Error",IF(AND($E$21&lt;&gt;"/",$E$21&gt;'Paramètres - Admin'!$A7),'Paramètres - Admin'!$A8,"/"))</f>
        <v>/</v>
      </c>
      <c r="F28" s="386" t="str">
        <f>IF(E28&lt;&gt;"/",VLOOKUP(E28,COSTS_Gold_Storage[#All],2),"/")</f>
        <v>/</v>
      </c>
      <c r="G28" s="94" t="str">
        <f>IF(E28&lt;&gt;"/",VLOOKUP(E28,COSTS_Gold_Storage[#All],3),"/")</f>
        <v>/</v>
      </c>
      <c r="H28" s="386">
        <f t="shared" si="14"/>
        <v>0</v>
      </c>
      <c r="I28" s="522">
        <f t="shared" si="15"/>
        <v>0</v>
      </c>
      <c r="J28" s="927">
        <v>6</v>
      </c>
      <c r="K28" s="928" t="str">
        <f>IF(Paramètres!F11=0,"",Paramètres!F11)</f>
        <v/>
      </c>
      <c r="L28" s="781">
        <f t="shared" si="23"/>
        <v>0</v>
      </c>
      <c r="M28" s="574" t="str">
        <f t="shared" si="16"/>
        <v>/</v>
      </c>
      <c r="N28" s="107" t="str">
        <f>IF(P$21="Error","Error",IF(AND($N$21&lt;&gt;"/",$N$21&gt;'Paramètres - Admin'!$A7),'Paramètres - Admin'!$A8,"/"))</f>
        <v>/</v>
      </c>
      <c r="O28" s="517" t="str">
        <f>IF(N28&lt;&gt;"/",VLOOKUP(N28,COSTS_Elixir_Storage[#All],2),"/")</f>
        <v>/</v>
      </c>
      <c r="P28" s="94" t="str">
        <f>IF(N28&lt;&gt;"/",VLOOKUP(N28,COSTS_Elixir_Storage[#All],3),"/")</f>
        <v>/</v>
      </c>
      <c r="Q28" s="517">
        <f t="shared" si="17"/>
        <v>0</v>
      </c>
      <c r="R28" s="522">
        <f t="shared" si="18"/>
        <v>0</v>
      </c>
      <c r="S28" s="929">
        <v>6</v>
      </c>
      <c r="T28" s="930" t="str">
        <f>IF(Paramètres!G11=0,"",Paramètres!G11)</f>
        <v/>
      </c>
      <c r="U28" s="782">
        <f t="shared" si="19"/>
        <v>0</v>
      </c>
      <c r="V28" s="575" t="str">
        <f t="shared" si="20"/>
        <v>/</v>
      </c>
      <c r="W28" s="113" t="str">
        <f>IF(Y$21="Error","Error",IF(AND($W$21&lt;&gt;"/",$W$21&gt;'Paramètres - Admin'!$A7),'Paramètres - Admin'!$A8,"/"))</f>
        <v>/</v>
      </c>
      <c r="X28" s="387" t="str">
        <f>IF(W28&lt;&gt;"/",VLOOKUP(W28,COSTS_Dark_Elixir_Storage[#All],2),"/")</f>
        <v>/</v>
      </c>
      <c r="Y28" s="112" t="str">
        <f>IF(W28&lt;&gt;"/",VLOOKUP(W28,COSTS_Dark_Elixir_Storage[#All],3),"/")</f>
        <v>/</v>
      </c>
      <c r="Z28" s="387">
        <f t="shared" si="21"/>
        <v>0</v>
      </c>
      <c r="AA28" s="114">
        <f t="shared" si="22"/>
        <v>0</v>
      </c>
    </row>
    <row r="29" spans="1:27" ht="15" customHeight="1" thickBot="1" x14ac:dyDescent="0.3">
      <c r="A29" s="927">
        <v>7</v>
      </c>
      <c r="B29" s="928" t="str">
        <f>IF(Paramètres!E12=0,"",Paramètres!E12)</f>
        <v/>
      </c>
      <c r="C29" s="781">
        <f t="shared" si="12"/>
        <v>0</v>
      </c>
      <c r="D29" s="574" t="str">
        <f t="shared" si="13"/>
        <v>/</v>
      </c>
      <c r="E29" s="107" t="str">
        <f>IF(G$21="Error","Error",IF(AND($E$21&lt;&gt;"/",$E$21&gt;'Paramètres - Admin'!$A8),'Paramètres - Admin'!$A9,"/"))</f>
        <v>/</v>
      </c>
      <c r="F29" s="386" t="str">
        <f>IF(E29&lt;&gt;"/",VLOOKUP(E29,COSTS_Gold_Storage[#All],2),"/")</f>
        <v>/</v>
      </c>
      <c r="G29" s="94" t="str">
        <f>IF(E29&lt;&gt;"/",VLOOKUP(E29,COSTS_Gold_Storage[#All],3),"/")</f>
        <v>/</v>
      </c>
      <c r="H29" s="386">
        <f t="shared" si="14"/>
        <v>0</v>
      </c>
      <c r="I29" s="522">
        <f t="shared" si="15"/>
        <v>0</v>
      </c>
      <c r="J29" s="927">
        <v>7</v>
      </c>
      <c r="K29" s="928" t="str">
        <f>IF(Paramètres!F12=0,"",Paramètres!F12)</f>
        <v/>
      </c>
      <c r="L29" s="781">
        <f t="shared" si="23"/>
        <v>0</v>
      </c>
      <c r="M29" s="574" t="str">
        <f t="shared" si="16"/>
        <v>/</v>
      </c>
      <c r="N29" s="107" t="str">
        <f>IF(P$21="Error","Error",IF(AND($N$21&lt;&gt;"/",$N$21&gt;'Paramètres - Admin'!$A8),'Paramètres - Admin'!$A9,"/"))</f>
        <v>/</v>
      </c>
      <c r="O29" s="517" t="str">
        <f>IF(N29&lt;&gt;"/",VLOOKUP(N29,COSTS_Elixir_Storage[#All],2),"/")</f>
        <v>/</v>
      </c>
      <c r="P29" s="94" t="str">
        <f>IF(N29&lt;&gt;"/",VLOOKUP(N29,COSTS_Elixir_Storage[#All],3),"/")</f>
        <v>/</v>
      </c>
      <c r="Q29" s="517">
        <f t="shared" si="17"/>
        <v>0</v>
      </c>
      <c r="R29" s="522">
        <f t="shared" si="18"/>
        <v>0</v>
      </c>
      <c r="S29" s="910"/>
      <c r="T29" s="911"/>
      <c r="U29" s="911"/>
      <c r="V29" s="911"/>
      <c r="W29" s="911"/>
      <c r="X29" s="911"/>
      <c r="Y29" s="511" t="s">
        <v>31</v>
      </c>
      <c r="Z29" s="388">
        <f>IF(Y$21="Error","Error",SUM(Z23:Z28))</f>
        <v>0</v>
      </c>
      <c r="AA29" s="534">
        <f>IF(Y$21="Error","Error",SUM(AA23:AA28))</f>
        <v>0</v>
      </c>
    </row>
    <row r="30" spans="1:27" ht="15" customHeight="1" x14ac:dyDescent="0.25">
      <c r="A30" s="927">
        <v>8</v>
      </c>
      <c r="B30" s="928" t="str">
        <f>IF(Paramètres!E13=0,"",Paramètres!E13)</f>
        <v/>
      </c>
      <c r="C30" s="781">
        <f t="shared" si="12"/>
        <v>0</v>
      </c>
      <c r="D30" s="574" t="str">
        <f t="shared" si="13"/>
        <v>/</v>
      </c>
      <c r="E30" s="107" t="str">
        <f>IF(G$21="Error","Error",IF(AND($E$21&lt;&gt;"/",$E$21&gt;'Paramètres - Admin'!$A9),'Paramètres - Admin'!$A10,"/"))</f>
        <v>/</v>
      </c>
      <c r="F30" s="386" t="str">
        <f>IF(E30&lt;&gt;"/",VLOOKUP(E30,COSTS_Gold_Storage[#All],2),"/")</f>
        <v>/</v>
      </c>
      <c r="G30" s="94" t="str">
        <f>IF(E30&lt;&gt;"/",VLOOKUP(E30,COSTS_Gold_Storage[#All],3),"/")</f>
        <v>/</v>
      </c>
      <c r="H30" s="386">
        <f t="shared" si="14"/>
        <v>0</v>
      </c>
      <c r="I30" s="522">
        <f t="shared" si="15"/>
        <v>0</v>
      </c>
      <c r="J30" s="927">
        <v>8</v>
      </c>
      <c r="K30" s="928" t="str">
        <f>IF(Paramètres!F13=0,"",Paramètres!F13)</f>
        <v/>
      </c>
      <c r="L30" s="781">
        <f t="shared" si="23"/>
        <v>0</v>
      </c>
      <c r="M30" s="574" t="str">
        <f t="shared" si="16"/>
        <v>/</v>
      </c>
      <c r="N30" s="107" t="str">
        <f>IF(P$21="Error","Error",IF(AND($N$21&lt;&gt;"/",$N$21&gt;'Paramètres - Admin'!$A9),'Paramètres - Admin'!$A10,"/"))</f>
        <v>/</v>
      </c>
      <c r="O30" s="517" t="str">
        <f>IF(N30&lt;&gt;"/",VLOOKUP(N30,COSTS_Elixir_Storage[#All],2),"/")</f>
        <v>/</v>
      </c>
      <c r="P30" s="94" t="str">
        <f>IF(N30&lt;&gt;"/",VLOOKUP(N30,COSTS_Elixir_Storage[#All],3),"/")</f>
        <v>/</v>
      </c>
      <c r="Q30" s="517">
        <f t="shared" si="17"/>
        <v>0</v>
      </c>
      <c r="R30" s="522">
        <f t="shared" si="18"/>
        <v>0</v>
      </c>
    </row>
    <row r="31" spans="1:27" ht="15" customHeight="1" x14ac:dyDescent="0.25">
      <c r="A31" s="927">
        <v>9</v>
      </c>
      <c r="B31" s="928" t="str">
        <f>IF(Paramètres!E14=0,"",Paramètres!E14)</f>
        <v/>
      </c>
      <c r="C31" s="781">
        <f t="shared" si="12"/>
        <v>0</v>
      </c>
      <c r="D31" s="574" t="str">
        <f t="shared" si="13"/>
        <v>/</v>
      </c>
      <c r="E31" s="107" t="str">
        <f>IF(G$21="Error","Error",IF(AND($E$21&lt;&gt;"/",$E$21&gt;'Paramètres - Admin'!$A10),'Paramètres - Admin'!$A11,"/"))</f>
        <v>/</v>
      </c>
      <c r="F31" s="386" t="str">
        <f>IF(E31&lt;&gt;"/",VLOOKUP(E31,COSTS_Gold_Storage[#All],2),"/")</f>
        <v>/</v>
      </c>
      <c r="G31" s="94" t="str">
        <f>IF(E31&lt;&gt;"/",VLOOKUP(E31,COSTS_Gold_Storage[#All],3),"/")</f>
        <v>/</v>
      </c>
      <c r="H31" s="386">
        <f t="shared" si="14"/>
        <v>0</v>
      </c>
      <c r="I31" s="522">
        <f t="shared" si="15"/>
        <v>0</v>
      </c>
      <c r="J31" s="927">
        <v>9</v>
      </c>
      <c r="K31" s="928" t="str">
        <f>IF(Paramètres!F14=0,"",Paramètres!F14)</f>
        <v/>
      </c>
      <c r="L31" s="781">
        <f t="shared" si="23"/>
        <v>0</v>
      </c>
      <c r="M31" s="574" t="str">
        <f t="shared" si="16"/>
        <v>/</v>
      </c>
      <c r="N31" s="107" t="str">
        <f>IF(P$21="Error","Error",IF(AND($N$21&lt;&gt;"/",$N$21&gt;'Paramètres - Admin'!$A10),'Paramètres - Admin'!$A11,"/"))</f>
        <v>/</v>
      </c>
      <c r="O31" s="517" t="str">
        <f>IF(N31&lt;&gt;"/",VLOOKUP(N31,COSTS_Elixir_Storage[#All],2),"/")</f>
        <v>/</v>
      </c>
      <c r="P31" s="94" t="str">
        <f>IF(N31&lt;&gt;"/",VLOOKUP(N31,COSTS_Elixir_Storage[#All],3),"/")</f>
        <v>/</v>
      </c>
      <c r="Q31" s="517">
        <f t="shared" si="17"/>
        <v>0</v>
      </c>
      <c r="R31" s="522">
        <f t="shared" si="18"/>
        <v>0</v>
      </c>
    </row>
    <row r="32" spans="1:27" ht="15" customHeight="1" x14ac:dyDescent="0.25">
      <c r="A32" s="927">
        <v>10</v>
      </c>
      <c r="B32" s="928" t="str">
        <f>IF(Paramètres!E15=0,"",Paramètres!E15)</f>
        <v/>
      </c>
      <c r="C32" s="781">
        <f t="shared" si="12"/>
        <v>0</v>
      </c>
      <c r="D32" s="574" t="str">
        <f t="shared" si="13"/>
        <v>/</v>
      </c>
      <c r="E32" s="107" t="str">
        <f>IF(G$21="Error","Error",IF(AND($E$21&lt;&gt;"/",$E$21&gt;'Paramètres - Admin'!$A11),'Paramètres - Admin'!$A12,"/"))</f>
        <v>/</v>
      </c>
      <c r="F32" s="386" t="str">
        <f>IF(E32&lt;&gt;"/",VLOOKUP(E32,COSTS_Gold_Storage[#All],2),"/")</f>
        <v>/</v>
      </c>
      <c r="G32" s="94" t="str">
        <f>IF(E32&lt;&gt;"/",VLOOKUP(E32,COSTS_Gold_Storage[#All],3),"/")</f>
        <v>/</v>
      </c>
      <c r="H32" s="386">
        <f t="shared" si="14"/>
        <v>0</v>
      </c>
      <c r="I32" s="522">
        <f t="shared" si="15"/>
        <v>0</v>
      </c>
      <c r="J32" s="927">
        <v>10</v>
      </c>
      <c r="K32" s="928" t="str">
        <f>IF(Paramètres!F15=0,"",Paramètres!F15)</f>
        <v/>
      </c>
      <c r="L32" s="781">
        <f t="shared" si="23"/>
        <v>0</v>
      </c>
      <c r="M32" s="574" t="str">
        <f t="shared" si="16"/>
        <v>/</v>
      </c>
      <c r="N32" s="107" t="str">
        <f>IF(P$21="Error","Error",IF(AND($N$21&lt;&gt;"/",$N$21&gt;'Paramètres - Admin'!$A11),'Paramètres - Admin'!$A12,"/"))</f>
        <v>/</v>
      </c>
      <c r="O32" s="517" t="str">
        <f>IF(N32&lt;&gt;"/",VLOOKUP(N32,COSTS_Elixir_Storage[#All],2),"/")</f>
        <v>/</v>
      </c>
      <c r="P32" s="94" t="str">
        <f>IF(N32&lt;&gt;"/",VLOOKUP(N32,COSTS_Elixir_Storage[#All],3),"/")</f>
        <v>/</v>
      </c>
      <c r="Q32" s="517">
        <f t="shared" si="17"/>
        <v>0</v>
      </c>
      <c r="R32" s="522">
        <f t="shared" si="18"/>
        <v>0</v>
      </c>
    </row>
    <row r="33" spans="1:27" ht="15" customHeight="1" x14ac:dyDescent="0.25">
      <c r="A33" s="927">
        <v>11</v>
      </c>
      <c r="B33" s="928" t="str">
        <f>IF(Paramètres!E16=0,"",Paramètres!E16)</f>
        <v/>
      </c>
      <c r="C33" s="781">
        <f t="shared" si="12"/>
        <v>0</v>
      </c>
      <c r="D33" s="574" t="str">
        <f t="shared" si="13"/>
        <v>/</v>
      </c>
      <c r="E33" s="107" t="str">
        <f>IF(G$21="Error","Error",IF(AND($E$21&lt;&gt;"/",$E$21&gt;'Paramètres - Admin'!$A12),'Paramètres - Admin'!$A13,"/"))</f>
        <v>/</v>
      </c>
      <c r="F33" s="386" t="str">
        <f>IF(E33&lt;&gt;"/",VLOOKUP(E33,COSTS_Gold_Storage[#All],2),"/")</f>
        <v>/</v>
      </c>
      <c r="G33" s="94" t="str">
        <f>IF(E33&lt;&gt;"/",VLOOKUP(E33,COSTS_Gold_Storage[#All],3),"/")</f>
        <v>/</v>
      </c>
      <c r="H33" s="386">
        <f t="shared" si="14"/>
        <v>0</v>
      </c>
      <c r="I33" s="522">
        <f t="shared" si="15"/>
        <v>0</v>
      </c>
      <c r="J33" s="927">
        <v>11</v>
      </c>
      <c r="K33" s="928" t="str">
        <f>IF(Paramètres!F16=0,"",Paramètres!F16)</f>
        <v/>
      </c>
      <c r="L33" s="781">
        <f t="shared" si="23"/>
        <v>0</v>
      </c>
      <c r="M33" s="574" t="str">
        <f t="shared" si="16"/>
        <v>/</v>
      </c>
      <c r="N33" s="107" t="str">
        <f>IF(P$21="Error","Error",IF(AND($N$21&lt;&gt;"/",$N$21&gt;'Paramètres - Admin'!$A12),'Paramètres - Admin'!$A13,"/"))</f>
        <v>/</v>
      </c>
      <c r="O33" s="517" t="str">
        <f>IF(N33&lt;&gt;"/",VLOOKUP(N33,COSTS_Elixir_Storage[#All],2),"/")</f>
        <v>/</v>
      </c>
      <c r="P33" s="94" t="str">
        <f>IF(N33&lt;&gt;"/",VLOOKUP(N33,COSTS_Elixir_Storage[#All],3),"/")</f>
        <v>/</v>
      </c>
      <c r="Q33" s="517">
        <f t="shared" si="17"/>
        <v>0</v>
      </c>
      <c r="R33" s="522">
        <f t="shared" si="18"/>
        <v>0</v>
      </c>
    </row>
    <row r="34" spans="1:27" s="525" customFormat="1" ht="15" customHeight="1" thickBot="1" x14ac:dyDescent="0.3">
      <c r="A34" s="929">
        <v>12</v>
      </c>
      <c r="B34" s="930" t="str">
        <f>IF(Paramètres!E17=0,"",Paramètres!E17)</f>
        <v/>
      </c>
      <c r="C34" s="782">
        <f t="shared" si="12"/>
        <v>0</v>
      </c>
      <c r="D34" s="575" t="str">
        <f t="shared" si="13"/>
        <v>/</v>
      </c>
      <c r="E34" s="113" t="str">
        <f>IF(G$21="Error","Error",IF(AND($E$21&lt;&gt;"/",$E$21&gt;'Paramètres - Admin'!$A13),'Paramètres - Admin'!$A14,"/"))</f>
        <v>/</v>
      </c>
      <c r="F34" s="387" t="str">
        <f>IF(E34&lt;&gt;"/",VLOOKUP(E34,COSTS_Gold_Storage[#All],2),"/")</f>
        <v>/</v>
      </c>
      <c r="G34" s="112" t="str">
        <f>IF(E34&lt;&gt;"/",VLOOKUP(E34,COSTS_Gold_Storage[#All],3),"/")</f>
        <v>/</v>
      </c>
      <c r="H34" s="387">
        <f t="shared" si="14"/>
        <v>0</v>
      </c>
      <c r="I34" s="114">
        <f t="shared" si="15"/>
        <v>0</v>
      </c>
      <c r="J34" s="929">
        <v>12</v>
      </c>
      <c r="K34" s="930" t="str">
        <f>IF(Paramètres!F17=0,"",Paramètres!F17)</f>
        <v/>
      </c>
      <c r="L34" s="782">
        <f t="shared" ref="L34" si="24">IF(L33&lt;&gt;0,L33+IF(AND(K33&lt;&gt;"",J33&lt;N$21),K33,0),IF(AND(K33&lt;&gt;"",J33&lt;N$21),K33,0))</f>
        <v>0</v>
      </c>
      <c r="M34" s="575" t="str">
        <f t="shared" si="16"/>
        <v>/</v>
      </c>
      <c r="N34" s="113" t="str">
        <f>IF(P$21="Error","Error",IF(AND($N$21&lt;&gt;"/",$N$21&gt;'Paramètres - Admin'!$A13),'Paramètres - Admin'!$A14,"/"))</f>
        <v>/</v>
      </c>
      <c r="O34" s="115" t="str">
        <f>IF(N34&lt;&gt;"/",VLOOKUP(N34,COSTS_Elixir_Storage[#All],2),"/")</f>
        <v>/</v>
      </c>
      <c r="P34" s="112" t="str">
        <f>IF(N34&lt;&gt;"/",VLOOKUP(N34,COSTS_Elixir_Storage[#All],3),"/")</f>
        <v>/</v>
      </c>
      <c r="Q34" s="115">
        <f t="shared" si="17"/>
        <v>0</v>
      </c>
      <c r="R34" s="114">
        <f t="shared" si="18"/>
        <v>0</v>
      </c>
    </row>
    <row r="35" spans="1:27" ht="15" customHeight="1" thickBot="1" x14ac:dyDescent="0.3">
      <c r="A35" s="910"/>
      <c r="B35" s="911"/>
      <c r="C35" s="911"/>
      <c r="D35" s="911"/>
      <c r="E35" s="911"/>
      <c r="F35" s="911"/>
      <c r="G35" s="511" t="s">
        <v>31</v>
      </c>
      <c r="H35" s="388">
        <f>IF(G$21="Error","Error",SUM(H23:H33))</f>
        <v>300</v>
      </c>
      <c r="I35" s="534">
        <f>IF(G$21="Error","Error",SUM(I23:I33))</f>
        <v>0.25</v>
      </c>
      <c r="J35" s="910"/>
      <c r="K35" s="911"/>
      <c r="L35" s="911"/>
      <c r="M35" s="911"/>
      <c r="N35" s="911"/>
      <c r="O35" s="911"/>
      <c r="P35" s="511" t="s">
        <v>31</v>
      </c>
      <c r="Q35" s="223">
        <f>IF(P$21="Error","Error",SUM(Q23:Q33))</f>
        <v>300</v>
      </c>
      <c r="R35" s="534">
        <f>IF(P$21="Error","Error",SUM(R23:R33))</f>
        <v>0.25</v>
      </c>
    </row>
    <row r="38" spans="1:27" s="525" customFormat="1" ht="19.5" customHeight="1" thickBot="1" x14ac:dyDescent="0.3">
      <c r="A38" s="1117" t="s">
        <v>181</v>
      </c>
      <c r="B38" s="1118"/>
      <c r="C38" s="1118"/>
      <c r="D38" s="1118"/>
      <c r="E38" s="1118"/>
      <c r="F38" s="1118"/>
      <c r="G38" s="1118"/>
      <c r="H38" s="1118"/>
      <c r="I38" s="1118"/>
      <c r="J38" s="1118"/>
      <c r="K38" s="1118"/>
      <c r="L38" s="1118"/>
      <c r="M38" s="1118"/>
      <c r="N38" s="1118"/>
      <c r="O38" s="1118"/>
      <c r="P38" s="1118"/>
      <c r="Q38" s="1118"/>
      <c r="R38" s="1118"/>
      <c r="S38" s="1118"/>
      <c r="T38" s="1118"/>
      <c r="U38" s="1118"/>
      <c r="V38" s="1118"/>
      <c r="W38" s="1118"/>
      <c r="X38" s="1118"/>
      <c r="Y38" s="1118"/>
      <c r="Z38" s="1118"/>
      <c r="AA38" s="1118"/>
    </row>
    <row r="39" spans="1:27" ht="15" customHeight="1" x14ac:dyDescent="0.25">
      <c r="A39" s="1119" t="s">
        <v>207</v>
      </c>
      <c r="B39" s="1120"/>
      <c r="C39" s="1121"/>
      <c r="D39" s="512" t="s">
        <v>38</v>
      </c>
      <c r="E39" s="513" t="s">
        <v>39</v>
      </c>
      <c r="F39" s="527"/>
      <c r="G39" s="512" t="s">
        <v>256</v>
      </c>
      <c r="H39" s="514" t="s">
        <v>361</v>
      </c>
      <c r="I39" s="513" t="s">
        <v>257</v>
      </c>
      <c r="J39" s="1119" t="s">
        <v>343</v>
      </c>
      <c r="K39" s="1120"/>
      <c r="L39" s="1121"/>
      <c r="M39" s="512" t="s">
        <v>38</v>
      </c>
      <c r="N39" s="513" t="s">
        <v>39</v>
      </c>
      <c r="O39" s="527"/>
      <c r="P39" s="512" t="s">
        <v>256</v>
      </c>
      <c r="Q39" s="514" t="s">
        <v>361</v>
      </c>
      <c r="R39" s="513" t="s">
        <v>257</v>
      </c>
      <c r="S39" s="1119" t="s">
        <v>208</v>
      </c>
      <c r="T39" s="1120"/>
      <c r="U39" s="1121"/>
      <c r="V39" s="512" t="s">
        <v>38</v>
      </c>
      <c r="W39" s="513" t="s">
        <v>39</v>
      </c>
      <c r="X39" s="527"/>
      <c r="Y39" s="512" t="s">
        <v>256</v>
      </c>
      <c r="Z39" s="514" t="s">
        <v>361</v>
      </c>
      <c r="AA39" s="513" t="s">
        <v>257</v>
      </c>
    </row>
    <row r="40" spans="1:27" ht="15" customHeight="1" thickBot="1" x14ac:dyDescent="0.3">
      <c r="A40" s="1122"/>
      <c r="B40" s="1123"/>
      <c r="C40" s="1124"/>
      <c r="D40" s="515">
        <f>VLOOKUP($A$2,AVAILABLE_Buildings_Army[#All],MATCH(A39,AVAILABLE_Buildings_Army[#Headers],0))</f>
        <v>1</v>
      </c>
      <c r="E40" s="516">
        <f>VLOOKUP($A$2,AVAILABLE_Buildings_Army[#All],MATCH(A39,AVAILABLE_Buildings_Army[#Headers],0)+1)</f>
        <v>3</v>
      </c>
      <c r="F40" s="528"/>
      <c r="G40" s="518">
        <f>IF(SUM(B42:B51)&gt;D40,"Error",SUM(B42:B51))</f>
        <v>0</v>
      </c>
      <c r="H40" s="519">
        <f>IF(G$40="Error","Error",D40-G40)</f>
        <v>1</v>
      </c>
      <c r="I40" s="526">
        <f>IF(G$40="Error","Error",SUM(D42:D51))</f>
        <v>3</v>
      </c>
      <c r="J40" s="1122"/>
      <c r="K40" s="1123"/>
      <c r="L40" s="1124"/>
      <c r="M40" s="515">
        <f>VLOOKUP($A$2,AVAILABLE_Buildings_Army[#All],MATCH(J39,AVAILABLE_Buildings_Army[#Headers],0))</f>
        <v>0</v>
      </c>
      <c r="N40" s="516">
        <f>VLOOKUP($A$2,AVAILABLE_Buildings_Army[#All],MATCH(J39,AVAILABLE_Buildings_Army[#Headers],0)+1)</f>
        <v>0</v>
      </c>
      <c r="O40" s="528"/>
      <c r="P40" s="518">
        <f>IF(SUM(K42:K48)&gt;M40,"Error",SUM(K42:K48))</f>
        <v>0</v>
      </c>
      <c r="Q40" s="519">
        <f>IF(P$40="Error","Error",M40-P40)</f>
        <v>0</v>
      </c>
      <c r="R40" s="526">
        <f>IF(P$40="Error","Error",SUM(M42:M48))</f>
        <v>0</v>
      </c>
      <c r="S40" s="1122"/>
      <c r="T40" s="1123"/>
      <c r="U40" s="1124"/>
      <c r="V40" s="515">
        <f>VLOOKUP($A$2,AVAILABLE_Buildings_Army[#All],MATCH(S39,AVAILABLE_Buildings_Army[#Headers],0))</f>
        <v>0</v>
      </c>
      <c r="W40" s="516">
        <f>VLOOKUP($A$2,AVAILABLE_Buildings_Army[#All],MATCH(S39,AVAILABLE_Buildings_Army[#Headers],0)+1)</f>
        <v>0</v>
      </c>
      <c r="X40" s="528"/>
      <c r="Y40" s="518">
        <f>IF(SUM(T42:T50)&gt;V40,"Error",SUM(T42:T50))</f>
        <v>0</v>
      </c>
      <c r="Z40" s="97">
        <f>IF(Y$40="Error","Error",V40-Y40)</f>
        <v>0</v>
      </c>
      <c r="AA40" s="202">
        <f>IF(Y$40="Error","Error",SUM(V42:V50))</f>
        <v>0</v>
      </c>
    </row>
    <row r="41" spans="1:27" ht="15" customHeight="1" thickBot="1" x14ac:dyDescent="0.3">
      <c r="A41" s="520" t="s">
        <v>30</v>
      </c>
      <c r="B41" s="523" t="s">
        <v>29</v>
      </c>
      <c r="C41" s="521"/>
      <c r="D41" s="530" t="s">
        <v>29</v>
      </c>
      <c r="E41" s="531" t="s">
        <v>30</v>
      </c>
      <c r="F41" s="532" t="s">
        <v>258</v>
      </c>
      <c r="G41" s="532" t="s">
        <v>259</v>
      </c>
      <c r="H41" s="532" t="s">
        <v>232</v>
      </c>
      <c r="I41" s="533" t="s">
        <v>233</v>
      </c>
      <c r="J41" s="520" t="s">
        <v>30</v>
      </c>
      <c r="K41" s="345" t="s">
        <v>29</v>
      </c>
      <c r="L41" s="780"/>
      <c r="M41" s="455" t="s">
        <v>29</v>
      </c>
      <c r="N41" s="456" t="s">
        <v>30</v>
      </c>
      <c r="O41" s="226" t="s">
        <v>258</v>
      </c>
      <c r="P41" s="226" t="s">
        <v>259</v>
      </c>
      <c r="Q41" s="226" t="s">
        <v>232</v>
      </c>
      <c r="R41" s="227" t="s">
        <v>233</v>
      </c>
      <c r="S41" s="204" t="s">
        <v>30</v>
      </c>
      <c r="T41" s="523" t="s">
        <v>29</v>
      </c>
      <c r="U41" s="521"/>
      <c r="V41" s="530" t="s">
        <v>29</v>
      </c>
      <c r="W41" s="531" t="s">
        <v>30</v>
      </c>
      <c r="X41" s="532" t="s">
        <v>258</v>
      </c>
      <c r="Y41" s="532" t="s">
        <v>259</v>
      </c>
      <c r="Z41" s="532" t="s">
        <v>232</v>
      </c>
      <c r="AA41" s="533" t="s">
        <v>233</v>
      </c>
    </row>
    <row r="42" spans="1:27" ht="15" customHeight="1" x14ac:dyDescent="0.25">
      <c r="A42" s="512">
        <v>1</v>
      </c>
      <c r="B42" s="926" t="str">
        <f>IF(Paramètres!H6=0,"",Paramètres!H6)</f>
        <v/>
      </c>
      <c r="C42" s="586">
        <f t="shared" ref="C42:C51" si="25">IF(C41&lt;&gt;0,C41+IF(AND(B41&lt;&gt;"",A41&lt;E$40),B41,0),IF(AND(B41&lt;&gt;"",A41&lt;E$40),B41,0))</f>
        <v>0</v>
      </c>
      <c r="D42" s="573">
        <f t="shared" ref="D42:D51" si="26">IF(E42&lt;&gt;"/",IF(G$40="Error","Error",$H$40+C42),"/")</f>
        <v>1</v>
      </c>
      <c r="E42" s="457">
        <f>IF(G$40="Error","Error",IF(AND($E$40&lt;&gt;"/",$E$40&gt;'Paramètres - Admin'!$A2),'Paramètres - Admin'!$A3,"/"))</f>
        <v>1</v>
      </c>
      <c r="F42" s="385">
        <f>IF(E42&lt;&gt;"/",VLOOKUP(E42,COSTS_Barrack[#All],2),"/")</f>
        <v>200</v>
      </c>
      <c r="G42" s="458">
        <f>IF(E42&lt;&gt;"/",VLOOKUP(E42,COSTS_Barrack[#All],3),"/")</f>
        <v>0.02</v>
      </c>
      <c r="H42" s="385">
        <f t="shared" ref="H42:H51" si="27">IF(G$40="Error","Error",IF(F42&lt;&gt;"/",D42*F42,0))</f>
        <v>200</v>
      </c>
      <c r="I42" s="459">
        <f t="shared" ref="I42:I51" si="28">IF(G$40="Error","Error",IF(G42&lt;&gt;"/",D42*G42,0))</f>
        <v>0.02</v>
      </c>
      <c r="J42" s="512">
        <v>1</v>
      </c>
      <c r="K42" s="926" t="str">
        <f>IF(Paramètres!I6=0,"",Paramètres!I6)</f>
        <v/>
      </c>
      <c r="L42" s="586">
        <f t="shared" ref="L42:L48" si="29">IF(L41&lt;&gt;0,L41+IF(AND(K41&lt;&gt;"",J41&lt;N$40),K41,0),IF(AND(K41&lt;&gt;"",J41&lt;N$40),K41,0))</f>
        <v>0</v>
      </c>
      <c r="M42" s="573" t="str">
        <f t="shared" ref="M42:M47" si="30">IF(N42&lt;&gt;"/",IF(P$40="Error","Error",$Q$40+L42),"/")</f>
        <v>/</v>
      </c>
      <c r="N42" s="457" t="str">
        <f>IF(P$40="Error","Error",IF(AND($N$40&lt;&gt;"/",$N$40&gt;'Paramètres - Admin'!$A2),'Paramètres - Admin'!$A3,"/"))</f>
        <v>/</v>
      </c>
      <c r="O42" s="385" t="str">
        <f>IF(N42&lt;&gt;"/",VLOOKUP(N42,COSTS_Dark_Barrack[#All],2),"/")</f>
        <v>/</v>
      </c>
      <c r="P42" s="458" t="str">
        <f>IF(N42&lt;&gt;"/",VLOOKUP(N42,COSTS_Dark_Barrack[#All],3),"/")</f>
        <v>/</v>
      </c>
      <c r="Q42" s="385">
        <f t="shared" ref="Q42:Q48" si="31">IF(P$40="Error","Error",IF(O42&lt;&gt;"/",M42*O42,0))</f>
        <v>0</v>
      </c>
      <c r="R42" s="459">
        <f t="shared" ref="R42:R48" si="32">IF(P$40="Error","Error",IF(P42&lt;&gt;"/",M42*P42,0))</f>
        <v>0</v>
      </c>
      <c r="S42" s="512">
        <v>1</v>
      </c>
      <c r="T42" s="926" t="str">
        <f>IF(Paramètres!K6=0,"",Paramètres!K6)</f>
        <v/>
      </c>
      <c r="U42" s="586">
        <f t="shared" ref="U42:U50" si="33">IF(U41&lt;&gt;0,U41+IF(AND(T41&lt;&gt;"",S41&lt;W$40),T41,0),IF(AND(T41&lt;&gt;"",S41&lt;W$40),T41,0))</f>
        <v>0</v>
      </c>
      <c r="V42" s="573" t="str">
        <f t="shared" ref="V42:V50" si="34">IF(W42&lt;&gt;"/",IF(Y$40="Error","Error",$Z$40+U42),"/")</f>
        <v>/</v>
      </c>
      <c r="W42" s="457" t="str">
        <f>IF(Y$40="Error","Error",IF(AND($W$40&lt;&gt;"/",$W$40&gt;'Paramètres - Admin'!$A2),'Paramètres - Admin'!$A3,"/"))</f>
        <v>/</v>
      </c>
      <c r="X42" s="385" t="str">
        <f>IF(W42&lt;&gt;"/",VLOOKUP(W42,COSTS_Laboratory[#All],2),"/")</f>
        <v>/</v>
      </c>
      <c r="Y42" s="458" t="str">
        <f>IF(W42&lt;&gt;"/",VLOOKUP(W42,COSTS_Laboratory[#All],3),"/")</f>
        <v>/</v>
      </c>
      <c r="Z42" s="385">
        <f t="shared" ref="Z42:Z50" si="35">IF(Y$40="Error","Error",IF(X42&lt;&gt;"/",V42*X42,0))</f>
        <v>0</v>
      </c>
      <c r="AA42" s="459">
        <f t="shared" ref="AA42:AA50" si="36">IF(Y$40="Error","Error",IF(Y42&lt;&gt;"/",V42*Y42,0))</f>
        <v>0</v>
      </c>
    </row>
    <row r="43" spans="1:27" s="525" customFormat="1" ht="15" customHeight="1" x14ac:dyDescent="0.25">
      <c r="A43" s="927">
        <v>2</v>
      </c>
      <c r="B43" s="928" t="str">
        <f>IF(Paramètres!H7=0,"",Paramètres!H7)</f>
        <v/>
      </c>
      <c r="C43" s="781">
        <f t="shared" si="25"/>
        <v>0</v>
      </c>
      <c r="D43" s="574">
        <f t="shared" si="26"/>
        <v>1</v>
      </c>
      <c r="E43" s="107">
        <f>IF(G$40="Error","Error",IF(AND($E$40&lt;&gt;"/",$E$40&gt;'Paramètres - Admin'!$A3),'Paramètres - Admin'!$A4,"/"))</f>
        <v>2</v>
      </c>
      <c r="F43" s="386">
        <f>IF(E43&lt;&gt;"/",VLOOKUP(E43,COSTS_Barrack[#All],2),"/")</f>
        <v>1000</v>
      </c>
      <c r="G43" s="94">
        <f>IF(E43&lt;&gt;"/",VLOOKUP(E43,COSTS_Barrack[#All],3),"/")</f>
        <v>0.25</v>
      </c>
      <c r="H43" s="386">
        <f t="shared" si="27"/>
        <v>1000</v>
      </c>
      <c r="I43" s="522">
        <f t="shared" si="28"/>
        <v>0.25</v>
      </c>
      <c r="J43" s="927">
        <v>2</v>
      </c>
      <c r="K43" s="928" t="str">
        <f>IF(Paramètres!I7=0,"",Paramètres!I7)</f>
        <v/>
      </c>
      <c r="L43" s="781">
        <f t="shared" si="29"/>
        <v>0</v>
      </c>
      <c r="M43" s="574" t="str">
        <f t="shared" si="30"/>
        <v>/</v>
      </c>
      <c r="N43" s="107" t="str">
        <f>IF(P$40="Error","Error",IF(AND($N$40&lt;&gt;"/",$N$40&gt;'Paramètres - Admin'!$A3),'Paramètres - Admin'!$A4,"/"))</f>
        <v>/</v>
      </c>
      <c r="O43" s="386" t="str">
        <f>IF(N43&lt;&gt;"/",VLOOKUP(N43,COSTS_Dark_Barrack[#All],2),"/")</f>
        <v>/</v>
      </c>
      <c r="P43" s="94" t="str">
        <f>IF(N43&lt;&gt;"/",VLOOKUP(N43,COSTS_Dark_Barrack[#All],3),"/")</f>
        <v>/</v>
      </c>
      <c r="Q43" s="386">
        <f t="shared" si="31"/>
        <v>0</v>
      </c>
      <c r="R43" s="522">
        <f t="shared" si="32"/>
        <v>0</v>
      </c>
      <c r="S43" s="927">
        <v>2</v>
      </c>
      <c r="T43" s="928" t="str">
        <f>IF(Paramètres!K7=0,"",Paramètres!K7)</f>
        <v/>
      </c>
      <c r="U43" s="781">
        <f t="shared" si="33"/>
        <v>0</v>
      </c>
      <c r="V43" s="574" t="str">
        <f t="shared" si="34"/>
        <v>/</v>
      </c>
      <c r="W43" s="107" t="str">
        <f>IF(Y$40="Error","Error",IF(AND($W$40&lt;&gt;"/",$W$40&gt;'Paramètres - Admin'!$A3),'Paramètres - Admin'!$A4,"/"))</f>
        <v>/</v>
      </c>
      <c r="X43" s="386" t="str">
        <f>IF(W43&lt;&gt;"/",VLOOKUP(W43,COSTS_Laboratory[#All],2),"/")</f>
        <v>/</v>
      </c>
      <c r="Y43" s="94" t="str">
        <f>IF(W43&lt;&gt;"/",VLOOKUP(W43,COSTS_Laboratory[#All],3),"/")</f>
        <v>/</v>
      </c>
      <c r="Z43" s="386">
        <f t="shared" si="35"/>
        <v>0</v>
      </c>
      <c r="AA43" s="522">
        <f t="shared" si="36"/>
        <v>0</v>
      </c>
    </row>
    <row r="44" spans="1:27" ht="15" customHeight="1" x14ac:dyDescent="0.25">
      <c r="A44" s="927">
        <v>3</v>
      </c>
      <c r="B44" s="928" t="str">
        <f>IF(Paramètres!H8=0,"",Paramètres!H8)</f>
        <v/>
      </c>
      <c r="C44" s="781">
        <f t="shared" si="25"/>
        <v>0</v>
      </c>
      <c r="D44" s="574">
        <f t="shared" si="26"/>
        <v>1</v>
      </c>
      <c r="E44" s="107">
        <f>IF(G$40="Error","Error",IF(AND($E$40&lt;&gt;"/",$E$40&gt;'Paramètres - Admin'!$A4),'Paramètres - Admin'!$A5,"/"))</f>
        <v>3</v>
      </c>
      <c r="F44" s="386">
        <f>IF(E44&lt;&gt;"/",VLOOKUP(E44,COSTS_Barrack[#All],2),"/")</f>
        <v>2500</v>
      </c>
      <c r="G44" s="94">
        <f>IF(E44&lt;&gt;"/",VLOOKUP(E44,COSTS_Barrack[#All],3),"/")</f>
        <v>2</v>
      </c>
      <c r="H44" s="386">
        <f t="shared" si="27"/>
        <v>2500</v>
      </c>
      <c r="I44" s="522">
        <f t="shared" si="28"/>
        <v>2</v>
      </c>
      <c r="J44" s="927">
        <v>3</v>
      </c>
      <c r="K44" s="928" t="str">
        <f>IF(Paramètres!I8=0,"",Paramètres!I8)</f>
        <v/>
      </c>
      <c r="L44" s="781">
        <f t="shared" si="29"/>
        <v>0</v>
      </c>
      <c r="M44" s="574" t="str">
        <f t="shared" si="30"/>
        <v>/</v>
      </c>
      <c r="N44" s="107" t="str">
        <f>IF(P$40="Error","Error",IF(AND($N$40&lt;&gt;"/",$N$40&gt;'Paramètres - Admin'!$A4),'Paramètres - Admin'!$A5,"/"))</f>
        <v>/</v>
      </c>
      <c r="O44" s="386" t="str">
        <f>IF(N44&lt;&gt;"/",VLOOKUP(N44,COSTS_Dark_Barrack[#All],2),"/")</f>
        <v>/</v>
      </c>
      <c r="P44" s="94" t="str">
        <f>IF(N44&lt;&gt;"/",VLOOKUP(N44,COSTS_Dark_Barrack[#All],3),"/")</f>
        <v>/</v>
      </c>
      <c r="Q44" s="386">
        <f t="shared" si="31"/>
        <v>0</v>
      </c>
      <c r="R44" s="522">
        <f t="shared" si="32"/>
        <v>0</v>
      </c>
      <c r="S44" s="927">
        <v>3</v>
      </c>
      <c r="T44" s="928" t="str">
        <f>IF(Paramètres!K8=0,"",Paramètres!K8)</f>
        <v/>
      </c>
      <c r="U44" s="781">
        <f t="shared" si="33"/>
        <v>0</v>
      </c>
      <c r="V44" s="574" t="str">
        <f t="shared" si="34"/>
        <v>/</v>
      </c>
      <c r="W44" s="107" t="str">
        <f>IF(Y$40="Error","Error",IF(AND($W$40&lt;&gt;"/",$W$40&gt;'Paramètres - Admin'!$A4),'Paramètres - Admin'!$A5,"/"))</f>
        <v>/</v>
      </c>
      <c r="X44" s="386" t="str">
        <f>IF(W44&lt;&gt;"/",VLOOKUP(W44,COSTS_Laboratory[#All],2),"/")</f>
        <v>/</v>
      </c>
      <c r="Y44" s="94" t="str">
        <f>IF(W44&lt;&gt;"/",VLOOKUP(W44,COSTS_Laboratory[#All],3),"/")</f>
        <v>/</v>
      </c>
      <c r="Z44" s="386">
        <f t="shared" si="35"/>
        <v>0</v>
      </c>
      <c r="AA44" s="522">
        <f t="shared" si="36"/>
        <v>0</v>
      </c>
    </row>
    <row r="45" spans="1:27" x14ac:dyDescent="0.25">
      <c r="A45" s="927">
        <v>4</v>
      </c>
      <c r="B45" s="928" t="str">
        <f>IF(Paramètres!H9=0,"",Paramètres!H9)</f>
        <v/>
      </c>
      <c r="C45" s="781">
        <f t="shared" si="25"/>
        <v>0</v>
      </c>
      <c r="D45" s="574" t="str">
        <f t="shared" si="26"/>
        <v>/</v>
      </c>
      <c r="E45" s="107" t="str">
        <f>IF(G$40="Error","Error",IF(AND($E$40&lt;&gt;"/",$E$40&gt;'Paramètres - Admin'!$A5),'Paramètres - Admin'!$A6,"/"))</f>
        <v>/</v>
      </c>
      <c r="F45" s="386" t="str">
        <f>IF(E45&lt;&gt;"/",VLOOKUP(E45,COSTS_Barrack[#All],2),"/")</f>
        <v>/</v>
      </c>
      <c r="G45" s="94" t="str">
        <f>IF(E45&lt;&gt;"/",VLOOKUP(E45,COSTS_Barrack[#All],3),"/")</f>
        <v>/</v>
      </c>
      <c r="H45" s="386">
        <f t="shared" si="27"/>
        <v>0</v>
      </c>
      <c r="I45" s="522">
        <f t="shared" si="28"/>
        <v>0</v>
      </c>
      <c r="J45" s="927">
        <v>4</v>
      </c>
      <c r="K45" s="928" t="str">
        <f>IF(Paramètres!I9=0,"",Paramètres!I9)</f>
        <v/>
      </c>
      <c r="L45" s="781">
        <f t="shared" si="29"/>
        <v>0</v>
      </c>
      <c r="M45" s="574" t="str">
        <f t="shared" si="30"/>
        <v>/</v>
      </c>
      <c r="N45" s="107" t="str">
        <f>IF(P$40="Error","Error",IF(AND($N$40&lt;&gt;"/",$N$40&gt;'Paramètres - Admin'!$A5),'Paramètres - Admin'!$A6,"/"))</f>
        <v>/</v>
      </c>
      <c r="O45" s="386" t="str">
        <f>IF(N45&lt;&gt;"/",VLOOKUP(N45,COSTS_Dark_Barrack[#All],2),"/")</f>
        <v>/</v>
      </c>
      <c r="P45" s="94" t="str">
        <f>IF(N45&lt;&gt;"/",VLOOKUP(N45,COSTS_Dark_Barrack[#All],3),"/")</f>
        <v>/</v>
      </c>
      <c r="Q45" s="386">
        <f t="shared" si="31"/>
        <v>0</v>
      </c>
      <c r="R45" s="522">
        <f t="shared" si="32"/>
        <v>0</v>
      </c>
      <c r="S45" s="927">
        <v>4</v>
      </c>
      <c r="T45" s="928" t="str">
        <f>IF(Paramètres!K9=0,"",Paramètres!K9)</f>
        <v/>
      </c>
      <c r="U45" s="781">
        <f t="shared" si="33"/>
        <v>0</v>
      </c>
      <c r="V45" s="574" t="str">
        <f t="shared" si="34"/>
        <v>/</v>
      </c>
      <c r="W45" s="107" t="str">
        <f>IF(Y$40="Error","Error",IF(AND($W$40&lt;&gt;"/",$W$40&gt;'Paramètres - Admin'!$A5),'Paramètres - Admin'!$A6,"/"))</f>
        <v>/</v>
      </c>
      <c r="X45" s="386" t="str">
        <f>IF(W45&lt;&gt;"/",VLOOKUP(W45,COSTS_Laboratory[#All],2),"/")</f>
        <v>/</v>
      </c>
      <c r="Y45" s="94" t="str">
        <f>IF(W45&lt;&gt;"/",VLOOKUP(W45,COSTS_Laboratory[#All],3),"/")</f>
        <v>/</v>
      </c>
      <c r="Z45" s="386">
        <f t="shared" si="35"/>
        <v>0</v>
      </c>
      <c r="AA45" s="522">
        <f t="shared" si="36"/>
        <v>0</v>
      </c>
    </row>
    <row r="46" spans="1:27" ht="15" customHeight="1" x14ac:dyDescent="0.25">
      <c r="A46" s="927">
        <v>5</v>
      </c>
      <c r="B46" s="928" t="str">
        <f>IF(Paramètres!H10=0,"",Paramètres!H10)</f>
        <v/>
      </c>
      <c r="C46" s="781">
        <f t="shared" si="25"/>
        <v>0</v>
      </c>
      <c r="D46" s="574" t="str">
        <f t="shared" si="26"/>
        <v>/</v>
      </c>
      <c r="E46" s="107" t="str">
        <f>IF(G$40="Error","Error",IF(AND($E$40&lt;&gt;"/",$E$40&gt;'Paramètres - Admin'!$A6),'Paramètres - Admin'!$A7,"/"))</f>
        <v>/</v>
      </c>
      <c r="F46" s="386" t="str">
        <f>IF(E46&lt;&gt;"/",VLOOKUP(E46,COSTS_Barrack[#All],2),"/")</f>
        <v>/</v>
      </c>
      <c r="G46" s="94" t="str">
        <f>IF(E46&lt;&gt;"/",VLOOKUP(E46,COSTS_Barrack[#All],3),"/")</f>
        <v>/</v>
      </c>
      <c r="H46" s="386">
        <f t="shared" si="27"/>
        <v>0</v>
      </c>
      <c r="I46" s="522">
        <f t="shared" si="28"/>
        <v>0</v>
      </c>
      <c r="J46" s="927">
        <v>5</v>
      </c>
      <c r="K46" s="928" t="str">
        <f>IF(Paramètres!I10=0,"",Paramètres!I10)</f>
        <v/>
      </c>
      <c r="L46" s="781">
        <f t="shared" si="29"/>
        <v>0</v>
      </c>
      <c r="M46" s="574" t="str">
        <f t="shared" si="30"/>
        <v>/</v>
      </c>
      <c r="N46" s="107" t="str">
        <f>IF(P$40="Error","Error",IF(AND($N$40&lt;&gt;"/",$N$40&gt;'Paramètres - Admin'!$A6),'Paramètres - Admin'!$A7,"/"))</f>
        <v>/</v>
      </c>
      <c r="O46" s="386" t="str">
        <f>IF(N46&lt;&gt;"/",VLOOKUP(N46,COSTS_Dark_Barrack[#All],2),"/")</f>
        <v>/</v>
      </c>
      <c r="P46" s="94" t="str">
        <f>IF(N46&lt;&gt;"/",VLOOKUP(N46,COSTS_Dark_Barrack[#All],3),"/")</f>
        <v>/</v>
      </c>
      <c r="Q46" s="386">
        <f t="shared" si="31"/>
        <v>0</v>
      </c>
      <c r="R46" s="522">
        <f t="shared" si="32"/>
        <v>0</v>
      </c>
      <c r="S46" s="927">
        <v>5</v>
      </c>
      <c r="T46" s="928" t="str">
        <f>IF(Paramètres!K10=0,"",Paramètres!K10)</f>
        <v/>
      </c>
      <c r="U46" s="781">
        <f t="shared" si="33"/>
        <v>0</v>
      </c>
      <c r="V46" s="574" t="str">
        <f t="shared" si="34"/>
        <v>/</v>
      </c>
      <c r="W46" s="107" t="str">
        <f>IF(Y$40="Error","Error",IF(AND($W$40&lt;&gt;"/",$W$40&gt;'Paramètres - Admin'!$A6),'Paramètres - Admin'!$A7,"/"))</f>
        <v>/</v>
      </c>
      <c r="X46" s="386" t="str">
        <f>IF(W46&lt;&gt;"/",VLOOKUP(W46,COSTS_Laboratory[#All],2),"/")</f>
        <v>/</v>
      </c>
      <c r="Y46" s="94" t="str">
        <f>IF(W46&lt;&gt;"/",VLOOKUP(W46,COSTS_Laboratory[#All],3),"/")</f>
        <v>/</v>
      </c>
      <c r="Z46" s="386">
        <f t="shared" si="35"/>
        <v>0</v>
      </c>
      <c r="AA46" s="522">
        <f t="shared" si="36"/>
        <v>0</v>
      </c>
    </row>
    <row r="47" spans="1:27" ht="15" customHeight="1" x14ac:dyDescent="0.25">
      <c r="A47" s="927">
        <v>6</v>
      </c>
      <c r="B47" s="928" t="str">
        <f>IF(Paramètres!H11=0,"",Paramètres!H11)</f>
        <v/>
      </c>
      <c r="C47" s="781">
        <f t="shared" si="25"/>
        <v>0</v>
      </c>
      <c r="D47" s="574" t="str">
        <f t="shared" si="26"/>
        <v>/</v>
      </c>
      <c r="E47" s="107" t="str">
        <f>IF(G$40="Error","Error",IF(AND($E$40&lt;&gt;"/",$E$40&gt;'Paramètres - Admin'!$A7),'Paramètres - Admin'!$A8,"/"))</f>
        <v>/</v>
      </c>
      <c r="F47" s="386" t="str">
        <f>IF(E47&lt;&gt;"/",VLOOKUP(E47,COSTS_Barrack[#All],2),"/")</f>
        <v>/</v>
      </c>
      <c r="G47" s="94" t="str">
        <f>IF(E47&lt;&gt;"/",VLOOKUP(E47,COSTS_Barrack[#All],3),"/")</f>
        <v>/</v>
      </c>
      <c r="H47" s="386">
        <f t="shared" si="27"/>
        <v>0</v>
      </c>
      <c r="I47" s="522">
        <f t="shared" si="28"/>
        <v>0</v>
      </c>
      <c r="J47" s="927">
        <v>6</v>
      </c>
      <c r="K47" s="928" t="str">
        <f>IF(Paramètres!I11=0,"",Paramètres!I11)</f>
        <v/>
      </c>
      <c r="L47" s="781">
        <f t="shared" si="29"/>
        <v>0</v>
      </c>
      <c r="M47" s="574" t="str">
        <f t="shared" si="30"/>
        <v>/</v>
      </c>
      <c r="N47" s="107" t="str">
        <f>IF(P$40="Error","Error",IF(AND($N$40&lt;&gt;"/",$N$40&gt;'Paramètres - Admin'!$A7),'Paramètres - Admin'!$A8,"/"))</f>
        <v>/</v>
      </c>
      <c r="O47" s="386" t="str">
        <f>IF(N47&lt;&gt;"/",VLOOKUP(N47,COSTS_Dark_Barrack[#All],2),"/")</f>
        <v>/</v>
      </c>
      <c r="P47" s="94" t="str">
        <f>IF(N47&lt;&gt;"/",VLOOKUP(N47,COSTS_Dark_Barrack[#All],3),"/")</f>
        <v>/</v>
      </c>
      <c r="Q47" s="386">
        <f t="shared" si="31"/>
        <v>0</v>
      </c>
      <c r="R47" s="522">
        <f t="shared" si="32"/>
        <v>0</v>
      </c>
      <c r="S47" s="927">
        <v>6</v>
      </c>
      <c r="T47" s="928" t="str">
        <f>IF(Paramètres!K11=0,"",Paramètres!K11)</f>
        <v/>
      </c>
      <c r="U47" s="781">
        <f t="shared" si="33"/>
        <v>0</v>
      </c>
      <c r="V47" s="574" t="str">
        <f t="shared" si="34"/>
        <v>/</v>
      </c>
      <c r="W47" s="107" t="str">
        <f>IF(Y$40="Error","Error",IF(AND($W$40&lt;&gt;"/",$W$40&gt;'Paramètres - Admin'!$A7),'Paramètres - Admin'!$A8,"/"))</f>
        <v>/</v>
      </c>
      <c r="X47" s="386" t="str">
        <f>IF(W47&lt;&gt;"/",VLOOKUP(W47,COSTS_Laboratory[#All],2),"/")</f>
        <v>/</v>
      </c>
      <c r="Y47" s="94" t="str">
        <f>IF(W47&lt;&gt;"/",VLOOKUP(W47,COSTS_Laboratory[#All],3),"/")</f>
        <v>/</v>
      </c>
      <c r="Z47" s="386">
        <f t="shared" si="35"/>
        <v>0</v>
      </c>
      <c r="AA47" s="522">
        <f t="shared" si="36"/>
        <v>0</v>
      </c>
    </row>
    <row r="48" spans="1:27" ht="15" customHeight="1" thickBot="1" x14ac:dyDescent="0.3">
      <c r="A48" s="927">
        <v>7</v>
      </c>
      <c r="B48" s="928" t="str">
        <f>IF(Paramètres!H12=0,"",Paramètres!H12)</f>
        <v/>
      </c>
      <c r="C48" s="781">
        <f t="shared" si="25"/>
        <v>0</v>
      </c>
      <c r="D48" s="574" t="str">
        <f t="shared" si="26"/>
        <v>/</v>
      </c>
      <c r="E48" s="107" t="str">
        <f>IF(G$40="Error","Error",IF(AND($E$40&lt;&gt;"/",$E$40&gt;'Paramètres - Admin'!$A8),'Paramètres - Admin'!$A9,"/"))</f>
        <v>/</v>
      </c>
      <c r="F48" s="386" t="str">
        <f>IF(E48&lt;&gt;"/",VLOOKUP(E48,COSTS_Barrack[#All],2),"/")</f>
        <v>/</v>
      </c>
      <c r="G48" s="94" t="str">
        <f>IF(E48&lt;&gt;"/",VLOOKUP(E48,COSTS_Barrack[#All],3),"/")</f>
        <v>/</v>
      </c>
      <c r="H48" s="386">
        <f t="shared" si="27"/>
        <v>0</v>
      </c>
      <c r="I48" s="522">
        <f t="shared" si="28"/>
        <v>0</v>
      </c>
      <c r="J48" s="929">
        <v>7</v>
      </c>
      <c r="K48" s="930" t="str">
        <f>IF(Paramètres!I12=0,"",Paramètres!I12)</f>
        <v/>
      </c>
      <c r="L48" s="782">
        <f t="shared" si="29"/>
        <v>0</v>
      </c>
      <c r="M48" s="575" t="str">
        <f>IF(N48&lt;&gt;"/",IF(P$40="Error","Error",$Q$40+L48),"/")</f>
        <v>/</v>
      </c>
      <c r="N48" s="113" t="str">
        <f>IF(P$40="Error","Error",IF(AND($N$40&lt;&gt;"/",$N$40&gt;'Paramètres - Admin'!$A8),'Paramètres - Admin'!$A9,"/"))</f>
        <v>/</v>
      </c>
      <c r="O48" s="387" t="str">
        <f>IF(N48&lt;&gt;"/",VLOOKUP(N48,COSTS_Dark_Barrack[#All],2),"/")</f>
        <v>/</v>
      </c>
      <c r="P48" s="112" t="str">
        <f>IF(N48&lt;&gt;"/",VLOOKUP(N48,COSTS_Dark_Barrack[#All],3),"/")</f>
        <v>/</v>
      </c>
      <c r="Q48" s="387">
        <f t="shared" si="31"/>
        <v>0</v>
      </c>
      <c r="R48" s="114">
        <f t="shared" si="32"/>
        <v>0</v>
      </c>
      <c r="S48" s="927">
        <v>7</v>
      </c>
      <c r="T48" s="928" t="str">
        <f>IF(Paramètres!K12=0,"",Paramètres!K12)</f>
        <v/>
      </c>
      <c r="U48" s="781">
        <f t="shared" si="33"/>
        <v>0</v>
      </c>
      <c r="V48" s="574" t="str">
        <f t="shared" si="34"/>
        <v>/</v>
      </c>
      <c r="W48" s="107" t="str">
        <f>IF(Y$40="Error","Error",IF(AND($W$40&lt;&gt;"/",$W$40&gt;'Paramètres - Admin'!$A8),'Paramètres - Admin'!$A9,"/"))</f>
        <v>/</v>
      </c>
      <c r="X48" s="386" t="str">
        <f>IF(W48&lt;&gt;"/",VLOOKUP(W48,COSTS_Laboratory[#All],2),"/")</f>
        <v>/</v>
      </c>
      <c r="Y48" s="94" t="str">
        <f>IF(W48&lt;&gt;"/",VLOOKUP(W48,COSTS_Laboratory[#All],3),"/")</f>
        <v>/</v>
      </c>
      <c r="Z48" s="386">
        <f t="shared" si="35"/>
        <v>0</v>
      </c>
      <c r="AA48" s="522">
        <f t="shared" si="36"/>
        <v>0</v>
      </c>
    </row>
    <row r="49" spans="1:27" ht="15" customHeight="1" thickBot="1" x14ac:dyDescent="0.3">
      <c r="A49" s="927">
        <v>8</v>
      </c>
      <c r="B49" s="928" t="str">
        <f>IF(Paramètres!H13=0,"",Paramètres!H13)</f>
        <v/>
      </c>
      <c r="C49" s="781">
        <f t="shared" si="25"/>
        <v>0</v>
      </c>
      <c r="D49" s="574" t="str">
        <f t="shared" si="26"/>
        <v>/</v>
      </c>
      <c r="E49" s="107" t="str">
        <f>IF(G$40="Error","Error",IF(AND($E$40&lt;&gt;"/",$E$40&gt;'Paramètres - Admin'!$A9),'Paramètres - Admin'!$A10,"/"))</f>
        <v>/</v>
      </c>
      <c r="F49" s="386" t="str">
        <f>IF(E49&lt;&gt;"/",VLOOKUP(E49,COSTS_Barrack[#All],2),"/")</f>
        <v>/</v>
      </c>
      <c r="G49" s="94" t="str">
        <f>IF(E49&lt;&gt;"/",VLOOKUP(E49,COSTS_Barrack[#All],3),"/")</f>
        <v>/</v>
      </c>
      <c r="H49" s="386">
        <f t="shared" si="27"/>
        <v>0</v>
      </c>
      <c r="I49" s="522">
        <f t="shared" si="28"/>
        <v>0</v>
      </c>
      <c r="J49" s="910"/>
      <c r="K49" s="911"/>
      <c r="L49" s="911"/>
      <c r="M49" s="911"/>
      <c r="N49" s="911"/>
      <c r="O49" s="911"/>
      <c r="P49" s="511" t="s">
        <v>31</v>
      </c>
      <c r="Q49" s="388">
        <f>IF(P$40="Error","Error",SUM(Q42:Q48))</f>
        <v>0</v>
      </c>
      <c r="R49" s="534">
        <f>IF(P$40="Error","Error",SUM(R42:R48))</f>
        <v>0</v>
      </c>
      <c r="S49" s="927">
        <v>8</v>
      </c>
      <c r="T49" s="928" t="str">
        <f>IF(Paramètres!K13=0,"",Paramètres!K13)</f>
        <v/>
      </c>
      <c r="U49" s="781">
        <f t="shared" si="33"/>
        <v>0</v>
      </c>
      <c r="V49" s="574" t="str">
        <f t="shared" si="34"/>
        <v>/</v>
      </c>
      <c r="W49" s="107" t="str">
        <f>IF(Y$40="Error","Error",IF(AND($W$40&lt;&gt;"/",$W$40&gt;'Paramètres - Admin'!$A9),'Paramètres - Admin'!$A10,"/"))</f>
        <v>/</v>
      </c>
      <c r="X49" s="386" t="str">
        <f>IF(W49&lt;&gt;"/",VLOOKUP(W49,COSTS_Laboratory[#All],2),"/")</f>
        <v>/</v>
      </c>
      <c r="Y49" s="94" t="str">
        <f>IF(W49&lt;&gt;"/",VLOOKUP(W49,COSTS_Laboratory[#All],3),"/")</f>
        <v>/</v>
      </c>
      <c r="Z49" s="386">
        <f t="shared" si="35"/>
        <v>0</v>
      </c>
      <c r="AA49" s="522">
        <f t="shared" si="36"/>
        <v>0</v>
      </c>
    </row>
    <row r="50" spans="1:27" ht="15" customHeight="1" thickBot="1" x14ac:dyDescent="0.3">
      <c r="A50" s="927">
        <v>9</v>
      </c>
      <c r="B50" s="928" t="str">
        <f>IF(Paramètres!H14=0,"",Paramètres!H14)</f>
        <v/>
      </c>
      <c r="C50" s="781">
        <f t="shared" si="25"/>
        <v>0</v>
      </c>
      <c r="D50" s="574" t="str">
        <f t="shared" si="26"/>
        <v>/</v>
      </c>
      <c r="E50" s="107" t="str">
        <f>IF(G$40="Error","Error",IF(AND($E$40&lt;&gt;"/",$E$40&gt;'Paramètres - Admin'!$A10),'Paramètres - Admin'!$A11,"/"))</f>
        <v>/</v>
      </c>
      <c r="F50" s="386" t="str">
        <f>IF(E50&lt;&gt;"/",VLOOKUP(E50,COSTS_Barrack[#All],2),"/")</f>
        <v>/</v>
      </c>
      <c r="G50" s="94" t="str">
        <f>IF(E50&lt;&gt;"/",VLOOKUP(E50,COSTS_Barrack[#All],3),"/")</f>
        <v>/</v>
      </c>
      <c r="H50" s="386">
        <f t="shared" si="27"/>
        <v>0</v>
      </c>
      <c r="I50" s="522">
        <f t="shared" si="28"/>
        <v>0</v>
      </c>
      <c r="S50" s="929">
        <v>9</v>
      </c>
      <c r="T50" s="930" t="str">
        <f>IF(Paramètres!K14=0,"",Paramètres!K14)</f>
        <v/>
      </c>
      <c r="U50" s="782">
        <f t="shared" si="33"/>
        <v>0</v>
      </c>
      <c r="V50" s="575" t="str">
        <f t="shared" si="34"/>
        <v>/</v>
      </c>
      <c r="W50" s="113" t="str">
        <f>IF(Y$40="Error","Error",IF(AND($W$40&lt;&gt;"/",$W$40&gt;'Paramètres - Admin'!$A10),'Paramètres - Admin'!$A11,"/"))</f>
        <v>/</v>
      </c>
      <c r="X50" s="387" t="str">
        <f>IF(W50&lt;&gt;"/",VLOOKUP(W50,COSTS_Laboratory[#All],2),"/")</f>
        <v>/</v>
      </c>
      <c r="Y50" s="112" t="str">
        <f>IF(W50&lt;&gt;"/",VLOOKUP(W50,COSTS_Laboratory[#All],3),"/")</f>
        <v>/</v>
      </c>
      <c r="Z50" s="387">
        <f t="shared" si="35"/>
        <v>0</v>
      </c>
      <c r="AA50" s="114">
        <f t="shared" si="36"/>
        <v>0</v>
      </c>
    </row>
    <row r="51" spans="1:27" ht="15" customHeight="1" thickBot="1" x14ac:dyDescent="0.3">
      <c r="A51" s="929">
        <v>10</v>
      </c>
      <c r="B51" s="930" t="str">
        <f>IF(Paramètres!H15=0,"",Paramètres!H15)</f>
        <v/>
      </c>
      <c r="C51" s="782">
        <f t="shared" si="25"/>
        <v>0</v>
      </c>
      <c r="D51" s="575" t="str">
        <f t="shared" si="26"/>
        <v>/</v>
      </c>
      <c r="E51" s="113" t="str">
        <f>IF(G$40="Error","Error",IF(AND($E$40&lt;&gt;"/",$E$40&gt;'Paramètres - Admin'!$A11),'Paramètres - Admin'!$A12,"/"))</f>
        <v>/</v>
      </c>
      <c r="F51" s="387" t="str">
        <f>IF(E51&lt;&gt;"/",VLOOKUP(E51,COSTS_Barrack[#All],2),"/")</f>
        <v>/</v>
      </c>
      <c r="G51" s="112" t="str">
        <f>IF(E51&lt;&gt;"/",VLOOKUP(E51,COSTS_Barrack[#All],3),"/")</f>
        <v>/</v>
      </c>
      <c r="H51" s="387">
        <f t="shared" si="27"/>
        <v>0</v>
      </c>
      <c r="I51" s="114">
        <f t="shared" si="28"/>
        <v>0</v>
      </c>
      <c r="S51" s="907"/>
      <c r="T51" s="908"/>
      <c r="U51" s="908"/>
      <c r="V51" s="908"/>
      <c r="W51" s="908"/>
      <c r="X51" s="908"/>
      <c r="Y51" s="274" t="s">
        <v>31</v>
      </c>
      <c r="Z51" s="394">
        <f>IF(Y$40="Error","Error",SUM(Z42:Z49))</f>
        <v>0</v>
      </c>
      <c r="AA51" s="585">
        <f>IF(Y$40="Error","Error",SUM(AA42:AA49))</f>
        <v>0</v>
      </c>
    </row>
    <row r="52" spans="1:27" ht="15" customHeight="1" thickBot="1" x14ac:dyDescent="0.3">
      <c r="A52" s="907"/>
      <c r="B52" s="908"/>
      <c r="C52" s="908"/>
      <c r="D52" s="908"/>
      <c r="E52" s="908"/>
      <c r="F52" s="908"/>
      <c r="G52" s="274" t="s">
        <v>31</v>
      </c>
      <c r="H52" s="394">
        <f>IF(G$40="Error","Error",SUM(H42:H51))</f>
        <v>3700</v>
      </c>
      <c r="I52" s="585">
        <f>IF(G$40="Error","Error",SUM(I42:I51))</f>
        <v>2.27</v>
      </c>
      <c r="S52" s="1119" t="s">
        <v>338</v>
      </c>
      <c r="T52" s="1120"/>
      <c r="U52" s="1121"/>
      <c r="V52" s="512" t="s">
        <v>38</v>
      </c>
      <c r="W52" s="513" t="s">
        <v>39</v>
      </c>
      <c r="X52" s="527"/>
      <c r="Y52" s="512" t="s">
        <v>256</v>
      </c>
      <c r="Z52" s="514" t="s">
        <v>361</v>
      </c>
      <c r="AA52" s="513" t="s">
        <v>257</v>
      </c>
    </row>
    <row r="53" spans="1:27" ht="15" customHeight="1" thickBot="1" x14ac:dyDescent="0.3">
      <c r="A53" s="1119" t="s">
        <v>209</v>
      </c>
      <c r="B53" s="1120"/>
      <c r="C53" s="1121"/>
      <c r="D53" s="512" t="s">
        <v>38</v>
      </c>
      <c r="E53" s="513" t="s">
        <v>39</v>
      </c>
      <c r="F53" s="527"/>
      <c r="G53" s="512" t="s">
        <v>256</v>
      </c>
      <c r="H53" s="514" t="s">
        <v>361</v>
      </c>
      <c r="I53" s="513" t="s">
        <v>257</v>
      </c>
      <c r="J53" s="1119" t="s">
        <v>701</v>
      </c>
      <c r="K53" s="1120"/>
      <c r="L53" s="1121"/>
      <c r="M53" s="512" t="s">
        <v>38</v>
      </c>
      <c r="N53" s="513" t="s">
        <v>39</v>
      </c>
      <c r="O53" s="527"/>
      <c r="P53" s="512" t="s">
        <v>256</v>
      </c>
      <c r="Q53" s="514" t="s">
        <v>361</v>
      </c>
      <c r="R53" s="513" t="s">
        <v>257</v>
      </c>
      <c r="S53" s="1122"/>
      <c r="T53" s="1123"/>
      <c r="U53" s="1124"/>
      <c r="V53" s="515">
        <f>VLOOKUP($A$2,AVAILABLE_Buildings_Army[#All],MATCH(S52,AVAILABLE_Buildings_Army[#Headers],0))</f>
        <v>1</v>
      </c>
      <c r="W53" s="516">
        <f>VLOOKUP($A$2,AVAILABLE_Buildings_Army[#All],MATCH(S52,AVAILABLE_Buildings_Army[#Headers],0)+1)</f>
        <v>1</v>
      </c>
      <c r="X53" s="528"/>
      <c r="Y53" s="518">
        <f>IF(SUM(T55:T62)&gt;V53,"Error",SUM(T55:T62))</f>
        <v>0</v>
      </c>
      <c r="Z53" s="519">
        <f>IF(Y$53="Error","Error",V53-Y53)</f>
        <v>1</v>
      </c>
      <c r="AA53" s="526">
        <f>IF(Y$53="Error","Error",SUM(V55:V62))</f>
        <v>1</v>
      </c>
    </row>
    <row r="54" spans="1:27" ht="15" customHeight="1" thickBot="1" x14ac:dyDescent="0.3">
      <c r="A54" s="1122"/>
      <c r="B54" s="1123"/>
      <c r="C54" s="1124"/>
      <c r="D54" s="515">
        <f>VLOOKUP($A$2,AVAILABLE_Buildings_Army[#All],MATCH(A53,AVAILABLE_Buildings_Army[#Headers],0))</f>
        <v>0</v>
      </c>
      <c r="E54" s="516">
        <f>VLOOKUP($A$2,AVAILABLE_Buildings_Army[#All],MATCH(A53,AVAILABLE_Buildings_Army[#Headers],0)+1)</f>
        <v>0</v>
      </c>
      <c r="F54" s="528"/>
      <c r="G54" s="518">
        <f>IF(SUM(B56:B60)&gt;D54,"Error",SUM(B56:B60))</f>
        <v>0</v>
      </c>
      <c r="H54" s="97">
        <f>IF(G$54="Error","Error",D54-G54)</f>
        <v>0</v>
      </c>
      <c r="I54" s="202">
        <f>IF(G$54="Error","Error",SUM(D56:D60))</f>
        <v>0</v>
      </c>
      <c r="J54" s="1122"/>
      <c r="K54" s="1123"/>
      <c r="L54" s="1124"/>
      <c r="M54" s="515">
        <f>VLOOKUP($A$2,AVAILABLE_Buildings_Army[#All],MATCH(J53,AVAILABLE_Buildings_Army[#Headers],0))</f>
        <v>0</v>
      </c>
      <c r="N54" s="516">
        <f>VLOOKUP($A$2,AVAILABLE_Buildings_Army[#All],MATCH(J53,AVAILABLE_Buildings_Army[#Headers],0)+1)</f>
        <v>0</v>
      </c>
      <c r="O54" s="528"/>
      <c r="P54" s="518">
        <f>IF(SUM(K56:K58)&gt;M54,"Error",SUM(K56:K58))</f>
        <v>0</v>
      </c>
      <c r="Q54" s="519">
        <f>IF(P$54="Error","Error",M54-P54)</f>
        <v>0</v>
      </c>
      <c r="R54" s="526">
        <f>IF(P$54="Error","Error",SUM(M56:M58))</f>
        <v>0</v>
      </c>
      <c r="S54" s="520" t="s">
        <v>30</v>
      </c>
      <c r="T54" s="523" t="s">
        <v>29</v>
      </c>
      <c r="U54" s="521"/>
      <c r="V54" s="530" t="s">
        <v>29</v>
      </c>
      <c r="W54" s="531" t="s">
        <v>30</v>
      </c>
      <c r="X54" s="532" t="s">
        <v>258</v>
      </c>
      <c r="Y54" s="532" t="s">
        <v>259</v>
      </c>
      <c r="Z54" s="532" t="s">
        <v>232</v>
      </c>
      <c r="AA54" s="533" t="s">
        <v>233</v>
      </c>
    </row>
    <row r="55" spans="1:27" ht="15" customHeight="1" thickBot="1" x14ac:dyDescent="0.3">
      <c r="A55" s="520" t="s">
        <v>30</v>
      </c>
      <c r="B55" s="523" t="s">
        <v>29</v>
      </c>
      <c r="C55" s="521"/>
      <c r="D55" s="530" t="s">
        <v>29</v>
      </c>
      <c r="E55" s="531" t="s">
        <v>30</v>
      </c>
      <c r="F55" s="532" t="s">
        <v>258</v>
      </c>
      <c r="G55" s="532" t="s">
        <v>259</v>
      </c>
      <c r="H55" s="532" t="s">
        <v>232</v>
      </c>
      <c r="I55" s="533" t="s">
        <v>233</v>
      </c>
      <c r="J55" s="520" t="s">
        <v>30</v>
      </c>
      <c r="K55" s="523" t="s">
        <v>29</v>
      </c>
      <c r="L55" s="521"/>
      <c r="M55" s="530" t="s">
        <v>29</v>
      </c>
      <c r="N55" s="531" t="s">
        <v>30</v>
      </c>
      <c r="O55" s="532" t="s">
        <v>258</v>
      </c>
      <c r="P55" s="532" t="s">
        <v>259</v>
      </c>
      <c r="Q55" s="532" t="s">
        <v>232</v>
      </c>
      <c r="R55" s="533" t="s">
        <v>233</v>
      </c>
      <c r="S55" s="512">
        <v>1</v>
      </c>
      <c r="T55" s="926" t="str">
        <f>IF(Paramètres!J6=0,"",Paramètres!J6)</f>
        <v/>
      </c>
      <c r="U55" s="586">
        <f>IF(U54&lt;&gt;0,U54+IF(AND(T54&lt;&gt;"",S54&lt;W$53),T54,0),IF(AND(T54&lt;&gt;"",S54&lt;W$53),T54,0))</f>
        <v>0</v>
      </c>
      <c r="V55" s="573">
        <f t="shared" ref="V55:V62" si="37">IF(W55&lt;&gt;"/",IF(Y$53="Error","Error",$Z$53+U55),"/")</f>
        <v>1</v>
      </c>
      <c r="W55" s="457">
        <f>IF(Y$53="Error","Error",IF(AND($W$53&lt;&gt;"/",$W$53&gt;'Paramètres - Admin'!$A2),'Paramètres - Admin'!$A3,"/"))</f>
        <v>1</v>
      </c>
      <c r="X55" s="385">
        <f>IF(W55&lt;&gt;"/",VLOOKUP(W55,COSTS_Army_Camp[#All],2),"/")</f>
        <v>250</v>
      </c>
      <c r="Y55" s="458">
        <f>IF(W55&lt;&gt;"/",VLOOKUP(W55,COSTS_Army_Camp[#All],3),"/")</f>
        <v>8.3333333333333329E-2</v>
      </c>
      <c r="Z55" s="385">
        <f t="shared" ref="Z55:Z62" si="38">IF(Y$53="Error","Error",IF(X55&lt;&gt;"/",V55*X55,0))</f>
        <v>250</v>
      </c>
      <c r="AA55" s="459">
        <f t="shared" ref="AA55:AA62" si="39">IF(Y$53="Error","Error",IF(Y55&lt;&gt;"/",V55*Y55,0))</f>
        <v>8.3333333333333329E-2</v>
      </c>
    </row>
    <row r="56" spans="1:27" ht="15" customHeight="1" x14ac:dyDescent="0.25">
      <c r="A56" s="512">
        <v>1</v>
      </c>
      <c r="B56" s="926" t="str">
        <f>IF(Paramètres!L6=0,"",Paramètres!L6)</f>
        <v/>
      </c>
      <c r="C56" s="586">
        <f>IF(C55&lt;&gt;0,C55+IF(AND(B55&lt;&gt;"",A55&lt;E$54),B55,0),IF(AND(B55&lt;&gt;"",A55&lt;E$54),B55,0))</f>
        <v>0</v>
      </c>
      <c r="D56" s="573" t="str">
        <f>IF(E56&lt;&gt;"/",IF(G$54="Error","Error",$H$54+C56),"/")</f>
        <v>/</v>
      </c>
      <c r="E56" s="457" t="str">
        <f>IF(G$54="Error","Error",IF(AND($E$54&lt;&gt;"/",$E$54&gt;'Paramètres - Admin'!$A2),'Paramètres - Admin'!$A3,"/"))</f>
        <v>/</v>
      </c>
      <c r="F56" s="385" t="str">
        <f>IF(E56&lt;&gt;"/",VLOOKUP(E56,COSTS_Spell_Factory[#All],2),"/")</f>
        <v>/</v>
      </c>
      <c r="G56" s="458" t="str">
        <f>IF(E56&lt;&gt;"/",VLOOKUP(E56,COSTS_Spell_Factory[#All],3),"/")</f>
        <v>/</v>
      </c>
      <c r="H56" s="385">
        <f>IF(G$54="Error","Error",IF(F56&lt;&gt;"/",D56*F56,0))</f>
        <v>0</v>
      </c>
      <c r="I56" s="459">
        <f>IF(G$54="Error","Error",IF(G56&lt;&gt;"/",D56*G56,0))</f>
        <v>0</v>
      </c>
      <c r="J56" s="512">
        <v>1</v>
      </c>
      <c r="K56" s="926" t="str">
        <f>IF(Paramètres!M6=0,"",Paramètres!M6)</f>
        <v/>
      </c>
      <c r="L56" s="586">
        <f>IF(L55&lt;&gt;0,L55+IF(AND(K55&lt;&gt;"",J55&lt;N$54),K55,0),IF(AND(K55&lt;&gt;"",J55&lt;N$54),K55,0))</f>
        <v>0</v>
      </c>
      <c r="M56" s="573" t="str">
        <f>IF(N56&lt;&gt;"/",IF(P$54="Error","Error",$Q$54+L56),"/")</f>
        <v>/</v>
      </c>
      <c r="N56" s="457" t="str">
        <f>IF(P$54="Error","Error",IF(AND($N$54&lt;&gt;"/",$N$54&gt;'Paramètres - Admin'!$A2),'Paramètres - Admin'!$A3,"/"))</f>
        <v>/</v>
      </c>
      <c r="O56" s="385" t="str">
        <f>IF(N56&lt;&gt;"/",VLOOKUP(N56,COSTS_Dark_Spell_Factory[#All],2),"/")</f>
        <v>/</v>
      </c>
      <c r="P56" s="458" t="str">
        <f>IF(N56&lt;&gt;"/",VLOOKUP(N56,COSTS_Dark_Spell_Factory[#All],3),"/")</f>
        <v>/</v>
      </c>
      <c r="Q56" s="385">
        <f>IF(P$54="Error","Error",IF(O56&lt;&gt;"/",M56*O56,0))</f>
        <v>0</v>
      </c>
      <c r="R56" s="459">
        <f>IF(P$54="Error","Error",IF(P56&lt;&gt;"/",M56*P56,0))</f>
        <v>0</v>
      </c>
      <c r="S56" s="927">
        <v>2</v>
      </c>
      <c r="T56" s="928" t="str">
        <f>IF(Paramètres!J7=0,"",Paramètres!J7)</f>
        <v/>
      </c>
      <c r="U56" s="781">
        <f t="shared" ref="U56:U62" si="40">IF(U55&lt;&gt;0,U55+IF(AND(T55&lt;&gt;"",S55&lt;E$5),T55,0),IF(AND(T55&lt;&gt;"",S55&lt;E$5),T55,0))</f>
        <v>0</v>
      </c>
      <c r="V56" s="574" t="str">
        <f t="shared" si="37"/>
        <v>/</v>
      </c>
      <c r="W56" s="107" t="str">
        <f>IF(Y$53="Error","Error",IF(AND($W$53&lt;&gt;"/",$W$53&gt;'Paramètres - Admin'!$A3),'Paramètres - Admin'!$A4,"/"))</f>
        <v>/</v>
      </c>
      <c r="X56" s="386" t="str">
        <f>IF(W56&lt;&gt;"/",VLOOKUP(W56,COSTS_Army_Camp[#All],2),"/")</f>
        <v>/</v>
      </c>
      <c r="Y56" s="94" t="str">
        <f>IF(W56&lt;&gt;"/",VLOOKUP(W56,COSTS_Army_Camp[#All],3),"/")</f>
        <v>/</v>
      </c>
      <c r="Z56" s="386">
        <f t="shared" si="38"/>
        <v>0</v>
      </c>
      <c r="AA56" s="522">
        <f t="shared" si="39"/>
        <v>0</v>
      </c>
    </row>
    <row r="57" spans="1:27" ht="15" customHeight="1" x14ac:dyDescent="0.25">
      <c r="A57" s="927">
        <v>2</v>
      </c>
      <c r="B57" s="928" t="str">
        <f>IF(Paramètres!L7=0,"",Paramètres!L7)</f>
        <v/>
      </c>
      <c r="C57" s="781">
        <f>IF(C56&lt;&gt;0,C56+IF(AND(B56&lt;&gt;"",A56&lt;E$54),B56,0),IF(AND(B56&lt;&gt;"",A56&lt;E$54),B56,0))</f>
        <v>0</v>
      </c>
      <c r="D57" s="574" t="str">
        <f>IF(E57&lt;&gt;"/",IF(G$54="Error","Error",$H$54+C57),"/")</f>
        <v>/</v>
      </c>
      <c r="E57" s="107" t="str">
        <f>IF(G$54="Error","Error",IF(AND($E$54&lt;&gt;"/",$E$54&gt;'Paramètres - Admin'!$A3),'Paramètres - Admin'!$A4,"/"))</f>
        <v>/</v>
      </c>
      <c r="F57" s="386" t="str">
        <f>IF(E57&lt;&gt;"/",VLOOKUP(E57,COSTS_Spell_Factory[#All],2),"/")</f>
        <v>/</v>
      </c>
      <c r="G57" s="94" t="str">
        <f>IF(E57&lt;&gt;"/",VLOOKUP(E57,COSTS_Spell_Factory[#All],3),"/")</f>
        <v>/</v>
      </c>
      <c r="H57" s="386">
        <f>IF(G$54="Error","Error",IF(F57&lt;&gt;"/",D57*F57,0))</f>
        <v>0</v>
      </c>
      <c r="I57" s="522">
        <f>IF(G$54="Error","Error",IF(G57&lt;&gt;"/",D57*G57,0))</f>
        <v>0</v>
      </c>
      <c r="J57" s="927">
        <v>2</v>
      </c>
      <c r="K57" s="928" t="str">
        <f>IF(Paramètres!M7=0,"",Paramètres!M7)</f>
        <v/>
      </c>
      <c r="L57" s="781">
        <f>IF(L56&lt;&gt;0,L56+IF(AND(K56&lt;&gt;"",J56&lt;N$54),K56,0),IF(AND(K56&lt;&gt;"",J56&lt;N$54),K56,0))</f>
        <v>0</v>
      </c>
      <c r="M57" s="574" t="str">
        <f>IF(N57&lt;&gt;"/",IF(P$54="Error","Error",$Q$54+L57),"/")</f>
        <v>/</v>
      </c>
      <c r="N57" s="107" t="str">
        <f>IF(P$54="Error","Error",IF(AND($N$54&lt;&gt;"/",$N$54&gt;'Paramètres - Admin'!$A3),'Paramètres - Admin'!$A4,"/"))</f>
        <v>/</v>
      </c>
      <c r="O57" s="386" t="str">
        <f>IF(N57&lt;&gt;"/",VLOOKUP(N57,COSTS_Dark_Spell_Factory[#All],2),"/")</f>
        <v>/</v>
      </c>
      <c r="P57" s="94" t="str">
        <f>IF(N57&lt;&gt;"/",VLOOKUP(N57,COSTS_Dark_Spell_Factory[#All],3),"/")</f>
        <v>/</v>
      </c>
      <c r="Q57" s="386">
        <f>IF(G$54="Error","Error",IF(O57&lt;&gt;"/",M57*O57,0))</f>
        <v>0</v>
      </c>
      <c r="R57" s="522">
        <f>IF(G$54="Error","Error",IF(P57&lt;&gt;"/",M57*P57,0))</f>
        <v>0</v>
      </c>
      <c r="S57" s="927">
        <v>3</v>
      </c>
      <c r="T57" s="928" t="str">
        <f>IF(Paramètres!J8=0,"",Paramètres!J8)</f>
        <v/>
      </c>
      <c r="U57" s="781">
        <f t="shared" si="40"/>
        <v>0</v>
      </c>
      <c r="V57" s="574" t="str">
        <f t="shared" si="37"/>
        <v>/</v>
      </c>
      <c r="W57" s="107" t="str">
        <f>IF(Y$53="Error","Error",IF(AND($W$53&lt;&gt;"/",$W$53&gt;'Paramètres - Admin'!$A4),'Paramètres - Admin'!$A5,"/"))</f>
        <v>/</v>
      </c>
      <c r="X57" s="386" t="str">
        <f>IF(W57&lt;&gt;"/",VLOOKUP(W57,COSTS_Army_Camp[#All],2),"/")</f>
        <v>/</v>
      </c>
      <c r="Y57" s="94" t="str">
        <f>IF(W57&lt;&gt;"/",VLOOKUP(W57,COSTS_Army_Camp[#All],3),"/")</f>
        <v>/</v>
      </c>
      <c r="Z57" s="386">
        <f t="shared" si="38"/>
        <v>0</v>
      </c>
      <c r="AA57" s="522">
        <f t="shared" si="39"/>
        <v>0</v>
      </c>
    </row>
    <row r="58" spans="1:27" ht="15" customHeight="1" thickBot="1" x14ac:dyDescent="0.3">
      <c r="A58" s="927">
        <v>3</v>
      </c>
      <c r="B58" s="928" t="str">
        <f>IF(Paramètres!L8=0,"",Paramètres!L8)</f>
        <v/>
      </c>
      <c r="C58" s="781">
        <f>IF(C57&lt;&gt;0,C57+IF(AND(B57&lt;&gt;"",A57&lt;E$54),B57,0),IF(AND(B57&lt;&gt;"",A57&lt;E$54),B57,0))</f>
        <v>0</v>
      </c>
      <c r="D58" s="574" t="str">
        <f>IF(E58&lt;&gt;"/",IF(G$54="Error","Error",$H$54+C58),"/")</f>
        <v>/</v>
      </c>
      <c r="E58" s="107" t="str">
        <f>IF(G$54="Error","Error",IF(AND($E$54&lt;&gt;"/",$E$54&gt;'Paramètres - Admin'!$A4),'Paramètres - Admin'!$A5,"/"))</f>
        <v>/</v>
      </c>
      <c r="F58" s="386" t="str">
        <f>IF(E58&lt;&gt;"/",VLOOKUP(E58,COSTS_Spell_Factory[#All],2),"/")</f>
        <v>/</v>
      </c>
      <c r="G58" s="94" t="str">
        <f>IF(E58&lt;&gt;"/",VLOOKUP(E58,COSTS_Spell_Factory[#All],3),"/")</f>
        <v>/</v>
      </c>
      <c r="H58" s="386">
        <f>IF(G$54="Error","Error",IF(F58&lt;&gt;"/",D58*F58,0))</f>
        <v>0</v>
      </c>
      <c r="I58" s="522">
        <f>IF(G$54="Error","Error",IF(G58&lt;&gt;"/",D58*G58,0))</f>
        <v>0</v>
      </c>
      <c r="J58" s="929">
        <v>3</v>
      </c>
      <c r="K58" s="930" t="str">
        <f>IF(Paramètres!M8=0,"",Paramètres!M8)</f>
        <v/>
      </c>
      <c r="L58" s="782">
        <f>IF(L57&lt;&gt;0,L57+IF(AND(K57&lt;&gt;"",J57&lt;N$54),K57,0),IF(AND(K57&lt;&gt;"",J57&lt;N$54),K57,0))</f>
        <v>0</v>
      </c>
      <c r="M58" s="575" t="str">
        <f>IF(N58&lt;&gt;"/",IF(P$54="Error","Error",$Q$54+L58),"/")</f>
        <v>/</v>
      </c>
      <c r="N58" s="113" t="str">
        <f>IF(P$54="Error","Error",IF(AND($N$54&lt;&gt;"/",$N$54&gt;'Paramètres - Admin'!$A4),'Paramètres - Admin'!$A5,"/"))</f>
        <v>/</v>
      </c>
      <c r="O58" s="387" t="str">
        <f>IF(N58&lt;&gt;"/",VLOOKUP(N58,COSTS_Dark_Spell_Factory[#All],2),"/")</f>
        <v>/</v>
      </c>
      <c r="P58" s="112" t="str">
        <f>IF(N58&lt;&gt;"/",VLOOKUP(N58,COSTS_Dark_Spell_Factory[#All],3),"/")</f>
        <v>/</v>
      </c>
      <c r="Q58" s="387">
        <f>IF(G$54="Error","Error",IF(O58&lt;&gt;"/",M58*O58,0))</f>
        <v>0</v>
      </c>
      <c r="R58" s="114">
        <f>IF(G$54="Error","Error",IF(P58&lt;&gt;"/",M58*P58,0))</f>
        <v>0</v>
      </c>
      <c r="S58" s="927">
        <v>4</v>
      </c>
      <c r="T58" s="928" t="str">
        <f>IF(Paramètres!J9=0,"",Paramètres!J9)</f>
        <v/>
      </c>
      <c r="U58" s="781">
        <f t="shared" si="40"/>
        <v>0</v>
      </c>
      <c r="V58" s="574" t="str">
        <f t="shared" si="37"/>
        <v>/</v>
      </c>
      <c r="W58" s="107" t="str">
        <f>IF(Y$53="Error","Error",IF(AND($W$53&lt;&gt;"/",$W$53&gt;'Paramètres - Admin'!$A5),'Paramètres - Admin'!$A6,"/"))</f>
        <v>/</v>
      </c>
      <c r="X58" s="386" t="str">
        <f>IF(W58&lt;&gt;"/",VLOOKUP(W58,COSTS_Army_Camp[#All],2),"/")</f>
        <v>/</v>
      </c>
      <c r="Y58" s="94" t="str">
        <f>IF(W58&lt;&gt;"/",VLOOKUP(W58,COSTS_Army_Camp[#All],3),"/")</f>
        <v>/</v>
      </c>
      <c r="Z58" s="386">
        <f t="shared" si="38"/>
        <v>0</v>
      </c>
      <c r="AA58" s="522">
        <f t="shared" si="39"/>
        <v>0</v>
      </c>
    </row>
    <row r="59" spans="1:27" ht="15" customHeight="1" thickBot="1" x14ac:dyDescent="0.3">
      <c r="A59" s="927">
        <v>4</v>
      </c>
      <c r="B59" s="928" t="str">
        <f>IF(Paramètres!L9=0,"",Paramètres!L9)</f>
        <v/>
      </c>
      <c r="C59" s="781">
        <f>IF(C58&lt;&gt;0,C58+IF(AND(B58&lt;&gt;"",A58&lt;E$54),B58,0),IF(AND(B58&lt;&gt;"",A58&lt;E$54),B58,0))</f>
        <v>0</v>
      </c>
      <c r="D59" s="574" t="str">
        <f>IF(E59&lt;&gt;"/",IF(G$54="Error","Error",$H$54+C59),"/")</f>
        <v>/</v>
      </c>
      <c r="E59" s="107" t="str">
        <f>IF(G$54="Error","Error",IF(AND($E$54&lt;&gt;"/",$E$54&gt;'Paramètres - Admin'!$A5),'Paramètres - Admin'!$A6,"/"))</f>
        <v>/</v>
      </c>
      <c r="F59" s="386" t="str">
        <f>IF(E59&lt;&gt;"/",VLOOKUP(E59,COSTS_Spell_Factory[#All],2),"/")</f>
        <v>/</v>
      </c>
      <c r="G59" s="94" t="str">
        <f>IF(E59&lt;&gt;"/",VLOOKUP(E59,COSTS_Spell_Factory[#All],3),"/")</f>
        <v>/</v>
      </c>
      <c r="H59" s="386">
        <f>IF(G$54="Error","Error",IF(F59&lt;&gt;"/",D59*F59,0))</f>
        <v>0</v>
      </c>
      <c r="I59" s="522">
        <f>IF(G$54="Error","Error",IF(G59&lt;&gt;"/",D59*G59,0))</f>
        <v>0</v>
      </c>
      <c r="J59" s="907"/>
      <c r="K59" s="908"/>
      <c r="L59" s="908"/>
      <c r="M59" s="908"/>
      <c r="N59" s="908"/>
      <c r="O59" s="909"/>
      <c r="P59" s="274" t="s">
        <v>31</v>
      </c>
      <c r="Q59" s="394">
        <f>IF(G$54="Error","Error",SUM(Q56:Q58))</f>
        <v>0</v>
      </c>
      <c r="R59" s="585">
        <f>IF(G$54="Error","Error",SUM(R56:R58))</f>
        <v>0</v>
      </c>
      <c r="S59" s="927">
        <v>5</v>
      </c>
      <c r="T59" s="928" t="str">
        <f>IF(Paramètres!J10=0,"",Paramètres!J10)</f>
        <v/>
      </c>
      <c r="U59" s="781">
        <f t="shared" si="40"/>
        <v>0</v>
      </c>
      <c r="V59" s="574" t="str">
        <f t="shared" si="37"/>
        <v>/</v>
      </c>
      <c r="W59" s="107" t="str">
        <f>IF(Y$53="Error","Error",IF(AND($W$53&lt;&gt;"/",$W$53&gt;'Paramètres - Admin'!$A6),'Paramètres - Admin'!$A7,"/"))</f>
        <v>/</v>
      </c>
      <c r="X59" s="386" t="str">
        <f>IF(W59&lt;&gt;"/",VLOOKUP(W59,COSTS_Army_Camp[#All],2),"/")</f>
        <v>/</v>
      </c>
      <c r="Y59" s="94" t="str">
        <f>IF(W59&lt;&gt;"/",VLOOKUP(W59,COSTS_Army_Camp[#All],3),"/")</f>
        <v>/</v>
      </c>
      <c r="Z59" s="386">
        <f t="shared" si="38"/>
        <v>0</v>
      </c>
      <c r="AA59" s="522">
        <f t="shared" si="39"/>
        <v>0</v>
      </c>
    </row>
    <row r="60" spans="1:27" ht="15" customHeight="1" thickBot="1" x14ac:dyDescent="0.3">
      <c r="A60" s="929">
        <v>5</v>
      </c>
      <c r="B60" s="930" t="str">
        <f>IF(Paramètres!L10=0,"",Paramètres!L10)</f>
        <v/>
      </c>
      <c r="C60" s="782">
        <f>IF(C59&lt;&gt;0,C59+IF(AND(B59&lt;&gt;"",A59&lt;E$54),B59,0),IF(AND(B59&lt;&gt;"",A59&lt;E$54),B59,0))</f>
        <v>0</v>
      </c>
      <c r="D60" s="575" t="str">
        <f>IF(E60&lt;&gt;"/",IF(G$54="Error","Error",$H$54+C60),"/")</f>
        <v>/</v>
      </c>
      <c r="E60" s="113" t="str">
        <f>IF(G$54="Error","Error",IF(AND($E$54&lt;&gt;"/",$E$54&gt;'Paramètres - Admin'!$A6),'Paramètres - Admin'!$A7,"/"))</f>
        <v>/</v>
      </c>
      <c r="F60" s="387" t="str">
        <f>IF(E60&lt;&gt;"/",VLOOKUP(E60,COSTS_Spell_Factory[#All],2),"/")</f>
        <v>/</v>
      </c>
      <c r="G60" s="112" t="str">
        <f>IF(E60&lt;&gt;"/",VLOOKUP(E60,COSTS_Spell_Factory[#All],3),"/")</f>
        <v>/</v>
      </c>
      <c r="H60" s="387">
        <f>IF(G$54="Error","Error",IF(F60&lt;&gt;"/",D60*F60,0))</f>
        <v>0</v>
      </c>
      <c r="I60" s="114">
        <f>IF(G$54="Error","Error",IF(G60&lt;&gt;"/",D60*G60,0))</f>
        <v>0</v>
      </c>
      <c r="S60" s="927">
        <v>6</v>
      </c>
      <c r="T60" s="928" t="str">
        <f>IF(Paramètres!J11=0,"",Paramètres!J11)</f>
        <v/>
      </c>
      <c r="U60" s="781">
        <f t="shared" si="40"/>
        <v>0</v>
      </c>
      <c r="V60" s="574" t="str">
        <f t="shared" si="37"/>
        <v>/</v>
      </c>
      <c r="W60" s="107" t="str">
        <f>IF(Y$53="Error","Error",IF(AND($W$53&lt;&gt;"/",$W$53&gt;'Paramètres - Admin'!$A7),'Paramètres - Admin'!$A8,"/"))</f>
        <v>/</v>
      </c>
      <c r="X60" s="386" t="str">
        <f>IF(W60&lt;&gt;"/",VLOOKUP(W60,COSTS_Army_Camp[#All],2),"/")</f>
        <v>/</v>
      </c>
      <c r="Y60" s="94" t="str">
        <f>IF(W60&lt;&gt;"/",VLOOKUP(W60,COSTS_Army_Camp[#All],3),"/")</f>
        <v>/</v>
      </c>
      <c r="Z60" s="386">
        <f t="shared" si="38"/>
        <v>0</v>
      </c>
      <c r="AA60" s="522">
        <f t="shared" si="39"/>
        <v>0</v>
      </c>
    </row>
    <row r="61" spans="1:27" ht="15" customHeight="1" thickBot="1" x14ac:dyDescent="0.3">
      <c r="A61" s="908"/>
      <c r="B61" s="908"/>
      <c r="C61" s="908"/>
      <c r="D61" s="908"/>
      <c r="E61" s="908"/>
      <c r="F61" s="908"/>
      <c r="G61" s="274" t="s">
        <v>31</v>
      </c>
      <c r="H61" s="394">
        <f>IF(G$54="Error","Error",SUM(H56:H60))</f>
        <v>0</v>
      </c>
      <c r="I61" s="585">
        <f>IF(G$54="Error","Error",SUM(I56:I60))</f>
        <v>0</v>
      </c>
      <c r="S61" s="927">
        <v>7</v>
      </c>
      <c r="T61" s="928" t="str">
        <f>IF(Paramètres!J12=0,"",Paramètres!J12)</f>
        <v/>
      </c>
      <c r="U61" s="781">
        <f t="shared" si="40"/>
        <v>0</v>
      </c>
      <c r="V61" s="574" t="str">
        <f t="shared" si="37"/>
        <v>/</v>
      </c>
      <c r="W61" s="107" t="str">
        <f>IF(Y$53="Error","Error",IF(AND($W$53&lt;&gt;"/",$W$53&gt;'Paramètres - Admin'!$A8),'Paramètres - Admin'!$A9,"/"))</f>
        <v>/</v>
      </c>
      <c r="X61" s="386" t="str">
        <f>IF(W61&lt;&gt;"/",VLOOKUP(W61,COSTS_Army_Camp[#All],2),"/")</f>
        <v>/</v>
      </c>
      <c r="Y61" s="94" t="str">
        <f>IF(W61&lt;&gt;"/",VLOOKUP(W61,COSTS_Army_Camp[#All],3),"/")</f>
        <v>/</v>
      </c>
      <c r="Z61" s="386">
        <f t="shared" si="38"/>
        <v>0</v>
      </c>
      <c r="AA61" s="522">
        <f t="shared" si="39"/>
        <v>0</v>
      </c>
    </row>
    <row r="62" spans="1:27" ht="15" customHeight="1" thickBot="1" x14ac:dyDescent="0.3">
      <c r="S62" s="929">
        <v>8</v>
      </c>
      <c r="T62" s="930" t="str">
        <f>IF(Paramètres!J13=0,"",Paramètres!J13)</f>
        <v/>
      </c>
      <c r="U62" s="782">
        <f t="shared" si="40"/>
        <v>0</v>
      </c>
      <c r="V62" s="575" t="str">
        <f t="shared" si="37"/>
        <v>/</v>
      </c>
      <c r="W62" s="113" t="str">
        <f>IF(Y$53="Error","Error",IF(AND($W$53&lt;&gt;"/",$W$53&gt;'Paramètres - Admin'!$A9),'Paramètres - Admin'!$A10,"/"))</f>
        <v>/</v>
      </c>
      <c r="X62" s="387" t="str">
        <f>IF(W62&lt;&gt;"/",VLOOKUP(W62,COSTS_Army_Camp[#All],2),"/")</f>
        <v>/</v>
      </c>
      <c r="Y62" s="112" t="str">
        <f>IF(W62&lt;&gt;"/",VLOOKUP(W62,COSTS_Army_Camp[#All],3),"/")</f>
        <v>/</v>
      </c>
      <c r="Z62" s="387">
        <f t="shared" si="38"/>
        <v>0</v>
      </c>
      <c r="AA62" s="114">
        <f t="shared" si="39"/>
        <v>0</v>
      </c>
    </row>
    <row r="63" spans="1:27" ht="15" customHeight="1" thickBot="1" x14ac:dyDescent="0.3">
      <c r="S63" s="907"/>
      <c r="T63" s="908"/>
      <c r="U63" s="908"/>
      <c r="V63" s="908"/>
      <c r="W63" s="908"/>
      <c r="X63" s="909"/>
      <c r="Y63" s="274" t="s">
        <v>31</v>
      </c>
      <c r="Z63" s="394">
        <f>IF(Y$53="Error","Error",SUM(Z55:Z62))</f>
        <v>250</v>
      </c>
      <c r="AA63" s="585">
        <f>IF(Y$53="Error","Error",SUM(AA55:AA62))</f>
        <v>8.3333333333333329E-2</v>
      </c>
    </row>
    <row r="64" spans="1:27" s="525" customFormat="1" ht="15" customHeight="1" x14ac:dyDescent="0.25"/>
    <row r="65" spans="1:27" ht="15" customHeight="1" x14ac:dyDescent="0.25">
      <c r="A65" s="128"/>
      <c r="B65" s="128"/>
      <c r="C65" s="128"/>
      <c r="D65" s="128"/>
      <c r="E65" s="128"/>
      <c r="F65" s="128"/>
    </row>
    <row r="66" spans="1:27" s="525" customFormat="1" ht="19.5" customHeight="1" thickBot="1" x14ac:dyDescent="0.3">
      <c r="A66" s="1117" t="s">
        <v>179</v>
      </c>
      <c r="B66" s="1118"/>
      <c r="C66" s="1118"/>
      <c r="D66" s="1118"/>
      <c r="E66" s="1118"/>
      <c r="F66" s="1118"/>
      <c r="G66" s="1118"/>
      <c r="H66" s="1118"/>
      <c r="I66" s="1118"/>
      <c r="J66" s="1118"/>
      <c r="K66" s="1118"/>
      <c r="L66" s="1118"/>
      <c r="M66" s="1118"/>
      <c r="N66" s="1118"/>
      <c r="O66" s="1118"/>
      <c r="P66" s="1118"/>
      <c r="Q66" s="1118"/>
      <c r="R66" s="1118"/>
      <c r="S66" s="1118"/>
      <c r="T66" s="1118"/>
      <c r="U66" s="1118"/>
      <c r="V66" s="1118"/>
      <c r="W66" s="1118"/>
      <c r="X66" s="1118"/>
      <c r="Y66" s="1118"/>
      <c r="Z66" s="1118"/>
      <c r="AA66" s="1118"/>
    </row>
    <row r="67" spans="1:27" ht="15" customHeight="1" x14ac:dyDescent="0.25">
      <c r="A67" s="1119" t="s">
        <v>206</v>
      </c>
      <c r="B67" s="1120"/>
      <c r="C67" s="1121"/>
      <c r="D67" s="80" t="s">
        <v>38</v>
      </c>
      <c r="E67" s="81" t="s">
        <v>39</v>
      </c>
      <c r="F67" s="214"/>
      <c r="G67" s="512" t="s">
        <v>256</v>
      </c>
      <c r="H67" s="514" t="s">
        <v>361</v>
      </c>
      <c r="I67" s="513" t="s">
        <v>257</v>
      </c>
      <c r="J67" s="1119" t="s">
        <v>204</v>
      </c>
      <c r="K67" s="1120"/>
      <c r="L67" s="1121"/>
      <c r="M67" s="80" t="s">
        <v>38</v>
      </c>
      <c r="N67" s="81" t="s">
        <v>39</v>
      </c>
      <c r="O67" s="214"/>
      <c r="P67" s="512" t="s">
        <v>256</v>
      </c>
      <c r="Q67" s="514" t="s">
        <v>361</v>
      </c>
      <c r="R67" s="513" t="s">
        <v>257</v>
      </c>
      <c r="S67" s="1119" t="s">
        <v>202</v>
      </c>
      <c r="T67" s="1120"/>
      <c r="U67" s="1121"/>
      <c r="V67" s="80" t="s">
        <v>38</v>
      </c>
      <c r="W67" s="81" t="s">
        <v>39</v>
      </c>
      <c r="X67" s="214"/>
      <c r="Y67" s="512" t="s">
        <v>256</v>
      </c>
      <c r="Z67" s="514" t="s">
        <v>361</v>
      </c>
      <c r="AA67" s="513" t="s">
        <v>257</v>
      </c>
    </row>
    <row r="68" spans="1:27" ht="15" customHeight="1" thickBot="1" x14ac:dyDescent="0.3">
      <c r="A68" s="1122"/>
      <c r="B68" s="1123"/>
      <c r="C68" s="1124"/>
      <c r="D68" s="88">
        <f>VLOOKUP($A$2,AVAILABLE_Buildings_Defensive[#All],MATCH(A67,AVAILABLE_Buildings_Defensive[#Headers],0))</f>
        <v>0</v>
      </c>
      <c r="E68" s="89">
        <f>VLOOKUP($A$2,AVAILABLE_Buildings_Defensive[#All],MATCH(A67,AVAILABLE_Buildings_Defensive[#Headers],0)+1)</f>
        <v>0</v>
      </c>
      <c r="F68" s="215"/>
      <c r="G68" s="96">
        <f>IF(SUM(B70:B80)&gt;D68,"Error",SUM(B70:B80))</f>
        <v>0</v>
      </c>
      <c r="H68" s="97">
        <f>IF(G$68="Error","Error",D68-G68)</f>
        <v>0</v>
      </c>
      <c r="I68" s="202">
        <f>IF(G$68="Error","Error",SUM(D70:D80))</f>
        <v>0</v>
      </c>
      <c r="J68" s="1122"/>
      <c r="K68" s="1123"/>
      <c r="L68" s="1124"/>
      <c r="M68" s="88">
        <f>VLOOKUP($A$2,AVAILABLE_Buildings_Defensive[#All],MATCH(J67,AVAILABLE_Buildings_Defensive[#Headers],0))</f>
        <v>0</v>
      </c>
      <c r="N68" s="89">
        <f>VLOOKUP($A$2,AVAILABLE_Buildings_Defensive[#All],MATCH(J67,AVAILABLE_Buildings_Defensive[#Headers],0)+1)</f>
        <v>0</v>
      </c>
      <c r="O68" s="215"/>
      <c r="P68" s="96">
        <f>IF(SUM(K70:K82)&gt;M68,"Error",SUM(K70:K82))</f>
        <v>0</v>
      </c>
      <c r="Q68" s="97">
        <f>IF(P$68="Error","Error",M68-P68)</f>
        <v>0</v>
      </c>
      <c r="R68" s="202">
        <f>IF(P$68="Error","Error",SUM(M70:M82))</f>
        <v>0</v>
      </c>
      <c r="S68" s="1122"/>
      <c r="T68" s="1123"/>
      <c r="U68" s="1124"/>
      <c r="V68" s="88">
        <f>VLOOKUP($A$2,AVAILABLE_Buildings_Defensive[#All],MATCH(S67,AVAILABLE_Buildings_Defensive[#Headers],0))</f>
        <v>0</v>
      </c>
      <c r="W68" s="89">
        <f>VLOOKUP($A$2,AVAILABLE_Buildings_Defensive[#All],MATCH(S67,AVAILABLE_Buildings_Defensive[#Headers],0)+1)</f>
        <v>0</v>
      </c>
      <c r="X68" s="215"/>
      <c r="Y68" s="96">
        <f>IF(SUM(T70:T77)&gt;V68,"Error",SUM(T70:T77))</f>
        <v>0</v>
      </c>
      <c r="Z68" s="97">
        <f>IF(Y$68="Error","Error",V68-Y68)</f>
        <v>0</v>
      </c>
      <c r="AA68" s="202">
        <f>IF(Y$68="Error","Error",SUM(V70:V77))</f>
        <v>0</v>
      </c>
    </row>
    <row r="69" spans="1:27" ht="15" customHeight="1" thickBot="1" x14ac:dyDescent="0.3">
      <c r="A69" s="520" t="s">
        <v>30</v>
      </c>
      <c r="B69" s="351" t="s">
        <v>29</v>
      </c>
      <c r="C69" s="460"/>
      <c r="D69" s="216" t="s">
        <v>29</v>
      </c>
      <c r="E69" s="217" t="s">
        <v>30</v>
      </c>
      <c r="F69" s="532" t="s">
        <v>258</v>
      </c>
      <c r="G69" s="532" t="s">
        <v>259</v>
      </c>
      <c r="H69" s="532" t="s">
        <v>232</v>
      </c>
      <c r="I69" s="533" t="s">
        <v>233</v>
      </c>
      <c r="J69" s="520" t="s">
        <v>30</v>
      </c>
      <c r="K69" s="351" t="s">
        <v>29</v>
      </c>
      <c r="L69" s="460"/>
      <c r="M69" s="216" t="s">
        <v>29</v>
      </c>
      <c r="N69" s="217" t="s">
        <v>30</v>
      </c>
      <c r="O69" s="532" t="s">
        <v>258</v>
      </c>
      <c r="P69" s="532" t="s">
        <v>259</v>
      </c>
      <c r="Q69" s="532" t="s">
        <v>232</v>
      </c>
      <c r="R69" s="533" t="s">
        <v>233</v>
      </c>
      <c r="S69" s="520" t="s">
        <v>30</v>
      </c>
      <c r="T69" s="351" t="s">
        <v>29</v>
      </c>
      <c r="U69" s="460"/>
      <c r="V69" s="216" t="s">
        <v>29</v>
      </c>
      <c r="W69" s="217" t="s">
        <v>30</v>
      </c>
      <c r="X69" s="532" t="s">
        <v>258</v>
      </c>
      <c r="Y69" s="532" t="s">
        <v>259</v>
      </c>
      <c r="Z69" s="532" t="s">
        <v>232</v>
      </c>
      <c r="AA69" s="533" t="s">
        <v>233</v>
      </c>
    </row>
    <row r="70" spans="1:27" ht="15" customHeight="1" x14ac:dyDescent="0.25">
      <c r="A70" s="512">
        <v>1</v>
      </c>
      <c r="B70" s="926" t="str">
        <f>IF(Paramètres!N6=0,"",Paramètres!N6)</f>
        <v/>
      </c>
      <c r="C70" s="586">
        <f>IF(C69&lt;&gt;0,C69+IF(AND(B69&lt;&gt;"",A69&lt;E$68),B69,0),IF(AND(B69&lt;&gt;"",A69&lt;E$68),B69,0))</f>
        <v>0</v>
      </c>
      <c r="D70" s="573" t="str">
        <f t="shared" ref="D70:D80" si="41">IF(E70&lt;&gt;"/",IF(G$68="Error","Error",$H$68+C70),"/")</f>
        <v>/</v>
      </c>
      <c r="E70" s="457" t="str">
        <f>IF(G$68="Error","Error",IF(AND($E$68&lt;&gt;"/",$E$68&gt;'Paramètres - Admin'!$A2),'Paramètres - Admin'!$A3,"/"))</f>
        <v>/</v>
      </c>
      <c r="F70" s="86" t="str">
        <f>IF(E70&lt;&gt;"/",VLOOKUP(E70,COSTS_Wall[#All],2),"/")</f>
        <v>/</v>
      </c>
      <c r="G70" s="458" t="str">
        <f>IF(E70&lt;&gt;"/",VLOOKUP(E70,COSTS_Wall[#All],3),"/")</f>
        <v>/</v>
      </c>
      <c r="H70" s="86">
        <f t="shared" ref="H70:H80" si="42">IF(G$68="Error","Error",IF(F70&lt;&gt;"/",D70*F70,0))</f>
        <v>0</v>
      </c>
      <c r="I70" s="459">
        <f t="shared" ref="I70:I80" si="43">IF(G$68="Error","Error",IF(G70&lt;&gt;"/",D70*G70,0))</f>
        <v>0</v>
      </c>
      <c r="J70" s="512">
        <v>1</v>
      </c>
      <c r="K70" s="926" t="str">
        <f>IF(Paramètres!P6=0,"",Paramètres!P6)</f>
        <v/>
      </c>
      <c r="L70" s="586">
        <f t="shared" ref="L70:L82" si="44">IF(L69&lt;&gt;0,L69+IF(AND(K69&lt;&gt;"",J69&lt;$N$68),K69,0),IF(AND(K69&lt;&gt;"",J69&lt;$N$68),K69,0))</f>
        <v>0</v>
      </c>
      <c r="M70" s="573" t="str">
        <f t="shared" ref="M70:M82" si="45">IF(N70&lt;&gt;"/",IF(P$68="Error","Error",$Q$68+L70),"/")</f>
        <v>/</v>
      </c>
      <c r="N70" s="457" t="str">
        <f>IF(P$68="Error","Error",IF(AND($N$68&lt;&gt;"/",$N$68&gt;'Paramètres - Admin'!$A2),'Paramètres - Admin'!$A3,"/"))</f>
        <v>/</v>
      </c>
      <c r="O70" s="86" t="str">
        <f>IF(N70&lt;&gt;"/",VLOOKUP(N70,COSTS_Archer_Tower[#All],2),"/")</f>
        <v>/</v>
      </c>
      <c r="P70" s="458" t="str">
        <f>IF(N70&lt;&gt;"/",VLOOKUP(N70,COSTS_Archer_Tower[#All],3),"/")</f>
        <v>/</v>
      </c>
      <c r="Q70" s="86">
        <f t="shared" ref="Q70:Q82" si="46">IF(P$68="Error","Error",IF(O70&lt;&gt;"/",M70*O70,0))</f>
        <v>0</v>
      </c>
      <c r="R70" s="459">
        <f t="shared" ref="R70:R82" si="47">IF(P$68="Error","Error",IF(P70&lt;&gt;"/",M70*P70,0))</f>
        <v>0</v>
      </c>
      <c r="S70" s="512">
        <v>1</v>
      </c>
      <c r="T70" s="926" t="str">
        <f>IF(Paramètres!R6=0,"",Paramètres!R6)</f>
        <v/>
      </c>
      <c r="U70" s="586">
        <f t="shared" ref="U70:U77" si="48">IF(U69&lt;&gt;0,U69+IF(AND(T69&lt;&gt;"",S69&lt;W$68),T69,0),IF(AND(T69&lt;&gt;"",S69&lt;W$68),T69,0))</f>
        <v>0</v>
      </c>
      <c r="V70" s="573" t="str">
        <f t="shared" ref="V70:V77" si="49">IF(W70&lt;&gt;"/",IF(Y$68="Error","Error",$Z$68+U70),"/")</f>
        <v>/</v>
      </c>
      <c r="W70" s="457" t="str">
        <f>IF(Y$68="Error","Error",IF(AND($W$68&lt;&gt;"/",$W$68&gt;'Paramètres - Admin'!$A2),'Paramètres - Admin'!$A3,"/"))</f>
        <v>/</v>
      </c>
      <c r="X70" s="86" t="str">
        <f>IF(W70&lt;&gt;"/",VLOOKUP(W70,COSTS_Air_Defense[#All],2),"/")</f>
        <v>/</v>
      </c>
      <c r="Y70" s="458" t="str">
        <f>IF(W70&lt;&gt;"/",VLOOKUP(W70,COSTS_Air_Defense[#All],3),"/")</f>
        <v>/</v>
      </c>
      <c r="Z70" s="86">
        <f t="shared" ref="Z70:Z77" si="50">IF(Y$68="Error","Error",IF(X70&lt;&gt;"/",V70*X70,0))</f>
        <v>0</v>
      </c>
      <c r="AA70" s="459">
        <f t="shared" ref="AA70:AA77" si="51">IF(Y$68="Error","Error",IF(Y70&lt;&gt;"/",V70*Y70,0))</f>
        <v>0</v>
      </c>
    </row>
    <row r="71" spans="1:27" ht="15" customHeight="1" x14ac:dyDescent="0.25">
      <c r="A71" s="927">
        <v>2</v>
      </c>
      <c r="B71" s="928" t="str">
        <f>IF(Paramètres!N7=0,"",Paramètres!N7)</f>
        <v/>
      </c>
      <c r="C71" s="781">
        <f t="shared" ref="C71:C80" si="52">IF(C70&lt;&gt;0,C70+IF(AND(B70&lt;&gt;"",A70&lt;E$68),B70,0),IF(AND(B70&lt;&gt;"",A70&lt;E$68),B70,0))</f>
        <v>0</v>
      </c>
      <c r="D71" s="574" t="str">
        <f t="shared" si="41"/>
        <v>/</v>
      </c>
      <c r="E71" s="107" t="str">
        <f>IF(G$68="Error","Error",IF(AND($E$68&lt;&gt;"/",$E$68&gt;'Paramètres - Admin'!$A3),'Paramètres - Admin'!$A4,"/"))</f>
        <v>/</v>
      </c>
      <c r="F71" s="517" t="str">
        <f>IF(E71&lt;&gt;"/",VLOOKUP(E71,COSTS_Wall[#All],2),"/")</f>
        <v>/</v>
      </c>
      <c r="G71" s="94" t="str">
        <f>IF(E71&lt;&gt;"/",VLOOKUP(E71,COSTS_Wall[#All],3),"/")</f>
        <v>/</v>
      </c>
      <c r="H71" s="517">
        <f t="shared" si="42"/>
        <v>0</v>
      </c>
      <c r="I71" s="522">
        <f t="shared" si="43"/>
        <v>0</v>
      </c>
      <c r="J71" s="927">
        <v>2</v>
      </c>
      <c r="K71" s="928" t="str">
        <f>IF(Paramètres!P7=0,"",Paramètres!P7)</f>
        <v/>
      </c>
      <c r="L71" s="781">
        <f t="shared" si="44"/>
        <v>0</v>
      </c>
      <c r="M71" s="574" t="str">
        <f t="shared" si="45"/>
        <v>/</v>
      </c>
      <c r="N71" s="107" t="str">
        <f>IF(P$68="Error","Error",IF(AND($N$68&lt;&gt;"/",$N$68&gt;'Paramètres - Admin'!$A3),'Paramètres - Admin'!$A4,"/"))</f>
        <v>/</v>
      </c>
      <c r="O71" s="517" t="str">
        <f>IF(N71&lt;&gt;"/",VLOOKUP(N71,COSTS_Archer_Tower[#All],2),"/")</f>
        <v>/</v>
      </c>
      <c r="P71" s="94" t="str">
        <f>IF(N71&lt;&gt;"/",VLOOKUP(N71,COSTS_Archer_Tower[#All],3),"/")</f>
        <v>/</v>
      </c>
      <c r="Q71" s="517">
        <f t="shared" si="46"/>
        <v>0</v>
      </c>
      <c r="R71" s="522">
        <f t="shared" si="47"/>
        <v>0</v>
      </c>
      <c r="S71" s="927">
        <v>2</v>
      </c>
      <c r="T71" s="928" t="str">
        <f>IF(Paramètres!R7=0,"",Paramètres!R7)</f>
        <v/>
      </c>
      <c r="U71" s="781">
        <f t="shared" si="48"/>
        <v>0</v>
      </c>
      <c r="V71" s="574" t="str">
        <f t="shared" si="49"/>
        <v>/</v>
      </c>
      <c r="W71" s="107" t="str">
        <f>IF(Y$68="Error","Error",IF(AND($W$68&lt;&gt;"/",$W$68&gt;'Paramètres - Admin'!$A3),'Paramètres - Admin'!$A4,"/"))</f>
        <v>/</v>
      </c>
      <c r="X71" s="517" t="str">
        <f>IF(W71&lt;&gt;"/",VLOOKUP(W71,COSTS_Air_Defense[#All],2),"/")</f>
        <v>/</v>
      </c>
      <c r="Y71" s="94" t="str">
        <f>IF(W71&lt;&gt;"/",VLOOKUP(W71,COSTS_Air_Defense[#All],3),"/")</f>
        <v>/</v>
      </c>
      <c r="Z71" s="517">
        <f t="shared" si="50"/>
        <v>0</v>
      </c>
      <c r="AA71" s="522">
        <f t="shared" si="51"/>
        <v>0</v>
      </c>
    </row>
    <row r="72" spans="1:27" ht="15" customHeight="1" x14ac:dyDescent="0.25">
      <c r="A72" s="927">
        <v>3</v>
      </c>
      <c r="B72" s="928" t="str">
        <f>IF(Paramètres!N8=0,"",Paramètres!N8)</f>
        <v/>
      </c>
      <c r="C72" s="781">
        <f t="shared" si="52"/>
        <v>0</v>
      </c>
      <c r="D72" s="574" t="str">
        <f t="shared" si="41"/>
        <v>/</v>
      </c>
      <c r="E72" s="107" t="str">
        <f>IF(G$68="Error","Error",IF(AND($E$68&lt;&gt;"/",$E$68&gt;'Paramètres - Admin'!$A4),'Paramètres - Admin'!$A5,"/"))</f>
        <v>/</v>
      </c>
      <c r="F72" s="517" t="str">
        <f>IF(E72&lt;&gt;"/",VLOOKUP(E72,COSTS_Wall[#All],2),"/")</f>
        <v>/</v>
      </c>
      <c r="G72" s="94" t="str">
        <f>IF(E72&lt;&gt;"/",VLOOKUP(E72,COSTS_Wall[#All],3),"/")</f>
        <v>/</v>
      </c>
      <c r="H72" s="517">
        <f t="shared" si="42"/>
        <v>0</v>
      </c>
      <c r="I72" s="522">
        <f t="shared" si="43"/>
        <v>0</v>
      </c>
      <c r="J72" s="927">
        <v>3</v>
      </c>
      <c r="K72" s="928" t="str">
        <f>IF(Paramètres!P8=0,"",Paramètres!P8)</f>
        <v/>
      </c>
      <c r="L72" s="781">
        <f t="shared" si="44"/>
        <v>0</v>
      </c>
      <c r="M72" s="574" t="str">
        <f t="shared" si="45"/>
        <v>/</v>
      </c>
      <c r="N72" s="107" t="str">
        <f>IF(P$68="Error","Error",IF(AND($N$68&lt;&gt;"/",$N$68&gt;'Paramètres - Admin'!$A4),'Paramètres - Admin'!$A5,"/"))</f>
        <v>/</v>
      </c>
      <c r="O72" s="517" t="str">
        <f>IF(N72&lt;&gt;"/",VLOOKUP(N72,COSTS_Archer_Tower[#All],2),"/")</f>
        <v>/</v>
      </c>
      <c r="P72" s="94" t="str">
        <f>IF(N72&lt;&gt;"/",VLOOKUP(N72,COSTS_Archer_Tower[#All],3),"/")</f>
        <v>/</v>
      </c>
      <c r="Q72" s="517">
        <f t="shared" si="46"/>
        <v>0</v>
      </c>
      <c r="R72" s="522">
        <f t="shared" si="47"/>
        <v>0</v>
      </c>
      <c r="S72" s="927">
        <v>3</v>
      </c>
      <c r="T72" s="928" t="str">
        <f>IF(Paramètres!R8=0,"",Paramètres!R8)</f>
        <v/>
      </c>
      <c r="U72" s="781">
        <f t="shared" si="48"/>
        <v>0</v>
      </c>
      <c r="V72" s="574" t="str">
        <f t="shared" si="49"/>
        <v>/</v>
      </c>
      <c r="W72" s="107" t="str">
        <f>IF(Y$68="Error","Error",IF(AND($W$68&lt;&gt;"/",$W$68&gt;'Paramètres - Admin'!$A4),'Paramètres - Admin'!$A5,"/"))</f>
        <v>/</v>
      </c>
      <c r="X72" s="517" t="str">
        <f>IF(W72&lt;&gt;"/",VLOOKUP(W72,COSTS_Air_Defense[#All],2),"/")</f>
        <v>/</v>
      </c>
      <c r="Y72" s="94" t="str">
        <f>IF(W72&lt;&gt;"/",VLOOKUP(W72,COSTS_Air_Defense[#All],3),"/")</f>
        <v>/</v>
      </c>
      <c r="Z72" s="517">
        <f t="shared" si="50"/>
        <v>0</v>
      </c>
      <c r="AA72" s="522">
        <f t="shared" si="51"/>
        <v>0</v>
      </c>
    </row>
    <row r="73" spans="1:27" ht="15" customHeight="1" x14ac:dyDescent="0.25">
      <c r="A73" s="927">
        <v>4</v>
      </c>
      <c r="B73" s="928" t="str">
        <f>IF(Paramètres!N9=0,"",Paramètres!N9)</f>
        <v/>
      </c>
      <c r="C73" s="781">
        <f t="shared" si="52"/>
        <v>0</v>
      </c>
      <c r="D73" s="574" t="str">
        <f t="shared" si="41"/>
        <v>/</v>
      </c>
      <c r="E73" s="107" t="str">
        <f>IF(G$68="Error","Error",IF(AND($E$68&lt;&gt;"/",$E$68&gt;'Paramètres - Admin'!$A5),'Paramètres - Admin'!$A6,"/"))</f>
        <v>/</v>
      </c>
      <c r="F73" s="517" t="str">
        <f>IF(E73&lt;&gt;"/",VLOOKUP(E73,COSTS_Wall[#All],2),"/")</f>
        <v>/</v>
      </c>
      <c r="G73" s="94" t="str">
        <f>IF(E73&lt;&gt;"/",VLOOKUP(E73,COSTS_Wall[#All],3),"/")</f>
        <v>/</v>
      </c>
      <c r="H73" s="517">
        <f t="shared" si="42"/>
        <v>0</v>
      </c>
      <c r="I73" s="522">
        <f t="shared" si="43"/>
        <v>0</v>
      </c>
      <c r="J73" s="927">
        <v>4</v>
      </c>
      <c r="K73" s="928" t="str">
        <f>IF(Paramètres!P9=0,"",Paramètres!P9)</f>
        <v/>
      </c>
      <c r="L73" s="781">
        <f t="shared" si="44"/>
        <v>0</v>
      </c>
      <c r="M73" s="574" t="str">
        <f t="shared" si="45"/>
        <v>/</v>
      </c>
      <c r="N73" s="107" t="str">
        <f>IF(P$68="Error","Error",IF(AND($N$68&lt;&gt;"/",$N$68&gt;'Paramètres - Admin'!$A5),'Paramètres - Admin'!$A6,"/"))</f>
        <v>/</v>
      </c>
      <c r="O73" s="517" t="str">
        <f>IF(N73&lt;&gt;"/",VLOOKUP(N73,COSTS_Archer_Tower[#All],2),"/")</f>
        <v>/</v>
      </c>
      <c r="P73" s="94" t="str">
        <f>IF(N73&lt;&gt;"/",VLOOKUP(N73,COSTS_Archer_Tower[#All],3),"/")</f>
        <v>/</v>
      </c>
      <c r="Q73" s="517">
        <f t="shared" si="46"/>
        <v>0</v>
      </c>
      <c r="R73" s="522">
        <f t="shared" si="47"/>
        <v>0</v>
      </c>
      <c r="S73" s="927">
        <v>4</v>
      </c>
      <c r="T73" s="928" t="str">
        <f>IF(Paramètres!R9=0,"",Paramètres!R9)</f>
        <v/>
      </c>
      <c r="U73" s="781">
        <f t="shared" si="48"/>
        <v>0</v>
      </c>
      <c r="V73" s="574" t="str">
        <f t="shared" si="49"/>
        <v>/</v>
      </c>
      <c r="W73" s="107" t="str">
        <f>IF(Y$68="Error","Error",IF(AND($W$68&lt;&gt;"/",$W$68&gt;'Paramètres - Admin'!$A5),'Paramètres - Admin'!$A6,"/"))</f>
        <v>/</v>
      </c>
      <c r="X73" s="517" t="str">
        <f>IF(W73&lt;&gt;"/",VLOOKUP(W73,COSTS_Air_Defense[#All],2),"/")</f>
        <v>/</v>
      </c>
      <c r="Y73" s="94" t="str">
        <f>IF(W73&lt;&gt;"/",VLOOKUP(W73,COSTS_Air_Defense[#All],3),"/")</f>
        <v>/</v>
      </c>
      <c r="Z73" s="517">
        <f t="shared" si="50"/>
        <v>0</v>
      </c>
      <c r="AA73" s="522">
        <f t="shared" si="51"/>
        <v>0</v>
      </c>
    </row>
    <row r="74" spans="1:27" ht="15" customHeight="1" x14ac:dyDescent="0.25">
      <c r="A74" s="927">
        <v>5</v>
      </c>
      <c r="B74" s="928" t="str">
        <f>IF(Paramètres!N10=0,"",Paramètres!N10)</f>
        <v/>
      </c>
      <c r="C74" s="781">
        <f t="shared" si="52"/>
        <v>0</v>
      </c>
      <c r="D74" s="574" t="str">
        <f t="shared" si="41"/>
        <v>/</v>
      </c>
      <c r="E74" s="107" t="str">
        <f>IF(G$68="Error","Error",IF(AND($E$68&lt;&gt;"/",$E$68&gt;'Paramètres - Admin'!$A6),'Paramètres - Admin'!$A7,"/"))</f>
        <v>/</v>
      </c>
      <c r="F74" s="517" t="str">
        <f>IF(E74&lt;&gt;"/",VLOOKUP(E74,COSTS_Wall[#All],2),"/")</f>
        <v>/</v>
      </c>
      <c r="G74" s="94" t="str">
        <f>IF(E74&lt;&gt;"/",VLOOKUP(E74,COSTS_Wall[#All],3),"/")</f>
        <v>/</v>
      </c>
      <c r="H74" s="517">
        <f t="shared" si="42"/>
        <v>0</v>
      </c>
      <c r="I74" s="522">
        <f t="shared" si="43"/>
        <v>0</v>
      </c>
      <c r="J74" s="927">
        <v>5</v>
      </c>
      <c r="K74" s="928" t="str">
        <f>IF(Paramètres!P10=0,"",Paramètres!P10)</f>
        <v/>
      </c>
      <c r="L74" s="781">
        <f t="shared" si="44"/>
        <v>0</v>
      </c>
      <c r="M74" s="574" t="str">
        <f t="shared" si="45"/>
        <v>/</v>
      </c>
      <c r="N74" s="107" t="str">
        <f>IF(P$68="Error","Error",IF(AND($N$68&lt;&gt;"/",$N$68&gt;'Paramètres - Admin'!$A6),'Paramètres - Admin'!$A7,"/"))</f>
        <v>/</v>
      </c>
      <c r="O74" s="517" t="str">
        <f>IF(N74&lt;&gt;"/",VLOOKUP(N74,COSTS_Archer_Tower[#All],2),"/")</f>
        <v>/</v>
      </c>
      <c r="P74" s="94" t="str">
        <f>IF(N74&lt;&gt;"/",VLOOKUP(N74,COSTS_Archer_Tower[#All],3),"/")</f>
        <v>/</v>
      </c>
      <c r="Q74" s="517">
        <f t="shared" si="46"/>
        <v>0</v>
      </c>
      <c r="R74" s="522">
        <f t="shared" si="47"/>
        <v>0</v>
      </c>
      <c r="S74" s="927">
        <v>5</v>
      </c>
      <c r="T74" s="928" t="str">
        <f>IF(Paramètres!R10=0,"",Paramètres!R10)</f>
        <v/>
      </c>
      <c r="U74" s="781">
        <f t="shared" si="48"/>
        <v>0</v>
      </c>
      <c r="V74" s="574" t="str">
        <f t="shared" si="49"/>
        <v>/</v>
      </c>
      <c r="W74" s="107" t="str">
        <f>IF(Y$68="Error","Error",IF(AND($W$68&lt;&gt;"/",$W$68&gt;'Paramètres - Admin'!$A6),'Paramètres - Admin'!$A7,"/"))</f>
        <v>/</v>
      </c>
      <c r="X74" s="517" t="str">
        <f>IF(W74&lt;&gt;"/",VLOOKUP(W74,COSTS_Air_Defense[#All],2),"/")</f>
        <v>/</v>
      </c>
      <c r="Y74" s="94" t="str">
        <f>IF(W74&lt;&gt;"/",VLOOKUP(W74,COSTS_Air_Defense[#All],3),"/")</f>
        <v>/</v>
      </c>
      <c r="Z74" s="517">
        <f t="shared" si="50"/>
        <v>0</v>
      </c>
      <c r="AA74" s="522">
        <f t="shared" si="51"/>
        <v>0</v>
      </c>
    </row>
    <row r="75" spans="1:27" ht="15" customHeight="1" x14ac:dyDescent="0.25">
      <c r="A75" s="927">
        <v>6</v>
      </c>
      <c r="B75" s="928" t="str">
        <f>IF(Paramètres!N11=0,"",Paramètres!N11)</f>
        <v/>
      </c>
      <c r="C75" s="781">
        <f t="shared" si="52"/>
        <v>0</v>
      </c>
      <c r="D75" s="574" t="str">
        <f t="shared" si="41"/>
        <v>/</v>
      </c>
      <c r="E75" s="107" t="str">
        <f>IF(G$68="Error","Error",IF(AND($E$68&lt;&gt;"/",$E$68&gt;'Paramètres - Admin'!$A7),'Paramètres - Admin'!$A8,"/"))</f>
        <v>/</v>
      </c>
      <c r="F75" s="517" t="str">
        <f>IF(E75&lt;&gt;"/",VLOOKUP(E75,COSTS_Wall[#All],2),"/")</f>
        <v>/</v>
      </c>
      <c r="G75" s="94" t="str">
        <f>IF(E75&lt;&gt;"/",VLOOKUP(E75,COSTS_Wall[#All],3),"/")</f>
        <v>/</v>
      </c>
      <c r="H75" s="517">
        <f t="shared" si="42"/>
        <v>0</v>
      </c>
      <c r="I75" s="522">
        <f t="shared" si="43"/>
        <v>0</v>
      </c>
      <c r="J75" s="927">
        <v>6</v>
      </c>
      <c r="K75" s="928" t="str">
        <f>IF(Paramètres!P11=0,"",Paramètres!P11)</f>
        <v/>
      </c>
      <c r="L75" s="781">
        <f t="shared" si="44"/>
        <v>0</v>
      </c>
      <c r="M75" s="574" t="str">
        <f t="shared" si="45"/>
        <v>/</v>
      </c>
      <c r="N75" s="107" t="str">
        <f>IF(P$68="Error","Error",IF(AND($N$68&lt;&gt;"/",$N$68&gt;'Paramètres - Admin'!$A7),'Paramètres - Admin'!$A8,"/"))</f>
        <v>/</v>
      </c>
      <c r="O75" s="517" t="str">
        <f>IF(N75&lt;&gt;"/",VLOOKUP(N75,COSTS_Archer_Tower[#All],2),"/")</f>
        <v>/</v>
      </c>
      <c r="P75" s="94" t="str">
        <f>IF(N75&lt;&gt;"/",VLOOKUP(N75,COSTS_Archer_Tower[#All],3),"/")</f>
        <v>/</v>
      </c>
      <c r="Q75" s="517">
        <f t="shared" si="46"/>
        <v>0</v>
      </c>
      <c r="R75" s="522">
        <f t="shared" si="47"/>
        <v>0</v>
      </c>
      <c r="S75" s="927">
        <v>6</v>
      </c>
      <c r="T75" s="928" t="str">
        <f>IF(Paramètres!R11=0,"",Paramètres!R11)</f>
        <v/>
      </c>
      <c r="U75" s="781">
        <f t="shared" si="48"/>
        <v>0</v>
      </c>
      <c r="V75" s="574" t="str">
        <f t="shared" si="49"/>
        <v>/</v>
      </c>
      <c r="W75" s="107" t="str">
        <f>IF(Y$68="Error","Error",IF(AND($W$68&lt;&gt;"/",$W$68&gt;'Paramètres - Admin'!$A7),'Paramètres - Admin'!$A8,"/"))</f>
        <v>/</v>
      </c>
      <c r="X75" s="517" t="str">
        <f>IF(W75&lt;&gt;"/",VLOOKUP(W75,COSTS_Air_Defense[#All],2),"/")</f>
        <v>/</v>
      </c>
      <c r="Y75" s="94" t="str">
        <f>IF(W75&lt;&gt;"/",VLOOKUP(W75,COSTS_Air_Defense[#All],3),"/")</f>
        <v>/</v>
      </c>
      <c r="Z75" s="517">
        <f t="shared" si="50"/>
        <v>0</v>
      </c>
      <c r="AA75" s="522">
        <f t="shared" si="51"/>
        <v>0</v>
      </c>
    </row>
    <row r="76" spans="1:27" ht="15" customHeight="1" x14ac:dyDescent="0.25">
      <c r="A76" s="927">
        <v>7</v>
      </c>
      <c r="B76" s="928" t="str">
        <f>IF(Paramètres!N12=0,"",Paramètres!N12)</f>
        <v/>
      </c>
      <c r="C76" s="781">
        <f t="shared" si="52"/>
        <v>0</v>
      </c>
      <c r="D76" s="574" t="str">
        <f t="shared" si="41"/>
        <v>/</v>
      </c>
      <c r="E76" s="107" t="str">
        <f>IF(G$68="Error","Error",IF(AND($E$68&lt;&gt;"/",$E$68&gt;'Paramètres - Admin'!$A8),'Paramètres - Admin'!$A9,"/"))</f>
        <v>/</v>
      </c>
      <c r="F76" s="517" t="str">
        <f>IF(E76&lt;&gt;"/",VLOOKUP(E76,COSTS_Wall[#All],2),"/")</f>
        <v>/</v>
      </c>
      <c r="G76" s="94" t="str">
        <f>IF(E76&lt;&gt;"/",VLOOKUP(E76,COSTS_Wall[#All],3),"/")</f>
        <v>/</v>
      </c>
      <c r="H76" s="517">
        <f t="shared" si="42"/>
        <v>0</v>
      </c>
      <c r="I76" s="522">
        <f t="shared" si="43"/>
        <v>0</v>
      </c>
      <c r="J76" s="927">
        <v>7</v>
      </c>
      <c r="K76" s="928" t="str">
        <f>IF(Paramètres!P12=0,"",Paramètres!P12)</f>
        <v/>
      </c>
      <c r="L76" s="781">
        <f t="shared" si="44"/>
        <v>0</v>
      </c>
      <c r="M76" s="574" t="str">
        <f t="shared" si="45"/>
        <v>/</v>
      </c>
      <c r="N76" s="107" t="str">
        <f>IF(P$68="Error","Error",IF(AND($N$68&lt;&gt;"/",$N$68&gt;'Paramètres - Admin'!$A8),'Paramètres - Admin'!$A9,"/"))</f>
        <v>/</v>
      </c>
      <c r="O76" s="517" t="str">
        <f>IF(N76&lt;&gt;"/",VLOOKUP(N76,COSTS_Archer_Tower[#All],2),"/")</f>
        <v>/</v>
      </c>
      <c r="P76" s="94" t="str">
        <f>IF(N76&lt;&gt;"/",VLOOKUP(N76,COSTS_Archer_Tower[#All],3),"/")</f>
        <v>/</v>
      </c>
      <c r="Q76" s="517">
        <f t="shared" si="46"/>
        <v>0</v>
      </c>
      <c r="R76" s="522">
        <f t="shared" si="47"/>
        <v>0</v>
      </c>
      <c r="S76" s="927">
        <v>7</v>
      </c>
      <c r="T76" s="928" t="str">
        <f>IF(Paramètres!R12=0,"",Paramètres!R12)</f>
        <v/>
      </c>
      <c r="U76" s="781">
        <f t="shared" si="48"/>
        <v>0</v>
      </c>
      <c r="V76" s="574" t="str">
        <f t="shared" si="49"/>
        <v>/</v>
      </c>
      <c r="W76" s="107" t="str">
        <f>IF(Y$68="Error","Error",IF(AND($W$68&lt;&gt;"/",$W$68&gt;'Paramètres - Admin'!$A8),'Paramètres - Admin'!$A9,"/"))</f>
        <v>/</v>
      </c>
      <c r="X76" s="517" t="str">
        <f>IF(W76&lt;&gt;"/",VLOOKUP(W76,COSTS_Air_Defense[#All],2),"/")</f>
        <v>/</v>
      </c>
      <c r="Y76" s="94" t="str">
        <f>IF(W76&lt;&gt;"/",VLOOKUP(W76,COSTS_Air_Defense[#All],3),"/")</f>
        <v>/</v>
      </c>
      <c r="Z76" s="517">
        <f t="shared" si="50"/>
        <v>0</v>
      </c>
      <c r="AA76" s="522">
        <f t="shared" si="51"/>
        <v>0</v>
      </c>
    </row>
    <row r="77" spans="1:27" ht="15" customHeight="1" thickBot="1" x14ac:dyDescent="0.3">
      <c r="A77" s="927">
        <v>8</v>
      </c>
      <c r="B77" s="928" t="str">
        <f>IF(Paramètres!N13=0,"",Paramètres!N13)</f>
        <v/>
      </c>
      <c r="C77" s="781">
        <f t="shared" si="52"/>
        <v>0</v>
      </c>
      <c r="D77" s="574" t="str">
        <f t="shared" si="41"/>
        <v>/</v>
      </c>
      <c r="E77" s="107" t="str">
        <f>IF(G$68="Error","Error",IF(AND($E$68&lt;&gt;"/",$E$68&gt;'Paramètres - Admin'!$A9),'Paramètres - Admin'!$A10,"/"))</f>
        <v>/</v>
      </c>
      <c r="F77" s="517" t="str">
        <f>IF(E77&lt;&gt;"/",VLOOKUP(E77,COSTS_Wall[#All],2),"/")</f>
        <v>/</v>
      </c>
      <c r="G77" s="94" t="str">
        <f>IF(E77&lt;&gt;"/",VLOOKUP(E77,COSTS_Wall[#All],3),"/")</f>
        <v>/</v>
      </c>
      <c r="H77" s="517">
        <f t="shared" si="42"/>
        <v>0</v>
      </c>
      <c r="I77" s="522">
        <f t="shared" si="43"/>
        <v>0</v>
      </c>
      <c r="J77" s="927">
        <v>8</v>
      </c>
      <c r="K77" s="928" t="str">
        <f>IF(Paramètres!P13=0,"",Paramètres!P13)</f>
        <v/>
      </c>
      <c r="L77" s="781">
        <f t="shared" si="44"/>
        <v>0</v>
      </c>
      <c r="M77" s="574" t="str">
        <f t="shared" si="45"/>
        <v>/</v>
      </c>
      <c r="N77" s="107" t="str">
        <f>IF(P$68="Error","Error",IF(AND($N$68&lt;&gt;"/",$N$68&gt;'Paramètres - Admin'!$A9),'Paramètres - Admin'!$A10,"/"))</f>
        <v>/</v>
      </c>
      <c r="O77" s="517" t="str">
        <f>IF(N77&lt;&gt;"/",VLOOKUP(N77,COSTS_Archer_Tower[#All],2),"/")</f>
        <v>/</v>
      </c>
      <c r="P77" s="94" t="str">
        <f>IF(N77&lt;&gt;"/",VLOOKUP(N77,COSTS_Archer_Tower[#All],3),"/")</f>
        <v>/</v>
      </c>
      <c r="Q77" s="517">
        <f t="shared" si="46"/>
        <v>0</v>
      </c>
      <c r="R77" s="522">
        <f t="shared" si="47"/>
        <v>0</v>
      </c>
      <c r="S77" s="929">
        <v>8</v>
      </c>
      <c r="T77" s="930" t="str">
        <f>IF(Paramètres!R13=0,"",Paramètres!R13)</f>
        <v/>
      </c>
      <c r="U77" s="782">
        <f t="shared" si="48"/>
        <v>0</v>
      </c>
      <c r="V77" s="575" t="str">
        <f t="shared" si="49"/>
        <v>/</v>
      </c>
      <c r="W77" s="113" t="str">
        <f>IF(Y$68="Error","Error",IF(AND($W$68&lt;&gt;"/",$W$68&gt;'Paramètres - Admin'!$A9),'Paramètres - Admin'!$A10,"/"))</f>
        <v>/</v>
      </c>
      <c r="X77" s="115" t="str">
        <f>IF(W77&lt;&gt;"/",VLOOKUP(W77,COSTS_Air_Defense[#All],2),"/")</f>
        <v>/</v>
      </c>
      <c r="Y77" s="112" t="str">
        <f>IF(W77&lt;&gt;"/",VLOOKUP(W77,COSTS_Air_Defense[#All],3),"/")</f>
        <v>/</v>
      </c>
      <c r="Z77" s="115">
        <f t="shared" si="50"/>
        <v>0</v>
      </c>
      <c r="AA77" s="114">
        <f t="shared" si="51"/>
        <v>0</v>
      </c>
    </row>
    <row r="78" spans="1:27" ht="15" customHeight="1" thickBot="1" x14ac:dyDescent="0.3">
      <c r="A78" s="927">
        <v>9</v>
      </c>
      <c r="B78" s="928" t="str">
        <f>IF(Paramètres!N14=0,"",Paramètres!N14)</f>
        <v/>
      </c>
      <c r="C78" s="781">
        <f t="shared" si="52"/>
        <v>0</v>
      </c>
      <c r="D78" s="574" t="str">
        <f t="shared" si="41"/>
        <v>/</v>
      </c>
      <c r="E78" s="107" t="str">
        <f>IF(G$68="Error","Error",IF(AND($E$68&lt;&gt;"/",$E$68&gt;'Paramètres - Admin'!$A10),'Paramètres - Admin'!$A11,"/"))</f>
        <v>/</v>
      </c>
      <c r="F78" s="600" t="str">
        <f>IF(E78&lt;&gt;"/",VLOOKUP(E78,COSTS_Wall[#All],2),"/")</f>
        <v>/</v>
      </c>
      <c r="G78" s="94" t="str">
        <f>IF(E78&lt;&gt;"/",VLOOKUP(E78,COSTS_Wall[#All],3),"/")</f>
        <v>/</v>
      </c>
      <c r="H78" s="517">
        <f t="shared" si="42"/>
        <v>0</v>
      </c>
      <c r="I78" s="522">
        <f t="shared" si="43"/>
        <v>0</v>
      </c>
      <c r="J78" s="927">
        <v>9</v>
      </c>
      <c r="K78" s="928" t="str">
        <f>IF(Paramètres!P14=0,"",Paramètres!P14)</f>
        <v/>
      </c>
      <c r="L78" s="781">
        <f t="shared" si="44"/>
        <v>0</v>
      </c>
      <c r="M78" s="574" t="str">
        <f t="shared" si="45"/>
        <v>/</v>
      </c>
      <c r="N78" s="107" t="str">
        <f>IF(P$68="Error","Error",IF(AND($N$68&lt;&gt;"/",$N$68&gt;'Paramètres - Admin'!$A10),'Paramètres - Admin'!$A11,"/"))</f>
        <v>/</v>
      </c>
      <c r="O78" s="517" t="str">
        <f>IF(N78&lt;&gt;"/",VLOOKUP(N78,COSTS_Archer_Tower[#All],2),"/")</f>
        <v>/</v>
      </c>
      <c r="P78" s="94" t="str">
        <f>IF(N78&lt;&gt;"/",VLOOKUP(N78,COSTS_Archer_Tower[#All],3),"/")</f>
        <v>/</v>
      </c>
      <c r="Q78" s="517">
        <f t="shared" si="46"/>
        <v>0</v>
      </c>
      <c r="R78" s="522">
        <f t="shared" si="47"/>
        <v>0</v>
      </c>
      <c r="S78" s="910"/>
      <c r="T78" s="911"/>
      <c r="U78" s="911"/>
      <c r="V78" s="911"/>
      <c r="W78" s="911"/>
      <c r="X78" s="912"/>
      <c r="Y78" s="511" t="s">
        <v>31</v>
      </c>
      <c r="Z78" s="223">
        <f>IF(Y$68="Error","Error",SUM(Z70:Z77))</f>
        <v>0</v>
      </c>
      <c r="AA78" s="534">
        <f>IF(Y$68="Error","Error",SUM(AA70:AA77))</f>
        <v>0</v>
      </c>
    </row>
    <row r="79" spans="1:27" ht="15" customHeight="1" x14ac:dyDescent="0.25">
      <c r="A79" s="927">
        <v>10</v>
      </c>
      <c r="B79" s="928" t="str">
        <f>IF(Paramètres!N15=0,"",Paramètres!N15)</f>
        <v/>
      </c>
      <c r="C79" s="781">
        <f t="shared" si="52"/>
        <v>0</v>
      </c>
      <c r="D79" s="574" t="str">
        <f t="shared" si="41"/>
        <v>/</v>
      </c>
      <c r="E79" s="107" t="str">
        <f>IF(G$68="Error","Error",IF(AND($E$68&lt;&gt;"/",$E$68&gt;'Paramètres - Admin'!$A11),'Paramètres - Admin'!$A12,"/"))</f>
        <v>/</v>
      </c>
      <c r="F79" s="600" t="str">
        <f>IF(E79&lt;&gt;"/",VLOOKUP(E79,COSTS_Wall[#All],2),"/")</f>
        <v>/</v>
      </c>
      <c r="G79" s="94" t="str">
        <f>IF(E79&lt;&gt;"/",VLOOKUP(E79,COSTS_Wall[#All],3),"/")</f>
        <v>/</v>
      </c>
      <c r="H79" s="517">
        <f t="shared" si="42"/>
        <v>0</v>
      </c>
      <c r="I79" s="522">
        <f t="shared" si="43"/>
        <v>0</v>
      </c>
      <c r="J79" s="927">
        <v>10</v>
      </c>
      <c r="K79" s="928" t="str">
        <f>IF(Paramètres!P15=0,"",Paramètres!P15)</f>
        <v/>
      </c>
      <c r="L79" s="781">
        <f t="shared" si="44"/>
        <v>0</v>
      </c>
      <c r="M79" s="574" t="str">
        <f t="shared" si="45"/>
        <v>/</v>
      </c>
      <c r="N79" s="107" t="str">
        <f>IF(P$68="Error","Error",IF(AND($N$68&lt;&gt;"/",$N$68&gt;'Paramètres - Admin'!$A11),'Paramètres - Admin'!$A12,"/"))</f>
        <v>/</v>
      </c>
      <c r="O79" s="517" t="str">
        <f>IF(N79&lt;&gt;"/",VLOOKUP(N79,COSTS_Archer_Tower[#All],2),"/")</f>
        <v>/</v>
      </c>
      <c r="P79" s="94" t="str">
        <f>IF(N79&lt;&gt;"/",VLOOKUP(N79,COSTS_Archer_Tower[#All],3),"/")</f>
        <v>/</v>
      </c>
      <c r="Q79" s="517">
        <f t="shared" si="46"/>
        <v>0</v>
      </c>
      <c r="R79" s="522">
        <f t="shared" si="47"/>
        <v>0</v>
      </c>
      <c r="S79" s="1119" t="s">
        <v>643</v>
      </c>
      <c r="T79" s="1120"/>
      <c r="U79" s="1121"/>
      <c r="V79" s="512" t="s">
        <v>38</v>
      </c>
      <c r="W79" s="513" t="s">
        <v>39</v>
      </c>
      <c r="X79" s="527"/>
      <c r="Y79" s="512" t="s">
        <v>256</v>
      </c>
      <c r="Z79" s="514" t="s">
        <v>361</v>
      </c>
      <c r="AA79" s="513" t="s">
        <v>257</v>
      </c>
    </row>
    <row r="80" spans="1:27" ht="15" customHeight="1" thickBot="1" x14ac:dyDescent="0.3">
      <c r="A80" s="929">
        <v>11</v>
      </c>
      <c r="B80" s="930" t="str">
        <f>IF(Paramètres!N16=0,"",Paramètres!N16)</f>
        <v/>
      </c>
      <c r="C80" s="782">
        <f t="shared" si="52"/>
        <v>0</v>
      </c>
      <c r="D80" s="575" t="str">
        <f t="shared" si="41"/>
        <v>/</v>
      </c>
      <c r="E80" s="113" t="str">
        <f>IF(G$68="Error","Error",IF(AND($E$68&lt;&gt;"/",$E$68&gt;'Paramètres - Admin'!$A12),'Paramètres - Admin'!$A13,"/"))</f>
        <v>/</v>
      </c>
      <c r="F80" s="601" t="str">
        <f>IF(E80&lt;&gt;"/",VLOOKUP(E80,COSTS_Wall[#All],2),"/")</f>
        <v>/</v>
      </c>
      <c r="G80" s="112" t="str">
        <f>IF(E80&lt;&gt;"/",VLOOKUP(E80,COSTS_Wall[#All],3),"/")</f>
        <v>/</v>
      </c>
      <c r="H80" s="115">
        <f t="shared" si="42"/>
        <v>0</v>
      </c>
      <c r="I80" s="114">
        <f t="shared" si="43"/>
        <v>0</v>
      </c>
      <c r="J80" s="927">
        <v>11</v>
      </c>
      <c r="K80" s="928" t="str">
        <f>IF(Paramètres!P16=0,"",Paramètres!P16)</f>
        <v/>
      </c>
      <c r="L80" s="781">
        <f t="shared" si="44"/>
        <v>0</v>
      </c>
      <c r="M80" s="574" t="str">
        <f t="shared" si="45"/>
        <v>/</v>
      </c>
      <c r="N80" s="107" t="str">
        <f>IF(P$68="Error","Error",IF(AND($N$68&lt;&gt;"/",$N$68&gt;'Paramètres - Admin'!$A12),'Paramètres - Admin'!$A13,"/"))</f>
        <v>/</v>
      </c>
      <c r="O80" s="517" t="str">
        <f>IF(N80&lt;&gt;"/",VLOOKUP(N80,COSTS_Archer_Tower[#All],2),"/")</f>
        <v>/</v>
      </c>
      <c r="P80" s="94" t="str">
        <f>IF(N80&lt;&gt;"/",VLOOKUP(N80,COSTS_Archer_Tower[#All],3),"/")</f>
        <v>/</v>
      </c>
      <c r="Q80" s="517">
        <f t="shared" si="46"/>
        <v>0</v>
      </c>
      <c r="R80" s="522">
        <f t="shared" si="47"/>
        <v>0</v>
      </c>
      <c r="S80" s="1122"/>
      <c r="T80" s="1123"/>
      <c r="U80" s="1124"/>
      <c r="V80" s="515">
        <f>VLOOKUP($A$2,AVAILABLE_Buildings_Defensive[#All],MATCH(S79,AVAILABLE_Buildings_Defensive[#Headers],0))</f>
        <v>0</v>
      </c>
      <c r="W80" s="516">
        <f>VLOOKUP($A$2,AVAILABLE_Buildings_Defensive[#All],MATCH(S79,AVAILABLE_Buildings_Defensive[#Headers],0)+1)</f>
        <v>0</v>
      </c>
      <c r="X80" s="528"/>
      <c r="Y80" s="518">
        <f>IF(SUM(T82:T87)&gt;V80,"Error",SUM(T82:T87))</f>
        <v>0</v>
      </c>
      <c r="Z80" s="519">
        <f>IF(Y$80="Error","Error",V80-Y80)</f>
        <v>0</v>
      </c>
      <c r="AA80" s="526">
        <f>IF(Y$80="Error","Error",SUM(V82:V87))</f>
        <v>0</v>
      </c>
    </row>
    <row r="81" spans="1:27" ht="15" customHeight="1" thickBot="1" x14ac:dyDescent="0.3">
      <c r="A81" s="910"/>
      <c r="B81" s="911"/>
      <c r="C81" s="911"/>
      <c r="D81" s="911"/>
      <c r="E81" s="911"/>
      <c r="F81" s="912"/>
      <c r="G81" s="511" t="s">
        <v>31</v>
      </c>
      <c r="H81" s="223">
        <f>IF(G$68="Error","Error",SUM(H70:H80))</f>
        <v>0</v>
      </c>
      <c r="I81" s="534">
        <f>IF(G$68="Error","Error",SUM(I70:I80))</f>
        <v>0</v>
      </c>
      <c r="J81" s="927">
        <v>12</v>
      </c>
      <c r="K81" s="928" t="str">
        <f>IF(Paramètres!P17=0,"",Paramètres!P17)</f>
        <v/>
      </c>
      <c r="L81" s="781">
        <f t="shared" si="44"/>
        <v>0</v>
      </c>
      <c r="M81" s="574" t="str">
        <f t="shared" si="45"/>
        <v>/</v>
      </c>
      <c r="N81" s="107" t="str">
        <f>IF(P$68="Error","Error",IF(AND($N$68&lt;&gt;"/",$N$68&gt;'Paramètres - Admin'!$A13),'Paramètres - Admin'!$A14,"/"))</f>
        <v>/</v>
      </c>
      <c r="O81" s="517" t="str">
        <f>IF(N81&lt;&gt;"/",VLOOKUP(N81,COSTS_Archer_Tower[#All],2),"/")</f>
        <v>/</v>
      </c>
      <c r="P81" s="94" t="str">
        <f>IF(N81&lt;&gt;"/",VLOOKUP(N81,COSTS_Archer_Tower[#All],3),"/")</f>
        <v>/</v>
      </c>
      <c r="Q81" s="517">
        <f t="shared" si="46"/>
        <v>0</v>
      </c>
      <c r="R81" s="522">
        <f t="shared" si="47"/>
        <v>0</v>
      </c>
      <c r="S81" s="520" t="s">
        <v>30</v>
      </c>
      <c r="T81" s="351" t="s">
        <v>29</v>
      </c>
      <c r="U81" s="460"/>
      <c r="V81" s="530" t="s">
        <v>29</v>
      </c>
      <c r="W81" s="531" t="s">
        <v>30</v>
      </c>
      <c r="X81" s="532" t="s">
        <v>258</v>
      </c>
      <c r="Y81" s="532" t="s">
        <v>259</v>
      </c>
      <c r="Z81" s="532" t="s">
        <v>232</v>
      </c>
      <c r="AA81" s="533" t="s">
        <v>233</v>
      </c>
    </row>
    <row r="82" spans="1:27" ht="15" customHeight="1" thickBot="1" x14ac:dyDescent="0.3">
      <c r="A82" s="1119" t="s">
        <v>203</v>
      </c>
      <c r="B82" s="1120"/>
      <c r="C82" s="1121"/>
      <c r="D82" s="80" t="s">
        <v>38</v>
      </c>
      <c r="E82" s="81" t="s">
        <v>39</v>
      </c>
      <c r="F82" s="214"/>
      <c r="G82" s="512" t="s">
        <v>256</v>
      </c>
      <c r="H82" s="514" t="s">
        <v>361</v>
      </c>
      <c r="I82" s="513" t="s">
        <v>257</v>
      </c>
      <c r="J82" s="929">
        <v>13</v>
      </c>
      <c r="K82" s="930" t="str">
        <f>IF(Paramètres!P18=0,"",Paramètres!P18)</f>
        <v/>
      </c>
      <c r="L82" s="782">
        <f t="shared" si="44"/>
        <v>0</v>
      </c>
      <c r="M82" s="575" t="str">
        <f t="shared" si="45"/>
        <v>/</v>
      </c>
      <c r="N82" s="113" t="str">
        <f>IF(P$68="Error","Error",IF(AND($N$68&lt;&gt;"/",$N$68&gt;'Paramètres - Admin'!$A14),'Paramètres - Admin'!$A15,"/"))</f>
        <v>/</v>
      </c>
      <c r="O82" s="115" t="str">
        <f>IF(N82&lt;&gt;"/",VLOOKUP(N82,COSTS_Archer_Tower[#All],2),"/")</f>
        <v>/</v>
      </c>
      <c r="P82" s="112" t="str">
        <f>IF(N82&lt;&gt;"/",VLOOKUP(N82,COSTS_Archer_Tower[#All],3),"/")</f>
        <v>/</v>
      </c>
      <c r="Q82" s="115">
        <f t="shared" si="46"/>
        <v>0</v>
      </c>
      <c r="R82" s="114">
        <f t="shared" si="47"/>
        <v>0</v>
      </c>
      <c r="S82" s="512">
        <v>1</v>
      </c>
      <c r="T82" s="926" t="str">
        <f>IF(Paramètres!T6=0,"",Paramètres!T6)</f>
        <v/>
      </c>
      <c r="U82" s="586">
        <f t="shared" ref="U82:U87" si="53">IF(U81&lt;&gt;0,U81+IF(AND(T81&lt;&gt;"",S81&lt;W$80),T81,0),IF(AND(T81&lt;&gt;"",S81&lt;W$80),T81,0))</f>
        <v>0</v>
      </c>
      <c r="V82" s="573" t="str">
        <f t="shared" ref="V82:V87" si="54">IF(W82&lt;&gt;"/",IF(Y$80="Error","Error",$Z$80+U82),"/")</f>
        <v>/</v>
      </c>
      <c r="W82" s="457" t="str">
        <f>IF(Y$80="Error","Error",IF(AND($W$80&lt;&gt;"/",$W$80&gt;'Paramètres - Admin'!$A2),'Paramètres - Admin'!$A3,"/"))</f>
        <v>/</v>
      </c>
      <c r="X82" s="86" t="str">
        <f>IF(W82&lt;&gt;"/",VLOOKUP(W82,COSTS_Air_Sweeper[#All],2),"/")</f>
        <v>/</v>
      </c>
      <c r="Y82" s="458" t="str">
        <f>IF(W82&lt;&gt;"/",VLOOKUP(W82,COSTS_Air_Sweeper[#All],3),"/")</f>
        <v>/</v>
      </c>
      <c r="Z82" s="86">
        <f t="shared" ref="Z82:Z87" si="55">IF(Y$80="Error","Error",IF(X82&lt;&gt;"/",V82*X82,0))</f>
        <v>0</v>
      </c>
      <c r="AA82" s="459">
        <f t="shared" ref="AA82:AA87" si="56">IF(Y$80="Error","Error",IF(Y82&lt;&gt;"/",V82*Y82,0))</f>
        <v>0</v>
      </c>
    </row>
    <row r="83" spans="1:27" ht="15" customHeight="1" thickBot="1" x14ac:dyDescent="0.3">
      <c r="A83" s="1122"/>
      <c r="B83" s="1123"/>
      <c r="C83" s="1124"/>
      <c r="D83" s="88">
        <f>VLOOKUP($A$2,AVAILABLE_Buildings_Defensive[#All],MATCH(A82,AVAILABLE_Buildings_Defensive[#Headers],0))</f>
        <v>0</v>
      </c>
      <c r="E83" s="89">
        <f>VLOOKUP($A$2,AVAILABLE_Buildings_Defensive[#All],MATCH(A82,AVAILABLE_Buildings_Defensive[#Headers],0)+1)</f>
        <v>0</v>
      </c>
      <c r="F83" s="215"/>
      <c r="G83" s="96">
        <f>IF(SUM(B85:B93)&gt;D83,"Error",SUM(B85:B93))</f>
        <v>0</v>
      </c>
      <c r="H83" s="97">
        <f>IF(G$83="Error","Error",D83-G83)</f>
        <v>0</v>
      </c>
      <c r="I83" s="202">
        <f>IF(G$83="Error","Error",SUM(D85:D93))</f>
        <v>0</v>
      </c>
      <c r="J83" s="907"/>
      <c r="K83" s="908"/>
      <c r="L83" s="908"/>
      <c r="M83" s="908"/>
      <c r="N83" s="908"/>
      <c r="O83" s="909"/>
      <c r="P83" s="274" t="s">
        <v>31</v>
      </c>
      <c r="Q83" s="104">
        <f>IF(P$68="Error","Error",SUM(Q70:Q82))</f>
        <v>0</v>
      </c>
      <c r="R83" s="585">
        <f>IF(P$68="Error","Error",SUM(R70:R82))</f>
        <v>0</v>
      </c>
      <c r="S83" s="927">
        <v>2</v>
      </c>
      <c r="T83" s="928" t="str">
        <f>IF(Paramètres!T7=0,"",Paramètres!T7)</f>
        <v/>
      </c>
      <c r="U83" s="781">
        <f t="shared" si="53"/>
        <v>0</v>
      </c>
      <c r="V83" s="574" t="str">
        <f t="shared" si="54"/>
        <v>/</v>
      </c>
      <c r="W83" s="107" t="str">
        <f>IF(Y$80="Error","Error",IF(AND($W$80&lt;&gt;"/",$W$80&gt;'Paramètres - Admin'!$A3),'Paramètres - Admin'!$A4,"/"))</f>
        <v>/</v>
      </c>
      <c r="X83" s="517" t="str">
        <f>IF(W83&lt;&gt;"/",VLOOKUP(W83,COSTS_Air_Sweeper[#All],2),"/")</f>
        <v>/</v>
      </c>
      <c r="Y83" s="94" t="str">
        <f>IF(W83&lt;&gt;"/",VLOOKUP(W83,COSTS_Air_Sweeper[#All],3),"/")</f>
        <v>/</v>
      </c>
      <c r="Z83" s="517">
        <f t="shared" si="55"/>
        <v>0</v>
      </c>
      <c r="AA83" s="522">
        <f t="shared" si="56"/>
        <v>0</v>
      </c>
    </row>
    <row r="84" spans="1:27" ht="15" customHeight="1" thickBot="1" x14ac:dyDescent="0.3">
      <c r="A84" s="520" t="s">
        <v>30</v>
      </c>
      <c r="B84" s="351" t="s">
        <v>29</v>
      </c>
      <c r="C84" s="460"/>
      <c r="D84" s="216" t="s">
        <v>29</v>
      </c>
      <c r="E84" s="217" t="s">
        <v>30</v>
      </c>
      <c r="F84" s="532" t="s">
        <v>258</v>
      </c>
      <c r="G84" s="532" t="s">
        <v>259</v>
      </c>
      <c r="H84" s="532" t="s">
        <v>232</v>
      </c>
      <c r="I84" s="533" t="s">
        <v>233</v>
      </c>
      <c r="J84" s="1119" t="s">
        <v>454</v>
      </c>
      <c r="K84" s="1120"/>
      <c r="L84" s="1121"/>
      <c r="M84" s="80" t="s">
        <v>38</v>
      </c>
      <c r="N84" s="81" t="s">
        <v>39</v>
      </c>
      <c r="O84" s="214"/>
      <c r="P84" s="512" t="s">
        <v>256</v>
      </c>
      <c r="Q84" s="514" t="s">
        <v>361</v>
      </c>
      <c r="R84" s="513" t="s">
        <v>257</v>
      </c>
      <c r="S84" s="927">
        <v>3</v>
      </c>
      <c r="T84" s="928" t="str">
        <f>IF(Paramètres!T8=0,"",Paramètres!T8)</f>
        <v/>
      </c>
      <c r="U84" s="781">
        <f t="shared" si="53"/>
        <v>0</v>
      </c>
      <c r="V84" s="574" t="str">
        <f t="shared" si="54"/>
        <v>/</v>
      </c>
      <c r="W84" s="107" t="str">
        <f>IF(Y$80="Error","Error",IF(AND($W$80&lt;&gt;"/",$W$80&gt;'Paramètres - Admin'!$A4),'Paramètres - Admin'!$A5,"/"))</f>
        <v>/</v>
      </c>
      <c r="X84" s="517" t="str">
        <f>IF(W84&lt;&gt;"/",VLOOKUP(W84,COSTS_Air_Sweeper[#All],2),"/")</f>
        <v>/</v>
      </c>
      <c r="Y84" s="94" t="str">
        <f>IF(W84&lt;&gt;"/",VLOOKUP(W84,COSTS_Air_Sweeper[#All],3),"/")</f>
        <v>/</v>
      </c>
      <c r="Z84" s="517">
        <f t="shared" si="55"/>
        <v>0</v>
      </c>
      <c r="AA84" s="522">
        <f t="shared" si="56"/>
        <v>0</v>
      </c>
    </row>
    <row r="85" spans="1:27" ht="15" customHeight="1" thickBot="1" x14ac:dyDescent="0.3">
      <c r="A85" s="512">
        <v>1</v>
      </c>
      <c r="B85" s="926" t="str">
        <f>IF(Paramètres!Q6=0,"",Paramètres!Q6)</f>
        <v/>
      </c>
      <c r="C85" s="586">
        <f t="shared" ref="C85:C93" si="57">IF(C84&lt;&gt;0,C84+IF(AND(B84&lt;&gt;"",A84&lt;E$83),B84,0),IF(AND(B84&lt;&gt;"",A84&lt;E$83),B84,0))</f>
        <v>0</v>
      </c>
      <c r="D85" s="573" t="str">
        <f t="shared" ref="D85:D93" si="58">IF(E85&lt;&gt;"/",IF(G$83="Error","Error",$H$83+C85),"/")</f>
        <v>/</v>
      </c>
      <c r="E85" s="457" t="str">
        <f>IF(G$83="Error","Error",IF(AND($E$83&lt;&gt;"/",$E$83&gt;'Paramètres - Admin'!$A2),'Paramètres - Admin'!$A3,"/"))</f>
        <v>/</v>
      </c>
      <c r="F85" s="86" t="str">
        <f>IF(E85&lt;&gt;"/",VLOOKUP(E85,COSTS_Mortar[#All],2),"/")</f>
        <v>/</v>
      </c>
      <c r="G85" s="458" t="str">
        <f>IF(E85&lt;&gt;"/",VLOOKUP(E85,COSTS_Mortar[#All],3),"/")</f>
        <v>/</v>
      </c>
      <c r="H85" s="86">
        <f t="shared" ref="H85:H93" si="59">IF(G$83="Error","Error",IF(F85&lt;&gt;"/",D85*F85,0))</f>
        <v>0</v>
      </c>
      <c r="I85" s="459">
        <f t="shared" ref="I85:I93" si="60">IF(G$83="Error","Error",IF(G85&lt;&gt;"/",D85*G85,0))</f>
        <v>0</v>
      </c>
      <c r="J85" s="1122"/>
      <c r="K85" s="1123"/>
      <c r="L85" s="1124"/>
      <c r="M85" s="88">
        <f>VLOOKUP($A$2,AVAILABLE_Buildings_Defensive[#All],MATCH(J84,AVAILABLE_Buildings_Defensive[#Headers],0))</f>
        <v>0</v>
      </c>
      <c r="N85" s="89">
        <f>VLOOKUP($A$2,AVAILABLE_Buildings_Defensive[#All],MATCH(J84,AVAILABLE_Buildings_Defensive[#Headers],0)+1)</f>
        <v>0</v>
      </c>
      <c r="O85" s="215"/>
      <c r="P85" s="96">
        <f>IF(SUM(K87:K95)&gt;M85,"Error",SUM(K87:K95))</f>
        <v>0</v>
      </c>
      <c r="Q85" s="97">
        <f>IF(P$85="Error","Error",M85-P85)</f>
        <v>0</v>
      </c>
      <c r="R85" s="202">
        <f>IF(P$85="Error","Error",SUM(M87:M95))</f>
        <v>0</v>
      </c>
      <c r="S85" s="927">
        <v>4</v>
      </c>
      <c r="T85" s="928" t="str">
        <f>IF(Paramètres!T9=0,"",Paramètres!T9)</f>
        <v/>
      </c>
      <c r="U85" s="781">
        <f t="shared" si="53"/>
        <v>0</v>
      </c>
      <c r="V85" s="574" t="str">
        <f t="shared" si="54"/>
        <v>/</v>
      </c>
      <c r="W85" s="107" t="str">
        <f>IF(Y$80="Error","Error",IF(AND($W$80&lt;&gt;"/",$W$80&gt;'Paramètres - Admin'!$A5),'Paramètres - Admin'!$A6,"/"))</f>
        <v>/</v>
      </c>
      <c r="X85" s="517" t="str">
        <f>IF(W85&lt;&gt;"/",VLOOKUP(W85,COSTS_Air_Sweeper[#All],2),"/")</f>
        <v>/</v>
      </c>
      <c r="Y85" s="94" t="str">
        <f>IF(W85&lt;&gt;"/",VLOOKUP(W85,COSTS_Air_Sweeper[#All],3),"/")</f>
        <v>/</v>
      </c>
      <c r="Z85" s="517">
        <f t="shared" si="55"/>
        <v>0</v>
      </c>
      <c r="AA85" s="522">
        <f t="shared" si="56"/>
        <v>0</v>
      </c>
    </row>
    <row r="86" spans="1:27" ht="15" customHeight="1" thickBot="1" x14ac:dyDescent="0.3">
      <c r="A86" s="927">
        <v>2</v>
      </c>
      <c r="B86" s="928" t="str">
        <f>IF(Paramètres!Q7=0,"",Paramètres!Q7)</f>
        <v/>
      </c>
      <c r="C86" s="781">
        <f t="shared" si="57"/>
        <v>0</v>
      </c>
      <c r="D86" s="574" t="str">
        <f t="shared" si="58"/>
        <v>/</v>
      </c>
      <c r="E86" s="107" t="str">
        <f>IF(G$83="Error","Error",IF(AND($E$83&lt;&gt;"/",$E$83&gt;'Paramètres - Admin'!$A3),'Paramètres - Admin'!$A4,"/"))</f>
        <v>/</v>
      </c>
      <c r="F86" s="517" t="str">
        <f>IF(E86&lt;&gt;"/",VLOOKUP(E86,COSTS_Mortar[#All],2),"/")</f>
        <v>/</v>
      </c>
      <c r="G86" s="94" t="str">
        <f>IF(E86&lt;&gt;"/",VLOOKUP(E86,COSTS_Mortar[#All],3),"/")</f>
        <v>/</v>
      </c>
      <c r="H86" s="517">
        <f t="shared" si="59"/>
        <v>0</v>
      </c>
      <c r="I86" s="522">
        <f t="shared" si="60"/>
        <v>0</v>
      </c>
      <c r="J86" s="520" t="s">
        <v>30</v>
      </c>
      <c r="K86" s="351" t="s">
        <v>29</v>
      </c>
      <c r="L86" s="460"/>
      <c r="M86" s="216" t="s">
        <v>29</v>
      </c>
      <c r="N86" s="217" t="s">
        <v>30</v>
      </c>
      <c r="O86" s="532" t="s">
        <v>258</v>
      </c>
      <c r="P86" s="532" t="s">
        <v>259</v>
      </c>
      <c r="Q86" s="532" t="s">
        <v>232</v>
      </c>
      <c r="R86" s="533" t="s">
        <v>233</v>
      </c>
      <c r="S86" s="927">
        <v>5</v>
      </c>
      <c r="T86" s="928" t="str">
        <f>IF(Paramètres!T10=0,"",Paramètres!T10)</f>
        <v/>
      </c>
      <c r="U86" s="781">
        <f t="shared" si="53"/>
        <v>0</v>
      </c>
      <c r="V86" s="574" t="str">
        <f t="shared" si="54"/>
        <v>/</v>
      </c>
      <c r="W86" s="107" t="str">
        <f>IF(Y$80="Error","Error",IF(AND($W$80&lt;&gt;"/",$W$80&gt;'Paramètres - Admin'!$A6),'Paramètres - Admin'!$A7,"/"))</f>
        <v>/</v>
      </c>
      <c r="X86" s="517" t="str">
        <f>IF(W86&lt;&gt;"/",VLOOKUP(W86,COSTS_Air_Sweeper[#All],2),"/")</f>
        <v>/</v>
      </c>
      <c r="Y86" s="94" t="str">
        <f>IF(W86&lt;&gt;"/",VLOOKUP(W86,COSTS_Air_Sweeper[#All],3),"/")</f>
        <v>/</v>
      </c>
      <c r="Z86" s="517">
        <f t="shared" si="55"/>
        <v>0</v>
      </c>
      <c r="AA86" s="522">
        <f t="shared" si="56"/>
        <v>0</v>
      </c>
    </row>
    <row r="87" spans="1:27" ht="15" customHeight="1" thickBot="1" x14ac:dyDescent="0.3">
      <c r="A87" s="927">
        <v>3</v>
      </c>
      <c r="B87" s="928" t="str">
        <f>IF(Paramètres!Q8=0,"",Paramètres!Q8)</f>
        <v/>
      </c>
      <c r="C87" s="781">
        <f t="shared" si="57"/>
        <v>0</v>
      </c>
      <c r="D87" s="574" t="str">
        <f t="shared" si="58"/>
        <v>/</v>
      </c>
      <c r="E87" s="107" t="str">
        <f>IF(G$83="Error","Error",IF(AND($E$83&lt;&gt;"/",$E$83&gt;'Paramètres - Admin'!$A4),'Paramètres - Admin'!$A5,"/"))</f>
        <v>/</v>
      </c>
      <c r="F87" s="517" t="str">
        <f>IF(E87&lt;&gt;"/",VLOOKUP(E87,COSTS_Mortar[#All],2),"/")</f>
        <v>/</v>
      </c>
      <c r="G87" s="94" t="str">
        <f>IF(E87&lt;&gt;"/",VLOOKUP(E87,COSTS_Mortar[#All],3),"/")</f>
        <v>/</v>
      </c>
      <c r="H87" s="517">
        <f t="shared" si="59"/>
        <v>0</v>
      </c>
      <c r="I87" s="522">
        <f t="shared" si="60"/>
        <v>0</v>
      </c>
      <c r="J87" s="512">
        <v>1</v>
      </c>
      <c r="K87" s="926" t="str">
        <f>IF(Paramètres!S6=0,"",Paramètres!S6)</f>
        <v/>
      </c>
      <c r="L87" s="586">
        <f t="shared" ref="L87:L95" si="61">IF(L86&lt;&gt;0,L86+IF(AND(K86&lt;&gt;"",J86&lt;N$85),K86,0),IF(AND(K86&lt;&gt;"",J86&lt;N$85),K86,0))</f>
        <v>0</v>
      </c>
      <c r="M87" s="573" t="str">
        <f t="shared" ref="M87:M95" si="62">IF(N87&lt;&gt;"/",IF(P$85="Error","Error",$Q$85+L87),"/")</f>
        <v>/</v>
      </c>
      <c r="N87" s="457" t="str">
        <f>IF(P$85="Error","Error",IF(AND($N$85&lt;&gt;"/",$N$85&gt;'Paramètres - Admin'!$A2),'Paramètres - Admin'!$A3,"/"))</f>
        <v>/</v>
      </c>
      <c r="O87" s="86" t="str">
        <f>IF(N87&lt;&gt;"/",VLOOKUP(N87,COSTS_Wizard_Tower[#All],2),"/")</f>
        <v>/</v>
      </c>
      <c r="P87" s="458" t="str">
        <f>IF(N87&lt;&gt;"/",VLOOKUP(N87,COSTS_Wizard_Tower[#All],3),"/")</f>
        <v>/</v>
      </c>
      <c r="Q87" s="86">
        <f t="shared" ref="Q87:Q95" si="63">IF(P$85="Error","Error",IF(O87&lt;&gt;"/",M87*O87,0))</f>
        <v>0</v>
      </c>
      <c r="R87" s="459">
        <f t="shared" ref="R87:R95" si="64">IF(P$85="Error","Error",IF(P87&lt;&gt;"/",M87*P87,0))</f>
        <v>0</v>
      </c>
      <c r="S87" s="929">
        <v>6</v>
      </c>
      <c r="T87" s="930" t="str">
        <f>IF(Paramètres!T11=0,"",Paramètres!T11)</f>
        <v/>
      </c>
      <c r="U87" s="782">
        <f t="shared" si="53"/>
        <v>0</v>
      </c>
      <c r="V87" s="575" t="str">
        <f t="shared" si="54"/>
        <v>/</v>
      </c>
      <c r="W87" s="113" t="str">
        <f>IF(Y$80="Error","Error",IF(AND($W$80&lt;&gt;"/",$W$80&gt;'Paramètres - Admin'!$A7),'Paramètres - Admin'!$A8,"/"))</f>
        <v>/</v>
      </c>
      <c r="X87" s="115" t="str">
        <f>IF(W87&lt;&gt;"/",VLOOKUP(W87,COSTS_Air_Sweeper[#All],2),"/")</f>
        <v>/</v>
      </c>
      <c r="Y87" s="112" t="str">
        <f>IF(W87&lt;&gt;"/",VLOOKUP(W87,COSTS_Air_Sweeper[#All],3),"/")</f>
        <v>/</v>
      </c>
      <c r="Z87" s="115">
        <f t="shared" si="55"/>
        <v>0</v>
      </c>
      <c r="AA87" s="114">
        <f t="shared" si="56"/>
        <v>0</v>
      </c>
    </row>
    <row r="88" spans="1:27" ht="15" customHeight="1" thickBot="1" x14ac:dyDescent="0.3">
      <c r="A88" s="927">
        <v>4</v>
      </c>
      <c r="B88" s="928" t="str">
        <f>IF(Paramètres!Q9=0,"",Paramètres!Q9)</f>
        <v/>
      </c>
      <c r="C88" s="781">
        <f t="shared" si="57"/>
        <v>0</v>
      </c>
      <c r="D88" s="574" t="str">
        <f t="shared" si="58"/>
        <v>/</v>
      </c>
      <c r="E88" s="107" t="str">
        <f>IF(G$83="Error","Error",IF(AND($E$83&lt;&gt;"/",$E$83&gt;'Paramètres - Admin'!$A5),'Paramètres - Admin'!$A6,"/"))</f>
        <v>/</v>
      </c>
      <c r="F88" s="517" t="str">
        <f>IF(E88&lt;&gt;"/",VLOOKUP(E88,COSTS_Mortar[#All],2),"/")</f>
        <v>/</v>
      </c>
      <c r="G88" s="94" t="str">
        <f>IF(E88&lt;&gt;"/",VLOOKUP(E88,COSTS_Mortar[#All],3),"/")</f>
        <v>/</v>
      </c>
      <c r="H88" s="517">
        <f t="shared" si="59"/>
        <v>0</v>
      </c>
      <c r="I88" s="522">
        <f t="shared" si="60"/>
        <v>0</v>
      </c>
      <c r="J88" s="927">
        <v>2</v>
      </c>
      <c r="K88" s="928" t="str">
        <f>IF(Paramètres!S7=0,"",Paramètres!S7)</f>
        <v/>
      </c>
      <c r="L88" s="781">
        <f t="shared" si="61"/>
        <v>0</v>
      </c>
      <c r="M88" s="574" t="str">
        <f t="shared" si="62"/>
        <v>/</v>
      </c>
      <c r="N88" s="107" t="str">
        <f>IF(P$85="Error","Error",IF(AND($N$85&lt;&gt;"/",$N$85&gt;'Paramètres - Admin'!$A3),'Paramètres - Admin'!$A4,"/"))</f>
        <v>/</v>
      </c>
      <c r="O88" s="517" t="str">
        <f>IF(N88&lt;&gt;"/",VLOOKUP(N88,COSTS_Wizard_Tower[#All],2),"/")</f>
        <v>/</v>
      </c>
      <c r="P88" s="94" t="str">
        <f>IF(N88&lt;&gt;"/",VLOOKUP(N88,COSTS_Wizard_Tower[#All],3),"/")</f>
        <v>/</v>
      </c>
      <c r="Q88" s="517">
        <f t="shared" si="63"/>
        <v>0</v>
      </c>
      <c r="R88" s="522">
        <f t="shared" si="64"/>
        <v>0</v>
      </c>
      <c r="S88" s="133"/>
      <c r="T88" s="133"/>
      <c r="U88" s="133"/>
      <c r="V88" s="133"/>
      <c r="W88" s="133"/>
      <c r="X88" s="133"/>
      <c r="Y88" s="511" t="s">
        <v>31</v>
      </c>
      <c r="Z88" s="223">
        <f>IF(Y$80="Error","Error",SUM(Z82:Z87))</f>
        <v>0</v>
      </c>
      <c r="AA88" s="534">
        <f>IF(Y$80="Error","Error",SUM(AA82:AA87))</f>
        <v>0</v>
      </c>
    </row>
    <row r="89" spans="1:27" ht="15" customHeight="1" x14ac:dyDescent="0.25">
      <c r="A89" s="927">
        <v>5</v>
      </c>
      <c r="B89" s="928" t="str">
        <f>IF(Paramètres!Q10=0,"",Paramètres!Q10)</f>
        <v/>
      </c>
      <c r="C89" s="781">
        <f t="shared" si="57"/>
        <v>0</v>
      </c>
      <c r="D89" s="574" t="str">
        <f t="shared" si="58"/>
        <v>/</v>
      </c>
      <c r="E89" s="107" t="str">
        <f>IF(G$83="Error","Error",IF(AND($E$83&lt;&gt;"/",$E$83&gt;'Paramètres - Admin'!$A6),'Paramètres - Admin'!$A7,"/"))</f>
        <v>/</v>
      </c>
      <c r="F89" s="517" t="str">
        <f>IF(E89&lt;&gt;"/",VLOOKUP(E89,COSTS_Mortar[#All],2),"/")</f>
        <v>/</v>
      </c>
      <c r="G89" s="94" t="str">
        <f>IF(E89&lt;&gt;"/",VLOOKUP(E89,COSTS_Mortar[#All],3),"/")</f>
        <v>/</v>
      </c>
      <c r="H89" s="517">
        <f t="shared" si="59"/>
        <v>0</v>
      </c>
      <c r="I89" s="522">
        <f t="shared" si="60"/>
        <v>0</v>
      </c>
      <c r="J89" s="927">
        <v>3</v>
      </c>
      <c r="K89" s="928" t="str">
        <f>IF(Paramètres!S8=0,"",Paramètres!S8)</f>
        <v/>
      </c>
      <c r="L89" s="781">
        <f t="shared" si="61"/>
        <v>0</v>
      </c>
      <c r="M89" s="574" t="str">
        <f t="shared" si="62"/>
        <v>/</v>
      </c>
      <c r="N89" s="107" t="str">
        <f>IF(P$85="Error","Error",IF(AND($N$85&lt;&gt;"/",$N$85&gt;'Paramètres - Admin'!$A4),'Paramètres - Admin'!$A5,"/"))</f>
        <v>/</v>
      </c>
      <c r="O89" s="517" t="str">
        <f>IF(N89&lt;&gt;"/",VLOOKUP(N89,COSTS_Wizard_Tower[#All],2),"/")</f>
        <v>/</v>
      </c>
      <c r="P89" s="94" t="str">
        <f>IF(N89&lt;&gt;"/",VLOOKUP(N89,COSTS_Wizard_Tower[#All],3),"/")</f>
        <v>/</v>
      </c>
      <c r="Q89" s="517">
        <f t="shared" si="63"/>
        <v>0</v>
      </c>
      <c r="R89" s="522">
        <f t="shared" si="64"/>
        <v>0</v>
      </c>
      <c r="S89" s="1119" t="s">
        <v>200</v>
      </c>
      <c r="T89" s="1120"/>
      <c r="U89" s="1121"/>
      <c r="V89" s="80" t="s">
        <v>38</v>
      </c>
      <c r="W89" s="81" t="s">
        <v>39</v>
      </c>
      <c r="X89" s="214"/>
      <c r="Y89" s="512" t="s">
        <v>256</v>
      </c>
      <c r="Z89" s="514" t="s">
        <v>361</v>
      </c>
      <c r="AA89" s="513" t="s">
        <v>257</v>
      </c>
    </row>
    <row r="90" spans="1:27" ht="15" customHeight="1" thickBot="1" x14ac:dyDescent="0.3">
      <c r="A90" s="927">
        <v>6</v>
      </c>
      <c r="B90" s="928" t="str">
        <f>IF(Paramètres!Q11=0,"",Paramètres!Q11)</f>
        <v/>
      </c>
      <c r="C90" s="781">
        <f t="shared" si="57"/>
        <v>0</v>
      </c>
      <c r="D90" s="574" t="str">
        <f t="shared" si="58"/>
        <v>/</v>
      </c>
      <c r="E90" s="107" t="str">
        <f>IF(G$83="Error","Error",IF(AND($E$83&lt;&gt;"/",$E$83&gt;'Paramètres - Admin'!$A7),'Paramètres - Admin'!$A8,"/"))</f>
        <v>/</v>
      </c>
      <c r="F90" s="517" t="str">
        <f>IF(E90&lt;&gt;"/",VLOOKUP(E90,COSTS_Mortar[#All],2),"/")</f>
        <v>/</v>
      </c>
      <c r="G90" s="94" t="str">
        <f>IF(E90&lt;&gt;"/",VLOOKUP(E90,COSTS_Mortar[#All],3),"/")</f>
        <v>/</v>
      </c>
      <c r="H90" s="517">
        <f t="shared" si="59"/>
        <v>0</v>
      </c>
      <c r="I90" s="522">
        <f t="shared" si="60"/>
        <v>0</v>
      </c>
      <c r="J90" s="927">
        <v>4</v>
      </c>
      <c r="K90" s="928" t="str">
        <f>IF(Paramètres!S9=0,"",Paramètres!S9)</f>
        <v/>
      </c>
      <c r="L90" s="781">
        <f t="shared" si="61"/>
        <v>0</v>
      </c>
      <c r="M90" s="574" t="str">
        <f t="shared" si="62"/>
        <v>/</v>
      </c>
      <c r="N90" s="107" t="str">
        <f>IF(P$85="Error","Error",IF(AND($N$85&lt;&gt;"/",$N$85&gt;'Paramètres - Admin'!$A5),'Paramètres - Admin'!$A6,"/"))</f>
        <v>/</v>
      </c>
      <c r="O90" s="517" t="str">
        <f>IF(N90&lt;&gt;"/",VLOOKUP(N90,COSTS_Wizard_Tower[#All],2),"/")</f>
        <v>/</v>
      </c>
      <c r="P90" s="94" t="str">
        <f>IF(N90&lt;&gt;"/",VLOOKUP(N90,COSTS_Wizard_Tower[#All],3),"/")</f>
        <v>/</v>
      </c>
      <c r="Q90" s="517">
        <f t="shared" si="63"/>
        <v>0</v>
      </c>
      <c r="R90" s="522">
        <f t="shared" si="64"/>
        <v>0</v>
      </c>
      <c r="S90" s="1122"/>
      <c r="T90" s="1123"/>
      <c r="U90" s="1124"/>
      <c r="V90" s="88">
        <f>VLOOKUP($A$2,AVAILABLE_Buildings_Defensive[#All],MATCH(S89,AVAILABLE_Buildings_Defensive[#Headers],0))</f>
        <v>0</v>
      </c>
      <c r="W90" s="89">
        <f>VLOOKUP($A$2,AVAILABLE_Buildings_Defensive[#All],MATCH(S89,AVAILABLE_Buildings_Defensive[#Headers],0)+1)</f>
        <v>0</v>
      </c>
      <c r="X90" s="215"/>
      <c r="Y90" s="96">
        <f>IF(SUM(T92:T95)&gt;V90,"Error",SUM(T92:T95))</f>
        <v>0</v>
      </c>
      <c r="Z90" s="97">
        <f>IF(Y$90="Error","Error",V90-Y90)</f>
        <v>0</v>
      </c>
      <c r="AA90" s="202">
        <f>IF(Y$90="Error","Error",SUM(V92:V95))</f>
        <v>0</v>
      </c>
    </row>
    <row r="91" spans="1:27" ht="15" customHeight="1" thickBot="1" x14ac:dyDescent="0.3">
      <c r="A91" s="927">
        <v>7</v>
      </c>
      <c r="B91" s="928" t="str">
        <f>IF(Paramètres!Q12=0,"",Paramètres!Q12)</f>
        <v/>
      </c>
      <c r="C91" s="781">
        <f t="shared" si="57"/>
        <v>0</v>
      </c>
      <c r="D91" s="574" t="str">
        <f t="shared" si="58"/>
        <v>/</v>
      </c>
      <c r="E91" s="107" t="str">
        <f>IF(G$83="Error","Error",IF(AND($E$83&lt;&gt;"/",$E$83&gt;'Paramètres - Admin'!$A8),'Paramètres - Admin'!$A9,"/"))</f>
        <v>/</v>
      </c>
      <c r="F91" s="517" t="str">
        <f>IF(E91&lt;&gt;"/",VLOOKUP(E91,COSTS_Mortar[#All],2),"/")</f>
        <v>/</v>
      </c>
      <c r="G91" s="94" t="str">
        <f>IF(E91&lt;&gt;"/",VLOOKUP(E91,COSTS_Mortar[#All],3),"/")</f>
        <v>/</v>
      </c>
      <c r="H91" s="517">
        <f t="shared" si="59"/>
        <v>0</v>
      </c>
      <c r="I91" s="522">
        <f t="shared" si="60"/>
        <v>0</v>
      </c>
      <c r="J91" s="927">
        <v>5</v>
      </c>
      <c r="K91" s="928" t="str">
        <f>IF(Paramètres!S10=0,"",Paramètres!S10)</f>
        <v/>
      </c>
      <c r="L91" s="781">
        <f t="shared" si="61"/>
        <v>0</v>
      </c>
      <c r="M91" s="574" t="str">
        <f t="shared" si="62"/>
        <v>/</v>
      </c>
      <c r="N91" s="107" t="str">
        <f>IF(P$85="Error","Error",IF(AND($N$85&lt;&gt;"/",$N$85&gt;'Paramètres - Admin'!$A6),'Paramètres - Admin'!$A7,"/"))</f>
        <v>/</v>
      </c>
      <c r="O91" s="517" t="str">
        <f>IF(N91&lt;&gt;"/",VLOOKUP(N91,COSTS_Wizard_Tower[#All],2),"/")</f>
        <v>/</v>
      </c>
      <c r="P91" s="94" t="str">
        <f>IF(N91&lt;&gt;"/",VLOOKUP(N91,COSTS_Wizard_Tower[#All],3),"/")</f>
        <v>/</v>
      </c>
      <c r="Q91" s="517">
        <f t="shared" si="63"/>
        <v>0</v>
      </c>
      <c r="R91" s="522">
        <f t="shared" si="64"/>
        <v>0</v>
      </c>
      <c r="S91" s="520" t="s">
        <v>30</v>
      </c>
      <c r="T91" s="351" t="s">
        <v>29</v>
      </c>
      <c r="U91" s="460"/>
      <c r="V91" s="216" t="s">
        <v>29</v>
      </c>
      <c r="W91" s="217" t="s">
        <v>30</v>
      </c>
      <c r="X91" s="532" t="s">
        <v>258</v>
      </c>
      <c r="Y91" s="532" t="s">
        <v>259</v>
      </c>
      <c r="Z91" s="532" t="s">
        <v>232</v>
      </c>
      <c r="AA91" s="533" t="s">
        <v>233</v>
      </c>
    </row>
    <row r="92" spans="1:27" ht="15" customHeight="1" x14ac:dyDescent="0.25">
      <c r="A92" s="927">
        <v>8</v>
      </c>
      <c r="B92" s="928" t="str">
        <f>IF(Paramètres!Q13=0,"",Paramètres!Q13)</f>
        <v/>
      </c>
      <c r="C92" s="781">
        <f t="shared" si="57"/>
        <v>0</v>
      </c>
      <c r="D92" s="574" t="str">
        <f t="shared" si="58"/>
        <v>/</v>
      </c>
      <c r="E92" s="107" t="str">
        <f>IF(G$83="Error","Error",IF(AND($E$83&lt;&gt;"/",$E$83&gt;'Paramètres - Admin'!$A9),'Paramètres - Admin'!$A10,"/"))</f>
        <v>/</v>
      </c>
      <c r="F92" s="517" t="str">
        <f>IF(E92&lt;&gt;"/",VLOOKUP(E92,COSTS_Mortar[#All],2),"/")</f>
        <v>/</v>
      </c>
      <c r="G92" s="94" t="str">
        <f>IF(E92&lt;&gt;"/",VLOOKUP(E92,COSTS_Mortar[#All],3),"/")</f>
        <v>/</v>
      </c>
      <c r="H92" s="517">
        <f t="shared" si="59"/>
        <v>0</v>
      </c>
      <c r="I92" s="522">
        <f t="shared" si="60"/>
        <v>0</v>
      </c>
      <c r="J92" s="927">
        <v>6</v>
      </c>
      <c r="K92" s="928" t="str">
        <f>IF(Paramètres!S11=0,"",Paramètres!S11)</f>
        <v/>
      </c>
      <c r="L92" s="781">
        <f t="shared" si="61"/>
        <v>0</v>
      </c>
      <c r="M92" s="574" t="str">
        <f t="shared" si="62"/>
        <v>/</v>
      </c>
      <c r="N92" s="107" t="str">
        <f>IF(P$85="Error","Error",IF(AND($N$85&lt;&gt;"/",$N$85&gt;'Paramètres - Admin'!$A7),'Paramètres - Admin'!$A8,"/"))</f>
        <v>/</v>
      </c>
      <c r="O92" s="517" t="str">
        <f>IF(N92&lt;&gt;"/",VLOOKUP(N92,COSTS_Wizard_Tower[#All],2),"/")</f>
        <v>/</v>
      </c>
      <c r="P92" s="94" t="str">
        <f>IF(N92&lt;&gt;"/",VLOOKUP(N92,COSTS_Wizard_Tower[#All],3),"/")</f>
        <v>/</v>
      </c>
      <c r="Q92" s="517">
        <f t="shared" si="63"/>
        <v>0</v>
      </c>
      <c r="R92" s="522">
        <f t="shared" si="64"/>
        <v>0</v>
      </c>
      <c r="S92" s="512">
        <v>1</v>
      </c>
      <c r="T92" s="926" t="str">
        <f>IF(Paramètres!V6=0,"",Paramètres!V6)</f>
        <v/>
      </c>
      <c r="U92" s="586">
        <f>IF(U91&lt;&gt;0,U91+IF(AND(T91&lt;&gt;"",S91&lt;W$90),T91,0),IF(AND(T91&lt;&gt;"",S91&lt;W$90),T91,0))</f>
        <v>0</v>
      </c>
      <c r="V92" s="573" t="str">
        <f>IF(W92&lt;&gt;"/",IF(Y$90="Error","Error",$Z$90+U92),"/")</f>
        <v>/</v>
      </c>
      <c r="W92" s="457" t="str">
        <f>IF(Y$90="Error","Error",IF(AND($W$90&lt;&gt;"/",$W$90&gt;'Paramètres - Admin'!$A2),'Paramètres - Admin'!$A3,"/"))</f>
        <v>/</v>
      </c>
      <c r="X92" s="86" t="str">
        <f>IF(W92&lt;&gt;"/",VLOOKUP(W92,COSTS_XBow[#All],2),"/")</f>
        <v>/</v>
      </c>
      <c r="Y92" s="458" t="str">
        <f>IF(W92&lt;&gt;"/",VLOOKUP(W92,COSTS_XBow[#All],3),"/")</f>
        <v>/</v>
      </c>
      <c r="Z92" s="86">
        <f>IF(Y$90="Error","Error",IF(X92&lt;&gt;"/",V92*X92,0))</f>
        <v>0</v>
      </c>
      <c r="AA92" s="459">
        <f>IF(Y$90="Error","Error",IF(Y92&lt;&gt;"/",V92*Y92,0))</f>
        <v>0</v>
      </c>
    </row>
    <row r="93" spans="1:27" ht="15" customHeight="1" thickBot="1" x14ac:dyDescent="0.3">
      <c r="A93" s="929">
        <v>9</v>
      </c>
      <c r="B93" s="930" t="str">
        <f>IF(Paramètres!Q14=0,"",Paramètres!Q14)</f>
        <v/>
      </c>
      <c r="C93" s="782">
        <f t="shared" si="57"/>
        <v>0</v>
      </c>
      <c r="D93" s="575" t="str">
        <f t="shared" si="58"/>
        <v>/</v>
      </c>
      <c r="E93" s="113" t="str">
        <f>IF(G$83="Error","Error",IF(AND($E$83&lt;&gt;"/",$E$83&gt;'Paramètres - Admin'!$A10),'Paramètres - Admin'!$A11,"/"))</f>
        <v>/</v>
      </c>
      <c r="F93" s="115" t="str">
        <f>IF(E93&lt;&gt;"/",VLOOKUP(E93,COSTS_Mortar[#All],2),"/")</f>
        <v>/</v>
      </c>
      <c r="G93" s="112" t="str">
        <f>IF(E93&lt;&gt;"/",VLOOKUP(E93,COSTS_Mortar[#All],3),"/")</f>
        <v>/</v>
      </c>
      <c r="H93" s="115">
        <f t="shared" si="59"/>
        <v>0</v>
      </c>
      <c r="I93" s="114">
        <f t="shared" si="60"/>
        <v>0</v>
      </c>
      <c r="J93" s="927">
        <v>7</v>
      </c>
      <c r="K93" s="928" t="str">
        <f>IF(Paramètres!S12=0,"",Paramètres!S12)</f>
        <v/>
      </c>
      <c r="L93" s="781">
        <f t="shared" si="61"/>
        <v>0</v>
      </c>
      <c r="M93" s="574" t="str">
        <f t="shared" si="62"/>
        <v>/</v>
      </c>
      <c r="N93" s="107" t="str">
        <f>IF(P$85="Error","Error",IF(AND($N$85&lt;&gt;"/",$N$85&gt;'Paramètres - Admin'!$A8),'Paramètres - Admin'!$A9,"/"))</f>
        <v>/</v>
      </c>
      <c r="O93" s="517" t="str">
        <f>IF(N93&lt;&gt;"/",VLOOKUP(N93,COSTS_Wizard_Tower[#All],2),"/")</f>
        <v>/</v>
      </c>
      <c r="P93" s="94" t="str">
        <f>IF(N93&lt;&gt;"/",VLOOKUP(N93,COSTS_Wizard_Tower[#All],3),"/")</f>
        <v>/</v>
      </c>
      <c r="Q93" s="517">
        <f t="shared" si="63"/>
        <v>0</v>
      </c>
      <c r="R93" s="522">
        <f t="shared" si="64"/>
        <v>0</v>
      </c>
      <c r="S93" s="927">
        <v>2</v>
      </c>
      <c r="T93" s="928" t="str">
        <f>IF(Paramètres!V7=0,"",Paramètres!V7)</f>
        <v/>
      </c>
      <c r="U93" s="781">
        <f>IF(U92&lt;&gt;0,U92+IF(AND(T92&lt;&gt;"",S92&lt;W$90),T92,0),IF(AND(T92&lt;&gt;"",S92&lt;W$90),T92,0))</f>
        <v>0</v>
      </c>
      <c r="V93" s="574" t="str">
        <f>IF(W93&lt;&gt;"/",IF(Y$90="Error","Error",$Z$90+U93),"/")</f>
        <v>/</v>
      </c>
      <c r="W93" s="107" t="str">
        <f>IF(Y$90="Error","Error",IF(AND($W$90&lt;&gt;"/",$W$90&gt;'Paramètres - Admin'!$A3),'Paramètres - Admin'!$A4,"/"))</f>
        <v>/</v>
      </c>
      <c r="X93" s="517" t="str">
        <f>IF(W93&lt;&gt;"/",VLOOKUP(W93,COSTS_XBow[#All],2),"/")</f>
        <v>/</v>
      </c>
      <c r="Y93" s="94" t="str">
        <f>IF(W93&lt;&gt;"/",VLOOKUP(W93,COSTS_XBow[#All],3),"/")</f>
        <v>/</v>
      </c>
      <c r="Z93" s="517">
        <f>IF(Y$90="Error","Error",IF(X93&lt;&gt;"/",V93*X93,0))</f>
        <v>0</v>
      </c>
      <c r="AA93" s="522">
        <f>IF(Y$90="Error","Error",IF(Y93&lt;&gt;"/",V93*Y93,0))</f>
        <v>0</v>
      </c>
    </row>
    <row r="94" spans="1:27" ht="15" customHeight="1" thickBot="1" x14ac:dyDescent="0.3">
      <c r="A94" s="910"/>
      <c r="B94" s="911"/>
      <c r="C94" s="911"/>
      <c r="D94" s="911"/>
      <c r="E94" s="911"/>
      <c r="F94" s="912"/>
      <c r="G94" s="511" t="s">
        <v>31</v>
      </c>
      <c r="H94" s="223">
        <f>IF(G$83="Error","Error",SUM(H85:H93))</f>
        <v>0</v>
      </c>
      <c r="I94" s="534">
        <f>IF(G$83="Error","Error",SUM(I85:I93))</f>
        <v>0</v>
      </c>
      <c r="J94" s="927">
        <v>8</v>
      </c>
      <c r="K94" s="928" t="str">
        <f>IF(Paramètres!S13=0,"",Paramètres!S13)</f>
        <v/>
      </c>
      <c r="L94" s="781">
        <f t="shared" si="61"/>
        <v>0</v>
      </c>
      <c r="M94" s="574" t="str">
        <f t="shared" si="62"/>
        <v>/</v>
      </c>
      <c r="N94" s="107" t="str">
        <f>IF(P$85="Error","Error",IF(AND($N$85&lt;&gt;"/",$N$85&gt;'Paramètres - Admin'!$A9),'Paramètres - Admin'!$A10,"/"))</f>
        <v>/</v>
      </c>
      <c r="O94" s="517" t="str">
        <f>IF(N94&lt;&gt;"/",VLOOKUP(N94,COSTS_Wizard_Tower[#All],2),"/")</f>
        <v>/</v>
      </c>
      <c r="P94" s="94" t="str">
        <f>IF(N94&lt;&gt;"/",VLOOKUP(N94,COSTS_Wizard_Tower[#All],3),"/")</f>
        <v>/</v>
      </c>
      <c r="Q94" s="517">
        <f t="shared" si="63"/>
        <v>0</v>
      </c>
      <c r="R94" s="522">
        <f t="shared" si="64"/>
        <v>0</v>
      </c>
      <c r="S94" s="927">
        <v>3</v>
      </c>
      <c r="T94" s="928" t="str">
        <f>IF(Paramètres!V8=0,"",Paramètres!V8)</f>
        <v/>
      </c>
      <c r="U94" s="781">
        <f>IF(U93&lt;&gt;0,U93+IF(AND(T93&lt;&gt;"",S93&lt;W$90),T93,0),IF(AND(T93&lt;&gt;"",S93&lt;W$90),T93,0))</f>
        <v>0</v>
      </c>
      <c r="V94" s="574" t="str">
        <f>IF(W94&lt;&gt;"/",IF(Y$90="Error","Error",$Z$90+U94),"/")</f>
        <v>/</v>
      </c>
      <c r="W94" s="107" t="str">
        <f>IF(Y$90="Error","Error",IF(AND($W$90&lt;&gt;"/",$W$90&gt;'Paramètres - Admin'!$A4),'Paramètres - Admin'!$A5,"/"))</f>
        <v>/</v>
      </c>
      <c r="X94" s="517" t="str">
        <f>IF(W94&lt;&gt;"/",VLOOKUP(W94,COSTS_XBow[#All],2),"/")</f>
        <v>/</v>
      </c>
      <c r="Y94" s="94" t="str">
        <f>IF(W94&lt;&gt;"/",VLOOKUP(W94,COSTS_XBow[#All],3),"/")</f>
        <v>/</v>
      </c>
      <c r="Z94" s="517">
        <f>IF(Y$90="Error","Error",IF(X94&lt;&gt;"/",V94*X94,0))</f>
        <v>0</v>
      </c>
      <c r="AA94" s="522">
        <f>IF(Y$90="Error","Error",IF(Y94&lt;&gt;"/",V94*Y94,0))</f>
        <v>0</v>
      </c>
    </row>
    <row r="95" spans="1:27" ht="15" customHeight="1" thickBot="1" x14ac:dyDescent="0.3">
      <c r="A95" s="1119" t="s">
        <v>205</v>
      </c>
      <c r="B95" s="1120"/>
      <c r="C95" s="1121"/>
      <c r="D95" s="80" t="s">
        <v>38</v>
      </c>
      <c r="E95" s="81" t="s">
        <v>39</v>
      </c>
      <c r="F95" s="214"/>
      <c r="G95" s="512" t="s">
        <v>256</v>
      </c>
      <c r="H95" s="514" t="s">
        <v>361</v>
      </c>
      <c r="I95" s="513" t="s">
        <v>257</v>
      </c>
      <c r="J95" s="929">
        <v>9</v>
      </c>
      <c r="K95" s="930" t="str">
        <f>IF(Paramètres!S14=0,"",Paramètres!S14)</f>
        <v/>
      </c>
      <c r="L95" s="782">
        <f t="shared" si="61"/>
        <v>0</v>
      </c>
      <c r="M95" s="575" t="str">
        <f t="shared" si="62"/>
        <v>/</v>
      </c>
      <c r="N95" s="113" t="str">
        <f>IF(P$85="Error","Error",IF(AND($N$85&lt;&gt;"/",$N$85&gt;'Paramètres - Admin'!$A10),'Paramètres - Admin'!$A11,"/"))</f>
        <v>/</v>
      </c>
      <c r="O95" s="115" t="str">
        <f>IF(N95&lt;&gt;"/",VLOOKUP(N95,COSTS_Wizard_Tower[#All],2),"/")</f>
        <v>/</v>
      </c>
      <c r="P95" s="112" t="str">
        <f>IF(N95&lt;&gt;"/",VLOOKUP(N95,COSTS_Wizard_Tower[#All],3),"/")</f>
        <v>/</v>
      </c>
      <c r="Q95" s="115">
        <f t="shared" si="63"/>
        <v>0</v>
      </c>
      <c r="R95" s="114">
        <f t="shared" si="64"/>
        <v>0</v>
      </c>
      <c r="S95" s="929">
        <v>4</v>
      </c>
      <c r="T95" s="930" t="str">
        <f>IF(Paramètres!V9=0,"",Paramètres!V9)</f>
        <v/>
      </c>
      <c r="U95" s="782">
        <f>IF(U94&lt;&gt;0,U94+IF(AND(T94&lt;&gt;"",S94&lt;W$90),T94,0),IF(AND(T94&lt;&gt;"",S94&lt;W$90),T94,0))</f>
        <v>0</v>
      </c>
      <c r="V95" s="575" t="str">
        <f>IF(W95&lt;&gt;"/",IF(Y$90="Error","Error",$Z$90+U95),"/")</f>
        <v>/</v>
      </c>
      <c r="W95" s="113" t="str">
        <f>IF(Y$90="Error","Error",IF(AND($W$90&lt;&gt;"/",$W$90&gt;'Paramètres - Admin'!$A5),'Paramètres - Admin'!$A6,"/"))</f>
        <v>/</v>
      </c>
      <c r="X95" s="115" t="str">
        <f>IF(W95&lt;&gt;"/",VLOOKUP(W95,COSTS_XBow[#All],2),"/")</f>
        <v>/</v>
      </c>
      <c r="Y95" s="112" t="str">
        <f>IF(W95&lt;&gt;"/",VLOOKUP(W95,COSTS_XBow[#All],3),"/")</f>
        <v>/</v>
      </c>
      <c r="Z95" s="115">
        <f>IF(Y$90="Error","Error",IF(X95&lt;&gt;"/",V95*X95,0))</f>
        <v>0</v>
      </c>
      <c r="AA95" s="114">
        <f>IF(Y$90="Error","Error",IF(Y95&lt;&gt;"/",V95*Y95,0))</f>
        <v>0</v>
      </c>
    </row>
    <row r="96" spans="1:27" ht="15" customHeight="1" thickBot="1" x14ac:dyDescent="0.3">
      <c r="A96" s="1122"/>
      <c r="B96" s="1123"/>
      <c r="C96" s="1124"/>
      <c r="D96" s="88">
        <f>VLOOKUP($A$2,AVAILABLE_Buildings_Defensive[#All],MATCH(A95,AVAILABLE_Buildings_Defensive[#Headers],0))</f>
        <v>2</v>
      </c>
      <c r="E96" s="89">
        <f>VLOOKUP($A$2,AVAILABLE_Buildings_Defensive[#All],MATCH(A95,AVAILABLE_Buildings_Defensive[#Headers],0)+1)</f>
        <v>2</v>
      </c>
      <c r="F96" s="215"/>
      <c r="G96" s="96">
        <f>IF(SUM(B98:B110)&gt;D96,"Error",SUM(B98:B110))</f>
        <v>0</v>
      </c>
      <c r="H96" s="97">
        <f>IF(G$96="Error","Error",D96-G96)</f>
        <v>2</v>
      </c>
      <c r="I96" s="202">
        <f>IF(G$96="Error","Error",SUM(D98:D110))</f>
        <v>4</v>
      </c>
      <c r="J96" s="910"/>
      <c r="K96" s="911"/>
      <c r="L96" s="911"/>
      <c r="M96" s="911"/>
      <c r="N96" s="911"/>
      <c r="O96" s="912"/>
      <c r="P96" s="511" t="s">
        <v>31</v>
      </c>
      <c r="Q96" s="223">
        <f>IF(P$85="Error","Error",SUM(Q87:Q95))</f>
        <v>0</v>
      </c>
      <c r="R96" s="534">
        <f>IF(P$85="Error","Error",SUM(R87:R95))</f>
        <v>0</v>
      </c>
      <c r="S96" s="910"/>
      <c r="T96" s="911"/>
      <c r="U96" s="911"/>
      <c r="V96" s="911"/>
      <c r="W96" s="911"/>
      <c r="X96" s="912"/>
      <c r="Y96" s="511" t="s">
        <v>31</v>
      </c>
      <c r="Z96" s="223">
        <f>IF(Y$90="Error","Error",SUM(Z92:Z95))</f>
        <v>0</v>
      </c>
      <c r="AA96" s="534">
        <f>IF(Y$90="Error","Error",SUM(AA92:AA95))</f>
        <v>0</v>
      </c>
    </row>
    <row r="97" spans="1:27" ht="15" customHeight="1" thickBot="1" x14ac:dyDescent="0.3">
      <c r="A97" s="520" t="s">
        <v>30</v>
      </c>
      <c r="B97" s="351" t="s">
        <v>29</v>
      </c>
      <c r="C97" s="460"/>
      <c r="D97" s="216" t="s">
        <v>29</v>
      </c>
      <c r="E97" s="217" t="s">
        <v>30</v>
      </c>
      <c r="F97" s="532" t="s">
        <v>258</v>
      </c>
      <c r="G97" s="532" t="s">
        <v>259</v>
      </c>
      <c r="H97" s="532" t="s">
        <v>232</v>
      </c>
      <c r="I97" s="533" t="s">
        <v>233</v>
      </c>
      <c r="J97" s="1119" t="s">
        <v>201</v>
      </c>
      <c r="K97" s="1120"/>
      <c r="L97" s="1121"/>
      <c r="M97" s="80" t="s">
        <v>38</v>
      </c>
      <c r="N97" s="81" t="s">
        <v>39</v>
      </c>
      <c r="O97" s="214"/>
      <c r="P97" s="512" t="s">
        <v>256</v>
      </c>
      <c r="Q97" s="514" t="s">
        <v>361</v>
      </c>
      <c r="R97" s="513" t="s">
        <v>257</v>
      </c>
      <c r="S97" s="1125" t="s">
        <v>199</v>
      </c>
      <c r="T97" s="1126"/>
      <c r="U97" s="1127"/>
      <c r="V97" s="577" t="s">
        <v>38</v>
      </c>
      <c r="W97" s="578" t="s">
        <v>39</v>
      </c>
      <c r="X97" s="579"/>
      <c r="Y97" s="577" t="s">
        <v>256</v>
      </c>
      <c r="Z97" s="580" t="s">
        <v>361</v>
      </c>
      <c r="AA97" s="578" t="s">
        <v>257</v>
      </c>
    </row>
    <row r="98" spans="1:27" ht="15" customHeight="1" thickBot="1" x14ac:dyDescent="0.3">
      <c r="A98" s="512">
        <v>1</v>
      </c>
      <c r="B98" s="926" t="str">
        <f>IF(Paramètres!O6=0,"",Paramètres!O6)</f>
        <v/>
      </c>
      <c r="C98" s="586">
        <f t="shared" ref="C98:C110" si="65">IF(C97&lt;&gt;0,C97+IF(AND(B97&lt;&gt;"",A97&lt;$E$96),B97,0),IF(AND(B97&lt;&gt;"",A97&lt;$E$96),B97,0))</f>
        <v>0</v>
      </c>
      <c r="D98" s="573">
        <f t="shared" ref="D98:D110" si="66">IF(E98&lt;&gt;"/",IF(G$96="Error","Error",$H$96+C98),"/")</f>
        <v>2</v>
      </c>
      <c r="E98" s="457">
        <f>IF(G$96="Error","Error",IF(AND($E$96&lt;&gt;"/",$E$96&gt;'Paramètres - Admin'!$A2),'Paramètres - Admin'!$A3,"/"))</f>
        <v>1</v>
      </c>
      <c r="F98" s="86">
        <f>IF(E98&lt;&gt;"/",VLOOKUP(E98,COSTS_Cannon[#All],2),"/")</f>
        <v>250</v>
      </c>
      <c r="G98" s="458">
        <f>IF(E98&lt;&gt;"/",VLOOKUP(E98,COSTS_Cannon[#All],3),"/")</f>
        <v>1.6666666666666666E-2</v>
      </c>
      <c r="H98" s="86">
        <f t="shared" ref="H98:H110" si="67">IF(G$96="Error","Error",IF(F98&lt;&gt;"/",D98*F98,0))</f>
        <v>500</v>
      </c>
      <c r="I98" s="459">
        <f t="shared" ref="I98:I110" si="68">IF(G$96="Error","Error",IF(G98&lt;&gt;"/",D98*G98,0))</f>
        <v>3.3333333333333333E-2</v>
      </c>
      <c r="J98" s="1122"/>
      <c r="K98" s="1123"/>
      <c r="L98" s="1124"/>
      <c r="M98" s="88">
        <f>VLOOKUP($A$2,AVAILABLE_Buildings_Defensive[#All],MATCH(J97,AVAILABLE_Buildings_Defensive[#Headers],0))</f>
        <v>0</v>
      </c>
      <c r="N98" s="89">
        <f>VLOOKUP($A$2,AVAILABLE_Buildings_Defensive[#All],MATCH(J97,AVAILABLE_Buildings_Defensive[#Headers],0)+1)</f>
        <v>0</v>
      </c>
      <c r="O98" s="215"/>
      <c r="P98" s="96">
        <f>IF(SUM(K100:K107)&gt;M98,"Error",SUM(K100:K107))</f>
        <v>0</v>
      </c>
      <c r="Q98" s="97">
        <f>IF(P$98="Error","Error",M98-P98)</f>
        <v>0</v>
      </c>
      <c r="R98" s="202">
        <f>IF(P$98="Error","Error",SUM(M100:M107))</f>
        <v>0</v>
      </c>
      <c r="S98" s="1122"/>
      <c r="T98" s="1123"/>
      <c r="U98" s="1124"/>
      <c r="V98" s="88">
        <f>VLOOKUP($A$2,AVAILABLE_Buildings_Defensive[#All],MATCH(S97,AVAILABLE_Buildings_Defensive[#Headers],0))</f>
        <v>0</v>
      </c>
      <c r="W98" s="89">
        <f>VLOOKUP($A$2,AVAILABLE_Buildings_Defensive[#All],MATCH(S97,AVAILABLE_Buildings_Defensive[#Headers],0)+1)</f>
        <v>0</v>
      </c>
      <c r="X98" s="215"/>
      <c r="Y98" s="96">
        <f>IF(SUM(T100:T103)&gt;V98,"Error",SUM(T100:T103))</f>
        <v>0</v>
      </c>
      <c r="Z98" s="97">
        <f>IF(Y$98="Error","Error",V98-Y98)</f>
        <v>0</v>
      </c>
      <c r="AA98" s="202">
        <f>IF(Y$98="Error","Error",SUM(V100:V103))</f>
        <v>0</v>
      </c>
    </row>
    <row r="99" spans="1:27" ht="15" customHeight="1" thickBot="1" x14ac:dyDescent="0.3">
      <c r="A99" s="927">
        <v>2</v>
      </c>
      <c r="B99" s="928" t="str">
        <f>IF(Paramètres!O7=0,"",Paramètres!O7)</f>
        <v/>
      </c>
      <c r="C99" s="781">
        <f t="shared" si="65"/>
        <v>0</v>
      </c>
      <c r="D99" s="574">
        <f t="shared" si="66"/>
        <v>2</v>
      </c>
      <c r="E99" s="107">
        <f>IF(G$96="Error","Error",IF(AND($E$96&lt;&gt;"/",$E$96&gt;'Paramètres - Admin'!$A3),'Paramètres - Admin'!$A4,"/"))</f>
        <v>2</v>
      </c>
      <c r="F99" s="517">
        <f>IF(E99&lt;&gt;"/",VLOOKUP(E99,COSTS_Cannon[#All],2),"/")</f>
        <v>1000</v>
      </c>
      <c r="G99" s="94">
        <f>IF(E99&lt;&gt;"/",VLOOKUP(E99,COSTS_Cannon[#All],3),"/")</f>
        <v>0.25</v>
      </c>
      <c r="H99" s="517">
        <f t="shared" si="67"/>
        <v>2000</v>
      </c>
      <c r="I99" s="522">
        <f t="shared" si="68"/>
        <v>0.5</v>
      </c>
      <c r="J99" s="520" t="s">
        <v>30</v>
      </c>
      <c r="K99" s="351" t="s">
        <v>29</v>
      </c>
      <c r="L99" s="460"/>
      <c r="M99" s="216" t="s">
        <v>29</v>
      </c>
      <c r="N99" s="217" t="s">
        <v>30</v>
      </c>
      <c r="O99" s="532" t="s">
        <v>258</v>
      </c>
      <c r="P99" s="532" t="s">
        <v>259</v>
      </c>
      <c r="Q99" s="532" t="s">
        <v>232</v>
      </c>
      <c r="R99" s="533" t="s">
        <v>233</v>
      </c>
      <c r="S99" s="520" t="s">
        <v>30</v>
      </c>
      <c r="T99" s="351" t="s">
        <v>29</v>
      </c>
      <c r="U99" s="460"/>
      <c r="V99" s="216" t="s">
        <v>29</v>
      </c>
      <c r="W99" s="217" t="s">
        <v>30</v>
      </c>
      <c r="X99" s="532" t="s">
        <v>258</v>
      </c>
      <c r="Y99" s="532" t="s">
        <v>259</v>
      </c>
      <c r="Z99" s="532" t="s">
        <v>232</v>
      </c>
      <c r="AA99" s="533" t="s">
        <v>233</v>
      </c>
    </row>
    <row r="100" spans="1:27" ht="15" customHeight="1" thickBot="1" x14ac:dyDescent="0.3">
      <c r="A100" s="927">
        <v>3</v>
      </c>
      <c r="B100" s="928" t="str">
        <f>IF(Paramètres!O8=0,"",Paramètres!O8)</f>
        <v/>
      </c>
      <c r="C100" s="781">
        <f t="shared" si="65"/>
        <v>0</v>
      </c>
      <c r="D100" s="574" t="str">
        <f t="shared" si="66"/>
        <v>/</v>
      </c>
      <c r="E100" s="107" t="str">
        <f>IF(G$96="Error","Error",IF(AND($E$96&lt;&gt;"/",$E$96&gt;'Paramètres - Admin'!$A4),'Paramètres - Admin'!$A5,"/"))</f>
        <v>/</v>
      </c>
      <c r="F100" s="517" t="str">
        <f>IF(E100&lt;&gt;"/",VLOOKUP(E100,COSTS_Cannon[#All],2),"/")</f>
        <v>/</v>
      </c>
      <c r="G100" s="94" t="str">
        <f>IF(E100&lt;&gt;"/",VLOOKUP(E100,COSTS_Cannon[#All],3),"/")</f>
        <v>/</v>
      </c>
      <c r="H100" s="517">
        <f t="shared" si="67"/>
        <v>0</v>
      </c>
      <c r="I100" s="522">
        <f t="shared" si="68"/>
        <v>0</v>
      </c>
      <c r="J100" s="512">
        <v>1</v>
      </c>
      <c r="K100" s="926" t="str">
        <f>IF(Paramètres!U6=0,"",Paramètres!U6)</f>
        <v/>
      </c>
      <c r="L100" s="586">
        <f t="shared" ref="L100:L107" si="69">IF(L99&lt;&gt;0,L99+IF(AND(K99&lt;&gt;"",J99&lt;N$98),K99,0),IF(AND(K99&lt;&gt;"",J99&lt;N$98),K99,0))</f>
        <v>0</v>
      </c>
      <c r="M100" s="573" t="str">
        <f t="shared" ref="M100:M107" si="70">IF(N100&lt;&gt;"/",IF(P$98="Error","Error",$Q$98+L100),"/")</f>
        <v>/</v>
      </c>
      <c r="N100" s="457" t="str">
        <f>IF(P$98="Error","Error",IF(AND($N$98&lt;&gt;"/",$N$98&gt;'Paramètres - Admin'!$A2),'Paramètres - Admin'!$A3,"/"))</f>
        <v>/</v>
      </c>
      <c r="O100" s="86" t="str">
        <f>IF(N100&lt;&gt;"/",VLOOKUP(N100,COSTS_Hidden_Tesla[#All],2),"/")</f>
        <v>/</v>
      </c>
      <c r="P100" s="458" t="str">
        <f>IF(N100&lt;&gt;"/",VLOOKUP(N100,COSTS_Hidden_Tesla[#All],3),"/")</f>
        <v>/</v>
      </c>
      <c r="Q100" s="86">
        <f t="shared" ref="Q100:Q107" si="71">IF(P$98="Error","Error",IF(O100&lt;&gt;"/",M100*O100,0))</f>
        <v>0</v>
      </c>
      <c r="R100" s="459">
        <f t="shared" ref="R100:R107" si="72">IF(P$98="Error","Error",IF(P100&lt;&gt;"/",M100*P100,0))</f>
        <v>0</v>
      </c>
      <c r="S100" s="524">
        <v>1</v>
      </c>
      <c r="T100" s="926" t="str">
        <f>IF(Paramètres!W6=0,"",Paramètres!W6)</f>
        <v/>
      </c>
      <c r="U100" s="576">
        <f>IF(U99&lt;&gt;0,U99+IF(AND(T99&lt;&gt;"",S99&lt;W$98),T99,0),IF(AND(T99&lt;&gt;"",S99&lt;W$98),T99,0))</f>
        <v>0</v>
      </c>
      <c r="V100" s="573" t="str">
        <f>IF(W100&lt;&gt;"/",IF(Y$98="Error","Error",$Z$98+U100),"/")</f>
        <v>/</v>
      </c>
      <c r="W100" s="457" t="str">
        <f>IF(Y$98="Error","Error",IF(AND($W$98&lt;&gt;"/",$W$98&gt;'Paramètres - Admin'!$A2),'Paramètres - Admin'!$A3,"/"))</f>
        <v>/</v>
      </c>
      <c r="X100" s="86" t="str">
        <f>IF(W100&lt;&gt;"/",VLOOKUP(W100,COSTS_Inferno_Tower[#All],2),"/")</f>
        <v>/</v>
      </c>
      <c r="Y100" s="458" t="str">
        <f>IF(W100&lt;&gt;"/",VLOOKUP(W100,COSTS_Inferno_Tower[#All],3),"/")</f>
        <v>/</v>
      </c>
      <c r="Z100" s="86">
        <f>IF(Y$98="Error","Error",IF(X100&lt;&gt;"/",V100*X100,0))</f>
        <v>0</v>
      </c>
      <c r="AA100" s="459">
        <f>IF(Y$98="Error","Error",IF(Y100&lt;&gt;"/",V100*Y100,0))</f>
        <v>0</v>
      </c>
    </row>
    <row r="101" spans="1:27" ht="15" customHeight="1" thickBot="1" x14ac:dyDescent="0.3">
      <c r="A101" s="927">
        <v>4</v>
      </c>
      <c r="B101" s="928" t="str">
        <f>IF(Paramètres!O9=0,"",Paramètres!O9)</f>
        <v/>
      </c>
      <c r="C101" s="781">
        <f t="shared" si="65"/>
        <v>0</v>
      </c>
      <c r="D101" s="574" t="str">
        <f t="shared" si="66"/>
        <v>/</v>
      </c>
      <c r="E101" s="107" t="str">
        <f>IF(G$96="Error","Error",IF(AND($E$96&lt;&gt;"/",$E$96&gt;'Paramètres - Admin'!$A5),'Paramètres - Admin'!$A6,"/"))</f>
        <v>/</v>
      </c>
      <c r="F101" s="517" t="str">
        <f>IF(E101&lt;&gt;"/",VLOOKUP(E101,COSTS_Cannon[#All],2),"/")</f>
        <v>/</v>
      </c>
      <c r="G101" s="94" t="str">
        <f>IF(E101&lt;&gt;"/",VLOOKUP(E101,COSTS_Cannon[#All],3),"/")</f>
        <v>/</v>
      </c>
      <c r="H101" s="517">
        <f t="shared" si="67"/>
        <v>0</v>
      </c>
      <c r="I101" s="522">
        <f t="shared" si="68"/>
        <v>0</v>
      </c>
      <c r="J101" s="927">
        <v>2</v>
      </c>
      <c r="K101" s="928" t="str">
        <f>IF(Paramètres!U7=0,"",Paramètres!U7)</f>
        <v/>
      </c>
      <c r="L101" s="781">
        <f t="shared" si="69"/>
        <v>0</v>
      </c>
      <c r="M101" s="574" t="str">
        <f t="shared" si="70"/>
        <v>/</v>
      </c>
      <c r="N101" s="107" t="str">
        <f>IF(P$98="Error","Error",IF(AND($N$98&lt;&gt;"/",$N$98&gt;'Paramètres - Admin'!$A3),'Paramètres - Admin'!$A4,"/"))</f>
        <v>/</v>
      </c>
      <c r="O101" s="517" t="str">
        <f>IF(N101&lt;&gt;"/",VLOOKUP(N101,COSTS_Hidden_Tesla[#All],2),"/")</f>
        <v>/</v>
      </c>
      <c r="P101" s="94" t="str">
        <f>IF(N101&lt;&gt;"/",VLOOKUP(N101,COSTS_Hidden_Tesla[#All],3),"/")</f>
        <v>/</v>
      </c>
      <c r="Q101" s="517">
        <f t="shared" si="71"/>
        <v>0</v>
      </c>
      <c r="R101" s="522">
        <f t="shared" si="72"/>
        <v>0</v>
      </c>
      <c r="S101" s="524">
        <v>2</v>
      </c>
      <c r="T101" s="928" t="str">
        <f>IF(Paramètres!W7=0,"",Paramètres!W7)</f>
        <v/>
      </c>
      <c r="U101" s="576">
        <f>IF(U100&lt;&gt;0,U100+IF(AND(T100&lt;&gt;"",S100&lt;W$98),T100,0),IF(AND(T100&lt;&gt;"",S100&lt;W$98),T100,0))</f>
        <v>0</v>
      </c>
      <c r="V101" s="574" t="str">
        <f>IF(W101&lt;&gt;"/",IF(Y$98="Error","Error",$Z$98+U101),"/")</f>
        <v>/</v>
      </c>
      <c r="W101" s="107" t="str">
        <f>IF(Y$98="Error","Error",IF(AND($W$98&lt;&gt;"/",$W$98&gt;'Paramètres - Admin'!$A3),'Paramètres - Admin'!$A4,"/"))</f>
        <v>/</v>
      </c>
      <c r="X101" s="517" t="str">
        <f>IF(W101&lt;&gt;"/",VLOOKUP(W101,COSTS_Inferno_Tower[#All],2),"/")</f>
        <v>/</v>
      </c>
      <c r="Y101" s="94" t="str">
        <f>IF(W101&lt;&gt;"/",VLOOKUP(W101,COSTS_Inferno_Tower[#All],3),"/")</f>
        <v>/</v>
      </c>
      <c r="Z101" s="517">
        <f>IF(Y$98="Error","Error",IF(X101&lt;&gt;"/",V101*X101,0))</f>
        <v>0</v>
      </c>
      <c r="AA101" s="522">
        <f>IF(Y$98="Error","Error",IF(Y101&lt;&gt;"/",V101*Y101,0))</f>
        <v>0</v>
      </c>
    </row>
    <row r="102" spans="1:27" ht="15" customHeight="1" thickBot="1" x14ac:dyDescent="0.3">
      <c r="A102" s="927">
        <v>5</v>
      </c>
      <c r="B102" s="928" t="str">
        <f>IF(Paramètres!O10=0,"",Paramètres!O10)</f>
        <v/>
      </c>
      <c r="C102" s="781">
        <f t="shared" si="65"/>
        <v>0</v>
      </c>
      <c r="D102" s="574" t="str">
        <f t="shared" si="66"/>
        <v>/</v>
      </c>
      <c r="E102" s="107" t="str">
        <f>IF(G$96="Error","Error",IF(AND($E$96&lt;&gt;"/",$E$96&gt;'Paramètres - Admin'!$A6),'Paramètres - Admin'!$A7,"/"))</f>
        <v>/</v>
      </c>
      <c r="F102" s="517" t="str">
        <f>IF(E102&lt;&gt;"/",VLOOKUP(E102,COSTS_Cannon[#All],2),"/")</f>
        <v>/</v>
      </c>
      <c r="G102" s="94" t="str">
        <f>IF(E102&lt;&gt;"/",VLOOKUP(E102,COSTS_Cannon[#All],3),"/")</f>
        <v>/</v>
      </c>
      <c r="H102" s="517">
        <f t="shared" si="67"/>
        <v>0</v>
      </c>
      <c r="I102" s="522">
        <f t="shared" si="68"/>
        <v>0</v>
      </c>
      <c r="J102" s="927">
        <v>3</v>
      </c>
      <c r="K102" s="928" t="str">
        <f>IF(Paramètres!U8=0,"",Paramètres!U8)</f>
        <v/>
      </c>
      <c r="L102" s="781">
        <f t="shared" si="69"/>
        <v>0</v>
      </c>
      <c r="M102" s="574" t="str">
        <f t="shared" si="70"/>
        <v>/</v>
      </c>
      <c r="N102" s="107" t="str">
        <f>IF(P$98="Error","Error",IF(AND($N$98&lt;&gt;"/",$N$98&gt;'Paramètres - Admin'!$A4),'Paramètres - Admin'!$A5,"/"))</f>
        <v>/</v>
      </c>
      <c r="O102" s="517" t="str">
        <f>IF(N102&lt;&gt;"/",VLOOKUP(N102,COSTS_Hidden_Tesla[#All],2),"/")</f>
        <v>/</v>
      </c>
      <c r="P102" s="94" t="str">
        <f>IF(N102&lt;&gt;"/",VLOOKUP(N102,COSTS_Hidden_Tesla[#All],3),"/")</f>
        <v>/</v>
      </c>
      <c r="Q102" s="517">
        <f t="shared" si="71"/>
        <v>0</v>
      </c>
      <c r="R102" s="522">
        <f t="shared" si="72"/>
        <v>0</v>
      </c>
      <c r="S102" s="524">
        <v>3</v>
      </c>
      <c r="T102" s="928" t="str">
        <f>IF(Paramètres!W8=0,"",Paramètres!W8)</f>
        <v/>
      </c>
      <c r="U102" s="576">
        <f>IF(U101&lt;&gt;0,U101+IF(AND(T101&lt;&gt;"",S101&lt;W$98),T101,0),IF(AND(T101&lt;&gt;"",S101&lt;W$98),T101,0))</f>
        <v>0</v>
      </c>
      <c r="V102" s="574" t="str">
        <f>IF(W102&lt;&gt;"/",IF(Y$98="Error","Error",$Z$98+U102),"/")</f>
        <v>/</v>
      </c>
      <c r="W102" s="107" t="str">
        <f>IF(Y$98="Error","Error",IF(AND($W$98&lt;&gt;"/",$W$98&gt;'Paramètres - Admin'!$A4),'Paramètres - Admin'!$A5,"/"))</f>
        <v>/</v>
      </c>
      <c r="X102" s="517" t="str">
        <f>IF(W102&lt;&gt;"/",VLOOKUP(W102,COSTS_Inferno_Tower[#All],2),"/")</f>
        <v>/</v>
      </c>
      <c r="Y102" s="94" t="str">
        <f>IF(W102&lt;&gt;"/",VLOOKUP(W102,COSTS_Inferno_Tower[#All],3),"/")</f>
        <v>/</v>
      </c>
      <c r="Z102" s="517">
        <f>IF(Y$98="Error","Error",IF(X102&lt;&gt;"/",V102*X102,0))</f>
        <v>0</v>
      </c>
      <c r="AA102" s="522">
        <f>IF(Y$98="Error","Error",IF(Y102&lt;&gt;"/",V102*Y102,0))</f>
        <v>0</v>
      </c>
    </row>
    <row r="103" spans="1:27" ht="15" customHeight="1" thickBot="1" x14ac:dyDescent="0.3">
      <c r="A103" s="927">
        <v>6</v>
      </c>
      <c r="B103" s="928" t="str">
        <f>IF(Paramètres!O11=0,"",Paramètres!O11)</f>
        <v/>
      </c>
      <c r="C103" s="781">
        <f t="shared" si="65"/>
        <v>0</v>
      </c>
      <c r="D103" s="574" t="str">
        <f t="shared" si="66"/>
        <v>/</v>
      </c>
      <c r="E103" s="107" t="str">
        <f>IF(G$96="Error","Error",IF(AND($E$96&lt;&gt;"/",$E$96&gt;'Paramètres - Admin'!$A7),'Paramètres - Admin'!$A8,"/"))</f>
        <v>/</v>
      </c>
      <c r="F103" s="517" t="str">
        <f>IF(E103&lt;&gt;"/",VLOOKUP(E103,COSTS_Cannon[#All],2),"/")</f>
        <v>/</v>
      </c>
      <c r="G103" s="94" t="str">
        <f>IF(E103&lt;&gt;"/",VLOOKUP(E103,COSTS_Cannon[#All],3),"/")</f>
        <v>/</v>
      </c>
      <c r="H103" s="517">
        <f t="shared" si="67"/>
        <v>0</v>
      </c>
      <c r="I103" s="522">
        <f t="shared" si="68"/>
        <v>0</v>
      </c>
      <c r="J103" s="927">
        <v>4</v>
      </c>
      <c r="K103" s="928" t="str">
        <f>IF(Paramètres!U9=0,"",Paramètres!U9)</f>
        <v/>
      </c>
      <c r="L103" s="781">
        <f t="shared" si="69"/>
        <v>0</v>
      </c>
      <c r="M103" s="574" t="str">
        <f t="shared" si="70"/>
        <v>/</v>
      </c>
      <c r="N103" s="107" t="str">
        <f>IF(P$98="Error","Error",IF(AND($N$98&lt;&gt;"/",$N$98&gt;'Paramètres - Admin'!$A5),'Paramètres - Admin'!$A6,"/"))</f>
        <v>/</v>
      </c>
      <c r="O103" s="517" t="str">
        <f>IF(N103&lt;&gt;"/",VLOOKUP(N103,COSTS_Hidden_Tesla[#All],2),"/")</f>
        <v>/</v>
      </c>
      <c r="P103" s="94" t="str">
        <f>IF(N103&lt;&gt;"/",VLOOKUP(N103,COSTS_Hidden_Tesla[#All],3),"/")</f>
        <v>/</v>
      </c>
      <c r="Q103" s="517">
        <f t="shared" si="71"/>
        <v>0</v>
      </c>
      <c r="R103" s="522">
        <f t="shared" si="72"/>
        <v>0</v>
      </c>
      <c r="S103" s="126">
        <v>4</v>
      </c>
      <c r="T103" s="930" t="str">
        <f>IF(Paramètres!W9=0,"",Paramètres!W9)</f>
        <v/>
      </c>
      <c r="U103" s="576">
        <f>IF(U102&lt;&gt;0,U102+IF(AND(T102&lt;&gt;"",S102&lt;W$98),T102,0),IF(AND(T102&lt;&gt;"",S102&lt;W$98),T102,0))</f>
        <v>0</v>
      </c>
      <c r="V103" s="575" t="str">
        <f>IF(W103&lt;&gt;"/",IF(Y$98="Error","Error",$Z$98+U103),"/")</f>
        <v>/</v>
      </c>
      <c r="W103" s="113" t="str">
        <f>IF(Y$98="Error","Error",IF(AND($W$98&lt;&gt;"/",$W$98&gt;'Paramètres - Admin'!$A5),'Paramètres - Admin'!$A6,"/"))</f>
        <v>/</v>
      </c>
      <c r="X103" s="115" t="str">
        <f>IF(W103&lt;&gt;"/",VLOOKUP(W103,COSTS_Inferno_Tower[#All],2),"/")</f>
        <v>/</v>
      </c>
      <c r="Y103" s="583" t="str">
        <f>IF(W103&lt;&gt;"/",VLOOKUP(W103,COSTS_Inferno_Tower[#All],3),"/")</f>
        <v>/</v>
      </c>
      <c r="Z103" s="98">
        <f>IF(Y$98="Error","Error",IF(X103&lt;&gt;"/",V103*X103,0))</f>
        <v>0</v>
      </c>
      <c r="AA103" s="584">
        <f>IF(Y$98="Error","Error",IF(Y103&lt;&gt;"/",V103*Y103,0))</f>
        <v>0</v>
      </c>
    </row>
    <row r="104" spans="1:27" ht="15" customHeight="1" thickBot="1" x14ac:dyDescent="0.3">
      <c r="A104" s="927">
        <v>7</v>
      </c>
      <c r="B104" s="928" t="str">
        <f>IF(Paramètres!O12=0,"",Paramètres!O12)</f>
        <v/>
      </c>
      <c r="C104" s="781">
        <f t="shared" si="65"/>
        <v>0</v>
      </c>
      <c r="D104" s="574" t="str">
        <f t="shared" si="66"/>
        <v>/</v>
      </c>
      <c r="E104" s="107" t="str">
        <f>IF(G$96="Error","Error",IF(AND($E$96&lt;&gt;"/",$E$96&gt;'Paramètres - Admin'!$A8),'Paramètres - Admin'!$A9,"/"))</f>
        <v>/</v>
      </c>
      <c r="F104" s="517" t="str">
        <f>IF(E104&lt;&gt;"/",VLOOKUP(E104,COSTS_Cannon[#All],2),"/")</f>
        <v>/</v>
      </c>
      <c r="G104" s="94" t="str">
        <f>IF(E104&lt;&gt;"/",VLOOKUP(E104,COSTS_Cannon[#All],3),"/")</f>
        <v>/</v>
      </c>
      <c r="H104" s="517">
        <f t="shared" si="67"/>
        <v>0</v>
      </c>
      <c r="I104" s="522">
        <f t="shared" si="68"/>
        <v>0</v>
      </c>
      <c r="J104" s="927">
        <v>5</v>
      </c>
      <c r="K104" s="928" t="str">
        <f>IF(Paramètres!U10=0,"",Paramètres!U10)</f>
        <v/>
      </c>
      <c r="L104" s="781">
        <f t="shared" si="69"/>
        <v>0</v>
      </c>
      <c r="M104" s="574" t="str">
        <f t="shared" si="70"/>
        <v>/</v>
      </c>
      <c r="N104" s="107" t="str">
        <f>IF(P$98="Error","Error",IF(AND($N$98&lt;&gt;"/",$N$98&gt;'Paramètres - Admin'!$A6),'Paramètres - Admin'!$A7,"/"))</f>
        <v>/</v>
      </c>
      <c r="O104" s="517" t="str">
        <f>IF(N104&lt;&gt;"/",VLOOKUP(N104,COSTS_Hidden_Tesla[#All],2),"/")</f>
        <v>/</v>
      </c>
      <c r="P104" s="94" t="str">
        <f>IF(N104&lt;&gt;"/",VLOOKUP(N104,COSTS_Hidden_Tesla[#All],3),"/")</f>
        <v>/</v>
      </c>
      <c r="Q104" s="517">
        <f t="shared" si="71"/>
        <v>0</v>
      </c>
      <c r="R104" s="522">
        <f t="shared" si="72"/>
        <v>0</v>
      </c>
      <c r="S104" s="910"/>
      <c r="T104" s="911"/>
      <c r="U104" s="911"/>
      <c r="V104" s="911"/>
      <c r="W104" s="911"/>
      <c r="X104" s="912"/>
      <c r="Y104" s="274" t="s">
        <v>31</v>
      </c>
      <c r="Z104" s="104">
        <f>IF(Y$98="Error","Error",SUM(Z100:Z103))</f>
        <v>0</v>
      </c>
      <c r="AA104" s="585">
        <f>IF(Y$98="Error","Error",SUM(AA100:AA103))</f>
        <v>0</v>
      </c>
    </row>
    <row r="105" spans="1:27" ht="15" customHeight="1" x14ac:dyDescent="0.25">
      <c r="A105" s="927">
        <v>8</v>
      </c>
      <c r="B105" s="928" t="str">
        <f>IF(Paramètres!O13=0,"",Paramètres!O13)</f>
        <v/>
      </c>
      <c r="C105" s="781">
        <f t="shared" si="65"/>
        <v>0</v>
      </c>
      <c r="D105" s="574" t="str">
        <f t="shared" si="66"/>
        <v>/</v>
      </c>
      <c r="E105" s="107" t="str">
        <f>IF(G$96="Error","Error",IF(AND($E$96&lt;&gt;"/",$E$96&gt;'Paramètres - Admin'!$A9),'Paramètres - Admin'!$A10,"/"))</f>
        <v>/</v>
      </c>
      <c r="F105" s="517" t="str">
        <f>IF(E105&lt;&gt;"/",VLOOKUP(E105,COSTS_Cannon[#All],2),"/")</f>
        <v>/</v>
      </c>
      <c r="G105" s="94" t="str">
        <f>IF(E105&lt;&gt;"/",VLOOKUP(E105,COSTS_Cannon[#All],3),"/")</f>
        <v>/</v>
      </c>
      <c r="H105" s="517">
        <f t="shared" si="67"/>
        <v>0</v>
      </c>
      <c r="I105" s="522">
        <f t="shared" si="68"/>
        <v>0</v>
      </c>
      <c r="J105" s="927">
        <v>6</v>
      </c>
      <c r="K105" s="928" t="str">
        <f>IF(Paramètres!U11=0,"",Paramètres!U11)</f>
        <v/>
      </c>
      <c r="L105" s="781">
        <f t="shared" si="69"/>
        <v>0</v>
      </c>
      <c r="M105" s="574" t="str">
        <f t="shared" si="70"/>
        <v>/</v>
      </c>
      <c r="N105" s="107" t="str">
        <f>IF(P$98="Error","Error",IF(AND($N$98&lt;&gt;"/",$N$98&gt;'Paramètres - Admin'!$A7),'Paramètres - Admin'!$A8,"/"))</f>
        <v>/</v>
      </c>
      <c r="O105" s="517" t="str">
        <f>IF(N105&lt;&gt;"/",VLOOKUP(N105,COSTS_Hidden_Tesla[#All],2),"/")</f>
        <v>/</v>
      </c>
      <c r="P105" s="94" t="str">
        <f>IF(N105&lt;&gt;"/",VLOOKUP(N105,COSTS_Hidden_Tesla[#All],3),"/")</f>
        <v>/</v>
      </c>
      <c r="Q105" s="517">
        <f t="shared" si="71"/>
        <v>0</v>
      </c>
      <c r="R105" s="522">
        <f t="shared" si="72"/>
        <v>0</v>
      </c>
      <c r="S105" s="1125" t="s">
        <v>745</v>
      </c>
      <c r="T105" s="1126"/>
      <c r="U105" s="1127"/>
      <c r="V105" s="577" t="s">
        <v>38</v>
      </c>
      <c r="W105" s="578" t="s">
        <v>39</v>
      </c>
      <c r="X105" s="579"/>
      <c r="Y105" s="577" t="s">
        <v>256</v>
      </c>
      <c r="Z105" s="580" t="s">
        <v>361</v>
      </c>
      <c r="AA105" s="578" t="s">
        <v>257</v>
      </c>
    </row>
    <row r="106" spans="1:27" ht="15" customHeight="1" thickBot="1" x14ac:dyDescent="0.3">
      <c r="A106" s="927">
        <v>9</v>
      </c>
      <c r="B106" s="928" t="str">
        <f>IF(Paramètres!O14=0,"",Paramètres!O14)</f>
        <v/>
      </c>
      <c r="C106" s="781">
        <f t="shared" si="65"/>
        <v>0</v>
      </c>
      <c r="D106" s="574" t="str">
        <f t="shared" si="66"/>
        <v>/</v>
      </c>
      <c r="E106" s="107" t="str">
        <f>IF(G$96="Error","Error",IF(AND($E$96&lt;&gt;"/",$E$96&gt;'Paramètres - Admin'!$A10),'Paramètres - Admin'!$A11,"/"))</f>
        <v>/</v>
      </c>
      <c r="F106" s="517" t="str">
        <f>IF(E106&lt;&gt;"/",VLOOKUP(E106,COSTS_Cannon[#All],2),"/")</f>
        <v>/</v>
      </c>
      <c r="G106" s="94" t="str">
        <f>IF(E106&lt;&gt;"/",VLOOKUP(E106,COSTS_Cannon[#All],3),"/")</f>
        <v>/</v>
      </c>
      <c r="H106" s="517">
        <f t="shared" si="67"/>
        <v>0</v>
      </c>
      <c r="I106" s="522">
        <f t="shared" si="68"/>
        <v>0</v>
      </c>
      <c r="J106" s="927">
        <v>7</v>
      </c>
      <c r="K106" s="928" t="str">
        <f>IF(Paramètres!U12=0,"",Paramètres!U12)</f>
        <v/>
      </c>
      <c r="L106" s="781">
        <f t="shared" si="69"/>
        <v>0</v>
      </c>
      <c r="M106" s="574" t="str">
        <f t="shared" si="70"/>
        <v>/</v>
      </c>
      <c r="N106" s="107" t="str">
        <f>IF(P$98="Error","Error",IF(AND($N$98&lt;&gt;"/",$N$98&gt;'Paramètres - Admin'!$A8),'Paramètres - Admin'!$A9,"/"))</f>
        <v>/</v>
      </c>
      <c r="O106" s="517" t="str">
        <f>IF(N106&lt;&gt;"/",VLOOKUP(N106,COSTS_Hidden_Tesla[#All],2),"/")</f>
        <v>/</v>
      </c>
      <c r="P106" s="94" t="str">
        <f>IF(N106&lt;&gt;"/",VLOOKUP(N106,COSTS_Hidden_Tesla[#All],3),"/")</f>
        <v>/</v>
      </c>
      <c r="Q106" s="517">
        <f t="shared" si="71"/>
        <v>0</v>
      </c>
      <c r="R106" s="522">
        <f t="shared" si="72"/>
        <v>0</v>
      </c>
      <c r="S106" s="1122"/>
      <c r="T106" s="1123"/>
      <c r="U106" s="1124"/>
      <c r="V106" s="515">
        <f>VLOOKUP($A$2,AVAILABLE_Buildings_Defensive[#All],MATCH(S105,AVAILABLE_Buildings_Defensive[#Headers],0))</f>
        <v>0</v>
      </c>
      <c r="W106" s="516">
        <f>VLOOKUP($A$2,AVAILABLE_Buildings_Defensive[#All],MATCH(S105,AVAILABLE_Buildings_Defensive[#Headers],0)+1)</f>
        <v>0</v>
      </c>
      <c r="X106" s="528"/>
      <c r="Y106" s="518">
        <f>IF(SUM(T108:T109)&gt;V106,"Error",SUM(T108:T109))</f>
        <v>0</v>
      </c>
      <c r="Z106" s="519">
        <f>IF(V$106="Error","Error",V106-Y106)</f>
        <v>0</v>
      </c>
      <c r="AA106" s="526">
        <f>IF(Y$106="Error","Error",SUM(V108:V109))</f>
        <v>0</v>
      </c>
    </row>
    <row r="107" spans="1:27" ht="15" customHeight="1" thickBot="1" x14ac:dyDescent="0.3">
      <c r="A107" s="927">
        <v>10</v>
      </c>
      <c r="B107" s="928" t="str">
        <f>IF(Paramètres!O15=0,"",Paramètres!O15)</f>
        <v/>
      </c>
      <c r="C107" s="781">
        <f t="shared" si="65"/>
        <v>0</v>
      </c>
      <c r="D107" s="574" t="str">
        <f t="shared" si="66"/>
        <v>/</v>
      </c>
      <c r="E107" s="107" t="str">
        <f>IF(G$96="Error","Error",IF(AND($E$96&lt;&gt;"/",$E$96&gt;'Paramètres - Admin'!$A11),'Paramètres - Admin'!$A12,"/"))</f>
        <v>/</v>
      </c>
      <c r="F107" s="517" t="str">
        <f>IF(E107&lt;&gt;"/",VLOOKUP(E107,COSTS_Cannon[#All],2),"/")</f>
        <v>/</v>
      </c>
      <c r="G107" s="94" t="str">
        <f>IF(E107&lt;&gt;"/",VLOOKUP(E107,COSTS_Cannon[#All],3),"/")</f>
        <v>/</v>
      </c>
      <c r="H107" s="517">
        <f t="shared" si="67"/>
        <v>0</v>
      </c>
      <c r="I107" s="522">
        <f t="shared" si="68"/>
        <v>0</v>
      </c>
      <c r="J107" s="929">
        <v>8</v>
      </c>
      <c r="K107" s="930" t="str">
        <f>IF(Paramètres!U13=0,"",Paramètres!U13)</f>
        <v/>
      </c>
      <c r="L107" s="782">
        <f t="shared" si="69"/>
        <v>0</v>
      </c>
      <c r="M107" s="575" t="str">
        <f t="shared" si="70"/>
        <v>/</v>
      </c>
      <c r="N107" s="113" t="str">
        <f>IF(P$98="Error","Error",IF(AND($N$98&lt;&gt;"/",$N$98&gt;'Paramètres - Admin'!$A9),'Paramètres - Admin'!$A10,"/"))</f>
        <v>/</v>
      </c>
      <c r="O107" s="115" t="str">
        <f>IF(N107&lt;&gt;"/",VLOOKUP(N107,COSTS_Hidden_Tesla[#All],2),"/")</f>
        <v>/</v>
      </c>
      <c r="P107" s="112" t="str">
        <f>IF(N107&lt;&gt;"/",VLOOKUP(N107,COSTS_Hidden_Tesla[#All],3),"/")</f>
        <v>/</v>
      </c>
      <c r="Q107" s="115">
        <f t="shared" si="71"/>
        <v>0</v>
      </c>
      <c r="R107" s="114">
        <f t="shared" si="72"/>
        <v>0</v>
      </c>
      <c r="S107" s="520" t="s">
        <v>30</v>
      </c>
      <c r="T107" s="351" t="s">
        <v>29</v>
      </c>
      <c r="U107" s="460"/>
      <c r="V107" s="530" t="s">
        <v>29</v>
      </c>
      <c r="W107" s="531" t="s">
        <v>30</v>
      </c>
      <c r="X107" s="532" t="s">
        <v>258</v>
      </c>
      <c r="Y107" s="532" t="s">
        <v>259</v>
      </c>
      <c r="Z107" s="532" t="s">
        <v>232</v>
      </c>
      <c r="AA107" s="533" t="s">
        <v>233</v>
      </c>
    </row>
    <row r="108" spans="1:27" ht="15" customHeight="1" thickBot="1" x14ac:dyDescent="0.3">
      <c r="A108" s="927">
        <v>11</v>
      </c>
      <c r="B108" s="928" t="str">
        <f>IF(Paramètres!O16=0,"",Paramètres!O16)</f>
        <v/>
      </c>
      <c r="C108" s="781">
        <f t="shared" si="65"/>
        <v>0</v>
      </c>
      <c r="D108" s="574" t="str">
        <f t="shared" si="66"/>
        <v>/</v>
      </c>
      <c r="E108" s="107" t="str">
        <f>IF(G$96="Error","Error",IF(AND($E$96&lt;&gt;"/",$E$96&gt;'Paramètres - Admin'!$A12),'Paramètres - Admin'!$A13,"/"))</f>
        <v>/</v>
      </c>
      <c r="F108" s="517" t="str">
        <f>IF(E108&lt;&gt;"/",VLOOKUP(E108,COSTS_Cannon[#All],2),"/")</f>
        <v>/</v>
      </c>
      <c r="G108" s="94" t="str">
        <f>IF(E108&lt;&gt;"/",VLOOKUP(E108,COSTS_Cannon[#All],3),"/")</f>
        <v>/</v>
      </c>
      <c r="H108" s="517">
        <f t="shared" si="67"/>
        <v>0</v>
      </c>
      <c r="I108" s="522">
        <f t="shared" si="68"/>
        <v>0</v>
      </c>
      <c r="J108" s="910"/>
      <c r="K108" s="911"/>
      <c r="L108" s="911"/>
      <c r="M108" s="911"/>
      <c r="N108" s="911"/>
      <c r="O108" s="912"/>
      <c r="P108" s="511" t="s">
        <v>31</v>
      </c>
      <c r="Q108" s="223">
        <f>IF(P$98="Error","Error",SUM(Q100:Q107))</f>
        <v>0</v>
      </c>
      <c r="R108" s="534">
        <f>IF(P$98="Error","Error",SUM(R100:R107))</f>
        <v>0</v>
      </c>
      <c r="S108" s="512">
        <v>1</v>
      </c>
      <c r="T108" s="926" t="str">
        <f>IF(Paramètres!X6=0,"",Paramètres!X6)</f>
        <v/>
      </c>
      <c r="U108" s="586">
        <f>IF(U107&lt;&gt;0,U107+IF(AND(T107&lt;&gt;"",S107&lt;W$106),T107,0),IF(AND(T107&lt;&gt;"",S107&lt;W$106),T107,0))</f>
        <v>0</v>
      </c>
      <c r="V108" s="573" t="str">
        <f>IF(W108&lt;&gt;"/",IF(Y$106="Error","Error",$Z$106+U108),"/")</f>
        <v>/</v>
      </c>
      <c r="W108" s="457" t="str">
        <f>IF(Y$106="Error","Error",IF(AND($W$106&lt;&gt;"/",$W$106&gt;'Paramètres - Admin'!$A2),'Paramètres - Admin'!$A3,"/"))</f>
        <v>/</v>
      </c>
      <c r="X108" s="86" t="str">
        <f>IF(W108&lt;&gt;"/",VLOOKUP(W108,COSTS_Defense_Aigle[#All],2),"/")</f>
        <v>/</v>
      </c>
      <c r="Y108" s="458" t="str">
        <f>IF(W108&lt;&gt;"/",VLOOKUP(W108,COSTS_Defense_Aigle[#All],3),"/")</f>
        <v>/</v>
      </c>
      <c r="Z108" s="86">
        <f>IF(G$105="Error","Error",IF(X108&lt;&gt;"/",V108*X108,0))</f>
        <v>0</v>
      </c>
      <c r="AA108" s="459">
        <f>IF(G$105="Error","Error",IF(Y108&lt;&gt;"/",V108*Y108,0))</f>
        <v>0</v>
      </c>
    </row>
    <row r="109" spans="1:27" ht="15" customHeight="1" thickBot="1" x14ac:dyDescent="0.3">
      <c r="A109" s="927">
        <v>12</v>
      </c>
      <c r="B109" s="928" t="str">
        <f>IF(Paramètres!O17=0,"",Paramètres!O17)</f>
        <v/>
      </c>
      <c r="C109" s="781">
        <f t="shared" si="65"/>
        <v>0</v>
      </c>
      <c r="D109" s="574" t="str">
        <f t="shared" si="66"/>
        <v>/</v>
      </c>
      <c r="E109" s="107" t="str">
        <f>IF(G$96="Error","Error",IF(AND($E$96&lt;&gt;"/",$E$96&gt;'Paramètres - Admin'!$A13),'Paramètres - Admin'!$A14,"/"))</f>
        <v>/</v>
      </c>
      <c r="F109" s="517" t="str">
        <f>IF(E109&lt;&gt;"/",VLOOKUP(E109,COSTS_Cannon[#All],2),"/")</f>
        <v>/</v>
      </c>
      <c r="G109" s="94" t="str">
        <f>IF(E109&lt;&gt;"/",VLOOKUP(E109,COSTS_Cannon[#All],3),"/")</f>
        <v>/</v>
      </c>
      <c r="H109" s="517">
        <f t="shared" si="67"/>
        <v>0</v>
      </c>
      <c r="I109" s="522">
        <f t="shared" si="68"/>
        <v>0</v>
      </c>
      <c r="S109" s="929">
        <v>2</v>
      </c>
      <c r="T109" s="930" t="str">
        <f>IF(Paramètres!X7=0,"",Paramètres!X7)</f>
        <v/>
      </c>
      <c r="U109" s="782">
        <f>IF(U108&lt;&gt;0,U108+IF(AND(T108&lt;&gt;"",S108&lt;W$106),T108,0),IF(AND(T108&lt;&gt;"",S108&lt;W$106),T108,0))</f>
        <v>0</v>
      </c>
      <c r="V109" s="575" t="str">
        <f>IF(W109&lt;&gt;"/",IF(Y$106="Error","Error",$Z$106+U109),"/")</f>
        <v>/</v>
      </c>
      <c r="W109" s="113" t="str">
        <f>IF(Y$106="Error","Error",IF(AND($W$106&lt;&gt;"/",$W$106&gt;'Paramètres - Admin'!$A3),'Paramètres - Admin'!$A4,"/"))</f>
        <v>/</v>
      </c>
      <c r="X109" s="115" t="str">
        <f>IF(W109&lt;&gt;"/",VLOOKUP(W109,COSTS_Defense_Aigle[#All],2),"/")</f>
        <v>/</v>
      </c>
      <c r="Y109" s="112" t="str">
        <f>IF(W109&lt;&gt;"/",VLOOKUP(W109,COSTS_Defense_Aigle[#All],3),"/")</f>
        <v>/</v>
      </c>
      <c r="Z109" s="115">
        <f>IF(Y$106="Error","Error",IF(X109&lt;&gt;"/",V109*X109,0))</f>
        <v>0</v>
      </c>
      <c r="AA109" s="114">
        <f>IF(Y$106="Error","Error",IF(Y109&lt;&gt;"/",V109*Y109,0))</f>
        <v>0</v>
      </c>
    </row>
    <row r="110" spans="1:27" ht="15" customHeight="1" thickBot="1" x14ac:dyDescent="0.3">
      <c r="A110" s="929">
        <v>13</v>
      </c>
      <c r="B110" s="930" t="str">
        <f>IF(Paramètres!O18=0,"",Paramètres!O18)</f>
        <v/>
      </c>
      <c r="C110" s="782">
        <f t="shared" si="65"/>
        <v>0</v>
      </c>
      <c r="D110" s="575" t="str">
        <f t="shared" si="66"/>
        <v>/</v>
      </c>
      <c r="E110" s="113" t="str">
        <f>IF(G$96="Error","Error",IF(AND($E$96&lt;&gt;"/",$E$96&gt;'Paramètres - Admin'!$A14),'Paramètres - Admin'!$A15,"/"))</f>
        <v>/</v>
      </c>
      <c r="F110" s="115" t="str">
        <f>IF(E110&lt;&gt;"/",VLOOKUP(E110,COSTS_Cannon[#All],2),"/")</f>
        <v>/</v>
      </c>
      <c r="G110" s="112" t="str">
        <f>IF(E110&lt;&gt;"/",VLOOKUP(E110,COSTS_Cannon[#All],3),"/")</f>
        <v>/</v>
      </c>
      <c r="H110" s="115">
        <f t="shared" si="67"/>
        <v>0</v>
      </c>
      <c r="I110" s="114">
        <f t="shared" si="68"/>
        <v>0</v>
      </c>
      <c r="S110" s="910"/>
      <c r="T110" s="911"/>
      <c r="U110" s="911"/>
      <c r="V110" s="911"/>
      <c r="W110" s="911"/>
      <c r="X110" s="912"/>
      <c r="Y110" s="511" t="s">
        <v>31</v>
      </c>
      <c r="Z110" s="223">
        <f>IF(P$80="Error","Error",SUM(Z108:Z109))</f>
        <v>0</v>
      </c>
      <c r="AA110" s="534">
        <f>IF(P$80="Error","Error",SUM(AA108:AA109))</f>
        <v>0</v>
      </c>
    </row>
    <row r="111" spans="1:27" ht="15" customHeight="1" thickBot="1" x14ac:dyDescent="0.3">
      <c r="A111" s="910"/>
      <c r="B111" s="911"/>
      <c r="C111" s="911"/>
      <c r="D111" s="911"/>
      <c r="E111" s="911"/>
      <c r="F111" s="912"/>
      <c r="G111" s="511" t="s">
        <v>31</v>
      </c>
      <c r="H111" s="223">
        <f>IF(G$96="Error","Error",SUM(H98:H110))</f>
        <v>2500</v>
      </c>
      <c r="I111" s="534">
        <f>IF(G$96="Error","Error",SUM(I98:I110))</f>
        <v>0.53333333333333333</v>
      </c>
    </row>
    <row r="112" spans="1:27" ht="15" customHeight="1" x14ac:dyDescent="0.25">
      <c r="A112" s="128"/>
      <c r="B112" s="128"/>
      <c r="C112" s="128"/>
      <c r="D112" s="128"/>
      <c r="E112" s="128"/>
      <c r="F112" s="128"/>
    </row>
    <row r="113" spans="1:51" ht="15" customHeight="1" x14ac:dyDescent="0.25">
      <c r="A113" s="128"/>
      <c r="B113" s="128"/>
      <c r="C113" s="128"/>
      <c r="D113" s="128"/>
      <c r="E113" s="128"/>
      <c r="F113" s="128"/>
    </row>
    <row r="114" spans="1:51" s="525" customFormat="1" ht="19.5" customHeight="1" thickBot="1" x14ac:dyDescent="0.3">
      <c r="A114" s="1117" t="s">
        <v>582</v>
      </c>
      <c r="B114" s="1118"/>
      <c r="C114" s="1118"/>
      <c r="D114" s="1118"/>
      <c r="E114" s="1118"/>
      <c r="F114" s="1118"/>
      <c r="G114" s="1118"/>
      <c r="H114" s="1118"/>
      <c r="I114" s="1118"/>
      <c r="J114" s="1118"/>
      <c r="K114" s="1118"/>
      <c r="L114" s="1118"/>
      <c r="M114" s="1118"/>
      <c r="N114" s="1118"/>
      <c r="O114" s="1118"/>
      <c r="P114" s="1118"/>
      <c r="Q114" s="1118"/>
      <c r="R114" s="1118"/>
      <c r="S114" s="1118"/>
      <c r="T114" s="1118"/>
      <c r="U114" s="1118"/>
      <c r="V114" s="1118"/>
      <c r="W114" s="1118"/>
      <c r="X114" s="1118"/>
      <c r="Y114" s="1118"/>
      <c r="Z114" s="1118"/>
      <c r="AA114" s="1118"/>
    </row>
    <row r="115" spans="1:51" ht="15" customHeight="1" x14ac:dyDescent="0.25">
      <c r="A115" s="1119" t="s">
        <v>561</v>
      </c>
      <c r="B115" s="1120"/>
      <c r="C115" s="1121"/>
      <c r="D115" s="512" t="s">
        <v>38</v>
      </c>
      <c r="E115" s="513" t="s">
        <v>39</v>
      </c>
      <c r="F115" s="527"/>
      <c r="G115" s="512" t="s">
        <v>256</v>
      </c>
      <c r="H115" s="514" t="s">
        <v>361</v>
      </c>
      <c r="I115" s="513" t="s">
        <v>257</v>
      </c>
      <c r="J115" s="1119" t="s">
        <v>560</v>
      </c>
      <c r="K115" s="1120"/>
      <c r="L115" s="1121"/>
      <c r="M115" s="512" t="s">
        <v>38</v>
      </c>
      <c r="N115" s="513" t="s">
        <v>39</v>
      </c>
      <c r="O115" s="527"/>
      <c r="P115" s="512" t="s">
        <v>256</v>
      </c>
      <c r="Q115" s="514" t="s">
        <v>361</v>
      </c>
      <c r="R115" s="513" t="s">
        <v>257</v>
      </c>
      <c r="S115" s="1119" t="s">
        <v>559</v>
      </c>
      <c r="T115" s="1120"/>
      <c r="U115" s="1121"/>
      <c r="V115" s="512" t="s">
        <v>38</v>
      </c>
      <c r="W115" s="513" t="s">
        <v>39</v>
      </c>
      <c r="X115" s="527"/>
      <c r="Y115" s="512" t="s">
        <v>256</v>
      </c>
      <c r="Z115" s="514" t="s">
        <v>361</v>
      </c>
      <c r="AA115" s="513" t="s">
        <v>257</v>
      </c>
    </row>
    <row r="116" spans="1:51" ht="15" customHeight="1" thickBot="1" x14ac:dyDescent="0.3">
      <c r="A116" s="1122"/>
      <c r="B116" s="1123"/>
      <c r="C116" s="1124"/>
      <c r="D116" s="515">
        <f>VLOOKUP($A$2,AVAILABLE_Traps[#All],MATCH(A115,AVAILABLE_Traps[#Headers],0))</f>
        <v>0</v>
      </c>
      <c r="E116" s="516">
        <f>VLOOKUP($A$2,AVAILABLE_Traps[#All],MATCH(A115,AVAILABLE_Traps[#Headers],0)+1)</f>
        <v>0</v>
      </c>
      <c r="F116" s="528"/>
      <c r="G116" s="518">
        <f>IF(SUM(B118:B123)&gt;D116,"Error",SUM(B118:B123))</f>
        <v>0</v>
      </c>
      <c r="H116" s="519">
        <f>IF(G$116="Error","Error",D116-G116)</f>
        <v>0</v>
      </c>
      <c r="I116" s="526">
        <f>IF(G$116="Error","Error",SUM(D118:D123))</f>
        <v>0</v>
      </c>
      <c r="J116" s="1122"/>
      <c r="K116" s="1123"/>
      <c r="L116" s="1124"/>
      <c r="M116" s="515">
        <f>VLOOKUP($A$2,AVAILABLE_Traps[#All],MATCH(J115,AVAILABLE_Traps[#Headers],0))</f>
        <v>0</v>
      </c>
      <c r="N116" s="516">
        <f>VLOOKUP($A$2,AVAILABLE_Traps[#All],MATCH(J115,AVAILABLE_Traps[#Headers],0)+1)</f>
        <v>0</v>
      </c>
      <c r="O116" s="528"/>
      <c r="P116" s="518">
        <f>IF(SUM(K118:K121)&gt;M116,"Error",SUM(K118:K121))</f>
        <v>0</v>
      </c>
      <c r="Q116" s="519">
        <f>IF(P$116="Error","Error",M116-P116)</f>
        <v>0</v>
      </c>
      <c r="R116" s="526">
        <f>IF(P$116="Error","Error",SUM(M118:M121))</f>
        <v>0</v>
      </c>
      <c r="S116" s="1122"/>
      <c r="T116" s="1123"/>
      <c r="U116" s="1124"/>
      <c r="V116" s="515">
        <f>VLOOKUP($A$2,AVAILABLE_Traps[#All],MATCH(S115,AVAILABLE_Traps[#Headers],0))</f>
        <v>0</v>
      </c>
      <c r="W116" s="516">
        <f>VLOOKUP($A$2,AVAILABLE_Traps[#All],MATCH(S115,AVAILABLE_Traps[#Headers],0)+1)</f>
        <v>0</v>
      </c>
      <c r="X116" s="528"/>
      <c r="Y116" s="518">
        <f>IF(SUM(T118:T118)&gt;V116,"Error",SUM(T118:T118))</f>
        <v>0</v>
      </c>
      <c r="Z116" s="519">
        <f>IF(Y$116="Error","Error",V116-Y116)</f>
        <v>0</v>
      </c>
      <c r="AA116" s="526">
        <f>IF(Y$116="Error","Error",SUM(V118:V118))</f>
        <v>0</v>
      </c>
    </row>
    <row r="117" spans="1:51" ht="15" customHeight="1" thickBot="1" x14ac:dyDescent="0.3">
      <c r="A117" s="520" t="s">
        <v>30</v>
      </c>
      <c r="B117" s="523" t="s">
        <v>29</v>
      </c>
      <c r="C117" s="521"/>
      <c r="D117" s="530" t="s">
        <v>29</v>
      </c>
      <c r="E117" s="531" t="s">
        <v>30</v>
      </c>
      <c r="F117" s="532" t="s">
        <v>258</v>
      </c>
      <c r="G117" s="532" t="s">
        <v>259</v>
      </c>
      <c r="H117" s="532" t="s">
        <v>232</v>
      </c>
      <c r="I117" s="533" t="s">
        <v>233</v>
      </c>
      <c r="J117" s="520" t="s">
        <v>30</v>
      </c>
      <c r="K117" s="523" t="s">
        <v>29</v>
      </c>
      <c r="L117" s="521"/>
      <c r="M117" s="530" t="s">
        <v>29</v>
      </c>
      <c r="N117" s="531" t="s">
        <v>30</v>
      </c>
      <c r="O117" s="532" t="s">
        <v>258</v>
      </c>
      <c r="P117" s="532" t="s">
        <v>259</v>
      </c>
      <c r="Q117" s="532" t="s">
        <v>232</v>
      </c>
      <c r="R117" s="533" t="s">
        <v>233</v>
      </c>
      <c r="S117" s="520" t="s">
        <v>30</v>
      </c>
      <c r="T117" s="523" t="s">
        <v>29</v>
      </c>
      <c r="U117" s="521"/>
      <c r="V117" s="530" t="s">
        <v>29</v>
      </c>
      <c r="W117" s="531" t="s">
        <v>30</v>
      </c>
      <c r="X117" s="532" t="s">
        <v>258</v>
      </c>
      <c r="Y117" s="532" t="s">
        <v>259</v>
      </c>
      <c r="Z117" s="532" t="s">
        <v>232</v>
      </c>
      <c r="AA117" s="533" t="s">
        <v>233</v>
      </c>
    </row>
    <row r="118" spans="1:51" ht="15" customHeight="1" thickBot="1" x14ac:dyDescent="0.3">
      <c r="A118" s="512">
        <v>1</v>
      </c>
      <c r="B118" s="926" t="str">
        <f>IF(Paramètres!Y6=0,"",Paramètres!Y6)</f>
        <v/>
      </c>
      <c r="C118" s="586">
        <f t="shared" ref="C118:C123" si="73">IF(C117&lt;&gt;0,C117+IF(AND(B117&lt;&gt;"",A117&lt;E$116),B117,0),IF(AND(B117&lt;&gt;"",A117&lt;E$116),B117,0))</f>
        <v>0</v>
      </c>
      <c r="D118" s="573" t="str">
        <f t="shared" ref="D118:D123" si="74">IF(E118&lt;&gt;"/",IF($G$116="Error","Error",$H$116+C118),"/")</f>
        <v>/</v>
      </c>
      <c r="E118" s="457" t="str">
        <f>IF(G$116="Error","Error",IF(AND($E$116&lt;&gt;"/",$E$116&gt;'Paramètres - Admin'!$A2),'Paramètres - Admin'!$A3,"/"))</f>
        <v>/</v>
      </c>
      <c r="F118" s="86" t="str">
        <f>IF(E118&lt;&gt;"/",VLOOKUP(E118,COSTS_Bomb[#All],2),"/")</f>
        <v>/</v>
      </c>
      <c r="G118" s="458" t="str">
        <f>IF(E118&lt;&gt;"/",VLOOKUP(E118,COSTS_Bomb[#All],3),"/")</f>
        <v>/</v>
      </c>
      <c r="H118" s="86">
        <f t="shared" ref="H118:H123" si="75">IF(G$116="Error","Error",IF(F118&lt;&gt;"/",D118*F118,0))</f>
        <v>0</v>
      </c>
      <c r="I118" s="459">
        <f>IF(G$116="Error","Error",IF(G118&lt;&gt;"/",D118*G118,0))</f>
        <v>0</v>
      </c>
      <c r="J118" s="512">
        <v>1</v>
      </c>
      <c r="K118" s="926" t="str">
        <f>IF(Paramètres!AB6=0,"",Paramètres!AB6)</f>
        <v/>
      </c>
      <c r="L118" s="586">
        <f>IF(L117&lt;&gt;0,L117+IF(AND(K117&lt;&gt;"",J117&lt;N$116),K117,0),IF(AND(K117&lt;&gt;"",J117&lt;N$116),K117,0))</f>
        <v>0</v>
      </c>
      <c r="M118" s="573" t="str">
        <f>IF(N118&lt;&gt;"/",IF($P$116="Error","Error",$Q$116+L118),"/")</f>
        <v>/</v>
      </c>
      <c r="N118" s="457" t="str">
        <f>IF(P$116="Error","Error",IF(AND($N$116&lt;&gt;"/",$N$116&gt;'Paramètres - Admin'!$A2),'Paramètres - Admin'!$A3,"/"))</f>
        <v>/</v>
      </c>
      <c r="O118" s="86" t="str">
        <f>IF(N118&lt;&gt;"/",VLOOKUP(N118,COST_Air_Bomb[#All],2),"/")</f>
        <v>/</v>
      </c>
      <c r="P118" s="458" t="str">
        <f>IF(N118&lt;&gt;"/",VLOOKUP(N118,COST_Air_Bomb[#All],3),"/")</f>
        <v>/</v>
      </c>
      <c r="Q118" s="86">
        <f>IF(P$116="Error","Error",IF(O118&lt;&gt;"/",M118*O118,0))</f>
        <v>0</v>
      </c>
      <c r="R118" s="459">
        <f>IF(P$116="Error","Error",IF(P118&lt;&gt;"/",M118*P118,0))</f>
        <v>0</v>
      </c>
      <c r="S118" s="274">
        <v>1</v>
      </c>
      <c r="T118" s="932" t="str">
        <f>IF(Paramètres!Z6=0,"",Paramètres!Z6)</f>
        <v/>
      </c>
      <c r="U118" s="933">
        <f>IF(U117&lt;&gt;0,U117+IF(AND(T117&lt;&gt;"",S117&lt;W$116),T117,0),IF(AND(T117&lt;&gt;"",S117&lt;W$116),T117,0))</f>
        <v>0</v>
      </c>
      <c r="V118" s="934" t="str">
        <f>IF(W118&lt;&gt;"/",IF($Y$116="Error","Error",$Z$116+U118),"/")</f>
        <v>/</v>
      </c>
      <c r="W118" s="935" t="str">
        <f>IF(Y$116="Error","Error",IF(AND($W$116&lt;&gt;"/",$W$116&gt;'Paramètres - Admin'!$A2),'Paramètres - Admin'!$A3,"/"))</f>
        <v>/</v>
      </c>
      <c r="X118" s="936" t="str">
        <f>IF(W118&lt;&gt;"/",VLOOKUP(W118,COSTS_Spring_Trap[#All],2),"/")</f>
        <v>/</v>
      </c>
      <c r="Y118" s="937" t="str">
        <f>IF(W118&lt;&gt;"/",VLOOKUP(W118,COSTS_Spring_Trap[#All],3),"/")</f>
        <v>/</v>
      </c>
      <c r="Z118" s="936">
        <f>IF(Y$116="Error","Error",IF(X118&lt;&gt;"/",V118*X118,0))</f>
        <v>0</v>
      </c>
      <c r="AA118" s="938">
        <f>IF(Y$116="Error","Error",IF(Y118&lt;&gt;"/",V118*Y118,0))</f>
        <v>0</v>
      </c>
    </row>
    <row r="119" spans="1:51" ht="15" customHeight="1" thickBot="1" x14ac:dyDescent="0.3">
      <c r="A119" s="927">
        <v>2</v>
      </c>
      <c r="B119" s="928" t="str">
        <f>IF(Paramètres!Y7=0,"",Paramètres!Y7)</f>
        <v/>
      </c>
      <c r="C119" s="781">
        <f t="shared" si="73"/>
        <v>0</v>
      </c>
      <c r="D119" s="574" t="str">
        <f t="shared" si="74"/>
        <v>/</v>
      </c>
      <c r="E119" s="107" t="str">
        <f>IF(G$116="Error","Error",IF(AND($E$116&lt;&gt;"/",$E$116&gt;'Paramètres - Admin'!$A3),'Paramètres - Admin'!$A4,"/"))</f>
        <v>/</v>
      </c>
      <c r="F119" s="517" t="str">
        <f>IF(E119&lt;&gt;"/",VLOOKUP(E119,COSTS_Bomb[#All],2),"/")</f>
        <v>/</v>
      </c>
      <c r="G119" s="94" t="str">
        <f>IF(E119&lt;&gt;"/",VLOOKUP(E119,COSTS_Bomb[#All],3),"/")</f>
        <v>/</v>
      </c>
      <c r="H119" s="517">
        <f t="shared" si="75"/>
        <v>0</v>
      </c>
      <c r="I119" s="522">
        <f>IF(G$68="Error","Error",IF(G119&lt;&gt;"/",D119*G119,0))</f>
        <v>0</v>
      </c>
      <c r="J119" s="927">
        <v>2</v>
      </c>
      <c r="K119" s="928" t="str">
        <f>IF(Paramètres!AB7=0,"",Paramètres!AB7)</f>
        <v/>
      </c>
      <c r="L119" s="781">
        <f>IF(L118&lt;&gt;0,L118+IF(AND(K118&lt;&gt;"",J118&lt;N$116),K118,0),IF(AND(K118&lt;&gt;"",J118&lt;N$116),K118,0))</f>
        <v>0</v>
      </c>
      <c r="M119" s="574" t="str">
        <f>IF(N119&lt;&gt;"/",IF($P$116="Error","Error",$Q$116+L119),"/")</f>
        <v>/</v>
      </c>
      <c r="N119" s="107" t="str">
        <f>IF(P$116="Error","Error",IF(AND($N$116&lt;&gt;"/",$N$116&gt;'Paramètres - Admin'!$A3),'Paramètres - Admin'!$A4,"/"))</f>
        <v>/</v>
      </c>
      <c r="O119" s="517" t="str">
        <f>IF(N119&lt;&gt;"/",VLOOKUP(N119,COST_Air_Bomb[#All],2),"/")</f>
        <v>/</v>
      </c>
      <c r="P119" s="94" t="str">
        <f>IF(N119&lt;&gt;"/",VLOOKUP(N119,COST_Air_Bomb[#All],3),"/")</f>
        <v>/</v>
      </c>
      <c r="Q119" s="517">
        <f>IF(P$116="Error","Error",IF(O119&lt;&gt;"/",M119*O119,0))</f>
        <v>0</v>
      </c>
      <c r="R119" s="522">
        <f>IF(P$116="Error","Error",IF(P119&lt;&gt;"/",M119*P119,0))</f>
        <v>0</v>
      </c>
      <c r="S119" s="907"/>
      <c r="T119" s="908"/>
      <c r="U119" s="908"/>
      <c r="V119" s="908"/>
      <c r="W119" s="908"/>
      <c r="X119" s="909"/>
      <c r="Y119" s="274" t="s">
        <v>31</v>
      </c>
      <c r="Z119" s="104">
        <f>IF(Y$116="Error","Error",SUM(Z118:Z118))</f>
        <v>0</v>
      </c>
      <c r="AA119" s="585">
        <f>IF(Y$116="Error","Error",SUM(AA118:AA118))</f>
        <v>0</v>
      </c>
    </row>
    <row r="120" spans="1:51" ht="15" customHeight="1" x14ac:dyDescent="0.25">
      <c r="A120" s="927">
        <v>3</v>
      </c>
      <c r="B120" s="928" t="str">
        <f>IF(Paramètres!Y8=0,"",Paramètres!Y8)</f>
        <v/>
      </c>
      <c r="C120" s="781">
        <f t="shared" si="73"/>
        <v>0</v>
      </c>
      <c r="D120" s="574" t="str">
        <f t="shared" si="74"/>
        <v>/</v>
      </c>
      <c r="E120" s="107" t="str">
        <f>IF(G$116="Error","Error",IF(AND($E$116&lt;&gt;"/",$E$116&gt;'Paramètres - Admin'!$A4),'Paramètres - Admin'!$A5,"/"))</f>
        <v>/</v>
      </c>
      <c r="F120" s="517" t="str">
        <f>IF(E120&lt;&gt;"/",VLOOKUP(E120,COSTS_Bomb[#All],2),"/")</f>
        <v>/</v>
      </c>
      <c r="G120" s="94" t="str">
        <f>IF(E120&lt;&gt;"/",VLOOKUP(E120,COSTS_Bomb[#All],3),"/")</f>
        <v>/</v>
      </c>
      <c r="H120" s="517">
        <f t="shared" si="75"/>
        <v>0</v>
      </c>
      <c r="I120" s="522">
        <f>IF(G$68="Error","Error",IF(G120&lt;&gt;"/",D120*G120,0))</f>
        <v>0</v>
      </c>
      <c r="J120" s="927">
        <v>3</v>
      </c>
      <c r="K120" s="928" t="str">
        <f>IF(Paramètres!AB8=0,"",Paramètres!AB8)</f>
        <v/>
      </c>
      <c r="L120" s="781">
        <f>IF(L119&lt;&gt;0,L119+IF(AND(K119&lt;&gt;"",J119&lt;N$116),K119,0),IF(AND(K119&lt;&gt;"",J119&lt;N$116),K119,0))</f>
        <v>0</v>
      </c>
      <c r="M120" s="574" t="str">
        <f>IF(N120&lt;&gt;"/",IF($P$116="Error","Error",$Q$116+L120),"/")</f>
        <v>/</v>
      </c>
      <c r="N120" s="107" t="str">
        <f>IF(P$116="Error","Error",IF(AND($N$116&lt;&gt;"/",$N$116&gt;'Paramètres - Admin'!$A4),'Paramètres - Admin'!$A5,"/"))</f>
        <v>/</v>
      </c>
      <c r="O120" s="517" t="str">
        <f>IF(N120&lt;&gt;"/",VLOOKUP(N120,COST_Air_Bomb[#All],2),"/")</f>
        <v>/</v>
      </c>
      <c r="P120" s="94" t="str">
        <f>IF(N120&lt;&gt;"/",VLOOKUP(N120,COST_Air_Bomb[#All],3),"/")</f>
        <v>/</v>
      </c>
      <c r="Q120" s="517">
        <f>IF(P$116="Error","Error",IF(O120&lt;&gt;"/",M120*O120,0))</f>
        <v>0</v>
      </c>
      <c r="R120" s="522">
        <f>IF(P$116="Error","Error",IF(P120&lt;&gt;"/",M120*P120,0))</f>
        <v>0</v>
      </c>
      <c r="S120" s="1119" t="s">
        <v>564</v>
      </c>
      <c r="T120" s="1120"/>
      <c r="U120" s="1121"/>
      <c r="V120" s="512" t="s">
        <v>38</v>
      </c>
      <c r="W120" s="513" t="s">
        <v>39</v>
      </c>
      <c r="X120" s="527"/>
      <c r="Y120" s="512" t="s">
        <v>256</v>
      </c>
      <c r="Z120" s="514" t="s">
        <v>361</v>
      </c>
      <c r="AA120" s="513" t="s">
        <v>257</v>
      </c>
    </row>
    <row r="121" spans="1:51" ht="15" customHeight="1" thickBot="1" x14ac:dyDescent="0.3">
      <c r="A121" s="927">
        <v>4</v>
      </c>
      <c r="B121" s="928" t="str">
        <f>IF(Paramètres!Y9=0,"",Paramètres!Y9)</f>
        <v/>
      </c>
      <c r="C121" s="781">
        <f t="shared" si="73"/>
        <v>0</v>
      </c>
      <c r="D121" s="574" t="str">
        <f t="shared" si="74"/>
        <v>/</v>
      </c>
      <c r="E121" s="107" t="str">
        <f>IF(G$116="Error","Error",IF(AND($E$116&lt;&gt;"/",$E$116&gt;'Paramètres - Admin'!$A5),'Paramètres - Admin'!$A6,"/"))</f>
        <v>/</v>
      </c>
      <c r="F121" s="517" t="str">
        <f>IF(E121&lt;&gt;"/",VLOOKUP(E121,COSTS_Bomb[#All],2),"/")</f>
        <v>/</v>
      </c>
      <c r="G121" s="94" t="str">
        <f>IF(E121&lt;&gt;"/",VLOOKUP(E121,COSTS_Bomb[#All],3),"/")</f>
        <v>/</v>
      </c>
      <c r="H121" s="517">
        <f t="shared" si="75"/>
        <v>0</v>
      </c>
      <c r="I121" s="522">
        <f>IF(G$68="Error","Error",IF(G121&lt;&gt;"/",D121*G121,0))</f>
        <v>0</v>
      </c>
      <c r="J121" s="929">
        <v>4</v>
      </c>
      <c r="K121" s="930" t="str">
        <f>IF(Paramètres!AB9=0,"",Paramètres!AB9)</f>
        <v/>
      </c>
      <c r="L121" s="782">
        <f>IF(L120&lt;&gt;0,L120+IF(AND(K120&lt;&gt;"",J120&lt;N$116),K120,0),IF(AND(K120&lt;&gt;"",J120&lt;N$116),K120,0))</f>
        <v>0</v>
      </c>
      <c r="M121" s="575" t="str">
        <f>IF(N121&lt;&gt;"/",IF($P$116="Error","Error",$Q$116+L121),"/")</f>
        <v>/</v>
      </c>
      <c r="N121" s="113" t="str">
        <f>IF(P$116="Error","Error",IF(AND($N$116&lt;&gt;"/",$N$116&gt;'Paramètres - Admin'!$A5),'Paramètres - Admin'!$A6,"/"))</f>
        <v>/</v>
      </c>
      <c r="O121" s="115" t="str">
        <f>IF(N121&lt;&gt;"/",VLOOKUP(N121,COST_Air_Bomb[#All],2),"/")</f>
        <v>/</v>
      </c>
      <c r="P121" s="112" t="str">
        <f>IF(N121&lt;&gt;"/",VLOOKUP(N121,COST_Air_Bomb[#All],3),"/")</f>
        <v>/</v>
      </c>
      <c r="Q121" s="115">
        <f>IF(P$116="Error","Error",IF(O121&lt;&gt;"/",M121*O121,0))</f>
        <v>0</v>
      </c>
      <c r="R121" s="114">
        <f>IF(P$116="Error","Error",IF(P121&lt;&gt;"/",M121*P121,0))</f>
        <v>0</v>
      </c>
      <c r="S121" s="1122"/>
      <c r="T121" s="1123"/>
      <c r="U121" s="1124"/>
      <c r="V121" s="515">
        <f>VLOOKUP($A$2,AVAILABLE_Traps[#All],MATCH(S120,AVAILABLE_Traps[#Headers],0))</f>
        <v>0</v>
      </c>
      <c r="W121" s="516">
        <f>VLOOKUP($A$2,AVAILABLE_Traps[#All],MATCH(S120,AVAILABLE_Traps[#Headers],0)+1)</f>
        <v>0</v>
      </c>
      <c r="X121" s="528"/>
      <c r="Y121" s="518">
        <f>IF(SUM(T123:T125)&gt;V121,"Error",SUM(T123:T125))</f>
        <v>0</v>
      </c>
      <c r="Z121" s="519">
        <f>IF(Y$121="Error","Error",V121-Y121)</f>
        <v>0</v>
      </c>
      <c r="AA121" s="526">
        <f>IF(Y$121="Error","Error",SUM(V123:V125))</f>
        <v>0</v>
      </c>
    </row>
    <row r="122" spans="1:51" ht="15" customHeight="1" thickBot="1" x14ac:dyDescent="0.3">
      <c r="A122" s="927">
        <v>5</v>
      </c>
      <c r="B122" s="928" t="str">
        <f>IF(Paramètres!Y10=0,"",Paramètres!Y10)</f>
        <v/>
      </c>
      <c r="C122" s="781">
        <f t="shared" si="73"/>
        <v>0</v>
      </c>
      <c r="D122" s="574" t="str">
        <f t="shared" si="74"/>
        <v>/</v>
      </c>
      <c r="E122" s="107" t="str">
        <f>IF(G$116="Error","Error",IF(AND($E$116&lt;&gt;"/",$E$116&gt;'Paramètres - Admin'!$A6),'Paramètres - Admin'!$A7,"/"))</f>
        <v>/</v>
      </c>
      <c r="F122" s="517" t="str">
        <f>IF(E122&lt;&gt;"/",VLOOKUP(E122,COSTS_Bomb[#All],2),"/")</f>
        <v>/</v>
      </c>
      <c r="G122" s="94" t="str">
        <f>IF(E122&lt;&gt;"/",VLOOKUP(E122,COSTS_Bomb[#All],3),"/")</f>
        <v>/</v>
      </c>
      <c r="H122" s="517">
        <f t="shared" si="75"/>
        <v>0</v>
      </c>
      <c r="I122" s="522">
        <f>IF(G$68="Error","Error",IF(G122&lt;&gt;"/",D122*G122,0))</f>
        <v>0</v>
      </c>
      <c r="J122" s="907"/>
      <c r="K122" s="908"/>
      <c r="L122" s="908"/>
      <c r="M122" s="908"/>
      <c r="N122" s="908"/>
      <c r="O122" s="909"/>
      <c r="P122" s="274" t="s">
        <v>31</v>
      </c>
      <c r="Q122" s="104">
        <f>IF(P$116="Error","Error",SUM(Q118:Q121))</f>
        <v>0</v>
      </c>
      <c r="R122" s="585">
        <f>IF(P$116="Error","Error",SUM(R118:R121))</f>
        <v>0</v>
      </c>
      <c r="S122" s="520" t="s">
        <v>30</v>
      </c>
      <c r="T122" s="523" t="s">
        <v>29</v>
      </c>
      <c r="U122" s="521"/>
      <c r="V122" s="530" t="s">
        <v>29</v>
      </c>
      <c r="W122" s="531" t="s">
        <v>30</v>
      </c>
      <c r="X122" s="532" t="s">
        <v>258</v>
      </c>
      <c r="Y122" s="532" t="s">
        <v>259</v>
      </c>
      <c r="Z122" s="532" t="s">
        <v>232</v>
      </c>
      <c r="AA122" s="533" t="s">
        <v>233</v>
      </c>
    </row>
    <row r="123" spans="1:51" ht="15" customHeight="1" thickBot="1" x14ac:dyDescent="0.3">
      <c r="A123" s="929">
        <v>6</v>
      </c>
      <c r="B123" s="930" t="str">
        <f>IF(Paramètres!Y11=0,"",Paramètres!Y11)</f>
        <v/>
      </c>
      <c r="C123" s="782">
        <f t="shared" si="73"/>
        <v>0</v>
      </c>
      <c r="D123" s="575" t="str">
        <f t="shared" si="74"/>
        <v>/</v>
      </c>
      <c r="E123" s="113" t="str">
        <f>IF(G$116="Error","Error",IF(AND($E$116&lt;&gt;"/",$E$116&gt;'Paramètres - Admin'!$A7),'Paramètres - Admin'!$A8,"/"))</f>
        <v>/</v>
      </c>
      <c r="F123" s="115" t="str">
        <f>IF(E123&lt;&gt;"/",VLOOKUP(E123,COSTS_Bomb[#All],2),"/")</f>
        <v>/</v>
      </c>
      <c r="G123" s="112" t="str">
        <f>IF(E123&lt;&gt;"/",VLOOKUP(E123,COSTS_Bomb[#All],3),"/")</f>
        <v>/</v>
      </c>
      <c r="H123" s="115">
        <f t="shared" si="75"/>
        <v>0</v>
      </c>
      <c r="I123" s="114">
        <f>IF(G$116="Error","Error",IF(G123&lt;&gt;"/",D123*G123,0))</f>
        <v>0</v>
      </c>
      <c r="J123" s="1119" t="s">
        <v>562</v>
      </c>
      <c r="K123" s="1120"/>
      <c r="L123" s="1121"/>
      <c r="M123" s="512" t="s">
        <v>38</v>
      </c>
      <c r="N123" s="513" t="s">
        <v>39</v>
      </c>
      <c r="O123" s="527"/>
      <c r="P123" s="512" t="s">
        <v>256</v>
      </c>
      <c r="Q123" s="514" t="s">
        <v>361</v>
      </c>
      <c r="R123" s="513" t="s">
        <v>257</v>
      </c>
      <c r="S123" s="512">
        <v>1</v>
      </c>
      <c r="T123" s="926" t="str">
        <f>IF(Paramètres!AD6=0,"",Paramètres!AD6)</f>
        <v/>
      </c>
      <c r="U123" s="586">
        <f>IF(U122&lt;&gt;0,U122+IF(AND(T122&lt;&gt;"",S122&lt;W$121),T122,0),IF(AND(T122&lt;&gt;"",S122&lt;W$121),T122,0))</f>
        <v>0</v>
      </c>
      <c r="V123" s="573" t="str">
        <f>IF(W123&lt;&gt;"/",IF($Y$121="Error","Error",$Z$121+U123),"/")</f>
        <v>/</v>
      </c>
      <c r="W123" s="457" t="str">
        <f>IF(Y$121="Error","Error",IF(AND($W$121&lt;&gt;"/",$W$121&gt;'Paramètres - Admin'!$A2),'Paramètres - Admin'!$A3,"/"))</f>
        <v>/</v>
      </c>
      <c r="X123" s="86" t="str">
        <f>IF(W123&lt;&gt;"/",VLOOKUP(W123,COST_Skeleton_Trap[#All],2),"/")</f>
        <v>/</v>
      </c>
      <c r="Y123" s="458" t="str">
        <f>IF(W123&lt;&gt;"/",VLOOKUP(W123,COST_Skeleton_Trap[#All],3),"/")</f>
        <v>/</v>
      </c>
      <c r="Z123" s="86">
        <f>IF(Y$121="Error","Error",IF(X123&lt;&gt;"/",V123*X123,0))</f>
        <v>0</v>
      </c>
      <c r="AA123" s="459">
        <f>IF(Y$121="Error","Error",IF(Y123&lt;&gt;"/",V123*Y123,0))</f>
        <v>0</v>
      </c>
    </row>
    <row r="124" spans="1:51" ht="15" customHeight="1" thickBot="1" x14ac:dyDescent="0.3">
      <c r="A124" s="907"/>
      <c r="B124" s="908"/>
      <c r="C124" s="908"/>
      <c r="D124" s="908"/>
      <c r="E124" s="908"/>
      <c r="F124" s="909"/>
      <c r="G124" s="274" t="s">
        <v>31</v>
      </c>
      <c r="H124" s="104">
        <f>IF(G$116="Error","Error",SUM(H118:H123))</f>
        <v>0</v>
      </c>
      <c r="I124" s="585">
        <f>IF(G$116="Error","Error",SUM(I118:I123))</f>
        <v>0</v>
      </c>
      <c r="J124" s="1122"/>
      <c r="K124" s="1123"/>
      <c r="L124" s="1124"/>
      <c r="M124" s="515">
        <f>VLOOKUP($A$2,AVAILABLE_Traps[#All],MATCH(J123,AVAILABLE_Traps[#Headers],0))</f>
        <v>0</v>
      </c>
      <c r="N124" s="516">
        <f>VLOOKUP($A$2,AVAILABLE_Traps[#All],MATCH(J123,AVAILABLE_Traps[#Headers],0)+1)</f>
        <v>0</v>
      </c>
      <c r="O124" s="528"/>
      <c r="P124" s="518">
        <f>IF(SUM(K126:K128)&gt;M124,"Error",SUM(K126:K128))</f>
        <v>0</v>
      </c>
      <c r="Q124" s="519">
        <f>IF(P$124="Error","Error",M124-P124)</f>
        <v>0</v>
      </c>
      <c r="R124" s="526">
        <f>IF(P$124="Error","Error",SUM(M126:M128))</f>
        <v>0</v>
      </c>
      <c r="S124" s="927">
        <v>2</v>
      </c>
      <c r="T124" s="928" t="str">
        <f>IF(Paramètres!AD7=0,"",Paramètres!AD7)</f>
        <v/>
      </c>
      <c r="U124" s="781">
        <f>IF(U123&lt;&gt;0,U123+IF(AND(T123&lt;&gt;"",S123&lt;W$121),T123,0),IF(AND(T123&lt;&gt;"",S123&lt;W$121),T123,0))</f>
        <v>0</v>
      </c>
      <c r="V124" s="574" t="str">
        <f>IF(W124&lt;&gt;"/",IF($Y$121="Error","Error",$Z$121+U124),"/")</f>
        <v>/</v>
      </c>
      <c r="W124" s="107" t="str">
        <f>IF(Y$121="Error","Error",IF(AND($W$121&lt;&gt;"/",$W$121&gt;'Paramètres - Admin'!$A3),'Paramètres - Admin'!$A4,"/"))</f>
        <v>/</v>
      </c>
      <c r="X124" s="517" t="str">
        <f>IF(W124&lt;&gt;"/",VLOOKUP(W124,COST_Skeleton_Trap[#All],2),"/")</f>
        <v>/</v>
      </c>
      <c r="Y124" s="94" t="str">
        <f>IF(W124&lt;&gt;"/",VLOOKUP(W124,COST_Skeleton_Trap[#All],3),"/")</f>
        <v>/</v>
      </c>
      <c r="Z124" s="517">
        <f>IF(Y$121="Error","Error",IF(X124&lt;&gt;"/",V124*X124,0))</f>
        <v>0</v>
      </c>
      <c r="AA124" s="522">
        <f>IF(Y$121="Error","Error",IF(Y124&lt;&gt;"/",V124*Y124,0))</f>
        <v>0</v>
      </c>
    </row>
    <row r="125" spans="1:51" ht="15" customHeight="1" thickBot="1" x14ac:dyDescent="0.3">
      <c r="A125" s="1119" t="s">
        <v>558</v>
      </c>
      <c r="B125" s="1120"/>
      <c r="C125" s="1121"/>
      <c r="D125" s="512" t="s">
        <v>38</v>
      </c>
      <c r="E125" s="513" t="s">
        <v>39</v>
      </c>
      <c r="F125" s="527"/>
      <c r="G125" s="512" t="s">
        <v>256</v>
      </c>
      <c r="H125" s="514" t="s">
        <v>361</v>
      </c>
      <c r="I125" s="513" t="s">
        <v>257</v>
      </c>
      <c r="J125" s="520" t="s">
        <v>30</v>
      </c>
      <c r="K125" s="523" t="s">
        <v>29</v>
      </c>
      <c r="L125" s="521"/>
      <c r="M125" s="530" t="s">
        <v>29</v>
      </c>
      <c r="N125" s="531" t="s">
        <v>30</v>
      </c>
      <c r="O125" s="532" t="s">
        <v>258</v>
      </c>
      <c r="P125" s="532" t="s">
        <v>259</v>
      </c>
      <c r="Q125" s="532" t="s">
        <v>232</v>
      </c>
      <c r="R125" s="533" t="s">
        <v>233</v>
      </c>
      <c r="S125" s="929">
        <v>3</v>
      </c>
      <c r="T125" s="930" t="str">
        <f>IF(Paramètres!AD8=0,"",Paramètres!AD8)</f>
        <v/>
      </c>
      <c r="U125" s="782">
        <f>IF(U124&lt;&gt;0,U124+IF(AND(T124&lt;&gt;"",S124&lt;W$121),T124,0),IF(AND(T124&lt;&gt;"",S124&lt;W$121),T124,0))</f>
        <v>0</v>
      </c>
      <c r="V125" s="575" t="str">
        <f>IF(W125&lt;&gt;"/",IF($Y$121="Error","Error",$Z$121+U125),"/")</f>
        <v>/</v>
      </c>
      <c r="W125" s="113" t="str">
        <f>IF(Y$121="Error","Error",IF(AND($W$121&lt;&gt;"/",$W$121&gt;'Paramètres - Admin'!$A4),'Paramètres - Admin'!$A5,"/"))</f>
        <v>/</v>
      </c>
      <c r="X125" s="115" t="str">
        <f>IF(W125&lt;&gt;"/",VLOOKUP(W125,COST_Skeleton_Trap[#All],2),"/")</f>
        <v>/</v>
      </c>
      <c r="Y125" s="112" t="str">
        <f>IF(W125&lt;&gt;"/",VLOOKUP(W125,COST_Skeleton_Trap[#All],3),"/")</f>
        <v>/</v>
      </c>
      <c r="Z125" s="115">
        <f>IF(Y$121="Error","Error",IF(X125&lt;&gt;"/",V125*X125,0))</f>
        <v>0</v>
      </c>
      <c r="AA125" s="114">
        <f>IF(Y$121="Error","Error",IF(Y125&lt;&gt;"/",V125*Y125,0))</f>
        <v>0</v>
      </c>
    </row>
    <row r="126" spans="1:51" ht="15" customHeight="1" thickBot="1" x14ac:dyDescent="0.3">
      <c r="A126" s="1122"/>
      <c r="B126" s="1123"/>
      <c r="C126" s="1124"/>
      <c r="D126" s="515">
        <f>VLOOKUP($A$2,AVAILABLE_Traps[#All],MATCH(A125,AVAILABLE_Traps[#Headers],0))</f>
        <v>0</v>
      </c>
      <c r="E126" s="516">
        <f>VLOOKUP($A$2,AVAILABLE_Traps[#All],MATCH(A125,AVAILABLE_Traps[#Headers],0)+1)</f>
        <v>0</v>
      </c>
      <c r="F126" s="528"/>
      <c r="G126" s="518">
        <f>IF(SUM(B128:B131)&gt;D126,"Error",SUM(B128:B131))</f>
        <v>0</v>
      </c>
      <c r="H126" s="519">
        <f>IF(G$126="Error","Error",D126-G126)</f>
        <v>0</v>
      </c>
      <c r="I126" s="526">
        <f>IF(G$126="Error","Error",SUM(D128:D131))</f>
        <v>0</v>
      </c>
      <c r="J126" s="512">
        <v>1</v>
      </c>
      <c r="K126" s="926" t="str">
        <f>IF(Paramètres!AC6=0,"",Paramètres!AC6)</f>
        <v/>
      </c>
      <c r="L126" s="586">
        <f>IF(L125&lt;&gt;0,L125+IF(AND(K125&lt;&gt;"",J125&lt;N$124),K125,0),IF(AND(K125&lt;&gt;"",J125&lt;N$124),K125,0))</f>
        <v>0</v>
      </c>
      <c r="M126" s="573" t="str">
        <f>IF(N126&lt;&gt;"/",IF($P$124="Error","Error",$Q$124+L126),"/")</f>
        <v>/</v>
      </c>
      <c r="N126" s="457" t="str">
        <f>IF(P$124="Error","Error",IF(AND($N$124&lt;&gt;"/",$N$124&gt;'Paramètres - Admin'!$A2),'Paramètres - Admin'!$A3,"/"))</f>
        <v>/</v>
      </c>
      <c r="O126" s="86" t="str">
        <f>IF(N126&lt;&gt;"/",VLOOKUP(N126,COST_Seeking_Air_Mine[#All],2),"/")</f>
        <v>/</v>
      </c>
      <c r="P126" s="458" t="str">
        <f>IF(N126&lt;&gt;"/",VLOOKUP(N126,COST_Seeking_Air_Mine[#All],3),"/")</f>
        <v>/</v>
      </c>
      <c r="Q126" s="86">
        <f>IF(P$124="Error","Error",IF(O126&lt;&gt;"/",M126*O126,0))</f>
        <v>0</v>
      </c>
      <c r="R126" s="459">
        <f>IF(P$124="Error","Error",IF(P126&lt;&gt;"/",M126*P126,0))</f>
        <v>0</v>
      </c>
      <c r="S126" s="907"/>
      <c r="T126" s="908"/>
      <c r="U126" s="908"/>
      <c r="V126" s="908"/>
      <c r="W126" s="908"/>
      <c r="X126" s="909"/>
      <c r="Y126" s="274" t="s">
        <v>31</v>
      </c>
      <c r="Z126" s="104">
        <f>IF(Y$121="Error","Error",SUM(Z123:Z125))</f>
        <v>0</v>
      </c>
      <c r="AA126" s="585">
        <f>IF(Y$121="Error","Error",SUM(AA123:AA125))</f>
        <v>0</v>
      </c>
    </row>
    <row r="127" spans="1:51" ht="15" customHeight="1" thickBot="1" x14ac:dyDescent="0.3">
      <c r="A127" s="520" t="s">
        <v>30</v>
      </c>
      <c r="B127" s="523" t="s">
        <v>29</v>
      </c>
      <c r="C127" s="521"/>
      <c r="D127" s="530" t="s">
        <v>29</v>
      </c>
      <c r="E127" s="531" t="s">
        <v>30</v>
      </c>
      <c r="F127" s="532" t="s">
        <v>258</v>
      </c>
      <c r="G127" s="532" t="s">
        <v>259</v>
      </c>
      <c r="H127" s="532" t="s">
        <v>232</v>
      </c>
      <c r="I127" s="533" t="s">
        <v>233</v>
      </c>
      <c r="J127" s="927">
        <v>2</v>
      </c>
      <c r="K127" s="928" t="str">
        <f>IF(Paramètres!AC7=0,"",Paramètres!AC7)</f>
        <v/>
      </c>
      <c r="L127" s="781">
        <f>IF(L126&lt;&gt;0,L126+IF(AND(K126&lt;&gt;"",J126&lt;N$124),K126,0),IF(AND(K126&lt;&gt;"",J126&lt;N$124),K126,0))</f>
        <v>0</v>
      </c>
      <c r="M127" s="574" t="str">
        <f>IF(N127&lt;&gt;"/",IF($P$124="Error","Error",$Q$124+L127),"/")</f>
        <v>/</v>
      </c>
      <c r="N127" s="107" t="str">
        <f>IF(P$124="Error","Error",IF(AND($N$124&lt;&gt;"/",$N$124&gt;'Paramètres - Admin'!$A3),'Paramètres - Admin'!$A4,"/"))</f>
        <v>/</v>
      </c>
      <c r="O127" s="517" t="str">
        <f>IF(N127&lt;&gt;"/",VLOOKUP(N127,COST_Seeking_Air_Mine[#All],2),"/")</f>
        <v>/</v>
      </c>
      <c r="P127" s="94" t="str">
        <f>IF(N127&lt;&gt;"/",VLOOKUP(N127,COST_Seeking_Air_Mine[#All],3),"/")</f>
        <v>/</v>
      </c>
      <c r="Q127" s="517">
        <f>IF(P$124="Error","Error",IF(O127&lt;&gt;"/",M127*O127,0))</f>
        <v>0</v>
      </c>
      <c r="R127" s="522">
        <f>IF(P$124="Error","Error",IF(P127&lt;&gt;"/",M127*P127,0))</f>
        <v>0</v>
      </c>
      <c r="AO127" s="525"/>
      <c r="AP127" s="525"/>
      <c r="AQ127" s="525"/>
      <c r="AR127" s="525"/>
      <c r="AS127" s="525"/>
      <c r="AT127" s="525"/>
      <c r="AU127" s="525"/>
      <c r="AV127" s="525"/>
      <c r="AW127" s="525"/>
      <c r="AX127" s="525"/>
      <c r="AY127" s="525"/>
    </row>
    <row r="128" spans="1:51" ht="15" customHeight="1" thickBot="1" x14ac:dyDescent="0.3">
      <c r="A128" s="512">
        <v>1</v>
      </c>
      <c r="B128" s="926" t="str">
        <f>IF(Paramètres!AA6=0,"",Paramètres!AA6)</f>
        <v/>
      </c>
      <c r="C128" s="586">
        <f>IF(C127&lt;&gt;0,C127+IF(AND(B127&lt;&gt;"",A127&lt;E$126),B127,0),IF(AND(B127&lt;&gt;"",A127&lt;E$126),B127,0))</f>
        <v>0</v>
      </c>
      <c r="D128" s="573" t="str">
        <f>IF(E128&lt;&gt;"/",IF($G$126="Error","Error",$H$126+C128),"/")</f>
        <v>/</v>
      </c>
      <c r="E128" s="457" t="str">
        <f>IF(G$126="Error","Error",IF(AND($E$126&lt;&gt;"/",$E$126&gt;'Paramètres - Admin'!$A2),'Paramètres - Admin'!$A3,"/"))</f>
        <v>/</v>
      </c>
      <c r="F128" s="86" t="str">
        <f>IF(E128&lt;&gt;"/",VLOOKUP(E128,COSTS_Giant_Bomb[#All],2),"/")</f>
        <v>/</v>
      </c>
      <c r="G128" s="458" t="str">
        <f>IF(E128&lt;&gt;"/",VLOOKUP(E128,COSTS_Giant_Bomb[#All],3),"/")</f>
        <v>/</v>
      </c>
      <c r="H128" s="86">
        <f>IF(G$126="Error","Error",IF(F128&lt;&gt;"/",D128*F128,0))</f>
        <v>0</v>
      </c>
      <c r="I128" s="459">
        <f>IF(G$126="Error","Error",IF(G128&lt;&gt;"/",D128*G128,0))</f>
        <v>0</v>
      </c>
      <c r="J128" s="929">
        <v>3</v>
      </c>
      <c r="K128" s="930" t="str">
        <f>IF(Paramètres!AC8=0,"",Paramètres!AC8)</f>
        <v/>
      </c>
      <c r="L128" s="782">
        <f>IF(L127&lt;&gt;0,L127+IF(AND(K127&lt;&gt;"",J127&lt;N$124),K127,0),IF(AND(K127&lt;&gt;"",J127&lt;N$124),K127,0))</f>
        <v>0</v>
      </c>
      <c r="M128" s="575" t="str">
        <f>IF(N128&lt;&gt;"/",IF($P$124="Error","Error",$Q$124+L128),"/")</f>
        <v>/</v>
      </c>
      <c r="N128" s="113" t="str">
        <f>IF(P$124="Error","Error",IF(AND($N$124&lt;&gt;"/",$N$124&gt;'Paramètres - Admin'!$A4),'Paramètres - Admin'!$A5,"/"))</f>
        <v>/</v>
      </c>
      <c r="O128" s="115" t="str">
        <f>IF(N128&lt;&gt;"/",VLOOKUP(N128,COST_Seeking_Air_Mine[#All],2),"/")</f>
        <v>/</v>
      </c>
      <c r="P128" s="112" t="str">
        <f>IF(N128&lt;&gt;"/",VLOOKUP(N128,COST_Seeking_Air_Mine[#All],3),"/")</f>
        <v>/</v>
      </c>
      <c r="Q128" s="115">
        <f>IF(P$124="Error","Error",IF(O128&lt;&gt;"/",M128*O128,0))</f>
        <v>0</v>
      </c>
      <c r="R128" s="114">
        <f>IF(P$124="Error","Error",IF(P128&lt;&gt;"/",M128*P128,0))</f>
        <v>0</v>
      </c>
      <c r="AO128" s="525"/>
      <c r="AP128" s="525"/>
      <c r="AQ128" s="525"/>
      <c r="AR128" s="525"/>
      <c r="AS128" s="525"/>
      <c r="AT128" s="525"/>
      <c r="AU128" s="525"/>
      <c r="AV128" s="525"/>
      <c r="AW128" s="525"/>
      <c r="AX128" s="525"/>
      <c r="AY128" s="525"/>
    </row>
    <row r="129" spans="1:19" s="525" customFormat="1" ht="15" customHeight="1" thickBot="1" x14ac:dyDescent="0.3">
      <c r="A129" s="927">
        <v>2</v>
      </c>
      <c r="B129" s="928" t="str">
        <f>IF(Paramètres!AA7=0,"",Paramètres!AA7)</f>
        <v/>
      </c>
      <c r="C129" s="781">
        <f>IF(C128&lt;&gt;0,C128+IF(AND(B128&lt;&gt;"",A128&lt;E$126),B128,0),IF(AND(B128&lt;&gt;"",A128&lt;E$126),B128,0))</f>
        <v>0</v>
      </c>
      <c r="D129" s="574" t="str">
        <f>IF(E129&lt;&gt;"/",IF($G$126="Error","Error",$H$126+C129),"/")</f>
        <v>/</v>
      </c>
      <c r="E129" s="107" t="str">
        <f>IF(G$126="Error","Error",IF(AND($E$126&lt;&gt;"/",$E$126&gt;'Paramètres - Admin'!$A3),'Paramètres - Admin'!$A4,"/"))</f>
        <v>/</v>
      </c>
      <c r="F129" s="517" t="str">
        <f>IF(E129&lt;&gt;"/",VLOOKUP(E129,COSTS_Giant_Bomb[#All],2),"/")</f>
        <v>/</v>
      </c>
      <c r="G129" s="94" t="str">
        <f>IF(E129&lt;&gt;"/",VLOOKUP(E129,COSTS_Giant_Bomb[#All],3),"/")</f>
        <v>/</v>
      </c>
      <c r="H129" s="517">
        <f>IF(G$126="Error","Error",IF(F129&lt;&gt;"/",D129*F129,0))</f>
        <v>0</v>
      </c>
      <c r="I129" s="522">
        <f>IF(G$126="Error","Error",IF(G129&lt;&gt;"/",D129*G129,0))</f>
        <v>0</v>
      </c>
      <c r="J129" s="907"/>
      <c r="K129" s="908"/>
      <c r="L129" s="908"/>
      <c r="M129" s="908"/>
      <c r="N129" s="908"/>
      <c r="O129" s="909"/>
      <c r="P129" s="274" t="s">
        <v>31</v>
      </c>
      <c r="Q129" s="104">
        <f>IF(P$124="Error","Error",SUM(Q126:Q128))</f>
        <v>0</v>
      </c>
      <c r="R129" s="585">
        <f>IF(P$124="Error","Error",SUM(R126:R128))</f>
        <v>0</v>
      </c>
    </row>
    <row r="130" spans="1:19" s="525" customFormat="1" ht="15" customHeight="1" x14ac:dyDescent="0.25">
      <c r="A130" s="927">
        <v>3</v>
      </c>
      <c r="B130" s="928" t="str">
        <f>IF(Paramètres!AA8=0,"",Paramètres!AA8)</f>
        <v/>
      </c>
      <c r="C130" s="781">
        <f>IF(C129&lt;&gt;0,C129+IF(AND(B129&lt;&gt;"",A129&lt;E$126),B129,0),IF(AND(B129&lt;&gt;"",A129&lt;E$126),B129,0))</f>
        <v>0</v>
      </c>
      <c r="D130" s="574" t="str">
        <f>IF(E130&lt;&gt;"/",IF($G$126="Error","Error",$H$126+C130),"/")</f>
        <v>/</v>
      </c>
      <c r="E130" s="107" t="str">
        <f>IF(G$126="Error","Error",IF(AND($E$126&lt;&gt;"/",$E$126&gt;'Paramètres - Admin'!$A4),'Paramètres - Admin'!$A5,"/"))</f>
        <v>/</v>
      </c>
      <c r="F130" s="517" t="str">
        <f>IF(E130&lt;&gt;"/",VLOOKUP(E130,COSTS_Giant_Bomb[#All],2),"/")</f>
        <v>/</v>
      </c>
      <c r="G130" s="94" t="str">
        <f>IF(E130&lt;&gt;"/",VLOOKUP(E130,COSTS_Giant_Bomb[#All],3),"/")</f>
        <v>/</v>
      </c>
      <c r="H130" s="517">
        <f>IF(G$126="Error","Error",IF(F130&lt;&gt;"/",D130*F130,0))</f>
        <v>0</v>
      </c>
      <c r="I130" s="522">
        <f>IF(G$126="Error","Error",IF(G130&lt;&gt;"/",D130*G130,0))</f>
        <v>0</v>
      </c>
    </row>
    <row r="131" spans="1:19" s="525" customFormat="1" ht="15" customHeight="1" thickBot="1" x14ac:dyDescent="0.3">
      <c r="A131" s="929">
        <v>4</v>
      </c>
      <c r="B131" s="930" t="str">
        <f>IF(Paramètres!AA9=0,"",Paramètres!AA9)</f>
        <v/>
      </c>
      <c r="C131" s="782">
        <f>IF(C130&lt;&gt;0,C130+IF(AND(B130&lt;&gt;"",A130&lt;E$126),B130,0),IF(AND(B130&lt;&gt;"",A130&lt;E$126),B130,0))</f>
        <v>0</v>
      </c>
      <c r="D131" s="575" t="str">
        <f>IF(E131&lt;&gt;"/",IF($G$126="Error","Error",$H$126+C131),"/")</f>
        <v>/</v>
      </c>
      <c r="E131" s="113" t="str">
        <f>IF(G$126="Error","Error",IF(AND($E$126&lt;&gt;"/",$E$126&gt;'Paramètres - Admin'!$A5),'Paramètres - Admin'!$A6,"/"))</f>
        <v>/</v>
      </c>
      <c r="F131" s="115" t="str">
        <f>IF(E131&lt;&gt;"/",VLOOKUP(E131,COSTS_Giant_Bomb[#All],2),"/")</f>
        <v>/</v>
      </c>
      <c r="G131" s="112" t="str">
        <f>IF(E131&lt;&gt;"/",VLOOKUP(E131,COSTS_Giant_Bomb[#All],3),"/")</f>
        <v>/</v>
      </c>
      <c r="H131" s="115">
        <f>IF(G$126="Error","Error",IF(F131&lt;&gt;"/",D131*F131,0))</f>
        <v>0</v>
      </c>
      <c r="I131" s="114">
        <f>IF(G$126="Error","Error",IF(G131&lt;&gt;"/",D131*G131,0))</f>
        <v>0</v>
      </c>
    </row>
    <row r="132" spans="1:19" s="525" customFormat="1" ht="15" customHeight="1" thickBot="1" x14ac:dyDescent="0.3">
      <c r="A132" s="907"/>
      <c r="B132" s="908"/>
      <c r="C132" s="908"/>
      <c r="D132" s="908"/>
      <c r="E132" s="908"/>
      <c r="F132" s="909"/>
      <c r="G132" s="274" t="s">
        <v>31</v>
      </c>
      <c r="H132" s="104">
        <f>IF(G$126="Error","Error",SUM(H128:H131))</f>
        <v>0</v>
      </c>
      <c r="I132" s="585">
        <f>IF(G$126="Error","Error",SUM(I128:I131))</f>
        <v>0</v>
      </c>
    </row>
    <row r="133" spans="1:19" s="525" customFormat="1" ht="15" customHeight="1" x14ac:dyDescent="0.25">
      <c r="L133" s="128"/>
      <c r="M133" s="128"/>
      <c r="N133" s="128"/>
      <c r="O133" s="128"/>
      <c r="P133" s="128"/>
      <c r="Q133" s="128"/>
      <c r="R133" s="128"/>
      <c r="S133" s="128"/>
    </row>
    <row r="134" spans="1:19" s="525" customFormat="1" ht="15" customHeight="1" thickBot="1" x14ac:dyDescent="0.3"/>
    <row r="135" spans="1:19" s="525" customFormat="1" ht="19.5" customHeight="1" thickBot="1" x14ac:dyDescent="0.3">
      <c r="A135" s="1173" t="s">
        <v>180</v>
      </c>
      <c r="B135" s="1174"/>
      <c r="C135" s="1174"/>
      <c r="D135" s="1174"/>
      <c r="E135" s="1174"/>
      <c r="F135" s="1174"/>
      <c r="G135" s="1174"/>
      <c r="H135" s="1174"/>
      <c r="I135" s="1174"/>
      <c r="J135" s="1174"/>
      <c r="K135" s="1174"/>
      <c r="L135" s="1174"/>
      <c r="M135" s="1174"/>
      <c r="N135" s="1174"/>
      <c r="O135" s="1174"/>
      <c r="P135" s="1174"/>
      <c r="Q135" s="1174"/>
      <c r="R135" s="1174"/>
    </row>
    <row r="136" spans="1:19" s="525" customFormat="1" ht="15" customHeight="1" x14ac:dyDescent="0.25">
      <c r="A136" s="1119" t="s">
        <v>197</v>
      </c>
      <c r="B136" s="1120"/>
      <c r="C136" s="1121"/>
      <c r="D136" s="80" t="s">
        <v>38</v>
      </c>
      <c r="E136" s="81" t="s">
        <v>39</v>
      </c>
      <c r="F136" s="82"/>
      <c r="G136" s="512" t="s">
        <v>256</v>
      </c>
      <c r="H136" s="514" t="s">
        <v>361</v>
      </c>
      <c r="I136" s="513" t="s">
        <v>257</v>
      </c>
      <c r="J136" s="1119" t="s">
        <v>198</v>
      </c>
      <c r="K136" s="1120"/>
      <c r="L136" s="1121"/>
      <c r="M136" s="80" t="s">
        <v>38</v>
      </c>
      <c r="N136" s="81" t="s">
        <v>39</v>
      </c>
      <c r="O136" s="82"/>
      <c r="P136" s="512" t="s">
        <v>256</v>
      </c>
      <c r="Q136" s="514" t="s">
        <v>361</v>
      </c>
      <c r="R136" s="513" t="s">
        <v>257</v>
      </c>
    </row>
    <row r="137" spans="1:19" s="525" customFormat="1" ht="15" customHeight="1" thickBot="1" x14ac:dyDescent="0.3">
      <c r="A137" s="1122"/>
      <c r="B137" s="1123"/>
      <c r="C137" s="1124"/>
      <c r="D137" s="88">
        <f>VLOOKUP($A$2,AVAILABLE_Buildings_Other[#All],MATCH(A136,AVAILABLE_Buildings_Other[#Headers],0))</f>
        <v>1</v>
      </c>
      <c r="E137" s="89">
        <f>VLOOKUP($A$2,AVAILABLE_Buildings_Other[#All],MATCH(A136,AVAILABLE_Buildings_Other[#Headers],0)+1)</f>
        <v>2</v>
      </c>
      <c r="F137" s="201"/>
      <c r="G137" s="96">
        <f>IF(SUM(B139:B149)&gt;D137,"Error",SUM(B139:B149))</f>
        <v>1</v>
      </c>
      <c r="H137" s="97">
        <f>IF(G$137="Error","Error",D137-G137)</f>
        <v>0</v>
      </c>
      <c r="I137" s="202">
        <f>IF(G$137="Error","Error",SUM(D139:D149))</f>
        <v>1</v>
      </c>
      <c r="J137" s="1122"/>
      <c r="K137" s="1123"/>
      <c r="L137" s="1124"/>
      <c r="M137" s="515">
        <f>VLOOKUP($A$2,AVAILABLE_Buildings_Other[#All],MATCH(J136,AVAILABLE_Buildings_Other[#Headers],0))</f>
        <v>0</v>
      </c>
      <c r="N137" s="516">
        <f>VLOOKUP($A$2,AVAILABLE_Buildings_Other[#All],MATCH(J136,AVAILABLE_Buildings_Other[#Headers],0)+1)</f>
        <v>0</v>
      </c>
      <c r="O137" s="201"/>
      <c r="P137" s="96">
        <f>IF(SUM(K139:K144)&gt;M137,"Error",SUM(K139:K144))</f>
        <v>0</v>
      </c>
      <c r="Q137" s="97">
        <f>IF(P$137="Error","Error",M137-P137)</f>
        <v>0</v>
      </c>
      <c r="R137" s="202">
        <f>IF(P$137="Error","Error",SUM(M139:M144))</f>
        <v>0</v>
      </c>
    </row>
    <row r="138" spans="1:19" s="525" customFormat="1" ht="15" customHeight="1" thickBot="1" x14ac:dyDescent="0.3">
      <c r="A138" s="204" t="s">
        <v>30</v>
      </c>
      <c r="B138" s="100" t="s">
        <v>29</v>
      </c>
      <c r="C138" s="566"/>
      <c r="D138" s="455" t="s">
        <v>29</v>
      </c>
      <c r="E138" s="456" t="s">
        <v>30</v>
      </c>
      <c r="F138" s="226" t="s">
        <v>258</v>
      </c>
      <c r="G138" s="226" t="s">
        <v>259</v>
      </c>
      <c r="H138" s="226" t="s">
        <v>232</v>
      </c>
      <c r="I138" s="227" t="s">
        <v>233</v>
      </c>
      <c r="J138" s="99" t="s">
        <v>30</v>
      </c>
      <c r="K138" s="100" t="s">
        <v>29</v>
      </c>
      <c r="L138" s="566"/>
      <c r="M138" s="455" t="s">
        <v>29</v>
      </c>
      <c r="N138" s="456" t="s">
        <v>30</v>
      </c>
      <c r="O138" s="226" t="s">
        <v>258</v>
      </c>
      <c r="P138" s="226" t="s">
        <v>259</v>
      </c>
      <c r="Q138" s="226" t="s">
        <v>232</v>
      </c>
      <c r="R138" s="227" t="s">
        <v>233</v>
      </c>
    </row>
    <row r="139" spans="1:19" s="525" customFormat="1" ht="15" customHeight="1" x14ac:dyDescent="0.25">
      <c r="A139" s="512">
        <v>1</v>
      </c>
      <c r="B139" s="926">
        <f>IF(Paramètres!AF6=0,"",Paramètres!AF6)</f>
        <v>1</v>
      </c>
      <c r="C139" s="586">
        <f t="shared" ref="C139:C149" si="76">IF(C138&lt;&gt;0,C138+IF(AND(B138&lt;&gt;"",A138&lt;E$137),B138,0),IF(AND(B138&lt;&gt;"",A138&lt;E$137),B138,0))</f>
        <v>0</v>
      </c>
      <c r="D139" s="573">
        <f t="shared" ref="D139:D149" si="77">IF(E139&lt;&gt;"/",IF(G$137="Error","Error",$H$137+C139),"/")</f>
        <v>0</v>
      </c>
      <c r="E139" s="457">
        <f>IF(G$137="Error","Error",IF(AND($E$137&lt;&gt;"/",$E$137&gt;'Paramètres - Admin'!$A2),'Paramètres - Admin'!$A3,"/"))</f>
        <v>1</v>
      </c>
      <c r="F139" s="86">
        <f>IF(E139&lt;&gt;"/",VLOOKUP(E139,COSTS_Town_Home[#All],2),"/")</f>
        <v>0</v>
      </c>
      <c r="G139" s="458">
        <f>IF(E139&lt;&gt;"/",VLOOKUP(E139,COSTS_Town_Home[#All],3),"/")</f>
        <v>0</v>
      </c>
      <c r="H139" s="86">
        <f t="shared" ref="H139:H149" si="78">IF(G$137="Error","Error",IF(F139&lt;&gt;"/",D139*F139,0))</f>
        <v>0</v>
      </c>
      <c r="I139" s="459">
        <f t="shared" ref="I139:I149" si="79">IF(G$137="Error","Error",IF(G139&lt;&gt;"/",D139*G139,0))</f>
        <v>0</v>
      </c>
      <c r="J139" s="512">
        <v>1</v>
      </c>
      <c r="K139" s="926" t="str">
        <f>IF(Paramètres!AE6=0,"",Paramètres!AE6)</f>
        <v/>
      </c>
      <c r="L139" s="586">
        <f t="shared" ref="L139:L144" si="80">IF(L138&lt;&gt;0,L138+IF(AND(K138&lt;&gt;"",J138&lt;N$137),K138,0),IF(AND(K138&lt;&gt;"",J138&lt;N$137),K138,0))</f>
        <v>0</v>
      </c>
      <c r="M139" s="573" t="str">
        <f t="shared" ref="M139:M144" si="81">IF(N139&lt;&gt;"/",IF(P$137="Error","Error",$Q$137+L139),"/")</f>
        <v>/</v>
      </c>
      <c r="N139" s="457" t="str">
        <f>IF(P$137="Error","Error",IF(AND($N$137&lt;&gt;"/",$N$137&gt;'Paramètres - Admin'!$A2),'Paramètres - Admin'!$A3,"/"))</f>
        <v>/</v>
      </c>
      <c r="O139" s="86" t="str">
        <f>IF(N139&lt;&gt;"/",VLOOKUP(N139,COSTS_Clan_Castle[#All],2),"/")</f>
        <v>/</v>
      </c>
      <c r="P139" s="458" t="str">
        <f>IF(N139&lt;&gt;"/",VLOOKUP(N139,COSTS_Clan_Castle[#All],3),"/")</f>
        <v>/</v>
      </c>
      <c r="Q139" s="86">
        <f t="shared" ref="Q139:Q144" si="82">IF(P$137="Error","Error",IF(O139&lt;&gt;"/",M139*O139,0))</f>
        <v>0</v>
      </c>
      <c r="R139" s="459">
        <f t="shared" ref="R139:R144" si="83">IF(P$137="Error","Error",IF(P139&lt;&gt;"/",M139*P139,0))</f>
        <v>0</v>
      </c>
    </row>
    <row r="140" spans="1:19" s="525" customFormat="1" ht="15" customHeight="1" x14ac:dyDescent="0.25">
      <c r="A140" s="927">
        <v>2</v>
      </c>
      <c r="B140" s="928" t="str">
        <f>IF(Paramètres!AF7=0,"",Paramètres!AF7)</f>
        <v/>
      </c>
      <c r="C140" s="781">
        <f t="shared" si="76"/>
        <v>1</v>
      </c>
      <c r="D140" s="574">
        <f t="shared" si="77"/>
        <v>1</v>
      </c>
      <c r="E140" s="107">
        <f>IF(G$137="Error","Error",IF(AND($E$137&lt;&gt;"/",$E$137&gt;'Paramètres - Admin'!$A3),'Paramètres - Admin'!$A4,"/"))</f>
        <v>2</v>
      </c>
      <c r="F140" s="517">
        <f>IF(E140&lt;&gt;"/",VLOOKUP(E140,COSTS_Town_Home[#All],2),"/")</f>
        <v>1000</v>
      </c>
      <c r="G140" s="94">
        <f>IF(E140&lt;&gt;"/",VLOOKUP(E140,COSTS_Town_Home[#All],3),"/")</f>
        <v>8.3333333333333329E-2</v>
      </c>
      <c r="H140" s="517">
        <f t="shared" si="78"/>
        <v>1000</v>
      </c>
      <c r="I140" s="522">
        <f t="shared" si="79"/>
        <v>8.3333333333333329E-2</v>
      </c>
      <c r="J140" s="927">
        <v>2</v>
      </c>
      <c r="K140" s="928" t="str">
        <f>IF(Paramètres!AE7=0,"",Paramètres!AE7)</f>
        <v/>
      </c>
      <c r="L140" s="781">
        <f t="shared" si="80"/>
        <v>0</v>
      </c>
      <c r="M140" s="574" t="str">
        <f t="shared" si="81"/>
        <v>/</v>
      </c>
      <c r="N140" s="107" t="str">
        <f>IF(P$137="Error","Error",IF(AND($N$137&lt;&gt;"/",$N$137&gt;'Paramètres - Admin'!$A3),'Paramètres - Admin'!$A4,"/"))</f>
        <v>/</v>
      </c>
      <c r="O140" s="517" t="str">
        <f>IF(N140&lt;&gt;"/",VLOOKUP(N140,COSTS_Clan_Castle[#All],2),"/")</f>
        <v>/</v>
      </c>
      <c r="P140" s="94" t="str">
        <f>IF(N140&lt;&gt;"/",VLOOKUP(N140,COSTS_Clan_Castle[#All],3),"/")</f>
        <v>/</v>
      </c>
      <c r="Q140" s="517">
        <f t="shared" si="82"/>
        <v>0</v>
      </c>
      <c r="R140" s="522">
        <f t="shared" si="83"/>
        <v>0</v>
      </c>
    </row>
    <row r="141" spans="1:19" s="525" customFormat="1" ht="15" customHeight="1" x14ac:dyDescent="0.25">
      <c r="A141" s="927">
        <v>3</v>
      </c>
      <c r="B141" s="928" t="str">
        <f>IF(Paramètres!AF8=0,"",Paramètres!AF8)</f>
        <v/>
      </c>
      <c r="C141" s="781">
        <f t="shared" si="76"/>
        <v>1</v>
      </c>
      <c r="D141" s="574" t="str">
        <f t="shared" si="77"/>
        <v>/</v>
      </c>
      <c r="E141" s="107" t="str">
        <f>IF(G$137="Error","Error",IF(AND($E$137&lt;&gt;"/",$E$137&gt;'Paramètres - Admin'!$A4),'Paramètres - Admin'!$A5,"/"))</f>
        <v>/</v>
      </c>
      <c r="F141" s="517" t="str">
        <f>IF(E141&lt;&gt;"/",VLOOKUP(E141,COSTS_Town_Home[#All],2),"/")</f>
        <v>/</v>
      </c>
      <c r="G141" s="94" t="str">
        <f>IF(E141&lt;&gt;"/",VLOOKUP(E141,COSTS_Town_Home[#All],3),"/")</f>
        <v>/</v>
      </c>
      <c r="H141" s="517">
        <f t="shared" si="78"/>
        <v>0</v>
      </c>
      <c r="I141" s="522">
        <f t="shared" si="79"/>
        <v>0</v>
      </c>
      <c r="J141" s="927">
        <v>3</v>
      </c>
      <c r="K141" s="928" t="str">
        <f>IF(Paramètres!AE8=0,"",Paramètres!AE8)</f>
        <v/>
      </c>
      <c r="L141" s="781">
        <f t="shared" si="80"/>
        <v>0</v>
      </c>
      <c r="M141" s="574" t="str">
        <f t="shared" si="81"/>
        <v>/</v>
      </c>
      <c r="N141" s="107" t="str">
        <f>IF(P$137="Error","Error",IF(AND($N$137&lt;&gt;"/",$N$137&gt;'Paramètres - Admin'!$A4),'Paramètres - Admin'!$A5,"/"))</f>
        <v>/</v>
      </c>
      <c r="O141" s="517" t="str">
        <f>IF(N141&lt;&gt;"/",VLOOKUP(N141,COSTS_Clan_Castle[#All],2),"/")</f>
        <v>/</v>
      </c>
      <c r="P141" s="94" t="str">
        <f>IF(N141&lt;&gt;"/",VLOOKUP(N141,COSTS_Clan_Castle[#All],3),"/")</f>
        <v>/</v>
      </c>
      <c r="Q141" s="517">
        <f t="shared" si="82"/>
        <v>0</v>
      </c>
      <c r="R141" s="522">
        <f t="shared" si="83"/>
        <v>0</v>
      </c>
    </row>
    <row r="142" spans="1:19" s="525" customFormat="1" ht="15" customHeight="1" x14ac:dyDescent="0.25">
      <c r="A142" s="927">
        <v>4</v>
      </c>
      <c r="B142" s="928" t="str">
        <f>IF(Paramètres!AF9=0,"",Paramètres!AF9)</f>
        <v/>
      </c>
      <c r="C142" s="781">
        <f t="shared" si="76"/>
        <v>1</v>
      </c>
      <c r="D142" s="574" t="str">
        <f t="shared" si="77"/>
        <v>/</v>
      </c>
      <c r="E142" s="107" t="str">
        <f>IF(G$137="Error","Error",IF(AND($E$137&lt;&gt;"/",$E$137&gt;'Paramètres - Admin'!$A5),'Paramètres - Admin'!$A6,"/"))</f>
        <v>/</v>
      </c>
      <c r="F142" s="517" t="str">
        <f>IF(E142&lt;&gt;"/",VLOOKUP(E142,COSTS_Town_Home[#All],2),"/")</f>
        <v>/</v>
      </c>
      <c r="G142" s="94" t="str">
        <f>IF(E142&lt;&gt;"/",VLOOKUP(E142,COSTS_Town_Home[#All],3),"/")</f>
        <v>/</v>
      </c>
      <c r="H142" s="517">
        <f t="shared" si="78"/>
        <v>0</v>
      </c>
      <c r="I142" s="522">
        <f t="shared" si="79"/>
        <v>0</v>
      </c>
      <c r="J142" s="927">
        <v>4</v>
      </c>
      <c r="K142" s="928" t="str">
        <f>IF(Paramètres!AE9=0,"",Paramètres!AE9)</f>
        <v/>
      </c>
      <c r="L142" s="781">
        <f t="shared" si="80"/>
        <v>0</v>
      </c>
      <c r="M142" s="574" t="str">
        <f t="shared" si="81"/>
        <v>/</v>
      </c>
      <c r="N142" s="107" t="str">
        <f>IF(P$137="Error","Error",IF(AND($N$137&lt;&gt;"/",$N$137&gt;'Paramètres - Admin'!$A5),'Paramètres - Admin'!$A6,"/"))</f>
        <v>/</v>
      </c>
      <c r="O142" s="517" t="str">
        <f>IF(N142&lt;&gt;"/",VLOOKUP(N142,COSTS_Clan_Castle[#All],2),"/")</f>
        <v>/</v>
      </c>
      <c r="P142" s="94" t="str">
        <f>IF(N142&lt;&gt;"/",VLOOKUP(N142,COSTS_Clan_Castle[#All],3),"/")</f>
        <v>/</v>
      </c>
      <c r="Q142" s="517">
        <f t="shared" si="82"/>
        <v>0</v>
      </c>
      <c r="R142" s="522">
        <f t="shared" si="83"/>
        <v>0</v>
      </c>
    </row>
    <row r="143" spans="1:19" s="525" customFormat="1" ht="15" customHeight="1" x14ac:dyDescent="0.25">
      <c r="A143" s="927">
        <v>5</v>
      </c>
      <c r="B143" s="928" t="str">
        <f>IF(Paramètres!AF10=0,"",Paramètres!AF10)</f>
        <v/>
      </c>
      <c r="C143" s="781">
        <f t="shared" si="76"/>
        <v>1</v>
      </c>
      <c r="D143" s="574" t="str">
        <f t="shared" si="77"/>
        <v>/</v>
      </c>
      <c r="E143" s="107" t="str">
        <f>IF(G$137="Error","Error",IF(AND($E$137&lt;&gt;"/",$E$137&gt;'Paramètres - Admin'!$A6),'Paramètres - Admin'!$A7,"/"))</f>
        <v>/</v>
      </c>
      <c r="F143" s="517" t="str">
        <f>IF(E143&lt;&gt;"/",VLOOKUP(E143,COSTS_Town_Home[#All],2),"/")</f>
        <v>/</v>
      </c>
      <c r="G143" s="94" t="str">
        <f>IF(E143&lt;&gt;"/",VLOOKUP(E143,COSTS_Town_Home[#All],3),"/")</f>
        <v>/</v>
      </c>
      <c r="H143" s="517">
        <f t="shared" si="78"/>
        <v>0</v>
      </c>
      <c r="I143" s="522">
        <f t="shared" si="79"/>
        <v>0</v>
      </c>
      <c r="J143" s="927">
        <v>5</v>
      </c>
      <c r="K143" s="928" t="str">
        <f>IF(Paramètres!AE10=0,"",Paramètres!AE10)</f>
        <v/>
      </c>
      <c r="L143" s="781">
        <f t="shared" si="80"/>
        <v>0</v>
      </c>
      <c r="M143" s="574" t="str">
        <f t="shared" si="81"/>
        <v>/</v>
      </c>
      <c r="N143" s="107" t="str">
        <f>IF(P$137="Error","Error",IF(AND($N$137&lt;&gt;"/",$N$137&gt;'Paramètres - Admin'!$A6),'Paramètres - Admin'!$A7,"/"))</f>
        <v>/</v>
      </c>
      <c r="O143" s="517" t="str">
        <f>IF(N143&lt;&gt;"/",VLOOKUP(N143,COSTS_Clan_Castle[#All],2),"/")</f>
        <v>/</v>
      </c>
      <c r="P143" s="94" t="str">
        <f>IF(N143&lt;&gt;"/",VLOOKUP(N143,COSTS_Clan_Castle[#All],3),"/")</f>
        <v>/</v>
      </c>
      <c r="Q143" s="517">
        <f t="shared" si="82"/>
        <v>0</v>
      </c>
      <c r="R143" s="522">
        <f t="shared" si="83"/>
        <v>0</v>
      </c>
    </row>
    <row r="144" spans="1:19" s="525" customFormat="1" ht="15" customHeight="1" thickBot="1" x14ac:dyDescent="0.3">
      <c r="A144" s="927">
        <v>6</v>
      </c>
      <c r="B144" s="928" t="str">
        <f>IF(Paramètres!AF11=0,"",Paramètres!AF11)</f>
        <v/>
      </c>
      <c r="C144" s="781">
        <f t="shared" si="76"/>
        <v>1</v>
      </c>
      <c r="D144" s="574" t="str">
        <f t="shared" si="77"/>
        <v>/</v>
      </c>
      <c r="E144" s="107" t="str">
        <f>IF(G$137="Error","Error",IF(AND($E$137&lt;&gt;"/",$E$137&gt;'Paramètres - Admin'!$A7),'Paramètres - Admin'!$A8,"/"))</f>
        <v>/</v>
      </c>
      <c r="F144" s="517" t="str">
        <f>IF(E144&lt;&gt;"/",VLOOKUP(E144,COSTS_Town_Home[#All],2),"/")</f>
        <v>/</v>
      </c>
      <c r="G144" s="94" t="str">
        <f>IF(E144&lt;&gt;"/",VLOOKUP(E144,COSTS_Town_Home[#All],3),"/")</f>
        <v>/</v>
      </c>
      <c r="H144" s="517">
        <f t="shared" si="78"/>
        <v>0</v>
      </c>
      <c r="I144" s="522">
        <f t="shared" si="79"/>
        <v>0</v>
      </c>
      <c r="J144" s="929">
        <v>6</v>
      </c>
      <c r="K144" s="930" t="str">
        <f>IF(Paramètres!AE11=0,"",Paramètres!AE11)</f>
        <v/>
      </c>
      <c r="L144" s="782">
        <f t="shared" si="80"/>
        <v>0</v>
      </c>
      <c r="M144" s="575" t="str">
        <f t="shared" si="81"/>
        <v>/</v>
      </c>
      <c r="N144" s="113" t="str">
        <f>IF(P$137="Error","Error",IF(AND($N$137&lt;&gt;"/",$N$137&gt;'Paramètres - Admin'!$A7),'Paramètres - Admin'!$A8,"/"))</f>
        <v>/</v>
      </c>
      <c r="O144" s="115" t="str">
        <f>IF(N144&lt;&gt;"/",VLOOKUP(N144,COSTS_Clan_Castle[#All],2),"/")</f>
        <v>/</v>
      </c>
      <c r="P144" s="112" t="str">
        <f>IF(N144&lt;&gt;"/",VLOOKUP(N144,COSTS_Clan_Castle[#All],3),"/")</f>
        <v>/</v>
      </c>
      <c r="Q144" s="115">
        <f t="shared" si="82"/>
        <v>0</v>
      </c>
      <c r="R144" s="114">
        <f t="shared" si="83"/>
        <v>0</v>
      </c>
    </row>
    <row r="145" spans="1:51" s="525" customFormat="1" ht="15" customHeight="1" thickBot="1" x14ac:dyDescent="0.3">
      <c r="A145" s="927">
        <v>7</v>
      </c>
      <c r="B145" s="928" t="str">
        <f>IF(Paramètres!AF12=0,"",Paramètres!AF12)</f>
        <v/>
      </c>
      <c r="C145" s="781">
        <f t="shared" si="76"/>
        <v>1</v>
      </c>
      <c r="D145" s="574" t="str">
        <f t="shared" si="77"/>
        <v>/</v>
      </c>
      <c r="E145" s="107" t="str">
        <f>IF(G$137="Error","Error",IF(AND($E$137&lt;&gt;"/",$E$137&gt;'Paramètres - Admin'!$A8),'Paramètres - Admin'!$A9,"/"))</f>
        <v>/</v>
      </c>
      <c r="F145" s="517" t="str">
        <f>IF(E145&lt;&gt;"/",VLOOKUP(E145,COSTS_Town_Home[#All],2),"/")</f>
        <v>/</v>
      </c>
      <c r="G145" s="94" t="str">
        <f>IF(E145&lt;&gt;"/",VLOOKUP(E145,COSTS_Town_Home[#All],3),"/")</f>
        <v>/</v>
      </c>
      <c r="H145" s="517">
        <f t="shared" si="78"/>
        <v>0</v>
      </c>
      <c r="I145" s="522">
        <f t="shared" si="79"/>
        <v>0</v>
      </c>
      <c r="J145" s="910"/>
      <c r="K145" s="911"/>
      <c r="L145" s="911"/>
      <c r="M145" s="911"/>
      <c r="N145" s="911"/>
      <c r="O145" s="912"/>
      <c r="P145" s="511" t="s">
        <v>31</v>
      </c>
      <c r="Q145" s="223">
        <f>IF(P$137="Error","Error",SUM(Q139:Q144))</f>
        <v>0</v>
      </c>
      <c r="R145" s="534">
        <f>IF(P$137="Error","Error",SUM(R139:R144))</f>
        <v>0</v>
      </c>
    </row>
    <row r="146" spans="1:51" s="525" customFormat="1" ht="15" customHeight="1" x14ac:dyDescent="0.25">
      <c r="A146" s="927">
        <v>8</v>
      </c>
      <c r="B146" s="928" t="str">
        <f>IF(Paramètres!AF13=0,"",Paramètres!AF13)</f>
        <v/>
      </c>
      <c r="C146" s="781">
        <f t="shared" si="76"/>
        <v>1</v>
      </c>
      <c r="D146" s="574" t="str">
        <f t="shared" si="77"/>
        <v>/</v>
      </c>
      <c r="E146" s="107" t="str">
        <f>IF(G$137="Error","Error",IF(AND($E$137&lt;&gt;"/",$E$137&gt;'Paramètres - Admin'!$A9),'Paramètres - Admin'!$A10,"/"))</f>
        <v>/</v>
      </c>
      <c r="F146" s="517" t="str">
        <f>IF(E146&lt;&gt;"/",VLOOKUP(E146,COSTS_Town_Home[#All],2),"/")</f>
        <v>/</v>
      </c>
      <c r="G146" s="94" t="str">
        <f>IF(E146&lt;&gt;"/",VLOOKUP(E146,COSTS_Town_Home[#All],3),"/")</f>
        <v>/</v>
      </c>
      <c r="H146" s="517">
        <f t="shared" si="78"/>
        <v>0</v>
      </c>
      <c r="I146" s="522">
        <f t="shared" si="79"/>
        <v>0</v>
      </c>
    </row>
    <row r="147" spans="1:51" s="525" customFormat="1" ht="15" customHeight="1" x14ac:dyDescent="0.25">
      <c r="A147" s="927">
        <v>9</v>
      </c>
      <c r="B147" s="928" t="str">
        <f>IF(Paramètres!AF14=0,"",Paramètres!AF14)</f>
        <v/>
      </c>
      <c r="C147" s="781">
        <f t="shared" si="76"/>
        <v>1</v>
      </c>
      <c r="D147" s="574" t="str">
        <f t="shared" si="77"/>
        <v>/</v>
      </c>
      <c r="E147" s="107" t="str">
        <f>IF(G$137="Error","Error",IF(AND($E$137&lt;&gt;"/",$E$137&gt;'Paramètres - Admin'!$A10),'Paramètres - Admin'!$A11,"/"))</f>
        <v>/</v>
      </c>
      <c r="F147" s="517" t="str">
        <f>IF(E147&lt;&gt;"/",VLOOKUP(E147,COSTS_Town_Home[#All],2),"/")</f>
        <v>/</v>
      </c>
      <c r="G147" s="94" t="str">
        <f>IF(E147&lt;&gt;"/",VLOOKUP(E147,COSTS_Town_Home[#All],3),"/")</f>
        <v>/</v>
      </c>
      <c r="H147" s="517">
        <f t="shared" si="78"/>
        <v>0</v>
      </c>
      <c r="I147" s="522">
        <f t="shared" si="79"/>
        <v>0</v>
      </c>
    </row>
    <row r="148" spans="1:51" s="525" customFormat="1" ht="15" customHeight="1" x14ac:dyDescent="0.25">
      <c r="A148" s="927">
        <v>10</v>
      </c>
      <c r="B148" s="928" t="str">
        <f>IF(Paramètres!AF15=0,"",Paramètres!AF15)</f>
        <v/>
      </c>
      <c r="C148" s="781">
        <f t="shared" si="76"/>
        <v>1</v>
      </c>
      <c r="D148" s="574" t="str">
        <f t="shared" si="77"/>
        <v>/</v>
      </c>
      <c r="E148" s="107" t="str">
        <f>IF(G$137="Error","Error",IF(AND($E$137&lt;&gt;"/",$E$137&gt;'Paramètres - Admin'!$A11),'Paramètres - Admin'!$A12,"/"))</f>
        <v>/</v>
      </c>
      <c r="F148" s="517" t="str">
        <f>IF(E148&lt;&gt;"/",VLOOKUP(E148,COSTS_Town_Home[#All],2),"/")</f>
        <v>/</v>
      </c>
      <c r="G148" s="94" t="str">
        <f>IF(E148&lt;&gt;"/",VLOOKUP(E148,COSTS_Town_Home[#All],3),"/")</f>
        <v>/</v>
      </c>
      <c r="H148" s="517">
        <f t="shared" si="78"/>
        <v>0</v>
      </c>
      <c r="I148" s="522">
        <f t="shared" si="79"/>
        <v>0</v>
      </c>
    </row>
    <row r="149" spans="1:51" s="525" customFormat="1" ht="15" customHeight="1" thickBot="1" x14ac:dyDescent="0.3">
      <c r="A149" s="929">
        <v>11</v>
      </c>
      <c r="B149" s="930" t="str">
        <f>IF(Paramètres!AF16=0,"",Paramètres!AF16)</f>
        <v/>
      </c>
      <c r="C149" s="782">
        <f t="shared" si="76"/>
        <v>1</v>
      </c>
      <c r="D149" s="575" t="str">
        <f t="shared" si="77"/>
        <v>/</v>
      </c>
      <c r="E149" s="113" t="str">
        <f>IF(G$137="Error","Error",IF(AND($E$137&lt;&gt;"/",$E$137&gt;'Paramètres - Admin'!$A12),'Paramètres - Admin'!$A13,"/"))</f>
        <v>/</v>
      </c>
      <c r="F149" s="115" t="str">
        <f>IF(E149&lt;&gt;"/",VLOOKUP(E149,COSTS_Town_Home[#All],2),"/")</f>
        <v>/</v>
      </c>
      <c r="G149" s="112" t="str">
        <f>IF(E149&lt;&gt;"/",VLOOKUP(E149,COSTS_Town_Home[#All],3),"/")</f>
        <v>/</v>
      </c>
      <c r="H149" s="115">
        <f t="shared" si="78"/>
        <v>0</v>
      </c>
      <c r="I149" s="114">
        <f t="shared" si="79"/>
        <v>0</v>
      </c>
      <c r="AO149" s="128"/>
      <c r="AP149" s="128"/>
      <c r="AQ149" s="128"/>
      <c r="AR149" s="128"/>
      <c r="AS149" s="128"/>
      <c r="AT149" s="128"/>
      <c r="AU149" s="128"/>
      <c r="AV149" s="128"/>
      <c r="AW149" s="128"/>
      <c r="AX149" s="128"/>
      <c r="AY149" s="128"/>
    </row>
    <row r="150" spans="1:51" s="525" customFormat="1" ht="15" customHeight="1" thickBot="1" x14ac:dyDescent="0.3">
      <c r="A150" s="910"/>
      <c r="B150" s="911"/>
      <c r="C150" s="911"/>
      <c r="D150" s="911"/>
      <c r="E150" s="911"/>
      <c r="F150" s="912"/>
      <c r="G150" s="511" t="s">
        <v>31</v>
      </c>
      <c r="H150" s="223">
        <f>IF(G$137="Error","Error",SUM(H139:H149))</f>
        <v>1000</v>
      </c>
      <c r="I150" s="534">
        <f>IF(G$137="Error","Error",SUM(I139:I149))</f>
        <v>8.3333333333333329E-2</v>
      </c>
    </row>
    <row r="151" spans="1:51" s="525" customFormat="1" ht="15" customHeight="1" x14ac:dyDescent="0.25">
      <c r="AO151" s="128"/>
      <c r="AP151" s="128"/>
      <c r="AQ151" s="128"/>
      <c r="AR151" s="128"/>
      <c r="AS151" s="128"/>
      <c r="AT151" s="128"/>
      <c r="AU151" s="128"/>
      <c r="AV151" s="128"/>
      <c r="AW151" s="128"/>
      <c r="AX151" s="128"/>
      <c r="AY151" s="128"/>
    </row>
    <row r="152" spans="1:51" s="525" customFormat="1" ht="19.5" customHeight="1" thickBot="1" x14ac:dyDescent="0.3">
      <c r="A152" s="1117" t="s">
        <v>226</v>
      </c>
      <c r="B152" s="1118"/>
      <c r="C152" s="1118"/>
      <c r="D152" s="1118"/>
      <c r="E152" s="1118"/>
      <c r="F152" s="1118"/>
      <c r="G152" s="1118"/>
      <c r="H152" s="1118"/>
      <c r="I152" s="1118"/>
      <c r="J152" s="1118"/>
      <c r="K152" s="1118"/>
      <c r="L152" s="1118"/>
      <c r="M152" s="1118"/>
      <c r="N152" s="1118"/>
      <c r="O152" s="1118"/>
      <c r="P152" s="1118"/>
      <c r="Q152" s="1118"/>
      <c r="R152" s="1118"/>
      <c r="S152" s="1118"/>
      <c r="T152" s="1118"/>
      <c r="U152" s="1118"/>
      <c r="V152" s="1118"/>
      <c r="W152" s="1118"/>
      <c r="X152" s="1118"/>
      <c r="Y152" s="1118"/>
      <c r="Z152" s="1118"/>
      <c r="AA152" s="1118"/>
    </row>
    <row r="153" spans="1:51" ht="15" customHeight="1" x14ac:dyDescent="0.25">
      <c r="A153" s="1119" t="s">
        <v>190</v>
      </c>
      <c r="B153" s="1120"/>
      <c r="C153" s="1121"/>
      <c r="D153" s="80" t="s">
        <v>38</v>
      </c>
      <c r="E153" s="81" t="s">
        <v>39</v>
      </c>
      <c r="F153" s="82"/>
      <c r="G153" s="512" t="s">
        <v>256</v>
      </c>
      <c r="H153" s="514" t="s">
        <v>361</v>
      </c>
      <c r="I153" s="513" t="s">
        <v>257</v>
      </c>
      <c r="J153" s="1119" t="s">
        <v>191</v>
      </c>
      <c r="K153" s="1120"/>
      <c r="L153" s="1121"/>
      <c r="M153" s="80" t="s">
        <v>38</v>
      </c>
      <c r="N153" s="81" t="s">
        <v>39</v>
      </c>
      <c r="O153" s="82"/>
      <c r="P153" s="512" t="s">
        <v>256</v>
      </c>
      <c r="Q153" s="514" t="s">
        <v>361</v>
      </c>
      <c r="R153" s="513" t="s">
        <v>257</v>
      </c>
      <c r="S153" s="1119" t="s">
        <v>194</v>
      </c>
      <c r="T153" s="1120"/>
      <c r="U153" s="1121"/>
      <c r="V153" s="80" t="s">
        <v>38</v>
      </c>
      <c r="W153" s="81" t="s">
        <v>39</v>
      </c>
      <c r="X153" s="82"/>
      <c r="Y153" s="512" t="s">
        <v>256</v>
      </c>
      <c r="Z153" s="514" t="s">
        <v>361</v>
      </c>
      <c r="AA153" s="513" t="s">
        <v>257</v>
      </c>
    </row>
    <row r="154" spans="1:51" ht="15" customHeight="1" thickBot="1" x14ac:dyDescent="0.3">
      <c r="A154" s="1122"/>
      <c r="B154" s="1123"/>
      <c r="C154" s="1124"/>
      <c r="D154" s="88">
        <f>VLOOKUP($A$2,AVAILABLE_Upgrades_Spells[#All],MATCH(A153,AVAILABLE_Upgrades_Spells[#Headers],0))</f>
        <v>0</v>
      </c>
      <c r="E154" s="89">
        <f>VLOOKUP(IF(ISERROR(LOOKUP(MATCH(1,Paramètres!$K$6:$K$45,0),Paramètres!$A$6:$A$45)),0,LOOKUP(MATCH(1,Paramètres!$K$6:$K$45,0),Paramètres!$A$6:$A$45)),AVAILABLE_Upgrades_Spells[#All],MATCH(A153,AVAILABLE_Upgrades_Spells[#Headers],0)+1)</f>
        <v>0</v>
      </c>
      <c r="F154" s="201"/>
      <c r="G154" s="96">
        <f>IF(SUM(B156:B162)&gt;D154,"Error",SUM(B156:B162))</f>
        <v>0</v>
      </c>
      <c r="H154" s="97">
        <f>IF(G$154="Error","Error",D154-G154)</f>
        <v>0</v>
      </c>
      <c r="I154" s="202">
        <f>IF(G$154="Error","Error",SUM(D156:D162))</f>
        <v>0</v>
      </c>
      <c r="J154" s="1122"/>
      <c r="K154" s="1123"/>
      <c r="L154" s="1124"/>
      <c r="M154" s="88">
        <f>VLOOKUP($A$2,AVAILABLE_Upgrades_Spells[#All],MATCH(J153,AVAILABLE_Upgrades_Spells[#Headers],0))</f>
        <v>0</v>
      </c>
      <c r="N154" s="516">
        <f>VLOOKUP(IF(ISERROR(LOOKUP(MATCH(1,Paramètres!$K$6:$K$45,0),Paramètres!$A$6:$A$45)),0,LOOKUP(MATCH(1,Paramètres!$K$6:$K$45,0),Paramètres!$A$6:$A$45)),AVAILABLE_Upgrades_Spells[#All],MATCH(J153,AVAILABLE_Upgrades_Spells[#Headers],0)+1)</f>
        <v>0</v>
      </c>
      <c r="O154" s="201"/>
      <c r="P154" s="96">
        <f>IF(SUM(K156:K161)&gt;M154,"Error",SUM(K156:K161))</f>
        <v>0</v>
      </c>
      <c r="Q154" s="97">
        <f>IF(P$154="Error","Error",M154-P154)</f>
        <v>0</v>
      </c>
      <c r="R154" s="202">
        <f>IF(P$154="Error","Error",SUM(M156:M161))</f>
        <v>0</v>
      </c>
      <c r="S154" s="1122"/>
      <c r="T154" s="1123"/>
      <c r="U154" s="1124"/>
      <c r="V154" s="88">
        <f>VLOOKUP($A$2,AVAILABLE_Upgrades_Spells[#All],MATCH(S153,AVAILABLE_Upgrades_Spells[#Headers],0))</f>
        <v>0</v>
      </c>
      <c r="W154" s="516">
        <f>VLOOKUP(IF(ISERROR(LOOKUP(MATCH(1,Paramètres!$K$6:$K$45,0),Paramètres!$A$6:$A$45)),0,LOOKUP(MATCH(1,Paramètres!$K$6:$K$45,0),Paramètres!$A$6:$A$45)),AVAILABLE_Upgrades_Spells[#All],MATCH(S153,AVAILABLE_Upgrades_Spells[#Headers],0)+1)</f>
        <v>0</v>
      </c>
      <c r="X154" s="201"/>
      <c r="Y154" s="96">
        <f>IF(SUM(T156:T160)&gt;V154,"Error",SUM(T156:T160))</f>
        <v>0</v>
      </c>
      <c r="Z154" s="97">
        <f>IF(Y$154="Error","Error",V154-Y154)</f>
        <v>0</v>
      </c>
      <c r="AA154" s="202">
        <f>IF(Y$154="Error","Error",SUM(V156:V160))</f>
        <v>0</v>
      </c>
    </row>
    <row r="155" spans="1:51" ht="15" customHeight="1" thickBot="1" x14ac:dyDescent="0.3">
      <c r="A155" s="99" t="s">
        <v>30</v>
      </c>
      <c r="B155" s="125" t="s">
        <v>29</v>
      </c>
      <c r="C155" s="101"/>
      <c r="D155" s="216" t="s">
        <v>29</v>
      </c>
      <c r="E155" s="217" t="s">
        <v>30</v>
      </c>
      <c r="F155" s="532" t="s">
        <v>258</v>
      </c>
      <c r="G155" s="532" t="s">
        <v>259</v>
      </c>
      <c r="H155" s="532" t="s">
        <v>232</v>
      </c>
      <c r="I155" s="533" t="s">
        <v>233</v>
      </c>
      <c r="J155" s="99" t="s">
        <v>30</v>
      </c>
      <c r="K155" s="125" t="s">
        <v>29</v>
      </c>
      <c r="L155" s="101"/>
      <c r="M155" s="216" t="s">
        <v>29</v>
      </c>
      <c r="N155" s="217" t="s">
        <v>30</v>
      </c>
      <c r="O155" s="532" t="s">
        <v>258</v>
      </c>
      <c r="P155" s="532" t="s">
        <v>259</v>
      </c>
      <c r="Q155" s="532" t="s">
        <v>232</v>
      </c>
      <c r="R155" s="533" t="s">
        <v>233</v>
      </c>
      <c r="S155" s="204" t="s">
        <v>30</v>
      </c>
      <c r="T155" s="125" t="s">
        <v>29</v>
      </c>
      <c r="U155" s="101"/>
      <c r="V155" s="216" t="s">
        <v>29</v>
      </c>
      <c r="W155" s="217" t="s">
        <v>30</v>
      </c>
      <c r="X155" s="532" t="s">
        <v>258</v>
      </c>
      <c r="Y155" s="532" t="s">
        <v>259</v>
      </c>
      <c r="Z155" s="532" t="s">
        <v>232</v>
      </c>
      <c r="AA155" s="533" t="s">
        <v>233</v>
      </c>
    </row>
    <row r="156" spans="1:51" ht="15" customHeight="1" x14ac:dyDescent="0.25">
      <c r="A156" s="512">
        <v>1</v>
      </c>
      <c r="B156" s="926" t="str">
        <f>IF(Paramètres!AG6=0,"",Paramètres!AG6)</f>
        <v/>
      </c>
      <c r="C156" s="586">
        <f>IF(C155&lt;&gt;0,C155+IF(AND(B155&lt;&gt;"",A155&lt;E$154),B155,0),IF(AND(B155&lt;&gt;"",A155&lt;E$154),B155,0))</f>
        <v>0</v>
      </c>
      <c r="D156" s="573" t="str">
        <f t="shared" ref="D156:D162" si="84">IF(E156&lt;&gt;"/",IF(G$154="Error","Error",$H$154+C156),"/")</f>
        <v>/</v>
      </c>
      <c r="E156" s="457" t="str">
        <f>IF(G$154="Error","Error",IF(AND($E$154&lt;&gt;"/",$E$154&gt;'Paramètres - Admin'!$A2),'Paramètres - Admin'!$A3,"/"))</f>
        <v>/</v>
      </c>
      <c r="F156" s="385" t="str">
        <f>IF(E156&lt;&gt;"/",VLOOKUP(E156,COSTS_Spell_Lightning[#All],2),"/")</f>
        <v>/</v>
      </c>
      <c r="G156" s="458" t="str">
        <f>IF(E156&lt;&gt;"/",VLOOKUP(E156,COSTS_Spell_Lightning[#All],3),"/")</f>
        <v>/</v>
      </c>
      <c r="H156" s="385">
        <f t="shared" ref="H156:H162" si="85">IF(G$154="Error","Error",IF(F156&lt;&gt;"/",D156*F156,0))</f>
        <v>0</v>
      </c>
      <c r="I156" s="459">
        <f t="shared" ref="I156:I162" si="86">IF(G$154="Error","Error",IF(G156&lt;&gt;"/",D156*G156,0))</f>
        <v>0</v>
      </c>
      <c r="J156" s="512">
        <v>1</v>
      </c>
      <c r="K156" s="926" t="str">
        <f>IF(Paramètres!AH6=0,"",Paramètres!AH6)</f>
        <v/>
      </c>
      <c r="L156" s="586">
        <f t="shared" ref="L156:L161" si="87">IF(L155&lt;&gt;0,L155+IF(AND(K155&lt;&gt;"",J155&lt;N$154),K155,0),IF(AND(K155&lt;&gt;"",J155&lt;N$154),K155,0))</f>
        <v>0</v>
      </c>
      <c r="M156" s="573" t="str">
        <f t="shared" ref="M156:M161" si="88">IF(N156&lt;&gt;"/",IF(P$154="Error","Error",$Q$154+L156),"/")</f>
        <v>/</v>
      </c>
      <c r="N156" s="457" t="str">
        <f>IF(P$154="Error","Error",IF(AND($N$154&lt;&gt;"/",$N$154&gt;'Paramètres - Admin'!$A2),'Paramètres - Admin'!$A3,"/"))</f>
        <v>/</v>
      </c>
      <c r="O156" s="385" t="str">
        <f>IF(N156&lt;&gt;"/",VLOOKUP(N156,COSTS_Spell_Healing[#All],2),"/")</f>
        <v>/</v>
      </c>
      <c r="P156" s="458" t="str">
        <f>IF(N156&lt;&gt;"/",VLOOKUP(N156,COSTS_Spell_Healing[#All],3),"/")</f>
        <v>/</v>
      </c>
      <c r="Q156" s="385">
        <f t="shared" ref="Q156:Q161" si="89">IF(P$154="Error","Error",IF(O156&lt;&gt;"/",M156*O156,0))</f>
        <v>0</v>
      </c>
      <c r="R156" s="459">
        <f t="shared" ref="R156:R161" si="90">IF(P$154="Error","Error",IF(P156&lt;&gt;"/",M156*P156,0))</f>
        <v>0</v>
      </c>
      <c r="S156" s="512">
        <v>1</v>
      </c>
      <c r="T156" s="926" t="str">
        <f>IF(Paramètres!AK6=0,"",Paramètres!AK6)</f>
        <v/>
      </c>
      <c r="U156" s="586">
        <f>IF(U155&lt;&gt;0,U155+IF(AND(T155&lt;&gt;"",S155&lt;W$154),T155,0),IF(AND(T155&lt;&gt;"",S155&lt;W$154),T155,0))</f>
        <v>0</v>
      </c>
      <c r="V156" s="573" t="str">
        <f>IF(W156&lt;&gt;"/",IF(Y$154="Error","Error",$Z$154+U156),"/")</f>
        <v>/</v>
      </c>
      <c r="W156" s="457" t="str">
        <f>IF(Y$154="Error","Error",IF(AND($W$154&lt;&gt;"/",$W$154&gt;'Paramètres - Admin'!$A2),'Paramètres - Admin'!$A3,"/"))</f>
        <v>/</v>
      </c>
      <c r="X156" s="385" t="str">
        <f>IF(W156&lt;&gt;"/",VLOOKUP(W156,COSTS_Spell_Freeze[#All],2),"/")</f>
        <v>/</v>
      </c>
      <c r="Y156" s="458" t="str">
        <f>IF(W156&lt;&gt;"/",VLOOKUP(W156,COSTS_Spell_Freeze[#All],3),"/")</f>
        <v>/</v>
      </c>
      <c r="Z156" s="385">
        <f>IF(Y$154="Error","Error",IF(X156&lt;&gt;"/",V156*X156,0))</f>
        <v>0</v>
      </c>
      <c r="AA156" s="459">
        <f>IF(Y$154="Error","Error",IF(Y156&lt;&gt;"/",V156*Y156,0))</f>
        <v>0</v>
      </c>
    </row>
    <row r="157" spans="1:51" ht="15" customHeight="1" x14ac:dyDescent="0.25">
      <c r="A157" s="927">
        <v>2</v>
      </c>
      <c r="B157" s="928" t="str">
        <f>IF(Paramètres!AG7=0,"",Paramètres!AG7)</f>
        <v/>
      </c>
      <c r="C157" s="781">
        <f t="shared" ref="C157:C161" si="91">IF(C156&lt;&gt;0,C156+IF(AND(B156&lt;&gt;"",A156&lt;E$154),B156,0),IF(AND(B156&lt;&gt;"",A156&lt;E$154),B156,0))</f>
        <v>0</v>
      </c>
      <c r="D157" s="574" t="str">
        <f t="shared" si="84"/>
        <v>/</v>
      </c>
      <c r="E157" s="107" t="str">
        <f>IF(G$154="Error","Error",IF(AND($E$154&lt;&gt;"/",$E$154&gt;'Paramètres - Admin'!$A3),'Paramètres - Admin'!$A4,"/"))</f>
        <v>/</v>
      </c>
      <c r="F157" s="386" t="str">
        <f>IF(E157&lt;&gt;"/",VLOOKUP(E157,COSTS_Spell_Lightning[#All],2),"/")</f>
        <v>/</v>
      </c>
      <c r="G157" s="94" t="str">
        <f>IF(E157&lt;&gt;"/",VLOOKUP(E157,COSTS_Spell_Lightning[#All],3),"/")</f>
        <v>/</v>
      </c>
      <c r="H157" s="386">
        <f t="shared" si="85"/>
        <v>0</v>
      </c>
      <c r="I157" s="522">
        <f t="shared" si="86"/>
        <v>0</v>
      </c>
      <c r="J157" s="927">
        <v>2</v>
      </c>
      <c r="K157" s="928" t="str">
        <f>IF(Paramètres!AH7=0,"",Paramètres!AH7)</f>
        <v/>
      </c>
      <c r="L157" s="781">
        <f t="shared" si="87"/>
        <v>0</v>
      </c>
      <c r="M157" s="574" t="str">
        <f t="shared" si="88"/>
        <v>/</v>
      </c>
      <c r="N157" s="107" t="str">
        <f>IF(P$154="Error","Error",IF(AND($N$154&lt;&gt;"/",$N$154&gt;'Paramètres - Admin'!$A3),'Paramètres - Admin'!$A4,"/"))</f>
        <v>/</v>
      </c>
      <c r="O157" s="386" t="str">
        <f>IF(N157&lt;&gt;"/",VLOOKUP(N157,COSTS_Spell_Healing[#All],2),"/")</f>
        <v>/</v>
      </c>
      <c r="P157" s="94" t="str">
        <f>IF(N157&lt;&gt;"/",VLOOKUP(N157,COSTS_Spell_Healing[#All],3),"/")</f>
        <v>/</v>
      </c>
      <c r="Q157" s="386">
        <f t="shared" si="89"/>
        <v>0</v>
      </c>
      <c r="R157" s="522">
        <f t="shared" si="90"/>
        <v>0</v>
      </c>
      <c r="S157" s="927">
        <v>2</v>
      </c>
      <c r="T157" s="928" t="str">
        <f>IF(Paramètres!AK7=0,"",Paramètres!AK7)</f>
        <v/>
      </c>
      <c r="U157" s="781">
        <f>IF(U156&lt;&gt;0,U156+IF(AND(T156&lt;&gt;"",S156&lt;W$154),T156,0),IF(AND(T156&lt;&gt;"",S156&lt;W$154),T156,0))</f>
        <v>0</v>
      </c>
      <c r="V157" s="574" t="str">
        <f>IF(W157&lt;&gt;"/",IF(Y$154="Error","Error",$Z$154+U157),"/")</f>
        <v>/</v>
      </c>
      <c r="W157" s="107" t="str">
        <f>IF(Y$154="Error","Error",IF(AND($W$154&lt;&gt;"/",$W$154&gt;'Paramètres - Admin'!$A3),'Paramètres - Admin'!$A4,"/"))</f>
        <v>/</v>
      </c>
      <c r="X157" s="386" t="str">
        <f>IF(W157&lt;&gt;"/",VLOOKUP(W157,COSTS_Spell_Freeze[#All],2),"/")</f>
        <v>/</v>
      </c>
      <c r="Y157" s="94" t="str">
        <f>IF(W157&lt;&gt;"/",VLOOKUP(W157,COSTS_Spell_Freeze[#All],3),"/")</f>
        <v>/</v>
      </c>
      <c r="Z157" s="386">
        <f>IF(Y$154="Error","Error",IF(X157&lt;&gt;"/",V157*X157,0))</f>
        <v>0</v>
      </c>
      <c r="AA157" s="522">
        <f>IF(Y$154="Error","Error",IF(Y157&lt;&gt;"/",V157*Y157,0))</f>
        <v>0</v>
      </c>
    </row>
    <row r="158" spans="1:51" ht="15" customHeight="1" x14ac:dyDescent="0.25">
      <c r="A158" s="927">
        <v>3</v>
      </c>
      <c r="B158" s="928" t="str">
        <f>IF(Paramètres!AG8=0,"",Paramètres!AG8)</f>
        <v/>
      </c>
      <c r="C158" s="781">
        <f t="shared" si="91"/>
        <v>0</v>
      </c>
      <c r="D158" s="574" t="str">
        <f t="shared" si="84"/>
        <v>/</v>
      </c>
      <c r="E158" s="107" t="str">
        <f>IF(G$154="Error","Error",IF(AND($E$154&lt;&gt;"/",$E$154&gt;'Paramètres - Admin'!$A4),'Paramètres - Admin'!$A5,"/"))</f>
        <v>/</v>
      </c>
      <c r="F158" s="386" t="str">
        <f>IF(E158&lt;&gt;"/",VLOOKUP(E158,COSTS_Spell_Lightning[#All],2),"/")</f>
        <v>/</v>
      </c>
      <c r="G158" s="94" t="str">
        <f>IF(E158&lt;&gt;"/",VLOOKUP(E158,COSTS_Spell_Lightning[#All],3),"/")</f>
        <v>/</v>
      </c>
      <c r="H158" s="386">
        <f t="shared" si="85"/>
        <v>0</v>
      </c>
      <c r="I158" s="522">
        <f t="shared" si="86"/>
        <v>0</v>
      </c>
      <c r="J158" s="927">
        <v>3</v>
      </c>
      <c r="K158" s="928" t="str">
        <f>IF(Paramètres!AH8=0,"",Paramètres!AH8)</f>
        <v/>
      </c>
      <c r="L158" s="781">
        <f t="shared" si="87"/>
        <v>0</v>
      </c>
      <c r="M158" s="574" t="str">
        <f t="shared" si="88"/>
        <v>/</v>
      </c>
      <c r="N158" s="107" t="str">
        <f>IF(P$154="Error","Error",IF(AND($N$154&lt;&gt;"/",$N$154&gt;'Paramètres - Admin'!$A4),'Paramètres - Admin'!$A5,"/"))</f>
        <v>/</v>
      </c>
      <c r="O158" s="386" t="str">
        <f>IF(N158&lt;&gt;"/",VLOOKUP(N158,COSTS_Spell_Healing[#All],2),"/")</f>
        <v>/</v>
      </c>
      <c r="P158" s="94" t="str">
        <f>IF(N158&lt;&gt;"/",VLOOKUP(N158,COSTS_Spell_Healing[#All],3),"/")</f>
        <v>/</v>
      </c>
      <c r="Q158" s="386">
        <f t="shared" si="89"/>
        <v>0</v>
      </c>
      <c r="R158" s="522">
        <f t="shared" si="90"/>
        <v>0</v>
      </c>
      <c r="S158" s="927">
        <v>3</v>
      </c>
      <c r="T158" s="928" t="str">
        <f>IF(Paramètres!AK8=0,"",Paramètres!AK8)</f>
        <v/>
      </c>
      <c r="U158" s="781">
        <f>IF(U157&lt;&gt;0,U157+IF(AND(T157&lt;&gt;"",S157&lt;W$154),T157,0),IF(AND(T157&lt;&gt;"",S157&lt;W$154),T157,0))</f>
        <v>0</v>
      </c>
      <c r="V158" s="574" t="str">
        <f>IF(W158&lt;&gt;"/",IF(Y$154="Error","Error",$Z$154+U158),"/")</f>
        <v>/</v>
      </c>
      <c r="W158" s="107" t="str">
        <f>IF(Y$154="Error","Error",IF(AND($W$154&lt;&gt;"/",$W$154&gt;'Paramètres - Admin'!$A4),'Paramètres - Admin'!$A5,"/"))</f>
        <v>/</v>
      </c>
      <c r="X158" s="386" t="str">
        <f>IF(W158&lt;&gt;"/",VLOOKUP(W158,COSTS_Spell_Freeze[#All],2),"/")</f>
        <v>/</v>
      </c>
      <c r="Y158" s="94" t="str">
        <f>IF(W158&lt;&gt;"/",VLOOKUP(W158,COSTS_Spell_Freeze[#All],3),"/")</f>
        <v>/</v>
      </c>
      <c r="Z158" s="386">
        <f>IF(Y$154="Error","Error",IF(X158&lt;&gt;"/",V158*X158,0))</f>
        <v>0</v>
      </c>
      <c r="AA158" s="522">
        <f>IF(Y$154="Error","Error",IF(Y158&lt;&gt;"/",V158*Y158,0))</f>
        <v>0</v>
      </c>
    </row>
    <row r="159" spans="1:51" ht="15" customHeight="1" x14ac:dyDescent="0.25">
      <c r="A159" s="927">
        <v>4</v>
      </c>
      <c r="B159" s="928" t="str">
        <f>IF(Paramètres!AG9=0,"",Paramètres!AG9)</f>
        <v/>
      </c>
      <c r="C159" s="781">
        <f t="shared" si="91"/>
        <v>0</v>
      </c>
      <c r="D159" s="574" t="str">
        <f t="shared" si="84"/>
        <v>/</v>
      </c>
      <c r="E159" s="107" t="str">
        <f>IF(G$154="Error","Error",IF(AND($E$154&lt;&gt;"/",$E$154&gt;'Paramètres - Admin'!$A5),'Paramètres - Admin'!$A6,"/"))</f>
        <v>/</v>
      </c>
      <c r="F159" s="386" t="str">
        <f>IF(E159&lt;&gt;"/",VLOOKUP(E159,COSTS_Spell_Lightning[#All],2),"/")</f>
        <v>/</v>
      </c>
      <c r="G159" s="94" t="str">
        <f>IF(E159&lt;&gt;"/",VLOOKUP(E159,COSTS_Spell_Lightning[#All],3),"/")</f>
        <v>/</v>
      </c>
      <c r="H159" s="386">
        <f t="shared" si="85"/>
        <v>0</v>
      </c>
      <c r="I159" s="522">
        <f t="shared" si="86"/>
        <v>0</v>
      </c>
      <c r="J159" s="927">
        <v>4</v>
      </c>
      <c r="K159" s="928" t="str">
        <f>IF(Paramètres!AH9=0,"",Paramètres!AH9)</f>
        <v/>
      </c>
      <c r="L159" s="781">
        <f t="shared" si="87"/>
        <v>0</v>
      </c>
      <c r="M159" s="574" t="str">
        <f t="shared" si="88"/>
        <v>/</v>
      </c>
      <c r="N159" s="107" t="str">
        <f>IF(P$154="Error","Error",IF(AND($N$154&lt;&gt;"/",$N$154&gt;'Paramètres - Admin'!$A5),'Paramètres - Admin'!$A6,"/"))</f>
        <v>/</v>
      </c>
      <c r="O159" s="386" t="str">
        <f>IF(N159&lt;&gt;"/",VLOOKUP(N159,COSTS_Spell_Healing[#All],2),"/")</f>
        <v>/</v>
      </c>
      <c r="P159" s="94" t="str">
        <f>IF(N159&lt;&gt;"/",VLOOKUP(N159,COSTS_Spell_Healing[#All],3),"/")</f>
        <v>/</v>
      </c>
      <c r="Q159" s="386">
        <f t="shared" si="89"/>
        <v>0</v>
      </c>
      <c r="R159" s="522">
        <f t="shared" si="90"/>
        <v>0</v>
      </c>
      <c r="S159" s="927">
        <v>4</v>
      </c>
      <c r="T159" s="928" t="str">
        <f>IF(Paramètres!AK9=0,"",Paramètres!AK9)</f>
        <v/>
      </c>
      <c r="U159" s="781">
        <f>IF(U158&lt;&gt;0,U158+IF(AND(T158&lt;&gt;"",S158&lt;W$154),T158,0),IF(AND(T158&lt;&gt;"",S158&lt;W$154),T158,0))</f>
        <v>0</v>
      </c>
      <c r="V159" s="574" t="str">
        <f>IF(W159&lt;&gt;"/",IF(Y$154="Error","Error",$Z$154+U159),"/")</f>
        <v>/</v>
      </c>
      <c r="W159" s="107" t="str">
        <f>IF(Y$154="Error","Error",IF(AND($W$154&lt;&gt;"/",$W$154&gt;'Paramètres - Admin'!$A5),'Paramètres - Admin'!$A6,"/"))</f>
        <v>/</v>
      </c>
      <c r="X159" s="386" t="str">
        <f>IF(W159&lt;&gt;"/",VLOOKUP(W159,COSTS_Spell_Freeze[#All],2),"/")</f>
        <v>/</v>
      </c>
      <c r="Y159" s="94" t="str">
        <f>IF(W159&lt;&gt;"/",VLOOKUP(W159,COSTS_Spell_Freeze[#All],3),"/")</f>
        <v>/</v>
      </c>
      <c r="Z159" s="386">
        <f>IF(Y$154="Error","Error",IF(X159&lt;&gt;"/",V159*X159,0))</f>
        <v>0</v>
      </c>
      <c r="AA159" s="522">
        <f>IF(Y$154="Error","Error",IF(Y159&lt;&gt;"/",V159*Y159,0))</f>
        <v>0</v>
      </c>
    </row>
    <row r="160" spans="1:51" ht="15" customHeight="1" thickBot="1" x14ac:dyDescent="0.3">
      <c r="A160" s="927">
        <v>5</v>
      </c>
      <c r="B160" s="928" t="str">
        <f>IF(Paramètres!AG10=0,"",Paramètres!AG10)</f>
        <v/>
      </c>
      <c r="C160" s="781">
        <f t="shared" si="91"/>
        <v>0</v>
      </c>
      <c r="D160" s="574" t="str">
        <f t="shared" si="84"/>
        <v>/</v>
      </c>
      <c r="E160" s="107" t="str">
        <f>IF(G$154="Error","Error",IF(AND($E$154&lt;&gt;"/",$E$154&gt;'Paramètres - Admin'!$A6),'Paramètres - Admin'!$A7,"/"))</f>
        <v>/</v>
      </c>
      <c r="F160" s="386" t="str">
        <f>IF(E160&lt;&gt;"/",VLOOKUP(E160,COSTS_Spell_Lightning[#All],2),"/")</f>
        <v>/</v>
      </c>
      <c r="G160" s="94" t="str">
        <f>IF(E160&lt;&gt;"/",VLOOKUP(E160,COSTS_Spell_Lightning[#All],3),"/")</f>
        <v>/</v>
      </c>
      <c r="H160" s="386">
        <f t="shared" si="85"/>
        <v>0</v>
      </c>
      <c r="I160" s="522">
        <f t="shared" si="86"/>
        <v>0</v>
      </c>
      <c r="J160" s="927">
        <v>5</v>
      </c>
      <c r="K160" s="928" t="str">
        <f>IF(Paramètres!AH10=0,"",Paramètres!AH10)</f>
        <v/>
      </c>
      <c r="L160" s="781">
        <f t="shared" si="87"/>
        <v>0</v>
      </c>
      <c r="M160" s="574" t="str">
        <f t="shared" si="88"/>
        <v>/</v>
      </c>
      <c r="N160" s="107" t="str">
        <f>IF(P$154="Error","Error",IF(AND($N$154&lt;&gt;"/",$N$154&gt;'Paramètres - Admin'!$A6),'Paramètres - Admin'!$A7,"/"))</f>
        <v>/</v>
      </c>
      <c r="O160" s="386" t="str">
        <f>IF(N160&lt;&gt;"/",VLOOKUP(N160,COSTS_Spell_Healing[#All],2),"/")</f>
        <v>/</v>
      </c>
      <c r="P160" s="94" t="str">
        <f>IF(N160&lt;&gt;"/",VLOOKUP(N160,COSTS_Spell_Healing[#All],3),"/")</f>
        <v>/</v>
      </c>
      <c r="Q160" s="386">
        <f t="shared" si="89"/>
        <v>0</v>
      </c>
      <c r="R160" s="522">
        <f t="shared" si="90"/>
        <v>0</v>
      </c>
      <c r="S160" s="929">
        <v>5</v>
      </c>
      <c r="T160" s="930" t="str">
        <f>IF(Paramètres!AK10=0,"",Paramètres!AK10)</f>
        <v/>
      </c>
      <c r="U160" s="782">
        <f>IF(U159&lt;&gt;0,U159+IF(AND(T159&lt;&gt;"",S159&lt;W$154),T159,0),IF(AND(T159&lt;&gt;"",S159&lt;W$154),T159,0))</f>
        <v>0</v>
      </c>
      <c r="V160" s="575" t="str">
        <f>IF(W160&lt;&gt;"/",IF(Y$154="Error","Error",$Z$154+U160),"/")</f>
        <v>/</v>
      </c>
      <c r="W160" s="113" t="str">
        <f>IF(Y$154="Error","Error",IF(AND($W$154&lt;&gt;"/",$W$154&gt;'Paramètres - Admin'!$A6),'Paramètres - Admin'!$A7,"/"))</f>
        <v>/</v>
      </c>
      <c r="X160" s="387" t="str">
        <f>IF(W160&lt;&gt;"/",VLOOKUP(W160,COSTS_Spell_Freeze[#All],2),"/")</f>
        <v>/</v>
      </c>
      <c r="Y160" s="112" t="str">
        <f>IF(W160&lt;&gt;"/",VLOOKUP(W160,COSTS_Spell_Freeze[#All],3),"/")</f>
        <v>/</v>
      </c>
      <c r="Z160" s="387">
        <f>IF(Y$154="Error","Error",IF(X160&lt;&gt;"/",V160*X160,0))</f>
        <v>0</v>
      </c>
      <c r="AA160" s="114">
        <f>IF(Y$154="Error","Error",IF(Y160&lt;&gt;"/",V160*Y160,0))</f>
        <v>0</v>
      </c>
    </row>
    <row r="161" spans="1:27" ht="15" customHeight="1" thickBot="1" x14ac:dyDescent="0.3">
      <c r="A161" s="927">
        <v>6</v>
      </c>
      <c r="B161" s="928" t="str">
        <f>IF(Paramètres!AG11=0,"",Paramètres!AG11)</f>
        <v/>
      </c>
      <c r="C161" s="781">
        <f t="shared" si="91"/>
        <v>0</v>
      </c>
      <c r="D161" s="574" t="str">
        <f t="shared" si="84"/>
        <v>/</v>
      </c>
      <c r="E161" s="107" t="str">
        <f>IF(G$154="Error","Error",IF(AND($E$154&lt;&gt;"/",$E$154&gt;'Paramètres - Admin'!$A7),'Paramètres - Admin'!$A8,"/"))</f>
        <v>/</v>
      </c>
      <c r="F161" s="386" t="str">
        <f>IF(E161&lt;&gt;"/",VLOOKUP(E161,COSTS_Spell_Lightning[#All],2),"/")</f>
        <v>/</v>
      </c>
      <c r="G161" s="94" t="str">
        <f>IF(E161&lt;&gt;"/",VLOOKUP(E161,COSTS_Spell_Lightning[#All],3),"/")</f>
        <v>/</v>
      </c>
      <c r="H161" s="386">
        <f t="shared" si="85"/>
        <v>0</v>
      </c>
      <c r="I161" s="522">
        <f t="shared" si="86"/>
        <v>0</v>
      </c>
      <c r="J161" s="929">
        <v>6</v>
      </c>
      <c r="K161" s="930" t="str">
        <f>IF(Paramètres!AH11=0,"",Paramètres!AH11)</f>
        <v/>
      </c>
      <c r="L161" s="782">
        <f t="shared" si="87"/>
        <v>0</v>
      </c>
      <c r="M161" s="575" t="str">
        <f t="shared" si="88"/>
        <v>/</v>
      </c>
      <c r="N161" s="113" t="str">
        <f>IF(P$154="Error","Error",IF(AND($N$154&lt;&gt;"/",$N$154&gt;'Paramètres - Admin'!$A7),'Paramètres - Admin'!$A8,"/"))</f>
        <v>/</v>
      </c>
      <c r="O161" s="387" t="str">
        <f>IF(N161&lt;&gt;"/",VLOOKUP(N161,COSTS_Spell_Healing[#All],2),"/")</f>
        <v>/</v>
      </c>
      <c r="P161" s="112" t="str">
        <f>IF(N161&lt;&gt;"/",VLOOKUP(N161,COSTS_Spell_Healing[#All],3),"/")</f>
        <v>/</v>
      </c>
      <c r="Q161" s="387">
        <f t="shared" si="89"/>
        <v>0</v>
      </c>
      <c r="R161" s="114">
        <f t="shared" si="90"/>
        <v>0</v>
      </c>
      <c r="S161" s="907"/>
      <c r="T161" s="908"/>
      <c r="U161" s="908"/>
      <c r="V161" s="908"/>
      <c r="W161" s="908"/>
      <c r="X161" s="909"/>
      <c r="Y161" s="274" t="s">
        <v>31</v>
      </c>
      <c r="Z161" s="394">
        <f>IF(Y$154="Error","Error",SUM(Z156:Z160))</f>
        <v>0</v>
      </c>
      <c r="AA161" s="585">
        <f>IF(Y$154="Error","Error",SUM(AA156:AA160))</f>
        <v>0</v>
      </c>
    </row>
    <row r="162" spans="1:27" ht="15" customHeight="1" thickBot="1" x14ac:dyDescent="0.3">
      <c r="A162" s="929">
        <v>7</v>
      </c>
      <c r="B162" s="930" t="str">
        <f>IF(Paramètres!AG12=0,"",Paramètres!AG12)</f>
        <v/>
      </c>
      <c r="C162" s="782">
        <f t="shared" ref="C162" si="92">IF(C161&lt;&gt;0,C161+IF(AND(B161&lt;&gt;"",A161&lt;E$154),B161,0),IF(AND(B161&lt;&gt;"",A161&lt;E$154),B161,0))</f>
        <v>0</v>
      </c>
      <c r="D162" s="575" t="str">
        <f t="shared" si="84"/>
        <v>/</v>
      </c>
      <c r="E162" s="113" t="str">
        <f>IF(G$154="Error","Error",IF(AND($E$154&lt;&gt;"/",$E$154&gt;'Paramètres - Admin'!$A8),'Paramètres - Admin'!$A9,"/"))</f>
        <v>/</v>
      </c>
      <c r="F162" s="387" t="str">
        <f>IF(E162&lt;&gt;"/",VLOOKUP(E162,COSTS_Spell_Lightning[#All],2),"/")</f>
        <v>/</v>
      </c>
      <c r="G162" s="112" t="str">
        <f>IF(E162&lt;&gt;"/",VLOOKUP(E162,COSTS_Spell_Lightning[#All],3),"/")</f>
        <v>/</v>
      </c>
      <c r="H162" s="387">
        <f t="shared" si="85"/>
        <v>0</v>
      </c>
      <c r="I162" s="114">
        <f t="shared" si="86"/>
        <v>0</v>
      </c>
      <c r="J162" s="493"/>
      <c r="K162" s="494"/>
      <c r="L162" s="494"/>
      <c r="M162" s="494"/>
      <c r="N162" s="494"/>
      <c r="O162" s="495"/>
      <c r="P162" s="274" t="s">
        <v>31</v>
      </c>
      <c r="Q162" s="394">
        <f>IF(P$154="Error","Error",SUM(Q156:Q161))</f>
        <v>0</v>
      </c>
      <c r="R162" s="585">
        <f>IF(P$154="Error","Error",SUM(R156:R161))</f>
        <v>0</v>
      </c>
    </row>
    <row r="163" spans="1:27" ht="15" customHeight="1" thickBot="1" x14ac:dyDescent="0.3">
      <c r="A163" s="493"/>
      <c r="B163" s="494"/>
      <c r="C163" s="494"/>
      <c r="D163" s="494"/>
      <c r="E163" s="494"/>
      <c r="F163" s="495"/>
      <c r="G163" s="274" t="s">
        <v>31</v>
      </c>
      <c r="H163" s="394">
        <f>IF(G$154="Error","Error",SUM(H156:H162))</f>
        <v>0</v>
      </c>
      <c r="I163" s="585">
        <f>IF(G$154="Error","Error",SUM(I156:I162))</f>
        <v>0</v>
      </c>
      <c r="J163" s="1119" t="s">
        <v>193</v>
      </c>
      <c r="K163" s="1120"/>
      <c r="L163" s="1121"/>
      <c r="M163" s="80" t="s">
        <v>38</v>
      </c>
      <c r="N163" s="81" t="s">
        <v>39</v>
      </c>
      <c r="O163" s="82"/>
      <c r="P163" s="512" t="s">
        <v>256</v>
      </c>
      <c r="Q163" s="514" t="s">
        <v>361</v>
      </c>
      <c r="R163" s="513" t="s">
        <v>257</v>
      </c>
    </row>
    <row r="164" spans="1:27" ht="15" customHeight="1" thickBot="1" x14ac:dyDescent="0.3">
      <c r="A164" s="1119" t="s">
        <v>192</v>
      </c>
      <c r="B164" s="1120"/>
      <c r="C164" s="1121"/>
      <c r="D164" s="80" t="s">
        <v>38</v>
      </c>
      <c r="E164" s="81" t="s">
        <v>39</v>
      </c>
      <c r="F164" s="82"/>
      <c r="G164" s="512" t="s">
        <v>256</v>
      </c>
      <c r="H164" s="514" t="s">
        <v>361</v>
      </c>
      <c r="I164" s="513" t="s">
        <v>257</v>
      </c>
      <c r="J164" s="1122"/>
      <c r="K164" s="1123"/>
      <c r="L164" s="1124"/>
      <c r="M164" s="88">
        <f>VLOOKUP($A$2,AVAILABLE_Upgrades_Spells[#All],MATCH(J163,AVAILABLE_Upgrades_Spells[#Headers],0))</f>
        <v>0</v>
      </c>
      <c r="N164" s="516">
        <f>VLOOKUP(IF(ISERROR(LOOKUP(MATCH(1,Paramètres!$K$6:$K$45,0),Paramètres!$A$6:$A$45)),0,LOOKUP(MATCH(1,Paramètres!$K$6:$K$45,0),Paramètres!$A$6:$A$45)),AVAILABLE_Upgrades_Spells[#All],MATCH(J163,AVAILABLE_Upgrades_Spells[#Headers],0)+1)</f>
        <v>0</v>
      </c>
      <c r="O164" s="201"/>
      <c r="P164" s="96">
        <f>IF(SUM(K166:K168)&gt;M164,"Error",SUM(K166:K168))</f>
        <v>0</v>
      </c>
      <c r="Q164" s="97">
        <f>IF(P$164="Error","Error",M164-P164)</f>
        <v>0</v>
      </c>
      <c r="R164" s="202">
        <f>IF(P$164="Error","Error",SUM(M166:M168))</f>
        <v>0</v>
      </c>
    </row>
    <row r="165" spans="1:27" ht="15" customHeight="1" thickBot="1" x14ac:dyDescent="0.3">
      <c r="A165" s="1122"/>
      <c r="B165" s="1123"/>
      <c r="C165" s="1124"/>
      <c r="D165" s="88">
        <f>VLOOKUP($A$2,AVAILABLE_Upgrades_Spells[#All],MATCH(A164,AVAILABLE_Upgrades_Spells[#Headers],0))</f>
        <v>0</v>
      </c>
      <c r="E165" s="516">
        <f>VLOOKUP(IF(ISERROR(LOOKUP(MATCH(1,Paramètres!$K$6:$K$45,0),Paramètres!$A$6:$A$45)),0,LOOKUP(MATCH(1,Paramètres!$K$6:$K$45,0),Paramètres!$A$6:$A$45)),AVAILABLE_Upgrades_Spells[#All],MATCH(A164,AVAILABLE_Upgrades_Spells[#Headers],0)+1)</f>
        <v>0</v>
      </c>
      <c r="F165" s="201"/>
      <c r="G165" s="96">
        <f>IF(SUM(B167:B171)&gt;D165,"Error",SUM(B167:B171))</f>
        <v>0</v>
      </c>
      <c r="H165" s="97">
        <f>IF(G$165="Error","Error",D165-G165)</f>
        <v>0</v>
      </c>
      <c r="I165" s="202">
        <f>IF(G$165="Error","Error",SUM(D167:D171))</f>
        <v>0</v>
      </c>
      <c r="J165" s="520" t="s">
        <v>30</v>
      </c>
      <c r="K165" s="339" t="s">
        <v>29</v>
      </c>
      <c r="L165" s="581"/>
      <c r="M165" s="455" t="s">
        <v>29</v>
      </c>
      <c r="N165" s="456" t="s">
        <v>30</v>
      </c>
      <c r="O165" s="226" t="s">
        <v>258</v>
      </c>
      <c r="P165" s="226" t="s">
        <v>259</v>
      </c>
      <c r="Q165" s="226" t="s">
        <v>232</v>
      </c>
      <c r="R165" s="227" t="s">
        <v>233</v>
      </c>
    </row>
    <row r="166" spans="1:27" ht="15" customHeight="1" thickBot="1" x14ac:dyDescent="0.3">
      <c r="A166" s="99" t="s">
        <v>30</v>
      </c>
      <c r="B166" s="125" t="s">
        <v>29</v>
      </c>
      <c r="C166" s="101"/>
      <c r="D166" s="216" t="s">
        <v>29</v>
      </c>
      <c r="E166" s="217" t="s">
        <v>30</v>
      </c>
      <c r="F166" s="532" t="s">
        <v>258</v>
      </c>
      <c r="G166" s="532" t="s">
        <v>259</v>
      </c>
      <c r="H166" s="532" t="s">
        <v>232</v>
      </c>
      <c r="I166" s="533" t="s">
        <v>233</v>
      </c>
      <c r="J166" s="512">
        <v>1</v>
      </c>
      <c r="K166" s="926" t="str">
        <f>IF(Paramètres!AJ6=0,"",Paramètres!AJ6)</f>
        <v/>
      </c>
      <c r="L166" s="586">
        <f>IF(L165&lt;&gt;0,L165+IF(AND(K165&lt;&gt;"",J165&lt;N$164),K165,0),IF(AND(K165&lt;&gt;"",J165&lt;N$164),K165,0))</f>
        <v>0</v>
      </c>
      <c r="M166" s="573" t="str">
        <f>IF(N166&lt;&gt;"/",IF(P$164="Error","Error",$Q$164+L166),"/")</f>
        <v>/</v>
      </c>
      <c r="N166" s="457" t="str">
        <f>IF(P$164="Error","Error",IF(AND($N$164&lt;&gt;"/",$N$164&gt;'Paramètres - Admin'!$A2),'Paramètres - Admin'!$A3,"/"))</f>
        <v>/</v>
      </c>
      <c r="O166" s="385" t="str">
        <f>IF(N166&lt;&gt;"/",VLOOKUP(N166,COSTS_Spell_Jump[#All],2),"/")</f>
        <v>/</v>
      </c>
      <c r="P166" s="458" t="str">
        <f>IF(N166&lt;&gt;"/",VLOOKUP(N166,COSTS_Spell_Jump[#All],3),"/")</f>
        <v>/</v>
      </c>
      <c r="Q166" s="385">
        <f>IF(P$164="Error","Error",IF(O166&lt;&gt;"/",M166*O166,0))</f>
        <v>0</v>
      </c>
      <c r="R166" s="459">
        <f>IF(P$164="Error","Error",IF(P166&lt;&gt;"/",M166*P166,0))</f>
        <v>0</v>
      </c>
    </row>
    <row r="167" spans="1:27" ht="15" customHeight="1" x14ac:dyDescent="0.25">
      <c r="A167" s="512">
        <v>1</v>
      </c>
      <c r="B167" s="926" t="str">
        <f>IF(Paramètres!AI6=0,"",Paramètres!AI6)</f>
        <v/>
      </c>
      <c r="C167" s="586">
        <f>IF(C166&lt;&gt;0,C166+IF(AND(B166&lt;&gt;"",A166&lt;E$165),B166,0),IF(AND(B166&lt;&gt;"",A166&lt;E$165),B166,0))</f>
        <v>0</v>
      </c>
      <c r="D167" s="573" t="str">
        <f>IF(E167&lt;&gt;"/",IF(G$165="Error","Error",$H$165+C167),"/")</f>
        <v>/</v>
      </c>
      <c r="E167" s="457" t="str">
        <f>IF(G$165="Error","Error",IF(AND($E$165&lt;&gt;"/",$E$165&gt;'Paramètres - Admin'!$A2),'Paramètres - Admin'!$A3,"/"))</f>
        <v>/</v>
      </c>
      <c r="F167" s="385" t="str">
        <f>IF(E167&lt;&gt;"/",VLOOKUP(E167,COSTS_Spell_Rage[#All],2),"/")</f>
        <v>/</v>
      </c>
      <c r="G167" s="458" t="str">
        <f>IF(E167&lt;&gt;"/",VLOOKUP(E167,COSTS_Spell_Rage[#All],3),"/")</f>
        <v>/</v>
      </c>
      <c r="H167" s="385">
        <f>IF(G$165="Error","Error",IF(F167&lt;&gt;"/",D167*F167,0))</f>
        <v>0</v>
      </c>
      <c r="I167" s="459">
        <f>IF(G$165="Error","Error",IF(G167&lt;&gt;"/",D167*G167,0))</f>
        <v>0</v>
      </c>
      <c r="J167" s="927">
        <v>2</v>
      </c>
      <c r="K167" s="928" t="str">
        <f>IF(Paramètres!AJ7=0,"",Paramètres!AJ7)</f>
        <v/>
      </c>
      <c r="L167" s="781">
        <f>IF(L166&lt;&gt;0,L166+IF(AND(K166&lt;&gt;"",J166&lt;N$164),K166,0),IF(AND(K166&lt;&gt;"",J166&lt;N$164),K166,0))</f>
        <v>0</v>
      </c>
      <c r="M167" s="574" t="str">
        <f>IF(N167&lt;&gt;"/",IF(P$164="Error","Error",$Q$164+L167),"/")</f>
        <v>/</v>
      </c>
      <c r="N167" s="107" t="str">
        <f>IF(P$164="Error","Error",IF(AND($N$164&lt;&gt;"/",$N$164&gt;'Paramètres - Admin'!$A3),'Paramètres - Admin'!$A4,"/"))</f>
        <v>/</v>
      </c>
      <c r="O167" s="386" t="str">
        <f>IF(N167&lt;&gt;"/",VLOOKUP(N167,COSTS_Spell_Jump[#All],2),"/")</f>
        <v>/</v>
      </c>
      <c r="P167" s="94" t="str">
        <f>IF(N167&lt;&gt;"/",VLOOKUP(N167,COSTS_Spell_Jump[#All],3),"/")</f>
        <v>/</v>
      </c>
      <c r="Q167" s="386">
        <f>IF(P$164="Error","Error",IF(O167&lt;&gt;"/",M167*O167,0))</f>
        <v>0</v>
      </c>
      <c r="R167" s="522">
        <f>IF(P$164="Error","Error",IF(P167&lt;&gt;"/",M167*P167,0))</f>
        <v>0</v>
      </c>
    </row>
    <row r="168" spans="1:27" ht="15" customHeight="1" thickBot="1" x14ac:dyDescent="0.3">
      <c r="A168" s="927">
        <v>2</v>
      </c>
      <c r="B168" s="928" t="str">
        <f>IF(Paramètres!AI7=0,"",Paramètres!AI7)</f>
        <v/>
      </c>
      <c r="C168" s="781">
        <f>IF(C167&lt;&gt;0,C167+IF(AND(B167&lt;&gt;"",A167&lt;E$165),B167,0),IF(AND(B167&lt;&gt;"",A167&lt;E$165),B167,0))</f>
        <v>0</v>
      </c>
      <c r="D168" s="574" t="str">
        <f>IF(E168&lt;&gt;"/",IF(G$165="Error","Error",$H$165+C168),"/")</f>
        <v>/</v>
      </c>
      <c r="E168" s="107" t="str">
        <f>IF(G$165="Error","Error",IF(AND($E$165&lt;&gt;"/",$E$165&gt;'Paramètres - Admin'!$A3),'Paramètres - Admin'!$A4,"/"))</f>
        <v>/</v>
      </c>
      <c r="F168" s="386" t="str">
        <f>IF(E168&lt;&gt;"/",VLOOKUP(E168,COSTS_Spell_Rage[#All],2),"/")</f>
        <v>/</v>
      </c>
      <c r="G168" s="94" t="str">
        <f>IF(E168&lt;&gt;"/",VLOOKUP(E168,COSTS_Spell_Rage[#All],3),"/")</f>
        <v>/</v>
      </c>
      <c r="H168" s="386">
        <f>IF(G$165="Error","Error",IF(F168&lt;&gt;"/",D168*F168,0))</f>
        <v>0</v>
      </c>
      <c r="I168" s="522">
        <f>IF(G$165="Error","Error",IF(G168&lt;&gt;"/",D168*G168,0))</f>
        <v>0</v>
      </c>
      <c r="J168" s="929">
        <v>3</v>
      </c>
      <c r="K168" s="930" t="str">
        <f>IF(Paramètres!AJ8=0,"",Paramètres!AJ8)</f>
        <v/>
      </c>
      <c r="L168" s="782">
        <f>IF(L167&lt;&gt;0,L167+IF(AND(K167&lt;&gt;"",J167&lt;N$164),K167,0),IF(AND(K167&lt;&gt;"",J167&lt;N$164),K167,0))</f>
        <v>0</v>
      </c>
      <c r="M168" s="575" t="str">
        <f>IF(N168&lt;&gt;"/",IF(P$164="Error","Error",$Q$164+L168),"/")</f>
        <v>/</v>
      </c>
      <c r="N168" s="113" t="str">
        <f>IF(P$164="Error","Error",IF(AND($N$164&lt;&gt;"/",$N$164&gt;'Paramètres - Admin'!$A4),'Paramètres - Admin'!$A5,"/"))</f>
        <v>/</v>
      </c>
      <c r="O168" s="387" t="str">
        <f>IF(N168&lt;&gt;"/",VLOOKUP(N168,COSTS_Spell_Jump[#All],2),"/")</f>
        <v>/</v>
      </c>
      <c r="P168" s="112" t="str">
        <f>IF(N168&lt;&gt;"/",VLOOKUP(N168,COSTS_Spell_Jump[#All],3),"/")</f>
        <v>/</v>
      </c>
      <c r="Q168" s="387">
        <f>IF(P$164="Error","Error",IF(O168&lt;&gt;"/",M168*O168,0))</f>
        <v>0</v>
      </c>
      <c r="R168" s="114">
        <f>IF(P$164="Error","Error",IF(P168&lt;&gt;"/",M168*P168,0))</f>
        <v>0</v>
      </c>
    </row>
    <row r="169" spans="1:27" ht="15" customHeight="1" thickBot="1" x14ac:dyDescent="0.3">
      <c r="A169" s="927">
        <v>3</v>
      </c>
      <c r="B169" s="928" t="str">
        <f>IF(Paramètres!AI8=0,"",Paramètres!AI8)</f>
        <v/>
      </c>
      <c r="C169" s="781">
        <f>IF(C168&lt;&gt;0,C168+IF(AND(B168&lt;&gt;"",A168&lt;E$165),B168,0),IF(AND(B168&lt;&gt;"",A168&lt;E$165),B168,0))</f>
        <v>0</v>
      </c>
      <c r="D169" s="574" t="str">
        <f>IF(E169&lt;&gt;"/",IF(G$165="Error","Error",$H$165+C169),"/")</f>
        <v>/</v>
      </c>
      <c r="E169" s="107" t="str">
        <f>IF(G$165="Error","Error",IF(AND($E$165&lt;&gt;"/",$E$165&gt;'Paramètres - Admin'!$A4),'Paramètres - Admin'!$A5,"/"))</f>
        <v>/</v>
      </c>
      <c r="F169" s="386" t="str">
        <f>IF(E169&lt;&gt;"/",VLOOKUP(E169,COSTS_Spell_Rage[#All],2),"/")</f>
        <v>/</v>
      </c>
      <c r="G169" s="94" t="str">
        <f>IF(E169&lt;&gt;"/",VLOOKUP(E169,COSTS_Spell_Rage[#All],3),"/")</f>
        <v>/</v>
      </c>
      <c r="H169" s="386">
        <f>IF(G$165="Error","Error",IF(F169&lt;&gt;"/",D169*F169,0))</f>
        <v>0</v>
      </c>
      <c r="I169" s="522">
        <f>IF(G$165="Error","Error",IF(G169&lt;&gt;"/",D169*G169,0))</f>
        <v>0</v>
      </c>
      <c r="J169" s="910"/>
      <c r="K169" s="911"/>
      <c r="L169" s="911"/>
      <c r="M169" s="911"/>
      <c r="N169" s="911"/>
      <c r="O169" s="912"/>
      <c r="P169" s="511" t="s">
        <v>31</v>
      </c>
      <c r="Q169" s="388">
        <f>IF(P$164="Error","Error",SUM(Q166:Q168))</f>
        <v>0</v>
      </c>
      <c r="R169" s="534">
        <f>IF(P$164="Error","Error",SUM(R166:R168))</f>
        <v>0</v>
      </c>
    </row>
    <row r="170" spans="1:27" ht="15" customHeight="1" x14ac:dyDescent="0.25">
      <c r="A170" s="927">
        <v>4</v>
      </c>
      <c r="B170" s="928" t="str">
        <f>IF(Paramètres!AI9=0,"",Paramètres!AI9)</f>
        <v/>
      </c>
      <c r="C170" s="781">
        <f>IF(C169&lt;&gt;0,C169+IF(AND(B169&lt;&gt;"",A169&lt;E$165),B169,0),IF(AND(B169&lt;&gt;"",A169&lt;E$165),B169,0))</f>
        <v>0</v>
      </c>
      <c r="D170" s="574" t="str">
        <f>IF(E170&lt;&gt;"/",IF(G$165="Error","Error",$H$165+C170),"/")</f>
        <v>/</v>
      </c>
      <c r="E170" s="107" t="str">
        <f>IF(G$165="Error","Error",IF(AND($E$165&lt;&gt;"/",$E$165&gt;'Paramètres - Admin'!$A5),'Paramètres - Admin'!$A6,"/"))</f>
        <v>/</v>
      </c>
      <c r="F170" s="386" t="str">
        <f>IF(E170&lt;&gt;"/",VLOOKUP(E170,COSTS_Spell_Rage[#All],2),"/")</f>
        <v>/</v>
      </c>
      <c r="G170" s="94" t="str">
        <f>IF(E170&lt;&gt;"/",VLOOKUP(E170,COSTS_Spell_Rage[#All],3),"/")</f>
        <v>/</v>
      </c>
      <c r="H170" s="386">
        <f>IF(G$165="Error","Error",IF(F170&lt;&gt;"/",D170*F170,0))</f>
        <v>0</v>
      </c>
      <c r="I170" s="522">
        <f>IF(G$165="Error","Error",IF(G170&lt;&gt;"/",D170*G170,0))</f>
        <v>0</v>
      </c>
    </row>
    <row r="171" spans="1:27" ht="15" customHeight="1" thickBot="1" x14ac:dyDescent="0.3">
      <c r="A171" s="929">
        <v>5</v>
      </c>
      <c r="B171" s="930" t="str">
        <f>IF(Paramètres!AI10=0,"",Paramètres!AI10)</f>
        <v/>
      </c>
      <c r="C171" s="782">
        <f>IF(C170&lt;&gt;0,C170+IF(AND(B170&lt;&gt;"",A170&lt;E$165),B170,0),IF(AND(B170&lt;&gt;"",A170&lt;E$165),B170,0))</f>
        <v>0</v>
      </c>
      <c r="D171" s="575" t="str">
        <f>IF(E171&lt;&gt;"/",IF(G$165="Error","Error",$H$165+C171),"/")</f>
        <v>/</v>
      </c>
      <c r="E171" s="113" t="str">
        <f>IF(G$165="Error","Error",IF(AND($E$165&lt;&gt;"/",$E$165&gt;'Paramètres - Admin'!$A6),'Paramètres - Admin'!$A7,"/"))</f>
        <v>/</v>
      </c>
      <c r="F171" s="387" t="str">
        <f>IF(E171&lt;&gt;"/",VLOOKUP(E171,COSTS_Spell_Rage[#All],2),"/")</f>
        <v>/</v>
      </c>
      <c r="G171" s="112" t="str">
        <f>IF(E171&lt;&gt;"/",VLOOKUP(E171,COSTS_Spell_Rage[#All],3),"/")</f>
        <v>/</v>
      </c>
      <c r="H171" s="387">
        <f>IF(G$165="Error","Error",IF(F171&lt;&gt;"/",D171*F171,0))</f>
        <v>0</v>
      </c>
      <c r="I171" s="114">
        <f>IF(G$165="Error","Error",IF(G171&lt;&gt;"/",D171*G171,0))</f>
        <v>0</v>
      </c>
    </row>
    <row r="172" spans="1:27" ht="15" customHeight="1" thickBot="1" x14ac:dyDescent="0.3">
      <c r="A172" s="907"/>
      <c r="B172" s="908"/>
      <c r="C172" s="908"/>
      <c r="D172" s="908"/>
      <c r="E172" s="908"/>
      <c r="F172" s="909"/>
      <c r="G172" s="274" t="s">
        <v>31</v>
      </c>
      <c r="H172" s="394">
        <f>IF(G$165="Error","Error",SUM(H167:H171))</f>
        <v>0</v>
      </c>
      <c r="I172" s="585">
        <f>IF(G$165="Error","Error",SUM(I167:I171))</f>
        <v>0</v>
      </c>
    </row>
    <row r="173" spans="1:27" ht="15" customHeight="1" x14ac:dyDescent="0.25">
      <c r="A173" s="128"/>
      <c r="B173" s="128"/>
      <c r="C173" s="128"/>
      <c r="D173" s="128"/>
      <c r="E173" s="128"/>
      <c r="F173" s="128"/>
    </row>
    <row r="175" spans="1:27" ht="20.100000000000001" customHeight="1" thickBot="1" x14ac:dyDescent="0.3">
      <c r="A175" s="1117" t="s">
        <v>240</v>
      </c>
      <c r="B175" s="1118"/>
      <c r="C175" s="1118"/>
      <c r="D175" s="1118"/>
      <c r="E175" s="1118"/>
      <c r="F175" s="1118"/>
      <c r="G175" s="1118"/>
      <c r="H175" s="1118"/>
      <c r="I175" s="1118"/>
      <c r="J175" s="1118"/>
      <c r="K175" s="1118"/>
      <c r="L175" s="1118"/>
      <c r="M175" s="1118"/>
      <c r="N175" s="1118"/>
      <c r="O175" s="1118"/>
      <c r="P175" s="1118"/>
      <c r="Q175" s="1118"/>
      <c r="R175" s="1118"/>
      <c r="S175" s="1118"/>
      <c r="T175" s="1118"/>
      <c r="U175" s="1118"/>
      <c r="V175" s="1118"/>
      <c r="W175" s="1118"/>
      <c r="X175" s="1118"/>
      <c r="Y175" s="1118"/>
      <c r="Z175" s="1118"/>
      <c r="AA175" s="1118"/>
    </row>
    <row r="176" spans="1:27" ht="15" customHeight="1" x14ac:dyDescent="0.25">
      <c r="A176" s="1119" t="s">
        <v>195</v>
      </c>
      <c r="B176" s="1120"/>
      <c r="C176" s="1121"/>
      <c r="D176" s="80" t="s">
        <v>38</v>
      </c>
      <c r="E176" s="81" t="s">
        <v>39</v>
      </c>
      <c r="F176" s="82"/>
      <c r="G176" s="512" t="s">
        <v>256</v>
      </c>
      <c r="H176" s="514" t="s">
        <v>361</v>
      </c>
      <c r="I176" s="513" t="s">
        <v>257</v>
      </c>
      <c r="J176" s="1119" t="s">
        <v>186</v>
      </c>
      <c r="K176" s="1120"/>
      <c r="L176" s="1121"/>
      <c r="M176" s="80" t="s">
        <v>38</v>
      </c>
      <c r="N176" s="81" t="s">
        <v>39</v>
      </c>
      <c r="O176" s="82"/>
      <c r="P176" s="512" t="s">
        <v>256</v>
      </c>
      <c r="Q176" s="514" t="s">
        <v>361</v>
      </c>
      <c r="R176" s="513" t="s">
        <v>257</v>
      </c>
      <c r="S176" s="1119" t="s">
        <v>184</v>
      </c>
      <c r="T176" s="1120"/>
      <c r="U176" s="1121"/>
      <c r="V176" s="80" t="s">
        <v>38</v>
      </c>
      <c r="W176" s="81" t="s">
        <v>39</v>
      </c>
      <c r="X176" s="82"/>
      <c r="Y176" s="512" t="s">
        <v>256</v>
      </c>
      <c r="Z176" s="514" t="s">
        <v>361</v>
      </c>
      <c r="AA176" s="513" t="s">
        <v>257</v>
      </c>
    </row>
    <row r="177" spans="1:51" ht="15" customHeight="1" thickBot="1" x14ac:dyDescent="0.3">
      <c r="A177" s="1122"/>
      <c r="B177" s="1123"/>
      <c r="C177" s="1124"/>
      <c r="D177" s="88">
        <f>VLOOKUP($A$2,AVAILABLE_Upgrades_Normal_Troops[#All],MATCH(A176,AVAILABLE_Upgrades_Normal_Troops[#Headers],0))</f>
        <v>0</v>
      </c>
      <c r="E177" s="89">
        <f>VLOOKUP(IF(ISERROR(LOOKUP(MATCH(1,Paramètres!$K$6:$K$45,0),Paramètres!$A$6:$A$45)),0,LOOKUP(MATCH(1,Paramètres!$K$6:$K$45,0),Paramètres!$A$6:$A$45)),AVAILABLE_Upgrades_Normal_Troops[#All],MATCH(A176,AVAILABLE_Upgrades_Normal_Troops[#Headers],0)+1)</f>
        <v>0</v>
      </c>
      <c r="F177" s="201"/>
      <c r="G177" s="96">
        <f>IF(SUM(B179:B185)&gt;D177,"Error",SUM(B179:B185))</f>
        <v>0</v>
      </c>
      <c r="H177" s="97">
        <f>IF(G$177="Error","Error",D177-G177)</f>
        <v>0</v>
      </c>
      <c r="I177" s="202">
        <f>IF(G$177="Error","Error",SUM(D179:D185))</f>
        <v>0</v>
      </c>
      <c r="J177" s="1122"/>
      <c r="K177" s="1123"/>
      <c r="L177" s="1124"/>
      <c r="M177" s="88">
        <f>VLOOKUP($A$2,AVAILABLE_Upgrades_Normal_Troops[#All],MATCH(J176,AVAILABLE_Upgrades_Normal_Troops[#Headers],0))</f>
        <v>0</v>
      </c>
      <c r="N177" s="516">
        <f>VLOOKUP(IF(ISERROR(LOOKUP(MATCH(1,Paramètres!$K$6:$K$45,0),Paramètres!$A$6:$A$45)),0,LOOKUP(MATCH(1,Paramètres!$K$6:$K$45,0),Paramètres!$A$6:$A$45)),AVAILABLE_Upgrades_Normal_Troops[#All],MATCH(J176,AVAILABLE_Upgrades_Normal_Troops[#Headers],0)+1)</f>
        <v>0</v>
      </c>
      <c r="O177" s="201"/>
      <c r="P177" s="96">
        <f>IF(SUM(K179:K184)&gt;M177,"Error",SUM(K179:K184))</f>
        <v>0</v>
      </c>
      <c r="Q177" s="97">
        <f>IF(P$177="Error","Error",M177-P177)</f>
        <v>0</v>
      </c>
      <c r="R177" s="202">
        <f>IF(P$177="Error","Error",SUM(M179:M184))</f>
        <v>0</v>
      </c>
      <c r="S177" s="1122"/>
      <c r="T177" s="1123"/>
      <c r="U177" s="1124"/>
      <c r="V177" s="88">
        <f>VLOOKUP($A$2,AVAILABLE_Upgrades_Normal_Troops[#All],MATCH(S176,AVAILABLE_Upgrades_Normal_Troops[#Headers],0))</f>
        <v>0</v>
      </c>
      <c r="W177" s="516">
        <f>VLOOKUP(IF(ISERROR(LOOKUP(MATCH(1,Paramètres!$K$6:$K$45,0),Paramètres!$A$6:$A$45)),0,LOOKUP(MATCH(1,Paramètres!$K$6:$K$45,0),Paramètres!$A$6:$A$45)),AVAILABLE_Upgrades_Normal_Troops[#All],MATCH(S176,AVAILABLE_Upgrades_Normal_Troops[#Headers],0)+1)</f>
        <v>0</v>
      </c>
      <c r="X177" s="201"/>
      <c r="Y177" s="96">
        <f>IF(SUM(T179:T182)&gt;V177,"Error",SUM(T179:T182))</f>
        <v>0</v>
      </c>
      <c r="Z177" s="97">
        <f>IF(Y$177="Error","Error",V177-Y177)</f>
        <v>0</v>
      </c>
      <c r="AA177" s="202">
        <f>IF(Y$177="Error","Error",SUM(V179:V182))</f>
        <v>0</v>
      </c>
    </row>
    <row r="178" spans="1:51" ht="15" customHeight="1" thickBot="1" x14ac:dyDescent="0.3">
      <c r="A178" s="520" t="s">
        <v>30</v>
      </c>
      <c r="B178" s="339" t="s">
        <v>29</v>
      </c>
      <c r="C178" s="581"/>
      <c r="D178" s="455" t="s">
        <v>29</v>
      </c>
      <c r="E178" s="456" t="s">
        <v>30</v>
      </c>
      <c r="F178" s="226" t="s">
        <v>258</v>
      </c>
      <c r="G178" s="226" t="s">
        <v>259</v>
      </c>
      <c r="H178" s="226" t="s">
        <v>232</v>
      </c>
      <c r="I178" s="227" t="s">
        <v>233</v>
      </c>
      <c r="J178" s="520" t="s">
        <v>30</v>
      </c>
      <c r="K178" s="339" t="s">
        <v>29</v>
      </c>
      <c r="L178" s="581"/>
      <c r="M178" s="455" t="s">
        <v>29</v>
      </c>
      <c r="N178" s="456" t="s">
        <v>30</v>
      </c>
      <c r="O178" s="226" t="s">
        <v>258</v>
      </c>
      <c r="P178" s="226" t="s">
        <v>259</v>
      </c>
      <c r="Q178" s="226" t="s">
        <v>232</v>
      </c>
      <c r="R178" s="227" t="s">
        <v>233</v>
      </c>
      <c r="S178" s="520" t="s">
        <v>30</v>
      </c>
      <c r="T178" s="339" t="s">
        <v>29</v>
      </c>
      <c r="U178" s="581"/>
      <c r="V178" s="455" t="s">
        <v>29</v>
      </c>
      <c r="W178" s="456" t="s">
        <v>30</v>
      </c>
      <c r="X178" s="226" t="s">
        <v>258</v>
      </c>
      <c r="Y178" s="226" t="s">
        <v>259</v>
      </c>
      <c r="Z178" s="226" t="s">
        <v>232</v>
      </c>
      <c r="AA178" s="227" t="s">
        <v>233</v>
      </c>
    </row>
    <row r="179" spans="1:51" ht="15" customHeight="1" x14ac:dyDescent="0.25">
      <c r="A179" s="512">
        <v>1</v>
      </c>
      <c r="B179" s="926" t="str">
        <f>IF(Paramètres!AO6=0,"",Paramètres!AO6)</f>
        <v/>
      </c>
      <c r="C179" s="586">
        <f t="shared" ref="C179:C185" si="93">IF(C178&lt;&gt;0,C178+IF(AND(B178&lt;&gt;"",A178&lt;E$177),B178,0),IF(AND(B178&lt;&gt;"",A178&lt;E$177),B178,0))</f>
        <v>0</v>
      </c>
      <c r="D179" s="573" t="str">
        <f t="shared" ref="D179:D185" si="94">IF(E179&lt;&gt;"/",IF(G$177="Error","Error",$H$177+C179),"/")</f>
        <v>/</v>
      </c>
      <c r="E179" s="457" t="str">
        <f>IF(G$177="Error","Error",IF(AND($E$177&lt;&gt;"/",$E$177&gt;'Paramètres - Admin'!$A2),'Paramètres - Admin'!$A3,"/"))</f>
        <v>/</v>
      </c>
      <c r="F179" s="385" t="str">
        <f>IF(E179&lt;&gt;"/",VLOOKUP(E179,COSTS_Barbarian[#All],2),"/")</f>
        <v>/</v>
      </c>
      <c r="G179" s="458" t="str">
        <f>IF(E179&lt;&gt;"/",VLOOKUP(E179,COSTS_Barbarian[#All],3),"/")</f>
        <v>/</v>
      </c>
      <c r="H179" s="385">
        <f t="shared" ref="H179:H185" si="95">IF(G$177="Error","Error",IF(F179&lt;&gt;"/",D179*F179,0))</f>
        <v>0</v>
      </c>
      <c r="I179" s="459">
        <f t="shared" ref="I179:I185" si="96">IF(G$177="Error","Error",IF(G179&lt;&gt;"/",D179*G179,0))</f>
        <v>0</v>
      </c>
      <c r="J179" s="512">
        <v>1</v>
      </c>
      <c r="K179" s="926" t="str">
        <f>IF(Paramètres!AT6=0,"",Paramètres!AT6)</f>
        <v/>
      </c>
      <c r="L179" s="586">
        <f t="shared" ref="L179:L184" si="97">IF(L178&lt;&gt;0,L178+IF(AND(K178&lt;&gt;"",J178&lt;N$177),K178,0),IF(AND(K178&lt;&gt;"",J178&lt;N$177),K178,0))</f>
        <v>0</v>
      </c>
      <c r="M179" s="573" t="str">
        <f t="shared" ref="M179:M184" si="98">IF(N179&lt;&gt;"/",IF(P$177="Error","Error",$Q$177+L179),"/")</f>
        <v>/</v>
      </c>
      <c r="N179" s="457" t="str">
        <f>IF(P$177="Error","Error",IF(AND($N$177&lt;&gt;"/",$N$177&gt;'Paramètres - Admin'!$A2),'Paramètres - Admin'!$A3,"/"))</f>
        <v>/</v>
      </c>
      <c r="O179" s="385" t="str">
        <f>IF(N179&lt;&gt;"/",VLOOKUP(N179,COSTS_Balloon[#All],2),"/")</f>
        <v>/</v>
      </c>
      <c r="P179" s="458" t="str">
        <f>IF(N179&lt;&gt;"/",VLOOKUP(N179,COSTS_Balloon[#All],3),"/")</f>
        <v>/</v>
      </c>
      <c r="Q179" s="385">
        <f t="shared" ref="Q179:Q184" si="99">IF(P$177="Error","Error",IF(O179&lt;&gt;"/",M179*O179,0))</f>
        <v>0</v>
      </c>
      <c r="R179" s="459">
        <f t="shared" ref="R179:R184" si="100">IF(P$177="Error","Error",IF(P179&lt;&gt;"/",M179*P179,0))</f>
        <v>0</v>
      </c>
      <c r="S179" s="512">
        <v>1</v>
      </c>
      <c r="T179" s="926" t="str">
        <f>IF(Paramètres!AV6=0,"",Paramètres!AV6)</f>
        <v/>
      </c>
      <c r="U179" s="586">
        <f>IF(U178&lt;&gt;0,U178+IF(AND(T178&lt;&gt;"",S178&lt;W$177),T178,0),IF(AND(T178&lt;&gt;"",S178&lt;W$177),T178,0))</f>
        <v>0</v>
      </c>
      <c r="V179" s="573" t="str">
        <f>IF(W179&lt;&gt;"/",IF(Y$177="Error","Error",$Z$177+U179),"/")</f>
        <v>/</v>
      </c>
      <c r="W179" s="457" t="str">
        <f>IF(Y$177="Error","Error",IF(AND($W$177&lt;&gt;"/",$W$177&gt;'Paramètres - Admin'!$A2),'Paramètres - Admin'!$A3,"/"))</f>
        <v>/</v>
      </c>
      <c r="X179" s="385" t="str">
        <f>IF(W179&lt;&gt;"/",VLOOKUP(W179,COSTS_Healer[#All],2),"/")</f>
        <v>/</v>
      </c>
      <c r="Y179" s="458" t="str">
        <f>IF(W179&lt;&gt;"/",VLOOKUP(W179,COSTS_Healer[#All],3),"/")</f>
        <v>/</v>
      </c>
      <c r="Z179" s="385">
        <f>IF(Y$177="Error","Error",IF(X179&lt;&gt;"/",V179*X179,0))</f>
        <v>0</v>
      </c>
      <c r="AA179" s="459">
        <f>IF(Y$177="Error","Error",IF(Y179&lt;&gt;"/",V179*Y179,0))</f>
        <v>0</v>
      </c>
    </row>
    <row r="180" spans="1:51" ht="15" customHeight="1" x14ac:dyDescent="0.25">
      <c r="A180" s="927">
        <v>2</v>
      </c>
      <c r="B180" s="928" t="str">
        <f>IF(Paramètres!AO7=0,"",Paramètres!AO7)</f>
        <v/>
      </c>
      <c r="C180" s="781">
        <f t="shared" si="93"/>
        <v>0</v>
      </c>
      <c r="D180" s="574" t="str">
        <f t="shared" si="94"/>
        <v>/</v>
      </c>
      <c r="E180" s="107" t="str">
        <f>IF(G$177="Error","Error",IF(AND($E$177&lt;&gt;"/",$E$177&gt;'Paramètres - Admin'!$A3),'Paramètres - Admin'!$A4,"/"))</f>
        <v>/</v>
      </c>
      <c r="F180" s="386" t="str">
        <f>IF(E180&lt;&gt;"/",VLOOKUP(E180,COSTS_Barbarian[#All],2),"/")</f>
        <v>/</v>
      </c>
      <c r="G180" s="94" t="str">
        <f>IF(E180&lt;&gt;"/",VLOOKUP(E180,COSTS_Barbarian[#All],3),"/")</f>
        <v>/</v>
      </c>
      <c r="H180" s="386">
        <f t="shared" si="95"/>
        <v>0</v>
      </c>
      <c r="I180" s="522">
        <f t="shared" si="96"/>
        <v>0</v>
      </c>
      <c r="J180" s="927">
        <v>2</v>
      </c>
      <c r="K180" s="928" t="str">
        <f>IF(Paramètres!AT7=0,"",Paramètres!AT7)</f>
        <v/>
      </c>
      <c r="L180" s="781">
        <f t="shared" si="97"/>
        <v>0</v>
      </c>
      <c r="M180" s="574" t="str">
        <f t="shared" si="98"/>
        <v>/</v>
      </c>
      <c r="N180" s="107" t="str">
        <f>IF(P$177="Error","Error",IF(AND($N$177&lt;&gt;"/",$N$177&gt;'Paramètres - Admin'!$A3),'Paramètres - Admin'!$A4,"/"))</f>
        <v>/</v>
      </c>
      <c r="O180" s="386" t="str">
        <f>IF(N180&lt;&gt;"/",VLOOKUP(N180,COSTS_Balloon[#All],2),"/")</f>
        <v>/</v>
      </c>
      <c r="P180" s="94" t="str">
        <f>IF(N180&lt;&gt;"/",VLOOKUP(N180,COSTS_Balloon[#All],3),"/")</f>
        <v>/</v>
      </c>
      <c r="Q180" s="386">
        <f t="shared" si="99"/>
        <v>0</v>
      </c>
      <c r="R180" s="522">
        <f t="shared" si="100"/>
        <v>0</v>
      </c>
      <c r="S180" s="927">
        <v>2</v>
      </c>
      <c r="T180" s="928" t="str">
        <f>IF(Paramètres!AV7=0,"",Paramètres!AV7)</f>
        <v/>
      </c>
      <c r="U180" s="781">
        <f>IF(U179&lt;&gt;0,U179+IF(AND(T179&lt;&gt;"",S179&lt;W$177),T179,0),IF(AND(T179&lt;&gt;"",S179&lt;W$177),T179,0))</f>
        <v>0</v>
      </c>
      <c r="V180" s="574" t="str">
        <f>IF(W180&lt;&gt;"/",IF(Y$177="Error","Error",$Z$177+U180),"/")</f>
        <v>/</v>
      </c>
      <c r="W180" s="107" t="str">
        <f>IF(Y$177="Error","Error",IF(AND($W$177&lt;&gt;"/",$W$177&gt;'Paramètres - Admin'!$A3),'Paramètres - Admin'!$A4,"/"))</f>
        <v>/</v>
      </c>
      <c r="X180" s="386" t="str">
        <f>IF(W180&lt;&gt;"/",VLOOKUP(W180,COSTS_Healer[#All],2),"/")</f>
        <v>/</v>
      </c>
      <c r="Y180" s="94" t="str">
        <f>IF(W180&lt;&gt;"/",VLOOKUP(W180,COSTS_Healer[#All],3),"/")</f>
        <v>/</v>
      </c>
      <c r="Z180" s="386">
        <f>IF(Y$177="Error","Error",IF(X180&lt;&gt;"/",V180*X180,0))</f>
        <v>0</v>
      </c>
      <c r="AA180" s="522">
        <f>IF(Y$177="Error","Error",IF(Y180&lt;&gt;"/",V180*Y180,0))</f>
        <v>0</v>
      </c>
    </row>
    <row r="181" spans="1:51" ht="15" customHeight="1" x14ac:dyDescent="0.25">
      <c r="A181" s="927">
        <v>3</v>
      </c>
      <c r="B181" s="928" t="str">
        <f>IF(Paramètres!AO8=0,"",Paramètres!AO8)</f>
        <v/>
      </c>
      <c r="C181" s="781">
        <f t="shared" si="93"/>
        <v>0</v>
      </c>
      <c r="D181" s="574" t="str">
        <f t="shared" si="94"/>
        <v>/</v>
      </c>
      <c r="E181" s="107" t="str">
        <f>IF(G$177="Error","Error",IF(AND($E$177&lt;&gt;"/",$E$177&gt;'Paramètres - Admin'!$A4),'Paramètres - Admin'!$A5,"/"))</f>
        <v>/</v>
      </c>
      <c r="F181" s="386" t="str">
        <f>IF(E181&lt;&gt;"/",VLOOKUP(E181,COSTS_Barbarian[#All],2),"/")</f>
        <v>/</v>
      </c>
      <c r="G181" s="94" t="str">
        <f>IF(E181&lt;&gt;"/",VLOOKUP(E181,COSTS_Barbarian[#All],3),"/")</f>
        <v>/</v>
      </c>
      <c r="H181" s="386">
        <f t="shared" si="95"/>
        <v>0</v>
      </c>
      <c r="I181" s="522">
        <f t="shared" si="96"/>
        <v>0</v>
      </c>
      <c r="J181" s="927">
        <v>3</v>
      </c>
      <c r="K181" s="928" t="str">
        <f>IF(Paramètres!AT8=0,"",Paramètres!AT8)</f>
        <v/>
      </c>
      <c r="L181" s="781">
        <f t="shared" si="97"/>
        <v>0</v>
      </c>
      <c r="M181" s="574" t="str">
        <f t="shared" si="98"/>
        <v>/</v>
      </c>
      <c r="N181" s="107" t="str">
        <f>IF(P$177="Error","Error",IF(AND($N$177&lt;&gt;"/",$N$177&gt;'Paramètres - Admin'!$A4),'Paramètres - Admin'!$A5,"/"))</f>
        <v>/</v>
      </c>
      <c r="O181" s="386" t="str">
        <f>IF(N181&lt;&gt;"/",VLOOKUP(N181,COSTS_Balloon[#All],2),"/")</f>
        <v>/</v>
      </c>
      <c r="P181" s="94" t="str">
        <f>IF(N181&lt;&gt;"/",VLOOKUP(N181,COSTS_Balloon[#All],3),"/")</f>
        <v>/</v>
      </c>
      <c r="Q181" s="386">
        <f t="shared" si="99"/>
        <v>0</v>
      </c>
      <c r="R181" s="522">
        <f t="shared" si="100"/>
        <v>0</v>
      </c>
      <c r="S181" s="927">
        <v>3</v>
      </c>
      <c r="T181" s="928" t="str">
        <f>IF(Paramètres!AV8=0,"",Paramètres!AV8)</f>
        <v/>
      </c>
      <c r="U181" s="781">
        <f>IF(U180&lt;&gt;0,U180+IF(AND(T180&lt;&gt;"",S180&lt;W$177),T180,0),IF(AND(T180&lt;&gt;"",S180&lt;W$177),T180,0))</f>
        <v>0</v>
      </c>
      <c r="V181" s="574" t="str">
        <f>IF(W181&lt;&gt;"/",IF(Y$177="Error","Error",$Z$177+U181),"/")</f>
        <v>/</v>
      </c>
      <c r="W181" s="107" t="str">
        <f>IF(Y$177="Error","Error",IF(AND($W$177&lt;&gt;"/",$W$177&gt;'Paramètres - Admin'!$A4),'Paramètres - Admin'!$A5,"/"))</f>
        <v>/</v>
      </c>
      <c r="X181" s="386" t="str">
        <f>IF(W181&lt;&gt;"/",VLOOKUP(W181,COSTS_Healer[#All],2),"/")</f>
        <v>/</v>
      </c>
      <c r="Y181" s="94" t="str">
        <f>IF(W181&lt;&gt;"/",VLOOKUP(W181,COSTS_Healer[#All],3),"/")</f>
        <v>/</v>
      </c>
      <c r="Z181" s="386">
        <f>IF(Y$177="Error","Error",IF(X181&lt;&gt;"/",V181*X181,0))</f>
        <v>0</v>
      </c>
      <c r="AA181" s="522">
        <f>IF(Y$177="Error","Error",IF(Y181&lt;&gt;"/",V181*Y181,0))</f>
        <v>0</v>
      </c>
    </row>
    <row r="182" spans="1:51" ht="15" customHeight="1" thickBot="1" x14ac:dyDescent="0.3">
      <c r="A182" s="927">
        <v>4</v>
      </c>
      <c r="B182" s="928" t="str">
        <f>IF(Paramètres!AO9=0,"",Paramètres!AO9)</f>
        <v/>
      </c>
      <c r="C182" s="781">
        <f t="shared" si="93"/>
        <v>0</v>
      </c>
      <c r="D182" s="574" t="str">
        <f t="shared" si="94"/>
        <v>/</v>
      </c>
      <c r="E182" s="107" t="str">
        <f>IF(G$177="Error","Error",IF(AND($E$177&lt;&gt;"/",$E$177&gt;'Paramètres - Admin'!$A5),'Paramètres - Admin'!$A6,"/"))</f>
        <v>/</v>
      </c>
      <c r="F182" s="386" t="str">
        <f>IF(E182&lt;&gt;"/",VLOOKUP(E182,COSTS_Barbarian[#All],2),"/")</f>
        <v>/</v>
      </c>
      <c r="G182" s="94" t="str">
        <f>IF(E182&lt;&gt;"/",VLOOKUP(E182,COSTS_Barbarian[#All],3),"/")</f>
        <v>/</v>
      </c>
      <c r="H182" s="386">
        <f t="shared" si="95"/>
        <v>0</v>
      </c>
      <c r="I182" s="522">
        <f t="shared" si="96"/>
        <v>0</v>
      </c>
      <c r="J182" s="927">
        <v>4</v>
      </c>
      <c r="K182" s="928" t="str">
        <f>IF(Paramètres!AT9=0,"",Paramètres!AT9)</f>
        <v/>
      </c>
      <c r="L182" s="781">
        <f t="shared" si="97"/>
        <v>0</v>
      </c>
      <c r="M182" s="574" t="str">
        <f t="shared" si="98"/>
        <v>/</v>
      </c>
      <c r="N182" s="107" t="str">
        <f>IF(P$177="Error","Error",IF(AND($N$177&lt;&gt;"/",$N$177&gt;'Paramètres - Admin'!$A5),'Paramètres - Admin'!$A6,"/"))</f>
        <v>/</v>
      </c>
      <c r="O182" s="386" t="str">
        <f>IF(N182&lt;&gt;"/",VLOOKUP(N182,COSTS_Balloon[#All],2),"/")</f>
        <v>/</v>
      </c>
      <c r="P182" s="94" t="str">
        <f>IF(N182&lt;&gt;"/",VLOOKUP(N182,COSTS_Balloon[#All],3),"/")</f>
        <v>/</v>
      </c>
      <c r="Q182" s="386">
        <f t="shared" si="99"/>
        <v>0</v>
      </c>
      <c r="R182" s="522">
        <f t="shared" si="100"/>
        <v>0</v>
      </c>
      <c r="S182" s="929">
        <v>4</v>
      </c>
      <c r="T182" s="930" t="str">
        <f>IF(Paramètres!AV9=0,"",Paramètres!AV9)</f>
        <v/>
      </c>
      <c r="U182" s="782">
        <f>IF(U181&lt;&gt;0,U181+IF(AND(T181&lt;&gt;"",S181&lt;W$177),T181,0),IF(AND(T181&lt;&gt;"",S181&lt;W$177),T181,0))</f>
        <v>0</v>
      </c>
      <c r="V182" s="575" t="str">
        <f>IF(W182&lt;&gt;"/",IF(Y$177="Error","Error",$Z$177+U182),"/")</f>
        <v>/</v>
      </c>
      <c r="W182" s="113" t="str">
        <f>IF(Y$177="Error","Error",IF(AND($W$177&lt;&gt;"/",$W$177&gt;'Paramètres - Admin'!$A5),'Paramètres - Admin'!$A6,"/"))</f>
        <v>/</v>
      </c>
      <c r="X182" s="387" t="str">
        <f>IF(W182&lt;&gt;"/",VLOOKUP(W182,COSTS_Healer[#All],2),"/")</f>
        <v>/</v>
      </c>
      <c r="Y182" s="112" t="str">
        <f>IF(W182&lt;&gt;"/",VLOOKUP(W182,COSTS_Healer[#All],3),"/")</f>
        <v>/</v>
      </c>
      <c r="Z182" s="387">
        <f>IF(Y$177="Error","Error",IF(X182&lt;&gt;"/",V182*X182,0))</f>
        <v>0</v>
      </c>
      <c r="AA182" s="114">
        <f>IF(Y$177="Error","Error",IF(Y182&lt;&gt;"/",V182*Y182,0))</f>
        <v>0</v>
      </c>
    </row>
    <row r="183" spans="1:51" ht="15" customHeight="1" thickBot="1" x14ac:dyDescent="0.3">
      <c r="A183" s="927">
        <v>5</v>
      </c>
      <c r="B183" s="928" t="str">
        <f>IF(Paramètres!AO10=0,"",Paramètres!AO10)</f>
        <v/>
      </c>
      <c r="C183" s="781">
        <f t="shared" si="93"/>
        <v>0</v>
      </c>
      <c r="D183" s="574" t="str">
        <f t="shared" si="94"/>
        <v>/</v>
      </c>
      <c r="E183" s="107" t="str">
        <f>IF(G$177="Error","Error",IF(AND($E$177&lt;&gt;"/",$E$177&gt;'Paramètres - Admin'!$A6),'Paramètres - Admin'!$A7,"/"))</f>
        <v>/</v>
      </c>
      <c r="F183" s="386" t="str">
        <f>IF(E183&lt;&gt;"/",VLOOKUP(E183,COSTS_Barbarian[#All],2),"/")</f>
        <v>/</v>
      </c>
      <c r="G183" s="94" t="str">
        <f>IF(E183&lt;&gt;"/",VLOOKUP(E183,COSTS_Barbarian[#All],3),"/")</f>
        <v>/</v>
      </c>
      <c r="H183" s="386">
        <f t="shared" si="95"/>
        <v>0</v>
      </c>
      <c r="I183" s="522">
        <f t="shared" si="96"/>
        <v>0</v>
      </c>
      <c r="J183" s="927">
        <v>5</v>
      </c>
      <c r="K183" s="928" t="str">
        <f>IF(Paramètres!AT10=0,"",Paramètres!AT10)</f>
        <v/>
      </c>
      <c r="L183" s="781">
        <f t="shared" si="97"/>
        <v>0</v>
      </c>
      <c r="M183" s="574" t="str">
        <f t="shared" si="98"/>
        <v>/</v>
      </c>
      <c r="N183" s="107" t="str">
        <f>IF(P$177="Error","Error",IF(AND($N$177&lt;&gt;"/",$N$177&gt;'Paramètres - Admin'!$A6),'Paramètres - Admin'!$A7,"/"))</f>
        <v>/</v>
      </c>
      <c r="O183" s="386" t="str">
        <f>IF(N183&lt;&gt;"/",VLOOKUP(N183,COSTS_Balloon[#All],2),"/")</f>
        <v>/</v>
      </c>
      <c r="P183" s="94" t="str">
        <f>IF(N183&lt;&gt;"/",VLOOKUP(N183,COSTS_Balloon[#All],3),"/")</f>
        <v>/</v>
      </c>
      <c r="Q183" s="386">
        <f t="shared" si="99"/>
        <v>0</v>
      </c>
      <c r="R183" s="522">
        <f t="shared" si="100"/>
        <v>0</v>
      </c>
      <c r="S183" s="569"/>
      <c r="T183" s="569"/>
      <c r="U183" s="569"/>
      <c r="V183" s="569"/>
      <c r="W183" s="569"/>
      <c r="X183" s="570"/>
      <c r="Y183" s="511" t="s">
        <v>31</v>
      </c>
      <c r="Z183" s="388">
        <f>IF(Y$177="Error","Error",SUM(Z179:Z182))</f>
        <v>0</v>
      </c>
      <c r="AA183" s="534">
        <f>IF(Y$177="Error","Error",SUM(AA179:AA182))</f>
        <v>0</v>
      </c>
      <c r="AO183" s="525"/>
      <c r="AP183" s="525"/>
      <c r="AQ183" s="525"/>
      <c r="AR183" s="525"/>
      <c r="AS183" s="525"/>
      <c r="AT183" s="525"/>
      <c r="AU183" s="525"/>
      <c r="AV183" s="525"/>
      <c r="AW183" s="525"/>
      <c r="AX183" s="525"/>
      <c r="AY183" s="525"/>
    </row>
    <row r="184" spans="1:51" ht="15" customHeight="1" thickBot="1" x14ac:dyDescent="0.3">
      <c r="A184" s="927">
        <v>6</v>
      </c>
      <c r="B184" s="928" t="str">
        <f>IF(Paramètres!AO11=0,"",Paramètres!AO11)</f>
        <v/>
      </c>
      <c r="C184" s="781">
        <f t="shared" si="93"/>
        <v>0</v>
      </c>
      <c r="D184" s="574" t="str">
        <f t="shared" si="94"/>
        <v>/</v>
      </c>
      <c r="E184" s="107" t="str">
        <f>IF(G$177="Error","Error",IF(AND($E$177&lt;&gt;"/",$E$177&gt;'Paramètres - Admin'!$A7),'Paramètres - Admin'!$A8,"/"))</f>
        <v>/</v>
      </c>
      <c r="F184" s="386" t="str">
        <f>IF(E184&lt;&gt;"/",VLOOKUP(E184,COSTS_Barbarian[#All],2),"/")</f>
        <v>/</v>
      </c>
      <c r="G184" s="94" t="str">
        <f>IF(E184&lt;&gt;"/",VLOOKUP(E184,COSTS_Barbarian[#All],3),"/")</f>
        <v>/</v>
      </c>
      <c r="H184" s="386">
        <f t="shared" si="95"/>
        <v>0</v>
      </c>
      <c r="I184" s="522">
        <f t="shared" si="96"/>
        <v>0</v>
      </c>
      <c r="J184" s="929">
        <v>6</v>
      </c>
      <c r="K184" s="930" t="str">
        <f>IF(Paramètres!AT11=0,"",Paramètres!AT11)</f>
        <v/>
      </c>
      <c r="L184" s="782">
        <f t="shared" si="97"/>
        <v>0</v>
      </c>
      <c r="M184" s="575" t="str">
        <f t="shared" si="98"/>
        <v>/</v>
      </c>
      <c r="N184" s="113" t="str">
        <f>IF(P$177="Error","Error",IF(AND($N$177&lt;&gt;"/",$N$177&gt;'Paramètres - Admin'!$A7),'Paramètres - Admin'!$A8,"/"))</f>
        <v>/</v>
      </c>
      <c r="O184" s="387" t="str">
        <f>IF(N184&lt;&gt;"/",VLOOKUP(N184,COSTS_Balloon[#All],2),"/")</f>
        <v>/</v>
      </c>
      <c r="P184" s="112" t="str">
        <f>IF(N184&lt;&gt;"/",VLOOKUP(N184,COSTS_Balloon[#All],3),"/")</f>
        <v>/</v>
      </c>
      <c r="Q184" s="387">
        <f t="shared" si="99"/>
        <v>0</v>
      </c>
      <c r="R184" s="114">
        <f t="shared" si="100"/>
        <v>0</v>
      </c>
      <c r="S184" s="1119" t="s">
        <v>187</v>
      </c>
      <c r="T184" s="1120"/>
      <c r="U184" s="1121"/>
      <c r="V184" s="80" t="s">
        <v>38</v>
      </c>
      <c r="W184" s="81" t="s">
        <v>39</v>
      </c>
      <c r="X184" s="82"/>
      <c r="Y184" s="512" t="s">
        <v>256</v>
      </c>
      <c r="Z184" s="514" t="s">
        <v>361</v>
      </c>
      <c r="AA184" s="513" t="s">
        <v>257</v>
      </c>
    </row>
    <row r="185" spans="1:51" s="525" customFormat="1" ht="15" customHeight="1" thickBot="1" x14ac:dyDescent="0.3">
      <c r="A185" s="929">
        <v>7</v>
      </c>
      <c r="B185" s="930" t="str">
        <f>IF(Paramètres!AO12=0,"",Paramètres!AO12)</f>
        <v/>
      </c>
      <c r="C185" s="782">
        <f t="shared" si="93"/>
        <v>0</v>
      </c>
      <c r="D185" s="575" t="str">
        <f t="shared" si="94"/>
        <v>/</v>
      </c>
      <c r="E185" s="113" t="str">
        <f>IF(G$177="Error","Error",IF(AND($E$177&lt;&gt;"/",$E$177&gt;'Paramètres - Admin'!$A8),'Paramètres - Admin'!$A9,"/"))</f>
        <v>/</v>
      </c>
      <c r="F185" s="387" t="str">
        <f>IF(E185&lt;&gt;"/",VLOOKUP(E185,COSTS_Barbarian[#All],2),"/")</f>
        <v>/</v>
      </c>
      <c r="G185" s="112" t="str">
        <f>IF(E185&lt;&gt;"/",VLOOKUP(E185,COSTS_Barbarian[#All],3),"/")</f>
        <v>/</v>
      </c>
      <c r="H185" s="387">
        <f t="shared" si="95"/>
        <v>0</v>
      </c>
      <c r="I185" s="114">
        <f t="shared" si="96"/>
        <v>0</v>
      </c>
      <c r="J185" s="569"/>
      <c r="K185" s="569"/>
      <c r="L185" s="569"/>
      <c r="M185" s="569"/>
      <c r="N185" s="569"/>
      <c r="O185" s="570"/>
      <c r="P185" s="511" t="s">
        <v>31</v>
      </c>
      <c r="Q185" s="388">
        <f>IF(P$177="Error","Error",SUM(Q179:Q184))</f>
        <v>0</v>
      </c>
      <c r="R185" s="222">
        <f>IF(P$177="Error","Error",SUM(R179:R184))</f>
        <v>0</v>
      </c>
      <c r="S185" s="1122"/>
      <c r="T185" s="1123"/>
      <c r="U185" s="1124"/>
      <c r="V185" s="88">
        <f>VLOOKUP($A$2,AVAILABLE_Upgrades_Normal_Troops[#All],MATCH(S184,AVAILABLE_Upgrades_Normal_Troops[#Headers],0))</f>
        <v>0</v>
      </c>
      <c r="W185" s="516">
        <f>VLOOKUP(IF(ISERROR(LOOKUP(MATCH(1,Paramètres!$K$6:$K$45,0),Paramètres!$A$6:$A$45)),0,LOOKUP(MATCH(1,Paramètres!$K$6:$K$45,0),Paramètres!$A$6:$A$45)),AVAILABLE_Upgrades_Normal_Troops[#All],MATCH(S184,AVAILABLE_Upgrades_Normal_Troops[#Headers],0)+1)</f>
        <v>0</v>
      </c>
      <c r="X185" s="201"/>
      <c r="Y185" s="96">
        <f>IF(SUM(T187:T192)&gt;V185,"Error",SUM(T187:T192))</f>
        <v>0</v>
      </c>
      <c r="Z185" s="97">
        <f>IF(Y$185="Error","Error",V185-Y185)</f>
        <v>0</v>
      </c>
      <c r="AA185" s="202">
        <f>IF(Y$185="Error","Error",SUM(V187:V192))</f>
        <v>0</v>
      </c>
      <c r="AO185" s="128"/>
      <c r="AP185" s="128"/>
      <c r="AQ185" s="128"/>
      <c r="AR185" s="128"/>
      <c r="AS185" s="128"/>
      <c r="AT185" s="128"/>
      <c r="AU185" s="128"/>
      <c r="AV185" s="128"/>
      <c r="AW185" s="128"/>
      <c r="AX185" s="128"/>
      <c r="AY185" s="128"/>
    </row>
    <row r="186" spans="1:51" ht="15" customHeight="1" thickBot="1" x14ac:dyDescent="0.3">
      <c r="A186" s="582"/>
      <c r="B186" s="569"/>
      <c r="C186" s="569"/>
      <c r="D186" s="569"/>
      <c r="E186" s="569"/>
      <c r="F186" s="570"/>
      <c r="G186" s="511" t="s">
        <v>31</v>
      </c>
      <c r="H186" s="388">
        <f>IF(G$177="Error","Error",SUM(H179:H185))</f>
        <v>0</v>
      </c>
      <c r="I186" s="222">
        <f>IF(G$177="Error","Error",SUM(I179:I185))</f>
        <v>0</v>
      </c>
      <c r="J186" s="1119" t="s">
        <v>185</v>
      </c>
      <c r="K186" s="1120"/>
      <c r="L186" s="1121"/>
      <c r="M186" s="80" t="s">
        <v>38</v>
      </c>
      <c r="N186" s="81" t="s">
        <v>39</v>
      </c>
      <c r="O186" s="82"/>
      <c r="P186" s="512" t="s">
        <v>256</v>
      </c>
      <c r="Q186" s="514" t="s">
        <v>361</v>
      </c>
      <c r="R186" s="513" t="s">
        <v>257</v>
      </c>
      <c r="S186" s="520" t="s">
        <v>30</v>
      </c>
      <c r="T186" s="339" t="s">
        <v>29</v>
      </c>
      <c r="U186" s="581"/>
      <c r="V186" s="455" t="s">
        <v>29</v>
      </c>
      <c r="W186" s="456" t="s">
        <v>30</v>
      </c>
      <c r="X186" s="226" t="s">
        <v>258</v>
      </c>
      <c r="Y186" s="226" t="s">
        <v>259</v>
      </c>
      <c r="Z186" s="226" t="s">
        <v>232</v>
      </c>
      <c r="AA186" s="227" t="s">
        <v>233</v>
      </c>
    </row>
    <row r="187" spans="1:51" ht="15" customHeight="1" thickBot="1" x14ac:dyDescent="0.3">
      <c r="A187" s="1119" t="s">
        <v>50</v>
      </c>
      <c r="B187" s="1120"/>
      <c r="C187" s="1121"/>
      <c r="D187" s="80" t="s">
        <v>38</v>
      </c>
      <c r="E187" s="81" t="s">
        <v>39</v>
      </c>
      <c r="F187" s="82"/>
      <c r="G187" s="512" t="s">
        <v>256</v>
      </c>
      <c r="H187" s="514" t="s">
        <v>361</v>
      </c>
      <c r="I187" s="513" t="s">
        <v>257</v>
      </c>
      <c r="J187" s="1122"/>
      <c r="K187" s="1123"/>
      <c r="L187" s="1124"/>
      <c r="M187" s="88">
        <f>VLOOKUP($A$2,AVAILABLE_Upgrades_Normal_Troops[#All],MATCH(J186,AVAILABLE_Upgrades_Normal_Troops[#Headers],0))</f>
        <v>0</v>
      </c>
      <c r="N187" s="516">
        <f>VLOOKUP(IF(ISERROR(LOOKUP(MATCH(1,Paramètres!$K$6:$K$45,0),Paramètres!$A$6:$A$45)),0,LOOKUP(MATCH(1,Paramètres!$K$6:$K$45,0),Paramètres!$A$6:$A$45)),AVAILABLE_Upgrades_Normal_Troops[#All],MATCH(J186,AVAILABLE_Upgrades_Normal_Troops[#Headers],0)+1)</f>
        <v>0</v>
      </c>
      <c r="O187" s="201"/>
      <c r="P187" s="96">
        <f>IF(SUM(K189:K194)&gt;M187,"Error",SUM(K189:K194))</f>
        <v>0</v>
      </c>
      <c r="Q187" s="97">
        <f>IF(P$187="Error","Error",M187-P187)</f>
        <v>0</v>
      </c>
      <c r="R187" s="202">
        <f>IF(P$187="Error","Error",SUM(M189:M194))</f>
        <v>0</v>
      </c>
      <c r="S187" s="512">
        <v>1</v>
      </c>
      <c r="T187" s="926" t="str">
        <f>IF(Paramètres!AS6=0,"",Paramètres!AS6)</f>
        <v/>
      </c>
      <c r="U187" s="586">
        <f t="shared" ref="U187:U192" si="101">IF(U186&lt;&gt;0,U186+IF(AND(T186&lt;&gt;"",S186&lt;W$185),T186,0),IF(AND(T186&lt;&gt;"",S186&lt;W$185),T186,0))</f>
        <v>0</v>
      </c>
      <c r="V187" s="573" t="str">
        <f t="shared" ref="V187:V192" si="102">IF(W187&lt;&gt;"/",IF(Y$185="Error","Error",$Z$185+U187),"/")</f>
        <v>/</v>
      </c>
      <c r="W187" s="457" t="str">
        <f>IF(Y$185="Error","Error",IF(AND($W$185&lt;&gt;"/",$W$185&gt;'Paramètres - Admin'!$A2),'Paramètres - Admin'!$A3,"/"))</f>
        <v>/</v>
      </c>
      <c r="X187" s="385" t="str">
        <f>IF(W187&lt;&gt;"/",VLOOKUP(W187,COSTS_Wall_Breaker[#All],2),"/")</f>
        <v>/</v>
      </c>
      <c r="Y187" s="458" t="str">
        <f>IF(W187&lt;&gt;"/",VLOOKUP(W187,COSTS_Wall_Breaker[#All],3),"/")</f>
        <v>/</v>
      </c>
      <c r="Z187" s="385">
        <f t="shared" ref="Z187:Z192" si="103">IF(Y$185="Error","Error",IF(X187&lt;&gt;"/",V187*X187,0))</f>
        <v>0</v>
      </c>
      <c r="AA187" s="459">
        <f t="shared" ref="AA187:AA192" si="104">IF(Y$185="Error","Error",IF(Y187&lt;&gt;"/",V187*Y187,0))</f>
        <v>0</v>
      </c>
    </row>
    <row r="188" spans="1:51" ht="15" customHeight="1" thickBot="1" x14ac:dyDescent="0.3">
      <c r="A188" s="1122"/>
      <c r="B188" s="1123"/>
      <c r="C188" s="1124"/>
      <c r="D188" s="88">
        <f>VLOOKUP($A$2,AVAILABLE_Upgrades_Normal_Troops[#All],MATCH(A187,AVAILABLE_Upgrades_Normal_Troops[#Headers],0))</f>
        <v>0</v>
      </c>
      <c r="E188" s="516">
        <f>VLOOKUP(IF(ISERROR(LOOKUP(MATCH(1,Paramètres!$K$6:$K$45,0),Paramètres!$A$6:$A$45)),0,LOOKUP(MATCH(1,Paramètres!$K$6:$K$45,0),Paramètres!$A$6:$A$45)),AVAILABLE_Upgrades_Normal_Troops[#All],MATCH(A187,AVAILABLE_Upgrades_Normal_Troops[#Headers],0)+1)</f>
        <v>0</v>
      </c>
      <c r="F188" s="201"/>
      <c r="G188" s="96">
        <f>IF(SUM(B190:B196)&gt;D188,"Error",SUM(B190:B196))</f>
        <v>0</v>
      </c>
      <c r="H188" s="97">
        <f>IF(G$188="Error","Error",D188-G188)</f>
        <v>0</v>
      </c>
      <c r="I188" s="202">
        <f>IF(G$188="Error","Error",SUM(D190:D196))</f>
        <v>0</v>
      </c>
      <c r="J188" s="520" t="s">
        <v>30</v>
      </c>
      <c r="K188" s="339" t="s">
        <v>29</v>
      </c>
      <c r="L188" s="581"/>
      <c r="M188" s="455" t="s">
        <v>29</v>
      </c>
      <c r="N188" s="456" t="s">
        <v>30</v>
      </c>
      <c r="O188" s="226" t="s">
        <v>258</v>
      </c>
      <c r="P188" s="226" t="s">
        <v>259</v>
      </c>
      <c r="Q188" s="226" t="s">
        <v>232</v>
      </c>
      <c r="R188" s="227" t="s">
        <v>233</v>
      </c>
      <c r="S188" s="927">
        <v>2</v>
      </c>
      <c r="T188" s="928" t="str">
        <f>IF(Paramètres!AS7=0,"",Paramètres!AS7)</f>
        <v/>
      </c>
      <c r="U188" s="781">
        <f t="shared" si="101"/>
        <v>0</v>
      </c>
      <c r="V188" s="574" t="str">
        <f t="shared" si="102"/>
        <v>/</v>
      </c>
      <c r="W188" s="107" t="str">
        <f>IF(Y$185="Error","Error",IF(AND($W$185&lt;&gt;"/",$W$185&gt;'Paramètres - Admin'!$A3),'Paramètres - Admin'!$A4,"/"))</f>
        <v>/</v>
      </c>
      <c r="X188" s="386" t="str">
        <f>IF(W188&lt;&gt;"/",VLOOKUP(W188,COSTS_Wall_Breaker[#All],2),"/")</f>
        <v>/</v>
      </c>
      <c r="Y188" s="94" t="str">
        <f>IF(W188&lt;&gt;"/",VLOOKUP(W188,COSTS_Wall_Breaker[#All],3),"/")</f>
        <v>/</v>
      </c>
      <c r="Z188" s="386">
        <f t="shared" si="103"/>
        <v>0</v>
      </c>
      <c r="AA188" s="522">
        <f t="shared" si="104"/>
        <v>0</v>
      </c>
    </row>
    <row r="189" spans="1:51" ht="15" customHeight="1" thickBot="1" x14ac:dyDescent="0.3">
      <c r="A189" s="520" t="s">
        <v>30</v>
      </c>
      <c r="B189" s="339" t="s">
        <v>29</v>
      </c>
      <c r="C189" s="581"/>
      <c r="D189" s="455" t="s">
        <v>29</v>
      </c>
      <c r="E189" s="456" t="s">
        <v>30</v>
      </c>
      <c r="F189" s="226" t="s">
        <v>258</v>
      </c>
      <c r="G189" s="226" t="s">
        <v>259</v>
      </c>
      <c r="H189" s="226" t="s">
        <v>232</v>
      </c>
      <c r="I189" s="227" t="s">
        <v>233</v>
      </c>
      <c r="J189" s="512">
        <v>1</v>
      </c>
      <c r="K189" s="926" t="str">
        <f>IF(Paramètres!AU6=0,"",Paramètres!AU6)</f>
        <v/>
      </c>
      <c r="L189" s="586">
        <f t="shared" ref="L189:L194" si="105">IF(L188&lt;&gt;0,L188+IF(AND(K188&lt;&gt;"",J188&lt;N$187),K188,0),IF(AND(K188&lt;&gt;"",J188&lt;N$187),K188,0))</f>
        <v>0</v>
      </c>
      <c r="M189" s="573" t="str">
        <f t="shared" ref="M189:M194" si="106">IF(N189&lt;&gt;"/",IF(P$187="Error","Error",$Q$187+L189),"/")</f>
        <v>/</v>
      </c>
      <c r="N189" s="457" t="str">
        <f>IF(P$187="Error","Error",IF(AND($N$187&lt;&gt;"/",$N$187&gt;'Paramètres - Admin'!$A2),'Paramètres - Admin'!$A3,"/"))</f>
        <v>/</v>
      </c>
      <c r="O189" s="385" t="str">
        <f>IF(N189&lt;&gt;"/",VLOOKUP(N189,COSTS_Wizard[#All],2),"/")</f>
        <v>/</v>
      </c>
      <c r="P189" s="458" t="str">
        <f>IF(N189&lt;&gt;"/",VLOOKUP(N189,COSTS_Wizard[#All],3),"/")</f>
        <v>/</v>
      </c>
      <c r="Q189" s="385">
        <f t="shared" ref="Q189:Q194" si="107">IF(P$187="Error","Error",IF(O189&lt;&gt;"/",M189*O189,0))</f>
        <v>0</v>
      </c>
      <c r="R189" s="459">
        <f t="shared" ref="R189:R194" si="108">IF(P$187="Error","Error",IF(P189&lt;&gt;"/",M189*P189,0))</f>
        <v>0</v>
      </c>
      <c r="S189" s="927">
        <v>3</v>
      </c>
      <c r="T189" s="928" t="str">
        <f>IF(Paramètres!AS8=0,"",Paramètres!AS8)</f>
        <v/>
      </c>
      <c r="U189" s="781">
        <f t="shared" si="101"/>
        <v>0</v>
      </c>
      <c r="V189" s="574" t="str">
        <f t="shared" si="102"/>
        <v>/</v>
      </c>
      <c r="W189" s="107" t="str">
        <f>IF(Y$185="Error","Error",IF(AND($W$185&lt;&gt;"/",$W$185&gt;'Paramètres - Admin'!$A4),'Paramètres - Admin'!$A5,"/"))</f>
        <v>/</v>
      </c>
      <c r="X189" s="386" t="str">
        <f>IF(W189&lt;&gt;"/",VLOOKUP(W189,COSTS_Wall_Breaker[#All],2),"/")</f>
        <v>/</v>
      </c>
      <c r="Y189" s="94" t="str">
        <f>IF(W189&lt;&gt;"/",VLOOKUP(W189,COSTS_Wall_Breaker[#All],3),"/")</f>
        <v>/</v>
      </c>
      <c r="Z189" s="386">
        <f t="shared" si="103"/>
        <v>0</v>
      </c>
      <c r="AA189" s="522">
        <f t="shared" si="104"/>
        <v>0</v>
      </c>
    </row>
    <row r="190" spans="1:51" ht="15" customHeight="1" x14ac:dyDescent="0.25">
      <c r="A190" s="512">
        <v>1</v>
      </c>
      <c r="B190" s="926" t="str">
        <f>IF(Paramètres!AP6=0,"",Paramètres!AP6)</f>
        <v/>
      </c>
      <c r="C190" s="586">
        <f t="shared" ref="C190:C196" si="109">IF(C189&lt;&gt;0,C189+IF(AND(B189&lt;&gt;"",A189&lt;E$188),B189,0),IF(AND(B189&lt;&gt;"",A189&lt;E$188),B189,0))</f>
        <v>0</v>
      </c>
      <c r="D190" s="573" t="str">
        <f t="shared" ref="D190:D196" si="110">IF(E190&lt;&gt;"/",IF(G$188="Error","Error",$H$188+C190),"/")</f>
        <v>/</v>
      </c>
      <c r="E190" s="457" t="str">
        <f>IF(G$188="Error","Error",IF(AND($E$188&lt;&gt;"/",$E$188&gt;'Paramètres - Admin'!$A2),'Paramètres - Admin'!$A3,"/"))</f>
        <v>/</v>
      </c>
      <c r="F190" s="385" t="str">
        <f>IF(E190&lt;&gt;"/",VLOOKUP(E190,COSTS_Archer[#All],2),"/")</f>
        <v>/</v>
      </c>
      <c r="G190" s="458" t="str">
        <f>IF(E190&lt;&gt;"/",VLOOKUP(E190,COSTS_Archer[#All],3),"/")</f>
        <v>/</v>
      </c>
      <c r="H190" s="385">
        <f t="shared" ref="H190:H196" si="111">IF(G$188="Error","Error",IF(F190&lt;&gt;"/",D190*F190,0))</f>
        <v>0</v>
      </c>
      <c r="I190" s="459">
        <f t="shared" ref="I190:I196" si="112">IF(G$188="Error","Error",IF(G190&lt;&gt;"/",D190*G190,0))</f>
        <v>0</v>
      </c>
      <c r="J190" s="927">
        <v>2</v>
      </c>
      <c r="K190" s="928" t="str">
        <f>IF(Paramètres!AU7=0,"",Paramètres!AU7)</f>
        <v/>
      </c>
      <c r="L190" s="781">
        <f t="shared" si="105"/>
        <v>0</v>
      </c>
      <c r="M190" s="574" t="str">
        <f t="shared" si="106"/>
        <v>/</v>
      </c>
      <c r="N190" s="107" t="str">
        <f>IF(P$187="Error","Error",IF(AND($N$187&lt;&gt;"/",$N$187&gt;'Paramètres - Admin'!$A3),'Paramètres - Admin'!$A4,"/"))</f>
        <v>/</v>
      </c>
      <c r="O190" s="386" t="str">
        <f>IF(N190&lt;&gt;"/",VLOOKUP(N190,COSTS_Wizard[#All],2),"/")</f>
        <v>/</v>
      </c>
      <c r="P190" s="94" t="str">
        <f>IF(N190&lt;&gt;"/",VLOOKUP(N190,COSTS_Wizard[#All],3),"/")</f>
        <v>/</v>
      </c>
      <c r="Q190" s="386">
        <f t="shared" si="107"/>
        <v>0</v>
      </c>
      <c r="R190" s="522">
        <f t="shared" si="108"/>
        <v>0</v>
      </c>
      <c r="S190" s="927">
        <v>4</v>
      </c>
      <c r="T190" s="928" t="str">
        <f>IF(Paramètres!AS9=0,"",Paramètres!AS9)</f>
        <v/>
      </c>
      <c r="U190" s="781">
        <f t="shared" si="101"/>
        <v>0</v>
      </c>
      <c r="V190" s="574" t="str">
        <f t="shared" si="102"/>
        <v>/</v>
      </c>
      <c r="W190" s="107" t="str">
        <f>IF(Y$185="Error","Error",IF(AND($W$185&lt;&gt;"/",$W$185&gt;'Paramètres - Admin'!$A5),'Paramètres - Admin'!$A6,"/"))</f>
        <v>/</v>
      </c>
      <c r="X190" s="386" t="str">
        <f>IF(W190&lt;&gt;"/",VLOOKUP(W190,COSTS_Wall_Breaker[#All],2),"/")</f>
        <v>/</v>
      </c>
      <c r="Y190" s="94" t="str">
        <f>IF(W190&lt;&gt;"/",VLOOKUP(W190,COSTS_Wall_Breaker[#All],3),"/")</f>
        <v>/</v>
      </c>
      <c r="Z190" s="386">
        <f t="shared" si="103"/>
        <v>0</v>
      </c>
      <c r="AA190" s="522">
        <f t="shared" si="104"/>
        <v>0</v>
      </c>
    </row>
    <row r="191" spans="1:51" ht="15" customHeight="1" x14ac:dyDescent="0.25">
      <c r="A191" s="927">
        <v>2</v>
      </c>
      <c r="B191" s="928" t="str">
        <f>IF(Paramètres!AP7=0,"",Paramètres!AP7)</f>
        <v/>
      </c>
      <c r="C191" s="781">
        <f t="shared" si="109"/>
        <v>0</v>
      </c>
      <c r="D191" s="574" t="str">
        <f t="shared" si="110"/>
        <v>/</v>
      </c>
      <c r="E191" s="107" t="str">
        <f>IF(G$188="Error","Error",IF(AND($E$188&lt;&gt;"/",$E$188&gt;'Paramètres - Admin'!$A3),'Paramètres - Admin'!$A4,"/"))</f>
        <v>/</v>
      </c>
      <c r="F191" s="386" t="str">
        <f>IF(E191&lt;&gt;"/",VLOOKUP(E191,COSTS_Archer[#All],2),"/")</f>
        <v>/</v>
      </c>
      <c r="G191" s="94" t="str">
        <f>IF(E191&lt;&gt;"/",VLOOKUP(E191,COSTS_Archer[#All],3),"/")</f>
        <v>/</v>
      </c>
      <c r="H191" s="386">
        <f t="shared" si="111"/>
        <v>0</v>
      </c>
      <c r="I191" s="522">
        <f t="shared" si="112"/>
        <v>0</v>
      </c>
      <c r="J191" s="927">
        <v>3</v>
      </c>
      <c r="K191" s="928" t="str">
        <f>IF(Paramètres!AU8=0,"",Paramètres!AU8)</f>
        <v/>
      </c>
      <c r="L191" s="781">
        <f t="shared" si="105"/>
        <v>0</v>
      </c>
      <c r="M191" s="574" t="str">
        <f t="shared" si="106"/>
        <v>/</v>
      </c>
      <c r="N191" s="107" t="str">
        <f>IF(P$187="Error","Error",IF(AND($N$187&lt;&gt;"/",$N$187&gt;'Paramètres - Admin'!$A4),'Paramètres - Admin'!$A5,"/"))</f>
        <v>/</v>
      </c>
      <c r="O191" s="386" t="str">
        <f>IF(N191&lt;&gt;"/",VLOOKUP(N191,COSTS_Wizard[#All],2),"/")</f>
        <v>/</v>
      </c>
      <c r="P191" s="94" t="str">
        <f>IF(N191&lt;&gt;"/",VLOOKUP(N191,COSTS_Wizard[#All],3),"/")</f>
        <v>/</v>
      </c>
      <c r="Q191" s="386">
        <f t="shared" si="107"/>
        <v>0</v>
      </c>
      <c r="R191" s="522">
        <f t="shared" si="108"/>
        <v>0</v>
      </c>
      <c r="S191" s="927">
        <v>5</v>
      </c>
      <c r="T191" s="928" t="str">
        <f>IF(Paramètres!AS10=0,"",Paramètres!AS10)</f>
        <v/>
      </c>
      <c r="U191" s="781">
        <f t="shared" si="101"/>
        <v>0</v>
      </c>
      <c r="V191" s="574" t="str">
        <f t="shared" si="102"/>
        <v>/</v>
      </c>
      <c r="W191" s="107" t="str">
        <f>IF(Y$185="Error","Error",IF(AND($W$185&lt;&gt;"/",$W$185&gt;'Paramètres - Admin'!$A6),'Paramètres - Admin'!$A7,"/"))</f>
        <v>/</v>
      </c>
      <c r="X191" s="386" t="str">
        <f>IF(W191&lt;&gt;"/",VLOOKUP(W191,COSTS_Wall_Breaker[#All],2),"/")</f>
        <v>/</v>
      </c>
      <c r="Y191" s="94" t="str">
        <f>IF(W191&lt;&gt;"/",VLOOKUP(W191,COSTS_Wall_Breaker[#All],3),"/")</f>
        <v>/</v>
      </c>
      <c r="Z191" s="386">
        <f t="shared" si="103"/>
        <v>0</v>
      </c>
      <c r="AA191" s="522">
        <f t="shared" si="104"/>
        <v>0</v>
      </c>
    </row>
    <row r="192" spans="1:51" ht="15" customHeight="1" thickBot="1" x14ac:dyDescent="0.3">
      <c r="A192" s="927">
        <v>3</v>
      </c>
      <c r="B192" s="928" t="str">
        <f>IF(Paramètres!AP8=0,"",Paramètres!AP8)</f>
        <v/>
      </c>
      <c r="C192" s="781">
        <f t="shared" si="109"/>
        <v>0</v>
      </c>
      <c r="D192" s="574" t="str">
        <f t="shared" si="110"/>
        <v>/</v>
      </c>
      <c r="E192" s="107" t="str">
        <f>IF(G$188="Error","Error",IF(AND($E$188&lt;&gt;"/",$E$188&gt;'Paramètres - Admin'!$A4),'Paramètres - Admin'!$A5,"/"))</f>
        <v>/</v>
      </c>
      <c r="F192" s="386" t="str">
        <f>IF(E192&lt;&gt;"/",VLOOKUP(E192,COSTS_Archer[#All],2),"/")</f>
        <v>/</v>
      </c>
      <c r="G192" s="94" t="str">
        <f>IF(E192&lt;&gt;"/",VLOOKUP(E192,COSTS_Archer[#All],3),"/")</f>
        <v>/</v>
      </c>
      <c r="H192" s="386">
        <f t="shared" si="111"/>
        <v>0</v>
      </c>
      <c r="I192" s="522">
        <f t="shared" si="112"/>
        <v>0</v>
      </c>
      <c r="J192" s="927">
        <v>4</v>
      </c>
      <c r="K192" s="928" t="str">
        <f>IF(Paramètres!AU9=0,"",Paramètres!AU9)</f>
        <v/>
      </c>
      <c r="L192" s="781">
        <f t="shared" si="105"/>
        <v>0</v>
      </c>
      <c r="M192" s="574" t="str">
        <f t="shared" si="106"/>
        <v>/</v>
      </c>
      <c r="N192" s="107" t="str">
        <f>IF(P$187="Error","Error",IF(AND($N$187&lt;&gt;"/",$N$187&gt;'Paramètres - Admin'!$A5),'Paramètres - Admin'!$A6,"/"))</f>
        <v>/</v>
      </c>
      <c r="O192" s="386" t="str">
        <f>IF(N192&lt;&gt;"/",VLOOKUP(N192,COSTS_Wizard[#All],2),"/")</f>
        <v>/</v>
      </c>
      <c r="P192" s="94" t="str">
        <f>IF(N192&lt;&gt;"/",VLOOKUP(N192,COSTS_Wizard[#All],3),"/")</f>
        <v>/</v>
      </c>
      <c r="Q192" s="386">
        <f t="shared" si="107"/>
        <v>0</v>
      </c>
      <c r="R192" s="522">
        <f t="shared" si="108"/>
        <v>0</v>
      </c>
      <c r="S192" s="929">
        <v>6</v>
      </c>
      <c r="T192" s="930" t="str">
        <f>IF(Paramètres!AS11=0,"",Paramètres!AS11)</f>
        <v/>
      </c>
      <c r="U192" s="782">
        <f t="shared" si="101"/>
        <v>0</v>
      </c>
      <c r="V192" s="575" t="str">
        <f t="shared" si="102"/>
        <v>/</v>
      </c>
      <c r="W192" s="113" t="str">
        <f>IF(Y$185="Error","Error",IF(AND($W$185&lt;&gt;"/",$W$185&gt;'Paramètres - Admin'!$A7),'Paramètres - Admin'!$A8,"/"))</f>
        <v>/</v>
      </c>
      <c r="X192" s="387" t="str">
        <f>IF(W192&lt;&gt;"/",VLOOKUP(W192,COSTS_Wall_Breaker[#All],2),"/")</f>
        <v>/</v>
      </c>
      <c r="Y192" s="112" t="str">
        <f>IF(W192&lt;&gt;"/",VLOOKUP(W192,COSTS_Wall_Breaker[#All],3),"/")</f>
        <v>/</v>
      </c>
      <c r="Z192" s="387">
        <f t="shared" si="103"/>
        <v>0</v>
      </c>
      <c r="AA192" s="114">
        <f t="shared" si="104"/>
        <v>0</v>
      </c>
    </row>
    <row r="193" spans="1:51" ht="15" customHeight="1" thickBot="1" x14ac:dyDescent="0.3">
      <c r="A193" s="927">
        <v>4</v>
      </c>
      <c r="B193" s="928" t="str">
        <f>IF(Paramètres!AP9=0,"",Paramètres!AP9)</f>
        <v/>
      </c>
      <c r="C193" s="781">
        <f t="shared" si="109"/>
        <v>0</v>
      </c>
      <c r="D193" s="574" t="str">
        <f t="shared" si="110"/>
        <v>/</v>
      </c>
      <c r="E193" s="107" t="str">
        <f>IF(G$188="Error","Error",IF(AND($E$188&lt;&gt;"/",$E$188&gt;'Paramètres - Admin'!$A5),'Paramètres - Admin'!$A6,"/"))</f>
        <v>/</v>
      </c>
      <c r="F193" s="386" t="str">
        <f>IF(E193&lt;&gt;"/",VLOOKUP(E193,COSTS_Archer[#All],2),"/")</f>
        <v>/</v>
      </c>
      <c r="G193" s="94" t="str">
        <f>IF(E193&lt;&gt;"/",VLOOKUP(E193,COSTS_Archer[#All],3),"/")</f>
        <v>/</v>
      </c>
      <c r="H193" s="386">
        <f t="shared" si="111"/>
        <v>0</v>
      </c>
      <c r="I193" s="522">
        <f t="shared" si="112"/>
        <v>0</v>
      </c>
      <c r="J193" s="927">
        <v>5</v>
      </c>
      <c r="K193" s="928" t="str">
        <f>IF(Paramètres!AU10=0,"",Paramètres!AU10)</f>
        <v/>
      </c>
      <c r="L193" s="781">
        <f t="shared" si="105"/>
        <v>0</v>
      </c>
      <c r="M193" s="574" t="str">
        <f t="shared" si="106"/>
        <v>/</v>
      </c>
      <c r="N193" s="107" t="str">
        <f>IF(P$187="Error","Error",IF(AND($N$187&lt;&gt;"/",$N$187&gt;'Paramètres - Admin'!$A6),'Paramètres - Admin'!$A7,"/"))</f>
        <v>/</v>
      </c>
      <c r="O193" s="386" t="str">
        <f>IF(N193&lt;&gt;"/",VLOOKUP(N193,COSTS_Wizard[#All],2),"/")</f>
        <v>/</v>
      </c>
      <c r="P193" s="94" t="str">
        <f>IF(N193&lt;&gt;"/",VLOOKUP(N193,COSTS_Wizard[#All],3),"/")</f>
        <v>/</v>
      </c>
      <c r="Q193" s="386">
        <f t="shared" si="107"/>
        <v>0</v>
      </c>
      <c r="R193" s="522">
        <f t="shared" si="108"/>
        <v>0</v>
      </c>
      <c r="S193" s="910"/>
      <c r="T193" s="911"/>
      <c r="U193" s="911"/>
      <c r="V193" s="911"/>
      <c r="W193" s="911"/>
      <c r="X193" s="912"/>
      <c r="Y193" s="511" t="s">
        <v>31</v>
      </c>
      <c r="Z193" s="388">
        <f>IF(Y$185="Error","Error",SUM(Z187:Z192))</f>
        <v>0</v>
      </c>
      <c r="AA193" s="222">
        <f>IF(Y$185="Error","Error",SUM(AA187:AA192))</f>
        <v>0</v>
      </c>
    </row>
    <row r="194" spans="1:51" ht="15" customHeight="1" thickBot="1" x14ac:dyDescent="0.3">
      <c r="A194" s="927">
        <v>5</v>
      </c>
      <c r="B194" s="928" t="str">
        <f>IF(Paramètres!AP10=0,"",Paramètres!AP10)</f>
        <v/>
      </c>
      <c r="C194" s="781">
        <f t="shared" si="109"/>
        <v>0</v>
      </c>
      <c r="D194" s="574" t="str">
        <f t="shared" si="110"/>
        <v>/</v>
      </c>
      <c r="E194" s="107" t="str">
        <f>IF(G$188="Error","Error",IF(AND($E$188&lt;&gt;"/",$E$188&gt;'Paramètres - Admin'!$A6),'Paramètres - Admin'!$A7,"/"))</f>
        <v>/</v>
      </c>
      <c r="F194" s="386" t="str">
        <f>IF(E194&lt;&gt;"/",VLOOKUP(E194,COSTS_Archer[#All],2),"/")</f>
        <v>/</v>
      </c>
      <c r="G194" s="94" t="str">
        <f>IF(E194&lt;&gt;"/",VLOOKUP(E194,COSTS_Archer[#All],3),"/")</f>
        <v>/</v>
      </c>
      <c r="H194" s="386">
        <f t="shared" si="111"/>
        <v>0</v>
      </c>
      <c r="I194" s="522">
        <f t="shared" si="112"/>
        <v>0</v>
      </c>
      <c r="J194" s="929">
        <v>6</v>
      </c>
      <c r="K194" s="930" t="str">
        <f>IF(Paramètres!AU11=0,"",Paramètres!AU11)</f>
        <v/>
      </c>
      <c r="L194" s="782">
        <f t="shared" si="105"/>
        <v>0</v>
      </c>
      <c r="M194" s="575" t="str">
        <f t="shared" si="106"/>
        <v>/</v>
      </c>
      <c r="N194" s="113" t="str">
        <f>IF(P$187="Error","Error",IF(AND($N$187&lt;&gt;"/",$N$187&gt;'Paramètres - Admin'!$A7),'Paramètres - Admin'!$A8,"/"))</f>
        <v>/</v>
      </c>
      <c r="O194" s="387" t="str">
        <f>IF(N194&lt;&gt;"/",VLOOKUP(N194,COSTS_Wizard[#All],2),"/")</f>
        <v>/</v>
      </c>
      <c r="P194" s="112" t="str">
        <f>IF(N194&lt;&gt;"/",VLOOKUP(N194,COSTS_Wizard[#All],3),"/")</f>
        <v>/</v>
      </c>
      <c r="Q194" s="387">
        <f t="shared" si="107"/>
        <v>0</v>
      </c>
      <c r="R194" s="114">
        <f t="shared" si="108"/>
        <v>0</v>
      </c>
      <c r="S194" s="1119" t="s">
        <v>57</v>
      </c>
      <c r="T194" s="1120"/>
      <c r="U194" s="1121"/>
      <c r="V194" s="512" t="s">
        <v>38</v>
      </c>
      <c r="W194" s="513" t="s">
        <v>39</v>
      </c>
      <c r="X194" s="82"/>
      <c r="Y194" s="512" t="s">
        <v>256</v>
      </c>
      <c r="Z194" s="514" t="s">
        <v>361</v>
      </c>
      <c r="AA194" s="513" t="s">
        <v>257</v>
      </c>
      <c r="AO194" s="525"/>
      <c r="AP194" s="525"/>
      <c r="AQ194" s="525"/>
      <c r="AR194" s="525"/>
      <c r="AS194" s="525"/>
      <c r="AT194" s="525"/>
      <c r="AU194" s="525"/>
      <c r="AV194" s="525"/>
      <c r="AW194" s="525"/>
      <c r="AX194" s="525"/>
      <c r="AY194" s="525"/>
    </row>
    <row r="195" spans="1:51" ht="15" customHeight="1" thickBot="1" x14ac:dyDescent="0.3">
      <c r="A195" s="927">
        <v>6</v>
      </c>
      <c r="B195" s="928" t="str">
        <f>IF(Paramètres!AP11=0,"",Paramètres!AP11)</f>
        <v/>
      </c>
      <c r="C195" s="781">
        <f t="shared" si="109"/>
        <v>0</v>
      </c>
      <c r="D195" s="574" t="str">
        <f t="shared" si="110"/>
        <v>/</v>
      </c>
      <c r="E195" s="107" t="str">
        <f>IF(G$188="Error","Error",IF(AND($E$188&lt;&gt;"/",$E$188&gt;'Paramètres - Admin'!$A7),'Paramètres - Admin'!$A8,"/"))</f>
        <v>/</v>
      </c>
      <c r="F195" s="386" t="str">
        <f>IF(E195&lt;&gt;"/",VLOOKUP(E195,COSTS_Archer[#All],2),"/")</f>
        <v>/</v>
      </c>
      <c r="G195" s="94" t="str">
        <f>IF(E195&lt;&gt;"/",VLOOKUP(E195,COSTS_Archer[#All],3),"/")</f>
        <v>/</v>
      </c>
      <c r="H195" s="386">
        <f t="shared" si="111"/>
        <v>0</v>
      </c>
      <c r="I195" s="522">
        <f t="shared" si="112"/>
        <v>0</v>
      </c>
      <c r="J195" s="569"/>
      <c r="K195" s="569"/>
      <c r="L195" s="569"/>
      <c r="M195" s="569"/>
      <c r="N195" s="569"/>
      <c r="O195" s="570"/>
      <c r="P195" s="511" t="s">
        <v>31</v>
      </c>
      <c r="Q195" s="388">
        <f>IF(P$187="Error","Error",SUM(Q189:Q194))</f>
        <v>0</v>
      </c>
      <c r="R195" s="222">
        <f>IF(P$187="Error","Error",SUM(R189:R194))</f>
        <v>0</v>
      </c>
      <c r="S195" s="1122"/>
      <c r="T195" s="1123"/>
      <c r="U195" s="1124"/>
      <c r="V195" s="515">
        <f>VLOOKUP($A$2,AVAILABLE_Upgrades_Normal_Troops[#All],MATCH(S194,AVAILABLE_Upgrades_Normal_Troops[#Headers],0))</f>
        <v>0</v>
      </c>
      <c r="W195" s="516">
        <f>VLOOKUP(IF(ISERROR(LOOKUP(MATCH(1,Paramètres!$K$6:$K$45,0),Paramètres!$A$6:$A$45)),0,LOOKUP(MATCH(1,Paramètres!$K$6:$K$45,0),Paramètres!$A$6:$A$45)),AVAILABLE_Upgrades_Normal_Troops[#All],MATCH(S194,AVAILABLE_Upgrades_Normal_Troops[#Headers],0)+1)</f>
        <v>0</v>
      </c>
      <c r="X195" s="592"/>
      <c r="Y195" s="515">
        <f>IF(SUM(T197:T201)&gt;V195,"Error",SUM(T197:T201))</f>
        <v>0</v>
      </c>
      <c r="Z195" s="218">
        <f>IF(Y$195="Error","Error",V195-Y195)</f>
        <v>0</v>
      </c>
      <c r="AA195" s="219">
        <f>IF(Y$195="Error","Error",SUM(V197:V201))</f>
        <v>0</v>
      </c>
    </row>
    <row r="196" spans="1:51" s="525" customFormat="1" ht="15" customHeight="1" thickBot="1" x14ac:dyDescent="0.3">
      <c r="A196" s="929">
        <v>7</v>
      </c>
      <c r="B196" s="930" t="str">
        <f>IF(Paramètres!AP12=0,"",Paramètres!AP12)</f>
        <v/>
      </c>
      <c r="C196" s="782">
        <f t="shared" si="109"/>
        <v>0</v>
      </c>
      <c r="D196" s="575" t="str">
        <f t="shared" si="110"/>
        <v>/</v>
      </c>
      <c r="E196" s="113" t="str">
        <f>IF(G$188="Error","Error",IF(AND($E$188&lt;&gt;"/",$E$188&gt;'Paramètres - Admin'!$A8),'Paramètres - Admin'!$A9,"/"))</f>
        <v>/</v>
      </c>
      <c r="F196" s="387" t="str">
        <f>IF(E196&lt;&gt;"/",VLOOKUP(E196,COSTS_Archer[#All],2),"/")</f>
        <v>/</v>
      </c>
      <c r="G196" s="112" t="str">
        <f>IF(E196&lt;&gt;"/",VLOOKUP(E196,COSTS_Archer[#All],3),"/")</f>
        <v>/</v>
      </c>
      <c r="H196" s="387">
        <f t="shared" si="111"/>
        <v>0</v>
      </c>
      <c r="I196" s="114">
        <f t="shared" si="112"/>
        <v>0</v>
      </c>
      <c r="J196" s="1119" t="s">
        <v>189</v>
      </c>
      <c r="K196" s="1120"/>
      <c r="L196" s="1121"/>
      <c r="M196" s="80" t="s">
        <v>38</v>
      </c>
      <c r="N196" s="81" t="s">
        <v>39</v>
      </c>
      <c r="O196" s="82"/>
      <c r="P196" s="512" t="s">
        <v>256</v>
      </c>
      <c r="Q196" s="514" t="s">
        <v>361</v>
      </c>
      <c r="R196" s="513" t="s">
        <v>257</v>
      </c>
      <c r="S196" s="520" t="s">
        <v>30</v>
      </c>
      <c r="T196" s="339" t="s">
        <v>29</v>
      </c>
      <c r="U196" s="581"/>
      <c r="V196" s="455" t="s">
        <v>29</v>
      </c>
      <c r="W196" s="456" t="s">
        <v>30</v>
      </c>
      <c r="X196" s="226" t="s">
        <v>258</v>
      </c>
      <c r="Y196" s="226" t="s">
        <v>259</v>
      </c>
      <c r="Z196" s="226" t="s">
        <v>232</v>
      </c>
      <c r="AA196" s="227" t="s">
        <v>233</v>
      </c>
      <c r="AO196" s="128"/>
      <c r="AP196" s="128"/>
      <c r="AQ196" s="128"/>
      <c r="AR196" s="128"/>
      <c r="AS196" s="128"/>
      <c r="AT196" s="128"/>
      <c r="AU196" s="128"/>
      <c r="AV196" s="128"/>
      <c r="AW196" s="128"/>
      <c r="AX196" s="128"/>
      <c r="AY196" s="128"/>
    </row>
    <row r="197" spans="1:51" ht="15" customHeight="1" thickBot="1" x14ac:dyDescent="0.3">
      <c r="A197" s="582"/>
      <c r="B197" s="569"/>
      <c r="C197" s="569"/>
      <c r="D197" s="569"/>
      <c r="E197" s="569"/>
      <c r="F197" s="570"/>
      <c r="G197" s="511" t="s">
        <v>31</v>
      </c>
      <c r="H197" s="388">
        <f>IF(G$188="Error","Error",SUM(H190:H196))</f>
        <v>0</v>
      </c>
      <c r="I197" s="222">
        <f>IF(G$188="Error","Error",SUM(I190:I196))</f>
        <v>0</v>
      </c>
      <c r="J197" s="1122"/>
      <c r="K197" s="1123"/>
      <c r="L197" s="1124"/>
      <c r="M197" s="88">
        <f>VLOOKUP($A$2,AVAILABLE_Upgrades_Normal_Troops[#All],MATCH(J196,AVAILABLE_Upgrades_Normal_Troops[#Headers],0))</f>
        <v>0</v>
      </c>
      <c r="N197" s="516">
        <f>VLOOKUP(IF(ISERROR(LOOKUP(MATCH(1,Paramètres!$K$6:$K$45,0),Paramètres!$A$6:$A$45)),0,LOOKUP(MATCH(1,Paramètres!$K$6:$K$45,0),Paramètres!$A$6:$A$45)),AVAILABLE_Upgrades_Normal_Troops[#All],MATCH(J196,AVAILABLE_Upgrades_Normal_Troops[#Headers],0)+1)</f>
        <v>0</v>
      </c>
      <c r="O197" s="201"/>
      <c r="P197" s="96">
        <f>IF(SUM(K199:K205)&gt;M197,"Error",SUM(K199:K205))</f>
        <v>0</v>
      </c>
      <c r="Q197" s="97">
        <f>IF(P$197="Error","Error",M197-P197)</f>
        <v>0</v>
      </c>
      <c r="R197" s="202">
        <f>IF(P$197="Error","Error",SUM(M199:M205))</f>
        <v>0</v>
      </c>
      <c r="S197" s="512">
        <v>1</v>
      </c>
      <c r="T197" s="926" t="str">
        <f>IF(Paramètres!AW6=0,"",Paramètres!AW6)</f>
        <v/>
      </c>
      <c r="U197" s="586">
        <f>IF(U196&lt;&gt;0,U196+IF(AND(T196&lt;&gt;"",S196&lt;W$195),T196,0),IF(AND(T196&lt;&gt;"",S196&lt;W$195),T196,0))</f>
        <v>0</v>
      </c>
      <c r="V197" s="573" t="str">
        <f>IF(W197&lt;&gt;"/",IF(Y$195="Error","Error",$Z$195+U197),"/")</f>
        <v>/</v>
      </c>
      <c r="W197" s="457" t="str">
        <f>IF(Y$195="Error","Error",IF(AND($W$195&lt;&gt;"/",$W$195&gt;'Paramètres - Admin'!$A2),'Paramètres - Admin'!$A3,"/"))</f>
        <v>/</v>
      </c>
      <c r="X197" s="385" t="str">
        <f>IF(W197&lt;&gt;"/",VLOOKUP(W197,COSTS_Dragon[#All],2),"/")</f>
        <v>/</v>
      </c>
      <c r="Y197" s="458" t="str">
        <f>IF(W197&lt;&gt;"/",VLOOKUP(W197,COSTS_Dragon[#All],3),"/")</f>
        <v>/</v>
      </c>
      <c r="Z197" s="385">
        <f>IF(Y$195="Error","Error",IF(X197&lt;&gt;"/",V197*X197,0))</f>
        <v>0</v>
      </c>
      <c r="AA197" s="459">
        <f>IF(Y$195="Error","Error",IF(Y197&lt;&gt;"/",V197*Y197,0))</f>
        <v>0</v>
      </c>
    </row>
    <row r="198" spans="1:51" ht="15" customHeight="1" thickBot="1" x14ac:dyDescent="0.3">
      <c r="A198" s="1119" t="s">
        <v>188</v>
      </c>
      <c r="B198" s="1120"/>
      <c r="C198" s="1121"/>
      <c r="D198" s="80" t="s">
        <v>38</v>
      </c>
      <c r="E198" s="81" t="s">
        <v>39</v>
      </c>
      <c r="F198" s="82"/>
      <c r="G198" s="512" t="s">
        <v>256</v>
      </c>
      <c r="H198" s="514" t="s">
        <v>361</v>
      </c>
      <c r="I198" s="513" t="s">
        <v>257</v>
      </c>
      <c r="J198" s="520" t="s">
        <v>30</v>
      </c>
      <c r="K198" s="339" t="s">
        <v>29</v>
      </c>
      <c r="L198" s="581"/>
      <c r="M198" s="455" t="s">
        <v>29</v>
      </c>
      <c r="N198" s="456" t="s">
        <v>30</v>
      </c>
      <c r="O198" s="226" t="s">
        <v>258</v>
      </c>
      <c r="P198" s="226" t="s">
        <v>259</v>
      </c>
      <c r="Q198" s="226" t="s">
        <v>232</v>
      </c>
      <c r="R198" s="227" t="s">
        <v>233</v>
      </c>
      <c r="S198" s="927">
        <v>2</v>
      </c>
      <c r="T198" s="928" t="str">
        <f>IF(Paramètres!AW7=0,"",Paramètres!AW7)</f>
        <v/>
      </c>
      <c r="U198" s="781">
        <f>IF(U197&lt;&gt;0,U197+IF(AND(T197&lt;&gt;"",S197&lt;W$195),T197,0),IF(AND(T197&lt;&gt;"",S197&lt;W$195),T197,0))</f>
        <v>0</v>
      </c>
      <c r="V198" s="574" t="str">
        <f>IF(W198&lt;&gt;"/",IF(Y$195="Error","Error",$Z$195+U198),"/")</f>
        <v>/</v>
      </c>
      <c r="W198" s="107" t="str">
        <f>IF(Y$195="Error","Error",IF(AND($W$195&lt;&gt;"/",$W$195&gt;'Paramètres - Admin'!$A3),'Paramètres - Admin'!$A4,"/"))</f>
        <v>/</v>
      </c>
      <c r="X198" s="386" t="str">
        <f>IF(W198&lt;&gt;"/",VLOOKUP(W198,COSTS_Dragon[#All],2),"/")</f>
        <v>/</v>
      </c>
      <c r="Y198" s="94" t="str">
        <f>IF(W198&lt;&gt;"/",VLOOKUP(W198,COSTS_Dragon[#All],3),"/")</f>
        <v>/</v>
      </c>
      <c r="Z198" s="386">
        <f>IF(Y$195="Error","Error",IF(X198&lt;&gt;"/",V198*X198,0))</f>
        <v>0</v>
      </c>
      <c r="AA198" s="522">
        <f>IF(Y$195="Error","Error",IF(Y198&lt;&gt;"/",V198*Y198,0))</f>
        <v>0</v>
      </c>
    </row>
    <row r="199" spans="1:51" ht="15" customHeight="1" thickBot="1" x14ac:dyDescent="0.3">
      <c r="A199" s="1125"/>
      <c r="B199" s="1126"/>
      <c r="C199" s="1127"/>
      <c r="D199" s="518">
        <f>VLOOKUP($A$2,AVAILABLE_Upgrades_Normal_Troops[#All],MATCH(A198,AVAILABLE_Upgrades_Normal_Troops[#Headers],0))</f>
        <v>0</v>
      </c>
      <c r="E199" s="408">
        <f>VLOOKUP(IF(ISERROR(LOOKUP(MATCH(1,Paramètres!$K$6:$K$45,0),Paramètres!$A$6:$A$45)),0,LOOKUP(MATCH(1,Paramètres!$K$6:$K$45,0),Paramètres!$A$6:$A$45)),AVAILABLE_Upgrades_Normal_Troops[#All],MATCH(A198,AVAILABLE_Upgrades_Normal_Troops[#Headers],0)+1)</f>
        <v>0</v>
      </c>
      <c r="F199" s="201"/>
      <c r="G199" s="96">
        <f>IF(SUM(B201:B207)&gt;D199,"Error",SUM(B201:B207))</f>
        <v>0</v>
      </c>
      <c r="H199" s="97">
        <f>IF(G$199="Error","Error",D199-G199)</f>
        <v>0</v>
      </c>
      <c r="I199" s="202">
        <f>IF(G$199="Error","Error",SUM(D201:D207))</f>
        <v>0</v>
      </c>
      <c r="J199" s="512">
        <v>1</v>
      </c>
      <c r="K199" s="926" t="str">
        <f>IF(Paramètres!AR6=0,"",Paramètres!AR6)</f>
        <v/>
      </c>
      <c r="L199" s="586">
        <f t="shared" ref="L199:L205" si="113">IF(L198&lt;&gt;0,L198+IF(AND(K198&lt;&gt;"",J198&lt;N$197),K198,0),IF(AND(K198&lt;&gt;"",J198&lt;N$197),K198,0))</f>
        <v>0</v>
      </c>
      <c r="M199" s="573" t="str">
        <f t="shared" ref="M199:M205" si="114">IF(N199&lt;&gt;"/",IF(P$197="Error","Error",$Q$197+L199),"/")</f>
        <v>/</v>
      </c>
      <c r="N199" s="457" t="str">
        <f>IF(P$197="Error","Error",IF(AND($N$197&lt;&gt;"/",$N$197&gt;'Paramètres - Admin'!$A2),'Paramètres - Admin'!$A3,"/"))</f>
        <v>/</v>
      </c>
      <c r="O199" s="385" t="str">
        <f>IF(N199&lt;&gt;"/",VLOOKUP(N199,COSTS_Goblin[#All],2),"/")</f>
        <v>/</v>
      </c>
      <c r="P199" s="458" t="str">
        <f>IF(N199&lt;&gt;"/",VLOOKUP(N199,COSTS_Goblin[#All],3),"/")</f>
        <v>/</v>
      </c>
      <c r="Q199" s="385">
        <f t="shared" ref="Q199:Q205" si="115">IF(P$197="Error","Error",IF(O199&lt;&gt;"/",M199*O199,0))</f>
        <v>0</v>
      </c>
      <c r="R199" s="459">
        <f t="shared" ref="R199:R205" si="116">IF(P$197="Error","Error",IF(P199&lt;&gt;"/",M199*P199,0))</f>
        <v>0</v>
      </c>
      <c r="S199" s="927">
        <v>3</v>
      </c>
      <c r="T199" s="928" t="str">
        <f>IF(Paramètres!AW8=0,"",Paramètres!AW8)</f>
        <v/>
      </c>
      <c r="U199" s="781">
        <f>IF(U198&lt;&gt;0,U198+IF(AND(T198&lt;&gt;"",S198&lt;W$195),T198,0),IF(AND(T198&lt;&gt;"",S198&lt;W$195),T198,0))</f>
        <v>0</v>
      </c>
      <c r="V199" s="574" t="str">
        <f>IF(W199&lt;&gt;"/",IF(Y$195="Error","Error",$Z$195+U199),"/")</f>
        <v>/</v>
      </c>
      <c r="W199" s="107" t="str">
        <f>IF(Y$195="Error","Error",IF(AND($W$195&lt;&gt;"/",$W$195&gt;'Paramètres - Admin'!$A4),'Paramètres - Admin'!$A5,"/"))</f>
        <v>/</v>
      </c>
      <c r="X199" s="386" t="str">
        <f>IF(W199&lt;&gt;"/",VLOOKUP(W199,COSTS_Dragon[#All],2),"/")</f>
        <v>/</v>
      </c>
      <c r="Y199" s="94" t="str">
        <f>IF(W199&lt;&gt;"/",VLOOKUP(W199,COSTS_Dragon[#All],3),"/")</f>
        <v>/</v>
      </c>
      <c r="Z199" s="386">
        <f>IF(Y$195="Error","Error",IF(X199&lt;&gt;"/",V199*X199,0))</f>
        <v>0</v>
      </c>
      <c r="AA199" s="522">
        <f>IF(Y$195="Error","Error",IF(Y199&lt;&gt;"/",V199*Y199,0))</f>
        <v>0</v>
      </c>
    </row>
    <row r="200" spans="1:51" ht="15" customHeight="1" thickBot="1" x14ac:dyDescent="0.3">
      <c r="A200" s="931" t="s">
        <v>30</v>
      </c>
      <c r="B200" s="345" t="s">
        <v>29</v>
      </c>
      <c r="C200" s="581"/>
      <c r="D200" s="456" t="s">
        <v>29</v>
      </c>
      <c r="E200" s="456" t="s">
        <v>30</v>
      </c>
      <c r="F200" s="226" t="s">
        <v>258</v>
      </c>
      <c r="G200" s="226" t="s">
        <v>259</v>
      </c>
      <c r="H200" s="226" t="s">
        <v>232</v>
      </c>
      <c r="I200" s="227" t="s">
        <v>233</v>
      </c>
      <c r="J200" s="927">
        <v>2</v>
      </c>
      <c r="K200" s="928" t="str">
        <f>IF(Paramètres!AR7=0,"",Paramètres!AR7)</f>
        <v/>
      </c>
      <c r="L200" s="781">
        <f t="shared" si="113"/>
        <v>0</v>
      </c>
      <c r="M200" s="574" t="str">
        <f t="shared" si="114"/>
        <v>/</v>
      </c>
      <c r="N200" s="107" t="str">
        <f>IF(P$197="Error","Error",IF(AND($N$197&lt;&gt;"/",$N$197&gt;'Paramètres - Admin'!$A3),'Paramètres - Admin'!$A4,"/"))</f>
        <v>/</v>
      </c>
      <c r="O200" s="386" t="str">
        <f>IF(N200&lt;&gt;"/",VLOOKUP(N200,COSTS_Goblin[#All],2),"/")</f>
        <v>/</v>
      </c>
      <c r="P200" s="94" t="str">
        <f>IF(N200&lt;&gt;"/",VLOOKUP(N200,COSTS_Goblin[#All],3),"/")</f>
        <v>/</v>
      </c>
      <c r="Q200" s="386">
        <f t="shared" si="115"/>
        <v>0</v>
      </c>
      <c r="R200" s="522">
        <f t="shared" si="116"/>
        <v>0</v>
      </c>
      <c r="S200" s="927">
        <v>3</v>
      </c>
      <c r="T200" s="928" t="str">
        <f>IF(Paramètres!AW9=0,"",Paramètres!AW9)</f>
        <v/>
      </c>
      <c r="U200" s="781">
        <f>IF(U199&lt;&gt;0,U199+IF(AND(T199&lt;&gt;"",S199&lt;W$195),T199,0),IF(AND(T199&lt;&gt;"",S199&lt;W$195),T199,0))</f>
        <v>0</v>
      </c>
      <c r="V200" s="574" t="str">
        <f>IF(W200&lt;&gt;"/",IF(Y$195="Error","Error",$Z$195+U200),"/")</f>
        <v>/</v>
      </c>
      <c r="W200" s="107" t="str">
        <f>IF(Y$195="Error","Error",IF(AND($W$195&lt;&gt;"/",$W$195&gt;'Paramètres - Admin'!$A5),'Paramètres - Admin'!$A6,"/"))</f>
        <v>/</v>
      </c>
      <c r="X200" s="386" t="str">
        <f>IF(W200&lt;&gt;"/",VLOOKUP(W200,COSTS_Dragon[#All],2),"/")</f>
        <v>/</v>
      </c>
      <c r="Y200" s="94" t="str">
        <f>IF(W200&lt;&gt;"/",VLOOKUP(W200,COSTS_Dragon[#All],3),"/")</f>
        <v>/</v>
      </c>
      <c r="Z200" s="386">
        <f>IF(Y$195="Error","Error",IF(X200&lt;&gt;"/",V200*X200,0))</f>
        <v>0</v>
      </c>
      <c r="AA200" s="522">
        <f>IF(Y$195="Error","Error",IF(Y200&lt;&gt;"/",V200*Y200,0))</f>
        <v>0</v>
      </c>
    </row>
    <row r="201" spans="1:51" ht="15" customHeight="1" thickBot="1" x14ac:dyDescent="0.3">
      <c r="A201" s="512">
        <v>1</v>
      </c>
      <c r="B201" s="926" t="str">
        <f>IF(Paramètres!AQ6=0,"",Paramètres!AQ6)</f>
        <v/>
      </c>
      <c r="C201" s="586">
        <f t="shared" ref="C201:C207" si="117">IF(C200&lt;&gt;0,C200+IF(AND(B200&lt;&gt;"",A200&lt;E$199),B200,0),IF(AND(B200&lt;&gt;"",A200&lt;E$199),B200,0))</f>
        <v>0</v>
      </c>
      <c r="D201" s="573" t="str">
        <f t="shared" ref="D201:D207" si="118">IF(E201&lt;&gt;"/",IF(G$199="Error","Error",$H$199+C201),"/")</f>
        <v>/</v>
      </c>
      <c r="E201" s="457" t="str">
        <f>IF(G$199="Error","Error",IF(AND($E$199&lt;&gt;"/",$E$199&gt;'Paramètres - Admin'!$A2),'Paramètres - Admin'!$A3,"/"))</f>
        <v>/</v>
      </c>
      <c r="F201" s="385" t="str">
        <f>IF(E201&lt;&gt;"/",VLOOKUP(E201,COSTS_Giant[#All],2),"/")</f>
        <v>/</v>
      </c>
      <c r="G201" s="458" t="str">
        <f>IF(E201&lt;&gt;"/",VLOOKUP(E201,COSTS_Giant[#All],3),"/")</f>
        <v>/</v>
      </c>
      <c r="H201" s="385">
        <f t="shared" ref="H201:H207" si="119">IF(G$199="Error","Error",IF(F201&lt;&gt;"/",D201*F201,0))</f>
        <v>0</v>
      </c>
      <c r="I201" s="459">
        <f t="shared" ref="I201:I207" si="120">IF(G$199="Error","Error",IF(G201&lt;&gt;"/",D201*G201,0))</f>
        <v>0</v>
      </c>
      <c r="J201" s="927">
        <v>3</v>
      </c>
      <c r="K201" s="928" t="str">
        <f>IF(Paramètres!AR8=0,"",Paramètres!AR8)</f>
        <v/>
      </c>
      <c r="L201" s="781">
        <f t="shared" si="113"/>
        <v>0</v>
      </c>
      <c r="M201" s="574" t="str">
        <f t="shared" si="114"/>
        <v>/</v>
      </c>
      <c r="N201" s="107" t="str">
        <f>IF(P$197="Error","Error",IF(AND($N$197&lt;&gt;"/",$N$197&gt;'Paramètres - Admin'!$A4),'Paramètres - Admin'!$A5,"/"))</f>
        <v>/</v>
      </c>
      <c r="O201" s="386" t="str">
        <f>IF(N201&lt;&gt;"/",VLOOKUP(N201,COSTS_Goblin[#All],2),"/")</f>
        <v>/</v>
      </c>
      <c r="P201" s="94" t="str">
        <f>IF(N201&lt;&gt;"/",VLOOKUP(N201,COSTS_Goblin[#All],3),"/")</f>
        <v>/</v>
      </c>
      <c r="Q201" s="386">
        <f t="shared" si="115"/>
        <v>0</v>
      </c>
      <c r="R201" s="522">
        <f t="shared" si="116"/>
        <v>0</v>
      </c>
      <c r="S201" s="929">
        <v>5</v>
      </c>
      <c r="T201" s="930" t="str">
        <f>IF(Paramètres!AW10=0,"",Paramètres!AW10)</f>
        <v/>
      </c>
      <c r="U201" s="782">
        <f>IF(U200&lt;&gt;0,U200+IF(AND(T200&lt;&gt;"",S200&lt;W$195),T200,0),IF(AND(T200&lt;&gt;"",S200&lt;W$195),T200,0))</f>
        <v>0</v>
      </c>
      <c r="V201" s="575" t="str">
        <f>IF(W201&lt;&gt;"/",IF(Y$195="Error","Error",$Z$195+U201),"/")</f>
        <v>/</v>
      </c>
      <c r="W201" s="113" t="str">
        <f>IF(Y$195="Error","Error",IF(AND($W$195&lt;&gt;"/",$W$195&gt;'Paramètres - Admin'!$A6),'Paramètres - Admin'!$A7,"/"))</f>
        <v>/</v>
      </c>
      <c r="X201" s="387" t="str">
        <f>IF(W201&lt;&gt;"/",VLOOKUP(W201,COSTS_Dragon[#All],2),"/")</f>
        <v>/</v>
      </c>
      <c r="Y201" s="112" t="str">
        <f>IF(W201&lt;&gt;"/",VLOOKUP(W201,COSTS_Dragon[#All],3),"/")</f>
        <v>/</v>
      </c>
      <c r="Z201" s="387">
        <f>IF(Y$195="Error","Error",IF(X201&lt;&gt;"/",V201*X201,0))</f>
        <v>0</v>
      </c>
      <c r="AA201" s="114">
        <f>IF(Y$195="Error","Error",IF(Y201&lt;&gt;"/",V201*Y201,0))</f>
        <v>0</v>
      </c>
    </row>
    <row r="202" spans="1:51" ht="15" customHeight="1" thickBot="1" x14ac:dyDescent="0.3">
      <c r="A202" s="927">
        <v>2</v>
      </c>
      <c r="B202" s="928" t="str">
        <f>IF(Paramètres!AQ7=0,"",Paramètres!AQ7)</f>
        <v/>
      </c>
      <c r="C202" s="781">
        <f t="shared" si="117"/>
        <v>0</v>
      </c>
      <c r="D202" s="574" t="str">
        <f t="shared" si="118"/>
        <v>/</v>
      </c>
      <c r="E202" s="107" t="str">
        <f>IF(G$199="Error","Error",IF(AND($E$199&lt;&gt;"/",$E$199&gt;'Paramètres - Admin'!$A3),'Paramètres - Admin'!$A4,"/"))</f>
        <v>/</v>
      </c>
      <c r="F202" s="386" t="str">
        <f>IF(E202&lt;&gt;"/",VLOOKUP(E202,COSTS_Giant[#All],2),"/")</f>
        <v>/</v>
      </c>
      <c r="G202" s="94" t="str">
        <f>IF(E202&lt;&gt;"/",VLOOKUP(E202,COSTS_Giant[#All],3),"/")</f>
        <v>/</v>
      </c>
      <c r="H202" s="386">
        <f t="shared" si="119"/>
        <v>0</v>
      </c>
      <c r="I202" s="522">
        <f t="shared" si="120"/>
        <v>0</v>
      </c>
      <c r="J202" s="927">
        <v>4</v>
      </c>
      <c r="K202" s="928" t="str">
        <f>IF(Paramètres!AR9=0,"",Paramètres!AR9)</f>
        <v/>
      </c>
      <c r="L202" s="781">
        <f t="shared" si="113"/>
        <v>0</v>
      </c>
      <c r="M202" s="574" t="str">
        <f t="shared" si="114"/>
        <v>/</v>
      </c>
      <c r="N202" s="107" t="str">
        <f>IF(P$197="Error","Error",IF(AND($N$197&lt;&gt;"/",$N$197&gt;'Paramètres - Admin'!$A5),'Paramètres - Admin'!$A6,"/"))</f>
        <v>/</v>
      </c>
      <c r="O202" s="386" t="str">
        <f>IF(N202&lt;&gt;"/",VLOOKUP(N202,COSTS_Goblin[#All],2),"/")</f>
        <v>/</v>
      </c>
      <c r="P202" s="94" t="str">
        <f>IF(N202&lt;&gt;"/",VLOOKUP(N202,COSTS_Goblin[#All],3),"/")</f>
        <v>/</v>
      </c>
      <c r="Q202" s="386">
        <f t="shared" si="115"/>
        <v>0</v>
      </c>
      <c r="R202" s="522">
        <f t="shared" si="116"/>
        <v>0</v>
      </c>
      <c r="S202" s="801"/>
      <c r="T202" s="801"/>
      <c r="U202" s="801"/>
      <c r="V202" s="801"/>
      <c r="W202" s="801"/>
      <c r="X202" s="802"/>
      <c r="Y202" s="511" t="s">
        <v>31</v>
      </c>
      <c r="Z202" s="388">
        <f>IF(Y$195="Error","Error",SUM(Z197:Z201))</f>
        <v>0</v>
      </c>
      <c r="AA202" s="534">
        <f>IF(Y$195="Error","Error",SUM(AA197:AA201))</f>
        <v>0</v>
      </c>
    </row>
    <row r="203" spans="1:51" ht="15" customHeight="1" x14ac:dyDescent="0.25">
      <c r="A203" s="927">
        <v>3</v>
      </c>
      <c r="B203" s="928" t="str">
        <f>IF(Paramètres!AQ8=0,"",Paramètres!AQ8)</f>
        <v/>
      </c>
      <c r="C203" s="781">
        <f t="shared" si="117"/>
        <v>0</v>
      </c>
      <c r="D203" s="574" t="str">
        <f t="shared" si="118"/>
        <v>/</v>
      </c>
      <c r="E203" s="107" t="str">
        <f>IF(G$199="Error","Error",IF(AND($E$199&lt;&gt;"/",$E$199&gt;'Paramètres - Admin'!$A4),'Paramètres - Admin'!$A5,"/"))</f>
        <v>/</v>
      </c>
      <c r="F203" s="386" t="str">
        <f>IF(E203&lt;&gt;"/",VLOOKUP(E203,COSTS_Giant[#All],2),"/")</f>
        <v>/</v>
      </c>
      <c r="G203" s="94" t="str">
        <f>IF(E203&lt;&gt;"/",VLOOKUP(E203,COSTS_Giant[#All],3),"/")</f>
        <v>/</v>
      </c>
      <c r="H203" s="386">
        <f t="shared" si="119"/>
        <v>0</v>
      </c>
      <c r="I203" s="522">
        <f t="shared" si="120"/>
        <v>0</v>
      </c>
      <c r="J203" s="927">
        <v>5</v>
      </c>
      <c r="K203" s="928" t="str">
        <f>IF(Paramètres!AR10=0,"",Paramètres!AR10)</f>
        <v/>
      </c>
      <c r="L203" s="781">
        <f t="shared" si="113"/>
        <v>0</v>
      </c>
      <c r="M203" s="574" t="str">
        <f t="shared" si="114"/>
        <v>/</v>
      </c>
      <c r="N203" s="107" t="str">
        <f>IF(P$197="Error","Error",IF(AND($N$197&lt;&gt;"/",$N$197&gt;'Paramètres - Admin'!$A6),'Paramètres - Admin'!$A7,"/"))</f>
        <v>/</v>
      </c>
      <c r="O203" s="386" t="str">
        <f>IF(N203&lt;&gt;"/",VLOOKUP(N203,COSTS_Goblin[#All],2),"/")</f>
        <v>/</v>
      </c>
      <c r="P203" s="94" t="str">
        <f>IF(N203&lt;&gt;"/",VLOOKUP(N203,COSTS_Goblin[#All],3),"/")</f>
        <v>/</v>
      </c>
      <c r="Q203" s="386">
        <f t="shared" si="115"/>
        <v>0</v>
      </c>
      <c r="R203" s="522">
        <f t="shared" si="116"/>
        <v>0</v>
      </c>
      <c r="S203" s="1119" t="s">
        <v>58</v>
      </c>
      <c r="T203" s="1120"/>
      <c r="U203" s="1121"/>
      <c r="V203" s="512" t="s">
        <v>38</v>
      </c>
      <c r="W203" s="513" t="s">
        <v>39</v>
      </c>
      <c r="X203" s="82"/>
      <c r="Y203" s="512" t="s">
        <v>256</v>
      </c>
      <c r="Z203" s="514" t="s">
        <v>361</v>
      </c>
      <c r="AA203" s="513" t="s">
        <v>257</v>
      </c>
    </row>
    <row r="204" spans="1:51" ht="15" customHeight="1" thickBot="1" x14ac:dyDescent="0.3">
      <c r="A204" s="927">
        <v>4</v>
      </c>
      <c r="B204" s="928" t="str">
        <f>IF(Paramètres!AQ9=0,"",Paramètres!AQ9)</f>
        <v/>
      </c>
      <c r="C204" s="781">
        <f t="shared" si="117"/>
        <v>0</v>
      </c>
      <c r="D204" s="574" t="str">
        <f t="shared" si="118"/>
        <v>/</v>
      </c>
      <c r="E204" s="107" t="str">
        <f>IF(G$199="Error","Error",IF(AND($E$199&lt;&gt;"/",$E$199&gt;'Paramètres - Admin'!$A5),'Paramètres - Admin'!$A6,"/"))</f>
        <v>/</v>
      </c>
      <c r="F204" s="386" t="str">
        <f>IF(E204&lt;&gt;"/",VLOOKUP(E204,COSTS_Giant[#All],2),"/")</f>
        <v>/</v>
      </c>
      <c r="G204" s="94" t="str">
        <f>IF(E204&lt;&gt;"/",VLOOKUP(E204,COSTS_Giant[#All],3),"/")</f>
        <v>/</v>
      </c>
      <c r="H204" s="386">
        <f t="shared" si="119"/>
        <v>0</v>
      </c>
      <c r="I204" s="522">
        <f t="shared" si="120"/>
        <v>0</v>
      </c>
      <c r="J204" s="927">
        <v>6</v>
      </c>
      <c r="K204" s="928" t="str">
        <f>IF(Paramètres!AR11=0,"",Paramètres!AR11)</f>
        <v/>
      </c>
      <c r="L204" s="781">
        <f t="shared" si="113"/>
        <v>0</v>
      </c>
      <c r="M204" s="574" t="str">
        <f t="shared" si="114"/>
        <v>/</v>
      </c>
      <c r="N204" s="107" t="str">
        <f>IF(P$197="Error","Error",IF(AND($N$197&lt;&gt;"/",$N$197&gt;'Paramètres - Admin'!$A7),'Paramètres - Admin'!$A8,"/"))</f>
        <v>/</v>
      </c>
      <c r="O204" s="386" t="str">
        <f>IF(N204&lt;&gt;"/",VLOOKUP(N204,COSTS_Goblin[#All],2),"/")</f>
        <v>/</v>
      </c>
      <c r="P204" s="94" t="str">
        <f>IF(N204&lt;&gt;"/",VLOOKUP(N204,COSTS_Goblin[#All],3),"/")</f>
        <v>/</v>
      </c>
      <c r="Q204" s="386">
        <f t="shared" si="115"/>
        <v>0</v>
      </c>
      <c r="R204" s="522">
        <f t="shared" si="116"/>
        <v>0</v>
      </c>
      <c r="S204" s="1122"/>
      <c r="T204" s="1123"/>
      <c r="U204" s="1124"/>
      <c r="V204" s="515">
        <f>VLOOKUP($A$2,AVAILABLE_Upgrades_Normal_Troops[#All],MATCH(S203,AVAILABLE_Upgrades_Normal_Troops[#Headers],0))</f>
        <v>0</v>
      </c>
      <c r="W204" s="516">
        <f>VLOOKUP(IF(ISERROR(LOOKUP(MATCH(1,Paramètres!$K$6:$K$45,0),Paramètres!$A$6:$A$45)),0,LOOKUP(MATCH(1,Paramètres!$K$6:$K$45,0),Paramètres!$A$6:$A$45)),AVAILABLE_Upgrades_Normal_Troops[#All],MATCH(S203,AVAILABLE_Upgrades_Normal_Troops[#Headers],0)+1)</f>
        <v>0</v>
      </c>
      <c r="X204" s="201"/>
      <c r="Y204" s="518">
        <f>IF(SUM(T206:T210)&gt;V204,"Error",SUM(T206:T210))</f>
        <v>0</v>
      </c>
      <c r="Z204" s="519">
        <f>IF(Y$204="Error","Error",V204-Y204)</f>
        <v>0</v>
      </c>
      <c r="AA204" s="526">
        <f>IF(Y$204="Error","Error",SUM(V206:V210))</f>
        <v>0</v>
      </c>
    </row>
    <row r="205" spans="1:51" ht="15" customHeight="1" thickBot="1" x14ac:dyDescent="0.3">
      <c r="A205" s="927">
        <v>5</v>
      </c>
      <c r="B205" s="928" t="str">
        <f>IF(Paramètres!AQ10=0,"",Paramètres!AQ10)</f>
        <v/>
      </c>
      <c r="C205" s="781">
        <f t="shared" si="117"/>
        <v>0</v>
      </c>
      <c r="D205" s="574" t="str">
        <f t="shared" si="118"/>
        <v>/</v>
      </c>
      <c r="E205" s="107" t="str">
        <f>IF(G$199="Error","Error",IF(AND($E$199&lt;&gt;"/",$E$199&gt;'Paramètres - Admin'!$A6),'Paramètres - Admin'!$A7,"/"))</f>
        <v>/</v>
      </c>
      <c r="F205" s="386" t="str">
        <f>IF(E205&lt;&gt;"/",VLOOKUP(E205,COSTS_Giant[#All],2),"/")</f>
        <v>/</v>
      </c>
      <c r="G205" s="94" t="str">
        <f>IF(E205&lt;&gt;"/",VLOOKUP(E205,COSTS_Giant[#All],3),"/")</f>
        <v>/</v>
      </c>
      <c r="H205" s="386">
        <f t="shared" si="119"/>
        <v>0</v>
      </c>
      <c r="I205" s="522">
        <f t="shared" si="120"/>
        <v>0</v>
      </c>
      <c r="J205" s="929">
        <v>7</v>
      </c>
      <c r="K205" s="930" t="str">
        <f>IF(Paramètres!AR12=0,"",Paramètres!AR12)</f>
        <v/>
      </c>
      <c r="L205" s="782">
        <f t="shared" si="113"/>
        <v>0</v>
      </c>
      <c r="M205" s="575" t="str">
        <f t="shared" si="114"/>
        <v>/</v>
      </c>
      <c r="N205" s="113" t="str">
        <f>IF(P$197="Error","Error",IF(AND($N$197&lt;&gt;"/",$N$197&gt;'Paramètres - Admin'!$A8),'Paramètres - Admin'!$A9,"/"))</f>
        <v>/</v>
      </c>
      <c r="O205" s="387" t="str">
        <f>IF(N205&lt;&gt;"/",VLOOKUP(N205,COSTS_Goblin[#All],2),"/")</f>
        <v>/</v>
      </c>
      <c r="P205" s="112" t="str">
        <f>IF(N205&lt;&gt;"/",VLOOKUP(N205,COSTS_Goblin[#All],3),"/")</f>
        <v>/</v>
      </c>
      <c r="Q205" s="387">
        <f t="shared" si="115"/>
        <v>0</v>
      </c>
      <c r="R205" s="114">
        <f t="shared" si="116"/>
        <v>0</v>
      </c>
      <c r="S205" s="204" t="s">
        <v>30</v>
      </c>
      <c r="T205" s="803" t="s">
        <v>29</v>
      </c>
      <c r="U205" s="581"/>
      <c r="V205" s="455" t="s">
        <v>29</v>
      </c>
      <c r="W205" s="456" t="s">
        <v>30</v>
      </c>
      <c r="X205" s="226" t="s">
        <v>258</v>
      </c>
      <c r="Y205" s="226" t="s">
        <v>259</v>
      </c>
      <c r="Z205" s="226" t="s">
        <v>232</v>
      </c>
      <c r="AA205" s="227" t="s">
        <v>233</v>
      </c>
    </row>
    <row r="206" spans="1:51" ht="15" customHeight="1" thickBot="1" x14ac:dyDescent="0.3">
      <c r="A206" s="927">
        <v>6</v>
      </c>
      <c r="B206" s="928" t="str">
        <f>IF(Paramètres!AQ11=0,"",Paramètres!AQ11)</f>
        <v/>
      </c>
      <c r="C206" s="781">
        <f t="shared" si="117"/>
        <v>0</v>
      </c>
      <c r="D206" s="574" t="str">
        <f t="shared" si="118"/>
        <v>/</v>
      </c>
      <c r="E206" s="107" t="str">
        <f>IF(G$199="Error","Error",IF(AND($E$199&lt;&gt;"/",$E$199&gt;'Paramètres - Admin'!$A7),'Paramètres - Admin'!$A8,"/"))</f>
        <v>/</v>
      </c>
      <c r="F206" s="386" t="str">
        <f>IF(E206&lt;&gt;"/",VLOOKUP(E206,COSTS_Giant[#All],2),"/")</f>
        <v>/</v>
      </c>
      <c r="G206" s="94" t="str">
        <f>IF(E206&lt;&gt;"/",VLOOKUP(E206,COSTS_Giant[#All],3),"/")</f>
        <v>/</v>
      </c>
      <c r="H206" s="386">
        <f t="shared" si="119"/>
        <v>0</v>
      </c>
      <c r="I206" s="522">
        <f t="shared" si="120"/>
        <v>0</v>
      </c>
      <c r="J206" s="582"/>
      <c r="K206" s="569"/>
      <c r="L206" s="569"/>
      <c r="M206" s="569"/>
      <c r="N206" s="569"/>
      <c r="O206" s="570"/>
      <c r="P206" s="511" t="s">
        <v>31</v>
      </c>
      <c r="Q206" s="388">
        <f>IF(P$197="Error","Error",SUM(Q199:Q205))</f>
        <v>0</v>
      </c>
      <c r="R206" s="222">
        <f>IF(P$197="Error","Error",SUM(R199:R205))</f>
        <v>0</v>
      </c>
      <c r="S206" s="512">
        <v>1</v>
      </c>
      <c r="T206" s="926" t="str">
        <f>IF(Paramètres!AX6=0,"",Paramètres!AX6)</f>
        <v/>
      </c>
      <c r="U206" s="586">
        <f>IF(U205&lt;&gt;0,U205+IF(AND(T205&lt;&gt;"",S205&lt;W$204),T205,0),IF(AND(T205&lt;&gt;"",S205&lt;W$204),T205,0))</f>
        <v>0</v>
      </c>
      <c r="V206" s="573" t="str">
        <f>IF(W206&lt;&gt;"/",IF(Y$204="Error","Error",$Z$204+U206),"/")</f>
        <v>/</v>
      </c>
      <c r="W206" s="457" t="str">
        <f>IF(Y$204="Error","Error",IF(AND($W$204&lt;&gt;"/",$W$204&gt;'Paramètres - Admin'!$A2),'Paramètres - Admin'!$A3,"/"))</f>
        <v>/</v>
      </c>
      <c r="X206" s="385" t="str">
        <f>IF(W206&lt;&gt;"/",VLOOKUP(W206,COSTS_PEKKA[#All],2),"/")</f>
        <v>/</v>
      </c>
      <c r="Y206" s="458" t="str">
        <f>IF(W206&lt;&gt;"/",VLOOKUP(W206,COSTS_PEKKA[#All],3),"/")</f>
        <v>/</v>
      </c>
      <c r="Z206" s="385">
        <f>IF(Y$204="Error","Error",IF(X206&lt;&gt;"/",V206*X206,0))</f>
        <v>0</v>
      </c>
      <c r="AA206" s="459">
        <f>IF(Y$204="Error","Error",IF(Y206&lt;&gt;"/",V206*Y206,0))</f>
        <v>0</v>
      </c>
    </row>
    <row r="207" spans="1:51" ht="15" customHeight="1" thickBot="1" x14ac:dyDescent="0.3">
      <c r="A207" s="929">
        <v>7</v>
      </c>
      <c r="B207" s="930" t="str">
        <f>IF(Paramètres!AQ12=0,"",Paramètres!AQ12)</f>
        <v/>
      </c>
      <c r="C207" s="782">
        <f t="shared" si="117"/>
        <v>0</v>
      </c>
      <c r="D207" s="575" t="str">
        <f t="shared" si="118"/>
        <v>/</v>
      </c>
      <c r="E207" s="113" t="str">
        <f>IF(G$199="Error","Error",IF(AND($E$199&lt;&gt;"/",$E$199&gt;'Paramètres - Admin'!$A8),'Paramètres - Admin'!$A9,"/"))</f>
        <v>/</v>
      </c>
      <c r="F207" s="387" t="str">
        <f>IF(E207&lt;&gt;"/",VLOOKUP(E207,COSTS_Giant[#All],2),"/")</f>
        <v>/</v>
      </c>
      <c r="G207" s="112" t="str">
        <f>IF(E207&lt;&gt;"/",VLOOKUP(E207,COSTS_Giant[#All],3),"/")</f>
        <v>/</v>
      </c>
      <c r="H207" s="387">
        <f t="shared" si="119"/>
        <v>0</v>
      </c>
      <c r="I207" s="114">
        <f t="shared" si="120"/>
        <v>0</v>
      </c>
      <c r="S207" s="927">
        <v>2</v>
      </c>
      <c r="T207" s="928" t="str">
        <f>IF(Paramètres!AX7=0,"",Paramètres!AX7)</f>
        <v/>
      </c>
      <c r="U207" s="781">
        <f>IF(U206&lt;&gt;0,U206+IF(AND(T206&lt;&gt;"",S206&lt;W$204),T206,0),IF(AND(T206&lt;&gt;"",S206&lt;W$204),T206,0))</f>
        <v>0</v>
      </c>
      <c r="V207" s="574" t="str">
        <f>IF(W207&lt;&gt;"/",IF(Y$204="Error","Error",$Z$204+U207),"/")</f>
        <v>/</v>
      </c>
      <c r="W207" s="107" t="str">
        <f>IF(Y$204="Error","Error",IF(AND($W$204&lt;&gt;"/",$W$204&gt;'Paramètres - Admin'!$A3),'Paramètres - Admin'!$A4,"/"))</f>
        <v>/</v>
      </c>
      <c r="X207" s="386" t="str">
        <f>IF(W207&lt;&gt;"/",VLOOKUP(W207,COSTS_PEKKA[#All],2),"/")</f>
        <v>/</v>
      </c>
      <c r="Y207" s="94" t="str">
        <f>IF(W207&lt;&gt;"/",VLOOKUP(W207,COSTS_PEKKA[#All],3),"/")</f>
        <v>/</v>
      </c>
      <c r="Z207" s="386">
        <f>IF(Y$204="Error","Error",IF(X207&lt;&gt;"/",V207*X207,0))</f>
        <v>0</v>
      </c>
      <c r="AA207" s="522">
        <f>IF(Y$204="Error","Error",IF(Y207&lt;&gt;"/",V207*Y207,0))</f>
        <v>0</v>
      </c>
    </row>
    <row r="208" spans="1:51" ht="15" customHeight="1" thickBot="1" x14ac:dyDescent="0.3">
      <c r="A208" s="582"/>
      <c r="B208" s="569"/>
      <c r="C208" s="569"/>
      <c r="D208" s="569"/>
      <c r="E208" s="569"/>
      <c r="F208" s="570"/>
      <c r="G208" s="511" t="s">
        <v>31</v>
      </c>
      <c r="H208" s="388">
        <f>IF(G$199="Error","Error",SUM(H201:H207))</f>
        <v>0</v>
      </c>
      <c r="I208" s="222">
        <f>IF(G$199="Error","Error",SUM(I201:I207))</f>
        <v>0</v>
      </c>
      <c r="S208" s="927">
        <v>3</v>
      </c>
      <c r="T208" s="928" t="str">
        <f>IF(Paramètres!AX8=0,"",Paramètres!AX8)</f>
        <v/>
      </c>
      <c r="U208" s="781">
        <f>IF(U207&lt;&gt;0,U207+IF(AND(T207&lt;&gt;"",S207&lt;W$204),T207,0),IF(AND(T207&lt;&gt;"",S207&lt;W$204),T207,0))</f>
        <v>0</v>
      </c>
      <c r="V208" s="574" t="str">
        <f>IF(W208&lt;&gt;"/",IF(Y$204="Error","Error",$Z$204+U208),"/")</f>
        <v>/</v>
      </c>
      <c r="W208" s="107" t="str">
        <f>IF(Y$204="Error","Error",IF(AND($W$204&lt;&gt;"/",$W$204&gt;'Paramètres - Admin'!$A4),'Paramètres - Admin'!$A5,"/"))</f>
        <v>/</v>
      </c>
      <c r="X208" s="386" t="str">
        <f>IF(W208&lt;&gt;"/",VLOOKUP(W208,COSTS_PEKKA[#All],2),"/")</f>
        <v>/</v>
      </c>
      <c r="Y208" s="94" t="str">
        <f>IF(W208&lt;&gt;"/",VLOOKUP(W208,COSTS_PEKKA[#All],3),"/")</f>
        <v>/</v>
      </c>
      <c r="Z208" s="386">
        <f>IF(Y$204="Error","Error",IF(X208&lt;&gt;"/",V208*X208,0))</f>
        <v>0</v>
      </c>
      <c r="AA208" s="522">
        <f>IF(Y$204="Error","Error",IF(Y208&lt;&gt;"/",V208*Y208,0))</f>
        <v>0</v>
      </c>
    </row>
    <row r="209" spans="1:27" ht="15" customHeight="1" x14ac:dyDescent="0.25">
      <c r="A209" s="128"/>
      <c r="B209" s="128"/>
      <c r="C209" s="128"/>
      <c r="D209" s="128"/>
      <c r="E209" s="128"/>
      <c r="F209" s="128"/>
      <c r="S209" s="927">
        <v>4</v>
      </c>
      <c r="T209" s="928" t="str">
        <f>IF(Paramètres!AX9=0,"",Paramètres!AX9)</f>
        <v/>
      </c>
      <c r="U209" s="781">
        <f>IF(U208&lt;&gt;0,U208+IF(AND(T208&lt;&gt;"",S208&lt;W$204),T208,0),IF(AND(T208&lt;&gt;"",S208&lt;W$204),T208,0))</f>
        <v>0</v>
      </c>
      <c r="V209" s="574" t="str">
        <f>IF(W209&lt;&gt;"/",IF(Y$204="Error","Error",$Z$204+U209),"/")</f>
        <v>/</v>
      </c>
      <c r="W209" s="107" t="str">
        <f>IF(Y$204="Error","Error",IF(AND($W$204&lt;&gt;"/",$W$204&gt;'Paramètres - Admin'!$A5),'Paramètres - Admin'!$A6,"/"))</f>
        <v>/</v>
      </c>
      <c r="X209" s="386" t="str">
        <f>IF(W209&lt;&gt;"/",VLOOKUP(W209,COSTS_PEKKA[#All],2),"/")</f>
        <v>/</v>
      </c>
      <c r="Y209" s="94" t="str">
        <f>IF(W209&lt;&gt;"/",VLOOKUP(W209,COSTS_PEKKA[#All],3),"/")</f>
        <v>/</v>
      </c>
      <c r="Z209" s="386">
        <f>IF(Y$204="Error","Error",IF(X209&lt;&gt;"/",V209*X209,0))</f>
        <v>0</v>
      </c>
      <c r="AA209" s="522">
        <f>IF(Y$204="Error","Error",IF(Y209&lt;&gt;"/",V209*Y209,0))</f>
        <v>0</v>
      </c>
    </row>
    <row r="210" spans="1:27" ht="15" customHeight="1" thickBot="1" x14ac:dyDescent="0.3">
      <c r="A210" s="128"/>
      <c r="B210" s="128"/>
      <c r="C210" s="128"/>
      <c r="D210" s="128"/>
      <c r="E210" s="128"/>
      <c r="F210" s="128"/>
      <c r="S210" s="929">
        <v>5</v>
      </c>
      <c r="T210" s="930" t="str">
        <f>IF(Paramètres!AX10=0,"",Paramètres!AX10)</f>
        <v/>
      </c>
      <c r="U210" s="782">
        <f>IF(U209&lt;&gt;0,U209+IF(AND(T209&lt;&gt;"",S209&lt;W$204),T209,0),IF(AND(T209&lt;&gt;"",S209&lt;W$204),T209,0))</f>
        <v>0</v>
      </c>
      <c r="V210" s="575" t="str">
        <f>IF(W210&lt;&gt;"/",IF(Y$204="Error","Error",$Z$204+U210),"/")</f>
        <v>/</v>
      </c>
      <c r="W210" s="113" t="str">
        <f>IF(Y$204="Error","Error",IF(AND($W$204&lt;&gt;"/",$W$204&gt;'Paramètres - Admin'!$A6),'Paramètres - Admin'!$A7,"/"))</f>
        <v>/</v>
      </c>
      <c r="X210" s="387" t="str">
        <f>IF(W210&lt;&gt;"/",VLOOKUP(W210,COSTS_PEKKA[#All],2),"/")</f>
        <v>/</v>
      </c>
      <c r="Y210" s="112" t="str">
        <f>IF(W210&lt;&gt;"/",VLOOKUP(W210,COSTS_PEKKA[#All],3),"/")</f>
        <v>/</v>
      </c>
      <c r="Z210" s="387">
        <f>IF(Y$204="Error","Error",IF(X210&lt;&gt;"/",V210*X210,0))</f>
        <v>0</v>
      </c>
      <c r="AA210" s="114">
        <f>IF(Y$204="Error","Error",IF(Y210&lt;&gt;"/",V210*Y210,0))</f>
        <v>0</v>
      </c>
    </row>
    <row r="211" spans="1:27" ht="15" customHeight="1" thickBot="1" x14ac:dyDescent="0.3">
      <c r="A211" s="128"/>
      <c r="B211" s="128"/>
      <c r="C211" s="128"/>
      <c r="D211" s="128"/>
      <c r="E211" s="128"/>
      <c r="F211" s="128"/>
      <c r="S211" s="767"/>
      <c r="T211" s="765"/>
      <c r="U211" s="765"/>
      <c r="V211" s="765"/>
      <c r="W211" s="765"/>
      <c r="X211" s="766"/>
      <c r="Y211" s="511" t="s">
        <v>31</v>
      </c>
      <c r="Z211" s="388">
        <f>IF(Y$204="Error","Error",SUM(Z206:Z210))</f>
        <v>0</v>
      </c>
      <c r="AA211" s="534">
        <f>IF(Y$204="Error","Error",SUM(AA206:AA210))</f>
        <v>0</v>
      </c>
    </row>
    <row r="212" spans="1:27" ht="15" customHeight="1" x14ac:dyDescent="0.25">
      <c r="A212" s="128"/>
      <c r="B212" s="128"/>
      <c r="C212" s="128"/>
      <c r="D212" s="128"/>
      <c r="E212" s="128"/>
      <c r="F212" s="128"/>
    </row>
    <row r="213" spans="1:27" ht="15" customHeight="1" x14ac:dyDescent="0.25">
      <c r="A213" s="128"/>
      <c r="B213" s="128"/>
      <c r="C213" s="128"/>
      <c r="D213" s="128"/>
      <c r="E213" s="128"/>
      <c r="F213" s="128"/>
    </row>
    <row r="214" spans="1:27" s="525" customFormat="1" ht="19.5" customHeight="1" thickBot="1" x14ac:dyDescent="0.3">
      <c r="A214" s="1117" t="s">
        <v>226</v>
      </c>
      <c r="B214" s="1118"/>
      <c r="C214" s="1118"/>
      <c r="D214" s="1118"/>
      <c r="E214" s="1118"/>
      <c r="F214" s="1118"/>
      <c r="G214" s="1118"/>
      <c r="H214" s="1118"/>
      <c r="I214" s="1118"/>
      <c r="J214" s="1118"/>
      <c r="K214" s="1118"/>
      <c r="L214" s="1118"/>
      <c r="M214" s="1118"/>
      <c r="N214" s="1118"/>
      <c r="O214" s="1118"/>
      <c r="P214" s="1118"/>
      <c r="Q214" s="1118"/>
      <c r="R214" s="1118"/>
      <c r="S214" s="1118"/>
      <c r="T214" s="1118"/>
      <c r="U214" s="1118"/>
      <c r="V214" s="1118"/>
      <c r="W214" s="1118"/>
      <c r="X214" s="1118"/>
      <c r="Y214" s="1118"/>
      <c r="Z214" s="1118"/>
      <c r="AA214" s="1118"/>
    </row>
    <row r="215" spans="1:27" s="525" customFormat="1" ht="15" customHeight="1" x14ac:dyDescent="0.25">
      <c r="A215" s="1119" t="s">
        <v>706</v>
      </c>
      <c r="B215" s="1120"/>
      <c r="C215" s="1121"/>
      <c r="D215" s="512" t="s">
        <v>38</v>
      </c>
      <c r="E215" s="513" t="s">
        <v>39</v>
      </c>
      <c r="F215" s="82"/>
      <c r="G215" s="512" t="s">
        <v>256</v>
      </c>
      <c r="H215" s="514" t="s">
        <v>361</v>
      </c>
      <c r="I215" s="513" t="s">
        <v>257</v>
      </c>
      <c r="J215" s="1119" t="s">
        <v>707</v>
      </c>
      <c r="K215" s="1120"/>
      <c r="L215" s="1121"/>
      <c r="M215" s="512" t="s">
        <v>38</v>
      </c>
      <c r="N215" s="513" t="s">
        <v>39</v>
      </c>
      <c r="O215" s="82"/>
      <c r="P215" s="512" t="s">
        <v>256</v>
      </c>
      <c r="Q215" s="514" t="s">
        <v>361</v>
      </c>
      <c r="R215" s="513" t="s">
        <v>257</v>
      </c>
      <c r="S215" s="1119" t="s">
        <v>718</v>
      </c>
      <c r="T215" s="1120"/>
      <c r="U215" s="1121"/>
      <c r="V215" s="512" t="s">
        <v>38</v>
      </c>
      <c r="W215" s="513" t="s">
        <v>39</v>
      </c>
      <c r="X215" s="82"/>
      <c r="Y215" s="512" t="s">
        <v>256</v>
      </c>
      <c r="Z215" s="514" t="s">
        <v>361</v>
      </c>
      <c r="AA215" s="513" t="s">
        <v>257</v>
      </c>
    </row>
    <row r="216" spans="1:27" s="525" customFormat="1" ht="15" customHeight="1" thickBot="1" x14ac:dyDescent="0.3">
      <c r="A216" s="1122"/>
      <c r="B216" s="1123"/>
      <c r="C216" s="1124"/>
      <c r="D216" s="515">
        <f>VLOOKUP($A$2,AVAILABLE_Upgrades_Dark_Spells[#All],MATCH(A215,AVAILABLE_Upgrades_Dark_Spells[#Headers],0))</f>
        <v>0</v>
      </c>
      <c r="E216" s="516">
        <f>VLOOKUP(IF(ISERROR(LOOKUP(MATCH(1,Paramètres!$K$6:$K$45,0),Paramètres!$A$6:$A$45)),0,LOOKUP(MATCH(1,Paramètres!$K$6:$K$45,0),Paramètres!$A$6:$A$45)),AVAILABLE_Upgrades_Dark_Spells[#All],MATCH(A215,AVAILABLE_Upgrades_Dark_Spells[#Headers],0)+1)</f>
        <v>0</v>
      </c>
      <c r="F216" s="201"/>
      <c r="G216" s="518">
        <f>IF(SUM(B218:B221)&gt;D216,"Error",SUM(B218:B221))</f>
        <v>0</v>
      </c>
      <c r="H216" s="519">
        <f>IF(G$216="Error","Error",D216-G216)</f>
        <v>0</v>
      </c>
      <c r="I216" s="526">
        <f>IF(G$216="Error","Error",SUM(D218:D221))</f>
        <v>0</v>
      </c>
      <c r="J216" s="1122"/>
      <c r="K216" s="1123"/>
      <c r="L216" s="1124"/>
      <c r="M216" s="515">
        <f>VLOOKUP($A$2,AVAILABLE_Upgrades_Dark_Spells[#All],MATCH(J215,AVAILABLE_Upgrades_Dark_Spells[#Headers],0))</f>
        <v>0</v>
      </c>
      <c r="N216" s="516">
        <f>VLOOKUP(IF(ISERROR(LOOKUP(MATCH(1,Paramètres!$K$6:$K$45,0),Paramètres!$A$6:$A$45)),0,LOOKUP(MATCH(1,Paramètres!$K$6:$K$45,0),Paramètres!$A$6:$A$45)),AVAILABLE_Upgrades_Dark_Spells[#All],MATCH(J215,AVAILABLE_Upgrades_Dark_Spells[#Headers],0)+1)</f>
        <v>0</v>
      </c>
      <c r="O216" s="201"/>
      <c r="P216" s="518">
        <f>IF(SUM(K218:K221)&gt;M216,"Error",SUM(K218:K221))</f>
        <v>0</v>
      </c>
      <c r="Q216" s="519">
        <f>IF(P$216="Error","Error",M216-P216)</f>
        <v>0</v>
      </c>
      <c r="R216" s="526">
        <f>IF(P$216="Error","Error",SUM(M218:M221))</f>
        <v>0</v>
      </c>
      <c r="S216" s="1122"/>
      <c r="T216" s="1123"/>
      <c r="U216" s="1124"/>
      <c r="V216" s="515">
        <f>VLOOKUP($A$2,AVAILABLE_Upgrades_Dark_Spells[#All],MATCH(S215,AVAILABLE_Upgrades_Dark_Spells[#Headers],0))</f>
        <v>0</v>
      </c>
      <c r="W216" s="516">
        <f>VLOOKUP(IF(ISERROR(LOOKUP(MATCH(1,Paramètres!$K$6:$K$45,0),Paramètres!$A$6:$A$45)),0,LOOKUP(MATCH(1,Paramètres!$K$6:$K$45,0),Paramètres!$A$6:$A$45)),AVAILABLE_Upgrades_Dark_Spells[#All],MATCH(S215,AVAILABLE_Upgrades_Dark_Spells[#Headers],0)+1)</f>
        <v>0</v>
      </c>
      <c r="X216" s="201"/>
      <c r="Y216" s="518">
        <f>IF(SUM(T218:T221)&gt;V216,"Error",SUM(T218:T221))</f>
        <v>0</v>
      </c>
      <c r="Z216" s="519">
        <f>IF(Y$216="Error","Error",V216-Y216)</f>
        <v>0</v>
      </c>
      <c r="AA216" s="526">
        <f>IF(Y$216="Error","Error",SUM(V218:V221))</f>
        <v>0</v>
      </c>
    </row>
    <row r="217" spans="1:27" s="525" customFormat="1" ht="15" customHeight="1" thickBot="1" x14ac:dyDescent="0.3">
      <c r="A217" s="520" t="s">
        <v>30</v>
      </c>
      <c r="B217" s="523" t="s">
        <v>29</v>
      </c>
      <c r="C217" s="521"/>
      <c r="D217" s="530" t="s">
        <v>29</v>
      </c>
      <c r="E217" s="531" t="s">
        <v>30</v>
      </c>
      <c r="F217" s="532" t="s">
        <v>258</v>
      </c>
      <c r="G217" s="532" t="s">
        <v>259</v>
      </c>
      <c r="H217" s="532" t="s">
        <v>232</v>
      </c>
      <c r="I217" s="533" t="s">
        <v>233</v>
      </c>
      <c r="J217" s="520" t="s">
        <v>30</v>
      </c>
      <c r="K217" s="523" t="s">
        <v>29</v>
      </c>
      <c r="L217" s="521"/>
      <c r="M217" s="530" t="s">
        <v>29</v>
      </c>
      <c r="N217" s="531" t="s">
        <v>30</v>
      </c>
      <c r="O217" s="532" t="s">
        <v>258</v>
      </c>
      <c r="P217" s="532" t="s">
        <v>259</v>
      </c>
      <c r="Q217" s="532" t="s">
        <v>232</v>
      </c>
      <c r="R217" s="533" t="s">
        <v>233</v>
      </c>
      <c r="S217" s="520" t="s">
        <v>30</v>
      </c>
      <c r="T217" s="523" t="s">
        <v>29</v>
      </c>
      <c r="U217" s="521"/>
      <c r="V217" s="530" t="s">
        <v>29</v>
      </c>
      <c r="W217" s="531" t="s">
        <v>30</v>
      </c>
      <c r="X217" s="532" t="s">
        <v>258</v>
      </c>
      <c r="Y217" s="532" t="s">
        <v>259</v>
      </c>
      <c r="Z217" s="532" t="s">
        <v>232</v>
      </c>
      <c r="AA217" s="533" t="s">
        <v>233</v>
      </c>
    </row>
    <row r="218" spans="1:27" s="525" customFormat="1" ht="15" customHeight="1" x14ac:dyDescent="0.25">
      <c r="A218" s="512">
        <v>1</v>
      </c>
      <c r="B218" s="926" t="str">
        <f>IF(Paramètres!AL6=0,"",Paramètres!AL6)</f>
        <v/>
      </c>
      <c r="C218" s="586">
        <f>IF(C217&lt;&gt;0,C217+IF(AND(B217&lt;&gt;"",A217&lt;E$216),B217,0),IF(AND(B217&lt;&gt;"",A217&lt;E$216),B217,0))</f>
        <v>0</v>
      </c>
      <c r="D218" s="573" t="str">
        <f>IF(E218&lt;&gt;"/",IF(G$216="Error","Error",$H$216+C218),"/")</f>
        <v>/</v>
      </c>
      <c r="E218" s="457" t="str">
        <f>IF(G$216="Error","Error",IF(AND($E$216&lt;&gt;"/",$E$216&gt;'Paramètres - Admin'!$A2),'Paramètres - Admin'!$A3,"/"))</f>
        <v>/</v>
      </c>
      <c r="F218" s="118" t="str">
        <f>IF(E218&lt;&gt;"/",VLOOKUP(E218,COSTS_Spell_Poison[#All],2),"/")</f>
        <v>/</v>
      </c>
      <c r="G218" s="458" t="str">
        <f>IF(E218&lt;&gt;"/",VLOOKUP(E218,COSTS_Spell_Poison[#All],3),"/")</f>
        <v>/</v>
      </c>
      <c r="H218" s="118">
        <f>IF(G$216="Error","Error",IF(F218&lt;&gt;"/",D218*F218,0))</f>
        <v>0</v>
      </c>
      <c r="I218" s="459">
        <f>IF(G$216="Error","Error",IF(G218&lt;&gt;"/",D218*G218,0))</f>
        <v>0</v>
      </c>
      <c r="J218" s="512">
        <v>1</v>
      </c>
      <c r="K218" s="926" t="str">
        <f>IF(Paramètres!AN6=0,"",Paramètres!AN6)</f>
        <v/>
      </c>
      <c r="L218" s="586">
        <f>IF(L217&lt;&gt;0,L217+IF(AND(K217&lt;&gt;"",J217&lt;N$216),K217,0),IF(AND(K217&lt;&gt;"",J217&lt;N$216),K217,0))</f>
        <v>0</v>
      </c>
      <c r="M218" s="573" t="str">
        <f>IF(N218&lt;&gt;"/",IF(P$216="Error","Error",$Q$216+L218),"/")</f>
        <v>/</v>
      </c>
      <c r="N218" s="457" t="str">
        <f>IF(P$216="Error","Error",IF(AND($N$216&lt;&gt;"/",$N$216&gt;'Paramètres - Admin'!$A2),'Paramètres - Admin'!$A3,"/"))</f>
        <v>/</v>
      </c>
      <c r="O218" s="118" t="str">
        <f>IF(N218&lt;&gt;"/",VLOOKUP(N218,COSTS_Spell_Haste[#All],2),"/")</f>
        <v>/</v>
      </c>
      <c r="P218" s="458" t="str">
        <f>IF(N218&lt;&gt;"/",VLOOKUP(N218,COSTS_Spell_Haste[#All],3),"/")</f>
        <v>/</v>
      </c>
      <c r="Q218" s="118">
        <f>IF(P$216="Error","Error",IF(O218&lt;&gt;"/",M218*O218,0))</f>
        <v>0</v>
      </c>
      <c r="R218" s="459">
        <f>IF(P$216="Error","Error",IF(P218&lt;&gt;"/",M218*P218,0))</f>
        <v>0</v>
      </c>
      <c r="S218" s="512">
        <v>1</v>
      </c>
      <c r="T218" s="926" t="str">
        <f>IF(Paramètres!AM6=0,"",Paramètres!AM6)</f>
        <v/>
      </c>
      <c r="U218" s="586">
        <f>IF(U217&lt;&gt;0,U217+IF(AND(T217&lt;&gt;"",S217&lt;W$216),T217,0),IF(AND(T217&lt;&gt;"",S217&lt;W$216),T217,0))</f>
        <v>0</v>
      </c>
      <c r="V218" s="573" t="str">
        <f>IF(W218&lt;&gt;"/",IF(Y$216="Error","Error",$Z$216+U218),"/")</f>
        <v>/</v>
      </c>
      <c r="W218" s="457" t="str">
        <f>IF(Y$216="Error","Error",IF(AND($W$216&lt;&gt;"/",$W$216&gt;'Paramètres - Admin'!$A2),'Paramètres - Admin'!$A3,"/"))</f>
        <v>/</v>
      </c>
      <c r="X218" s="118" t="str">
        <f>IF(W218&lt;&gt;"/",VLOOKUP(W218,COSTS_Spell_Earthquake[#All],2),"/")</f>
        <v>/</v>
      </c>
      <c r="Y218" s="458" t="str">
        <f>IF(W218&lt;&gt;"/",VLOOKUP(W218,COSTS_Spell_Earthquake[#All],3),"/")</f>
        <v>/</v>
      </c>
      <c r="Z218" s="118">
        <f>IF(Y$216="Error","Error",IF(X218&lt;&gt;"/",V218*X218,0))</f>
        <v>0</v>
      </c>
      <c r="AA218" s="459">
        <f>IF(Y$216="Error","Error",IF(Y218&lt;&gt;"/",V218*Y218,0))</f>
        <v>0</v>
      </c>
    </row>
    <row r="219" spans="1:27" s="525" customFormat="1" ht="15" customHeight="1" x14ac:dyDescent="0.25">
      <c r="A219" s="927">
        <v>2</v>
      </c>
      <c r="B219" s="928" t="str">
        <f>IF(Paramètres!AL7=0,"",Paramètres!AL7)</f>
        <v/>
      </c>
      <c r="C219" s="781">
        <f t="shared" ref="C219:C221" si="121">IF(C218&lt;&gt;0,C218+IF(AND(B218&lt;&gt;"",A218&lt;E$216),B218,0),IF(AND(B218&lt;&gt;"",A218&lt;E$216),B218,0))</f>
        <v>0</v>
      </c>
      <c r="D219" s="574" t="str">
        <f>IF(E219&lt;&gt;"/",IF(G$216="Error","Error",$H$216+C219),"/")</f>
        <v>/</v>
      </c>
      <c r="E219" s="107" t="str">
        <f>IF(G$216="Error","Error",IF(AND($E$216&lt;&gt;"/",$E$216&gt;'Paramètres - Admin'!$A3),'Paramètres - Admin'!$A4,"/"))</f>
        <v>/</v>
      </c>
      <c r="F219" s="121" t="str">
        <f>IF(E219&lt;&gt;"/",VLOOKUP(E219,COSTS_Spell_Poison[#All],2),"/")</f>
        <v>/</v>
      </c>
      <c r="G219" s="94" t="str">
        <f>IF(E219&lt;&gt;"/",VLOOKUP(E219,COSTS_Spell_Poison[#All],3),"/")</f>
        <v>/</v>
      </c>
      <c r="H219" s="121">
        <f>IF(G$154="Error","Error",IF(F219&lt;&gt;"/",D219*F219,0))</f>
        <v>0</v>
      </c>
      <c r="I219" s="522">
        <f>IF(G$154="Error","Error",IF(G219&lt;&gt;"/",D219*G219,0))</f>
        <v>0</v>
      </c>
      <c r="J219" s="927">
        <v>2</v>
      </c>
      <c r="K219" s="928" t="str">
        <f>IF(Paramètres!AN7=0,"",Paramètres!AN7)</f>
        <v/>
      </c>
      <c r="L219" s="781">
        <f>IF(L218&lt;&gt;0,L218+IF(AND(K218&lt;&gt;"",J218&lt;N$216),K218,0),IF(AND(K218&lt;&gt;"",J218&lt;N$216),K218,0))</f>
        <v>0</v>
      </c>
      <c r="M219" s="574" t="str">
        <f>IF(N219&lt;&gt;"/",IF(P$216="Error","Error",$Q$216+L219),"/")</f>
        <v>/</v>
      </c>
      <c r="N219" s="107" t="str">
        <f>IF(P$216="Error","Error",IF(AND($N$216&lt;&gt;"/",$N$216&gt;'Paramètres - Admin'!$A3),'Paramètres - Admin'!$A4,"/"))</f>
        <v>/</v>
      </c>
      <c r="O219" s="121" t="str">
        <f>IF(N219&lt;&gt;"/",VLOOKUP(N219,COSTS_Spell_Haste[#All],2),"/")</f>
        <v>/</v>
      </c>
      <c r="P219" s="94" t="str">
        <f>IF(N219&lt;&gt;"/",VLOOKUP(N219,COSTS_Spell_Haste[#All],3),"/")</f>
        <v>/</v>
      </c>
      <c r="Q219" s="121">
        <f>IF(P$216="Error","Error",IF(O219&lt;&gt;"/",M219*O219,0))</f>
        <v>0</v>
      </c>
      <c r="R219" s="522">
        <f>IF(P$216="Error","Error",IF(P219&lt;&gt;"/",M219*P219,0))</f>
        <v>0</v>
      </c>
      <c r="S219" s="927">
        <v>2</v>
      </c>
      <c r="T219" s="928" t="str">
        <f>IF(Paramètres!AM7=0,"",Paramètres!AM7)</f>
        <v/>
      </c>
      <c r="U219" s="781">
        <f>IF(U218&lt;&gt;0,U218+IF(AND(T218&lt;&gt;"",S218&lt;W$216),T218,0),IF(AND(T218&lt;&gt;"",S218&lt;W$216),T218,0))</f>
        <v>0</v>
      </c>
      <c r="V219" s="574" t="str">
        <f>IF(W219&lt;&gt;"/",IF(Y$216="Error","Error",$Z$216+U219),"/")</f>
        <v>/</v>
      </c>
      <c r="W219" s="107" t="str">
        <f>IF(Y$216="Error","Error",IF(AND($W$216&lt;&gt;"/",$W$216&gt;'Paramètres - Admin'!$A3),'Paramètres - Admin'!$A4,"/"))</f>
        <v>/</v>
      </c>
      <c r="X219" s="121" t="str">
        <f>IF(W219&lt;&gt;"/",VLOOKUP(W219,COSTS_Spell_Earthquake[#All],2),"/")</f>
        <v>/</v>
      </c>
      <c r="Y219" s="94" t="str">
        <f>IF(W219&lt;&gt;"/",VLOOKUP(W219,COSTS_Spell_Earthquake[#All],3),"/")</f>
        <v>/</v>
      </c>
      <c r="Z219" s="121">
        <f>IF(P$164="Error","Error",IF(X219&lt;&gt;"/",V219*X219,0))</f>
        <v>0</v>
      </c>
      <c r="AA219" s="522">
        <f>IF(P$164="Error","Error",IF(Y219&lt;&gt;"/",V219*Y219,0))</f>
        <v>0</v>
      </c>
    </row>
    <row r="220" spans="1:27" s="525" customFormat="1" ht="15" customHeight="1" x14ac:dyDescent="0.25">
      <c r="A220" s="927">
        <v>3</v>
      </c>
      <c r="B220" s="928" t="str">
        <f>IF(Paramètres!AL8=0,"",Paramètres!AL8)</f>
        <v/>
      </c>
      <c r="C220" s="781">
        <f t="shared" si="121"/>
        <v>0</v>
      </c>
      <c r="D220" s="574" t="str">
        <f>IF(E220&lt;&gt;"/",IF(G$216="Error","Error",$H$216+C220),"/")</f>
        <v>/</v>
      </c>
      <c r="E220" s="107" t="str">
        <f>IF(G$216="Error","Error",IF(AND($E$216&lt;&gt;"/",$E$216&gt;'Paramètres - Admin'!$A4),'Paramètres - Admin'!$A5,"/"))</f>
        <v>/</v>
      </c>
      <c r="F220" s="121" t="str">
        <f>IF(E220&lt;&gt;"/",VLOOKUP(E220,COSTS_Spell_Poison[#All],2),"/")</f>
        <v>/</v>
      </c>
      <c r="G220" s="94" t="str">
        <f>IF(E220&lt;&gt;"/",VLOOKUP(E220,COSTS_Spell_Poison[#All],3),"/")</f>
        <v>/</v>
      </c>
      <c r="H220" s="121">
        <f>IF(G$154="Error","Error",IF(F220&lt;&gt;"/",D220*F220,0))</f>
        <v>0</v>
      </c>
      <c r="I220" s="522">
        <f>IF(G$154="Error","Error",IF(G220&lt;&gt;"/",D220*G220,0))</f>
        <v>0</v>
      </c>
      <c r="J220" s="927">
        <v>3</v>
      </c>
      <c r="K220" s="928" t="str">
        <f>IF(Paramètres!AN8=0,"",Paramètres!AN8)</f>
        <v/>
      </c>
      <c r="L220" s="781">
        <f>IF(L219&lt;&gt;0,L219+IF(AND(K219&lt;&gt;"",J219&lt;N$216),K219,0),IF(AND(K219&lt;&gt;"",J219&lt;N$216),K219,0))</f>
        <v>0</v>
      </c>
      <c r="M220" s="574" t="str">
        <f>IF(N220&lt;&gt;"/",IF(P$216="Error","Error",$Q$216+L220),"/")</f>
        <v>/</v>
      </c>
      <c r="N220" s="107" t="str">
        <f>IF(P$216="Error","Error",IF(AND($N$216&lt;&gt;"/",$N$216&gt;'Paramètres - Admin'!$A4),'Paramètres - Admin'!$A5,"/"))</f>
        <v>/</v>
      </c>
      <c r="O220" s="121" t="str">
        <f>IF(N220&lt;&gt;"/",VLOOKUP(N220,COSTS_Spell_Haste[#All],2),"/")</f>
        <v>/</v>
      </c>
      <c r="P220" s="94" t="str">
        <f>IF(N220&lt;&gt;"/",VLOOKUP(N220,COSTS_Spell_Haste[#All],3),"/")</f>
        <v>/</v>
      </c>
      <c r="Q220" s="121">
        <f>IF(P$216="Error","Error",IF(O220&lt;&gt;"/",M220*O220,0))</f>
        <v>0</v>
      </c>
      <c r="R220" s="522">
        <f>IF(P$216="Error","Error",IF(P220&lt;&gt;"/",M220*P220,0))</f>
        <v>0</v>
      </c>
      <c r="S220" s="927">
        <v>3</v>
      </c>
      <c r="T220" s="928" t="str">
        <f>IF(Paramètres!AM8=0,"",Paramètres!AM8)</f>
        <v/>
      </c>
      <c r="U220" s="781">
        <f>IF(U219&lt;&gt;0,U219+IF(AND(T219&lt;&gt;"",S219&lt;W$216),T219,0),IF(AND(T219&lt;&gt;"",S219&lt;W$216),T219,0))</f>
        <v>0</v>
      </c>
      <c r="V220" s="574" t="str">
        <f>IF(W220&lt;&gt;"/",IF(Y$216="Error","Error",$Z$216+U220),"/")</f>
        <v>/</v>
      </c>
      <c r="W220" s="107" t="str">
        <f>IF(Y$216="Error","Error",IF(AND($W$216&lt;&gt;"/",$W$216&gt;'Paramètres - Admin'!$A4),'Paramètres - Admin'!$A5,"/"))</f>
        <v>/</v>
      </c>
      <c r="X220" s="121" t="str">
        <f>IF(W220&lt;&gt;"/",VLOOKUP(W220,COSTS_Spell_Earthquake[#All],2),"/")</f>
        <v>/</v>
      </c>
      <c r="Y220" s="94" t="str">
        <f>IF(W220&lt;&gt;"/",VLOOKUP(W220,COSTS_Spell_Earthquake[#All],3),"/")</f>
        <v>/</v>
      </c>
      <c r="Z220" s="121">
        <f>IF(P$164="Error","Error",IF(X220&lt;&gt;"/",V220*X220,0))</f>
        <v>0</v>
      </c>
      <c r="AA220" s="522">
        <f>IF(P$164="Error","Error",IF(Y220&lt;&gt;"/",V220*Y220,0))</f>
        <v>0</v>
      </c>
    </row>
    <row r="221" spans="1:27" s="525" customFormat="1" ht="15" customHeight="1" thickBot="1" x14ac:dyDescent="0.3">
      <c r="A221" s="929">
        <v>4</v>
      </c>
      <c r="B221" s="930" t="str">
        <f>IF(Paramètres!AL9=0,"",Paramètres!AL9)</f>
        <v/>
      </c>
      <c r="C221" s="782">
        <f t="shared" si="121"/>
        <v>0</v>
      </c>
      <c r="D221" s="575" t="str">
        <f>IF(E221&lt;&gt;"/",IF(G$216="Error","Error",$H$216+C221),"/")</f>
        <v>/</v>
      </c>
      <c r="E221" s="113" t="str">
        <f>IF(G$216="Error","Error",IF(AND($E$216&lt;&gt;"/",$E$216&gt;'Paramètres - Admin'!$A5),'Paramètres - Admin'!$A6,"/"))</f>
        <v>/</v>
      </c>
      <c r="F221" s="203" t="str">
        <f>IF(E221&lt;&gt;"/",VLOOKUP(E221,COSTS_Spell_Poison[#All],2),"/")</f>
        <v>/</v>
      </c>
      <c r="G221" s="112" t="str">
        <f>IF(E221&lt;&gt;"/",VLOOKUP(E221,COSTS_Spell_Poison[#All],3),"/")</f>
        <v>/</v>
      </c>
      <c r="H221" s="203">
        <f>IF(G$154="Error","Error",IF(F221&lt;&gt;"/",D221*F221,0))</f>
        <v>0</v>
      </c>
      <c r="I221" s="114">
        <f>IF(G$154="Error","Error",IF(G221&lt;&gt;"/",D221*G221,0))</f>
        <v>0</v>
      </c>
      <c r="J221" s="929">
        <v>4</v>
      </c>
      <c r="K221" s="930" t="str">
        <f>IF(Paramètres!AN9=0,"",Paramètres!AN9)</f>
        <v/>
      </c>
      <c r="L221" s="782">
        <f>IF(L220&lt;&gt;0,L220+IF(AND(K220&lt;&gt;"",J220&lt;N$216),K220,0),IF(AND(K220&lt;&gt;"",J220&lt;N$216),K220,0))</f>
        <v>0</v>
      </c>
      <c r="M221" s="575" t="str">
        <f>IF(N221&lt;&gt;"/",IF(P$216="Error","Error",$Q$216+L221),"/")</f>
        <v>/</v>
      </c>
      <c r="N221" s="113" t="str">
        <f>IF(P$216="Error","Error",IF(AND($N$216&lt;&gt;"/",$N$216&gt;'Paramètres - Admin'!$A5),'Paramètres - Admin'!$A6,"/"))</f>
        <v>/</v>
      </c>
      <c r="O221" s="203" t="str">
        <f>IF(N221&lt;&gt;"/",VLOOKUP(N221,COSTS_Spell_Haste[#All],2),"/")</f>
        <v>/</v>
      </c>
      <c r="P221" s="112" t="str">
        <f>IF(N221&lt;&gt;"/",VLOOKUP(N221,COSTS_Spell_Haste[#All],3),"/")</f>
        <v>/</v>
      </c>
      <c r="Q221" s="203">
        <f>IF(P$216="Error","Error",IF(O221&lt;&gt;"/",M221*O221,0))</f>
        <v>0</v>
      </c>
      <c r="R221" s="114">
        <f>IF(P$216="Error","Error",IF(P221&lt;&gt;"/",M221*P221,0))</f>
        <v>0</v>
      </c>
      <c r="S221" s="929">
        <v>4</v>
      </c>
      <c r="T221" s="930" t="str">
        <f>IF(Paramètres!AM9=0,"",Paramètres!AM9)</f>
        <v/>
      </c>
      <c r="U221" s="782">
        <f>IF(U220&lt;&gt;0,U220+IF(AND(T220&lt;&gt;"",S220&lt;W$216),T220,0),IF(AND(T220&lt;&gt;"",S220&lt;W$216),T220,0))</f>
        <v>0</v>
      </c>
      <c r="V221" s="575" t="str">
        <f>IF(W221&lt;&gt;"/",IF(Y$216="Error","Error",$Z$216+U221),"/")</f>
        <v>/</v>
      </c>
      <c r="W221" s="113" t="str">
        <f>IF(Y$216="Error","Error",IF(AND($W$216&lt;&gt;"/",$W$216&gt;'Paramètres - Admin'!$A5),'Paramètres - Admin'!$A6,"/"))</f>
        <v>/</v>
      </c>
      <c r="X221" s="203" t="str">
        <f>IF(W221&lt;&gt;"/",VLOOKUP(W221,COSTS_Spell_Earthquake[#All],2),"/")</f>
        <v>/</v>
      </c>
      <c r="Y221" s="112" t="str">
        <f>IF(W221&lt;&gt;"/",VLOOKUP(W221,COSTS_Spell_Earthquake[#All],3),"/")</f>
        <v>/</v>
      </c>
      <c r="Z221" s="203">
        <f>IF(P$164="Error","Error",IF(X221&lt;&gt;"/",V221*X221,0))</f>
        <v>0</v>
      </c>
      <c r="AA221" s="114">
        <f>IF(P$164="Error","Error",IF(Y221&lt;&gt;"/",V221*Y221,0))</f>
        <v>0</v>
      </c>
    </row>
    <row r="222" spans="1:27" s="525" customFormat="1" ht="15" customHeight="1" thickBot="1" x14ac:dyDescent="0.3">
      <c r="A222" s="767"/>
      <c r="B222" s="765"/>
      <c r="C222" s="765"/>
      <c r="D222" s="765"/>
      <c r="E222" s="765"/>
      <c r="F222" s="766"/>
      <c r="G222" s="274" t="s">
        <v>31</v>
      </c>
      <c r="H222" s="123">
        <f>IF(G$154="Error","Error",SUM(H218:H221))</f>
        <v>0</v>
      </c>
      <c r="I222" s="585">
        <f>IF(G$154="Error","Error",SUM(I218:I221))</f>
        <v>0</v>
      </c>
      <c r="J222" s="767"/>
      <c r="K222" s="765"/>
      <c r="L222" s="765"/>
      <c r="M222" s="765"/>
      <c r="N222" s="765"/>
      <c r="O222" s="766"/>
      <c r="P222" s="274" t="s">
        <v>31</v>
      </c>
      <c r="Q222" s="123">
        <f>IF(P$154="Error","Error",SUM(Q218:Q221))</f>
        <v>0</v>
      </c>
      <c r="R222" s="585">
        <f>IF(P$154="Error","Error",SUM(R218:R221))</f>
        <v>0</v>
      </c>
      <c r="S222" s="910"/>
      <c r="T222" s="911"/>
      <c r="U222" s="911"/>
      <c r="V222" s="911"/>
      <c r="W222" s="911"/>
      <c r="X222" s="912"/>
      <c r="Y222" s="511" t="s">
        <v>31</v>
      </c>
      <c r="Z222" s="220">
        <f>IF(P$164="Error","Error",SUM(Z218:Z221))</f>
        <v>0</v>
      </c>
      <c r="AA222" s="534">
        <f>IF(P$164="Error","Error",SUM(AA218:AA221))</f>
        <v>0</v>
      </c>
    </row>
    <row r="223" spans="1:27" s="525" customFormat="1" ht="15" customHeight="1" x14ac:dyDescent="0.25"/>
    <row r="224" spans="1:27" s="525" customFormat="1" ht="15" customHeight="1" x14ac:dyDescent="0.25"/>
    <row r="225" spans="1:27" s="525" customFormat="1" ht="19.5" customHeight="1" thickBot="1" x14ac:dyDescent="0.3">
      <c r="A225" s="1117" t="s">
        <v>227</v>
      </c>
      <c r="B225" s="1118"/>
      <c r="C225" s="1118"/>
      <c r="D225" s="1118"/>
      <c r="E225" s="1118"/>
      <c r="F225" s="1118"/>
      <c r="G225" s="1118"/>
      <c r="H225" s="1118"/>
      <c r="I225" s="1118"/>
      <c r="J225" s="1118"/>
      <c r="K225" s="1118"/>
      <c r="L225" s="1118"/>
      <c r="M225" s="1118"/>
      <c r="N225" s="1118"/>
      <c r="O225" s="1118"/>
      <c r="P225" s="1118"/>
      <c r="Q225" s="1118"/>
      <c r="R225" s="1118"/>
      <c r="S225" s="1118"/>
      <c r="T225" s="1118"/>
      <c r="U225" s="1118"/>
      <c r="V225" s="1118"/>
      <c r="W225" s="1118"/>
      <c r="X225" s="1118"/>
      <c r="Y225" s="1118"/>
      <c r="Z225" s="1118"/>
      <c r="AA225" s="1118"/>
    </row>
    <row r="226" spans="1:27" ht="15" customHeight="1" x14ac:dyDescent="0.25">
      <c r="A226" s="1119" t="s">
        <v>183</v>
      </c>
      <c r="B226" s="1120"/>
      <c r="C226" s="1121"/>
      <c r="D226" s="80" t="s">
        <v>38</v>
      </c>
      <c r="E226" s="81" t="s">
        <v>39</v>
      </c>
      <c r="F226" s="82"/>
      <c r="G226" s="512" t="s">
        <v>256</v>
      </c>
      <c r="H226" s="514" t="s">
        <v>361</v>
      </c>
      <c r="I226" s="513" t="s">
        <v>257</v>
      </c>
      <c r="J226" s="1119" t="s">
        <v>67</v>
      </c>
      <c r="K226" s="1120"/>
      <c r="L226" s="1121"/>
      <c r="M226" s="80" t="s">
        <v>38</v>
      </c>
      <c r="N226" s="81" t="s">
        <v>39</v>
      </c>
      <c r="O226" s="82"/>
      <c r="P226" s="512" t="s">
        <v>256</v>
      </c>
      <c r="Q226" s="514" t="s">
        <v>361</v>
      </c>
      <c r="R226" s="513" t="s">
        <v>257</v>
      </c>
      <c r="S226" s="1119" t="s">
        <v>536</v>
      </c>
      <c r="T226" s="1120"/>
      <c r="U226" s="1121"/>
      <c r="V226" s="80" t="s">
        <v>38</v>
      </c>
      <c r="W226" s="81" t="s">
        <v>39</v>
      </c>
      <c r="X226" s="82"/>
      <c r="Y226" s="512" t="s">
        <v>256</v>
      </c>
      <c r="Z226" s="514" t="s">
        <v>361</v>
      </c>
      <c r="AA226" s="513" t="s">
        <v>257</v>
      </c>
    </row>
    <row r="227" spans="1:27" ht="15" customHeight="1" thickBot="1" x14ac:dyDescent="0.3">
      <c r="A227" s="1122"/>
      <c r="B227" s="1123"/>
      <c r="C227" s="1124"/>
      <c r="D227" s="88">
        <f>VLOOKUP($A$2,AVAILABLE_Upgrades_Dark_Troops[#All],MATCH(A226,AVAILABLE_Upgrades_Dark_Troops[#Headers],0))</f>
        <v>0</v>
      </c>
      <c r="E227" s="89">
        <f>VLOOKUP(IF(ISERROR(LOOKUP(MATCH(1,Paramètres!$K$6:$K$45,0),Paramètres!$A$6:$A$45)),0,LOOKUP(MATCH(1,Paramètres!$K$6:$K$45,0),Paramètres!$A$6:$A$45)),AVAILABLE_Upgrades_Dark_Troops[#All],MATCH(A226,AVAILABLE_Upgrades_Dark_Troops[#Headers],0)+1)</f>
        <v>0</v>
      </c>
      <c r="F227" s="201"/>
      <c r="G227" s="96">
        <f>IF(SUM(B229:B235)&gt;D227,"Error",SUM(B229:B235))</f>
        <v>0</v>
      </c>
      <c r="H227" s="97">
        <f>IF(G$227="Error","Error",D227-G227)</f>
        <v>0</v>
      </c>
      <c r="I227" s="202">
        <f>IF(G$227="Error","Error",SUM(D229:D235))</f>
        <v>0</v>
      </c>
      <c r="J227" s="1122"/>
      <c r="K227" s="1123"/>
      <c r="L227" s="1124"/>
      <c r="M227" s="88">
        <f>VLOOKUP($A$2,AVAILABLE_Upgrades_Dark_Troops[#All],MATCH(J226,AVAILABLE_Upgrades_Dark_Troops[#Headers],0))</f>
        <v>0</v>
      </c>
      <c r="N227" s="516">
        <f>VLOOKUP(IF(ISERROR(LOOKUP(MATCH(1,Paramètres!$K$6:$K$45,0),Paramètres!$A$6:$A$45)),0,LOOKUP(MATCH(1,Paramètres!$K$6:$K$45,0),Paramètres!$A$6:$A$45)),AVAILABLE_Upgrades_Dark_Troops[#All],MATCH(J226,AVAILABLE_Upgrades_Dark_Troops[#Headers],0)+1)</f>
        <v>0</v>
      </c>
      <c r="O227" s="201"/>
      <c r="P227" s="96">
        <f>IF(SUM(K229:K233)&gt;M227,"Error",SUM(K229:K233))</f>
        <v>0</v>
      </c>
      <c r="Q227" s="97">
        <f>IF(P$227="Error","Error",M227-P227)</f>
        <v>0</v>
      </c>
      <c r="R227" s="202">
        <f>IF(P$227="Error","Error",SUM(M229:M233))</f>
        <v>0</v>
      </c>
      <c r="S227" s="1122"/>
      <c r="T227" s="1123"/>
      <c r="U227" s="1124"/>
      <c r="V227" s="88">
        <f>VLOOKUP($A$2,AVAILABLE_Upgrades_Dark_Troops[#All],MATCH(S226,AVAILABLE_Upgrades_Dark_Troops[#Headers],0))</f>
        <v>0</v>
      </c>
      <c r="W227" s="516">
        <f>VLOOKUP(IF(ISERROR(LOOKUP(MATCH(1,Paramètres!$K$6:$K$45,0),Paramètres!$A$6:$A$45)),0,LOOKUP(MATCH(1,Paramètres!$K$6:$K$45,0),Paramètres!$A$6:$A$45)),AVAILABLE_Upgrades_Dark_Troops[#All],MATCH(S226,AVAILABLE_Upgrades_Dark_Troops[#Headers],0)+1)</f>
        <v>0</v>
      </c>
      <c r="X227" s="201"/>
      <c r="Y227" s="96">
        <f>IF(SUM(T229:T231)&gt;V227,"Error",SUM(T229:T231))</f>
        <v>0</v>
      </c>
      <c r="Z227" s="97">
        <f>IF(Y$227="Error","Error",V227-Y227)</f>
        <v>0</v>
      </c>
      <c r="AA227" s="202">
        <f>IF(Y$227="Error","Error",SUM(V229:V231))</f>
        <v>0</v>
      </c>
    </row>
    <row r="228" spans="1:27" ht="15" customHeight="1" thickBot="1" x14ac:dyDescent="0.3">
      <c r="A228" s="520" t="s">
        <v>30</v>
      </c>
      <c r="B228" s="339" t="s">
        <v>29</v>
      </c>
      <c r="C228" s="581"/>
      <c r="D228" s="455" t="s">
        <v>29</v>
      </c>
      <c r="E228" s="456" t="s">
        <v>30</v>
      </c>
      <c r="F228" s="226" t="s">
        <v>258</v>
      </c>
      <c r="G228" s="226" t="s">
        <v>259</v>
      </c>
      <c r="H228" s="226" t="s">
        <v>232</v>
      </c>
      <c r="I228" s="227" t="s">
        <v>233</v>
      </c>
      <c r="J228" s="520" t="s">
        <v>30</v>
      </c>
      <c r="K228" s="339" t="s">
        <v>29</v>
      </c>
      <c r="L228" s="581"/>
      <c r="M228" s="455" t="s">
        <v>29</v>
      </c>
      <c r="N228" s="456" t="s">
        <v>30</v>
      </c>
      <c r="O228" s="226" t="s">
        <v>258</v>
      </c>
      <c r="P228" s="226" t="s">
        <v>259</v>
      </c>
      <c r="Q228" s="226" t="s">
        <v>232</v>
      </c>
      <c r="R228" s="227" t="s">
        <v>233</v>
      </c>
      <c r="S228" s="520" t="s">
        <v>30</v>
      </c>
      <c r="T228" s="339" t="s">
        <v>29</v>
      </c>
      <c r="U228" s="581"/>
      <c r="V228" s="455" t="s">
        <v>29</v>
      </c>
      <c r="W228" s="456" t="s">
        <v>30</v>
      </c>
      <c r="X228" s="226" t="s">
        <v>258</v>
      </c>
      <c r="Y228" s="226" t="s">
        <v>259</v>
      </c>
      <c r="Z228" s="226" t="s">
        <v>232</v>
      </c>
      <c r="AA228" s="227" t="s">
        <v>233</v>
      </c>
    </row>
    <row r="229" spans="1:27" ht="15" customHeight="1" x14ac:dyDescent="0.25">
      <c r="A229" s="512">
        <v>1</v>
      </c>
      <c r="B229" s="926" t="str">
        <f>IF(Paramètres!AY6=0,"",Paramètres!AY6)</f>
        <v/>
      </c>
      <c r="C229" s="586">
        <f>IF(C228&lt;&gt;0,C228+IF(AND(B228&lt;&gt;"",A228&lt;E$227),B228,0),IF(AND(B228&lt;&gt;"",A228&lt;E$227),B228,0))</f>
        <v>0</v>
      </c>
      <c r="D229" s="573" t="str">
        <f t="shared" ref="D229:D235" si="122">IF(E229&lt;&gt;"/",IF(G$227="Error","Error",$H$227+C229),"/")</f>
        <v>/</v>
      </c>
      <c r="E229" s="457" t="str">
        <f>IF(G$227="Error","Error",IF(AND($E$227&lt;&gt;"/",$E$227&gt;'Paramètres - Admin'!$A2),'Paramètres - Admin'!$A3,"/"))</f>
        <v>/</v>
      </c>
      <c r="F229" s="118" t="str">
        <f>IF(E229&lt;&gt;"/",VLOOKUP(E229,COSTS_Minion[#All],2),"/")</f>
        <v>/</v>
      </c>
      <c r="G229" s="458" t="str">
        <f>IF(E229&lt;&gt;"/",VLOOKUP(E229,COSTS_Minion[#All],3),"/")</f>
        <v>/</v>
      </c>
      <c r="H229" s="118">
        <f t="shared" ref="H229:H235" si="123">IF(G$227="Error","Error",IF(F229&lt;&gt;"/",D229*F229,0))</f>
        <v>0</v>
      </c>
      <c r="I229" s="459">
        <f t="shared" ref="I229:I235" si="124">IF(G$227="Error","Error",IF(G229&lt;&gt;"/",D229*G229,0))</f>
        <v>0</v>
      </c>
      <c r="J229" s="512">
        <v>1</v>
      </c>
      <c r="K229" s="926" t="str">
        <f>IF(Paramètres!BB6=0,"",Paramètres!BB6)</f>
        <v/>
      </c>
      <c r="L229" s="586">
        <f>IF(L228&lt;&gt;0,L228+IF(AND(K228&lt;&gt;"",J228&lt;N$227),K228,0),IF(AND(K228&lt;&gt;"",J228&lt;N$227),K228,0))</f>
        <v>0</v>
      </c>
      <c r="M229" s="573" t="str">
        <f>IF(N229&lt;&gt;"/",IF(P$227="Error","Error",$Q$227+L229),"/")</f>
        <v>/</v>
      </c>
      <c r="N229" s="457" t="str">
        <f>IF(P$227="Error","Error",IF(AND($N$227&lt;&gt;"/",$N$227&gt;'Paramètres - Admin'!$A2),'Paramètres - Admin'!$A3,"/"))</f>
        <v>/</v>
      </c>
      <c r="O229" s="118" t="str">
        <f>IF(N229&lt;&gt;"/",VLOOKUP(N229,COSTS_Golem[#All],2),"/")</f>
        <v>/</v>
      </c>
      <c r="P229" s="458" t="str">
        <f>IF(N229&lt;&gt;"/",VLOOKUP(N229,COSTS_Golem[#All],3),"/")</f>
        <v>/</v>
      </c>
      <c r="Q229" s="118">
        <f>IF(P$227="Error","Error",IF(O229&lt;&gt;"/",M229*O229,0))</f>
        <v>0</v>
      </c>
      <c r="R229" s="459">
        <f>IF(P$227="Error","Error",IF(P229&lt;&gt;"/",M229*P229,0))</f>
        <v>0</v>
      </c>
      <c r="S229" s="512">
        <v>1</v>
      </c>
      <c r="T229" s="926" t="str">
        <f>IF(Paramètres!BC6=0,"",Paramètres!BC6)</f>
        <v/>
      </c>
      <c r="U229" s="586">
        <f>IF(U228&lt;&gt;0,U228+IF(AND(T228&lt;&gt;"",S228&lt;W$227),T228,0),IF(AND(T228&lt;&gt;"",S228&lt;W$227),T228,0))</f>
        <v>0</v>
      </c>
      <c r="V229" s="573" t="str">
        <f>IF(W229&lt;&gt;"/",IF(Y$227="Error","Error",$Z$227+U229),"/")</f>
        <v>/</v>
      </c>
      <c r="W229" s="457" t="str">
        <f>IF(Y$227="Error","Error",IF(AND($W$227&lt;&gt;"/",$W$227&gt;'Paramètres - Admin'!$A2),'Paramètres - Admin'!$A3,"/"))</f>
        <v>/</v>
      </c>
      <c r="X229" s="118" t="str">
        <f>IF(W229&lt;&gt;"/",VLOOKUP(W229,COSTS_Witch[#All],2),"/")</f>
        <v>/</v>
      </c>
      <c r="Y229" s="458" t="str">
        <f>IF(W229&lt;&gt;"/",VLOOKUP(W229,COSTS_Witch[#All],3),"/")</f>
        <v>/</v>
      </c>
      <c r="Z229" s="118">
        <f>IF(Y$227="Error","Error",IF(X229&lt;&gt;"/",V229*X229,0))</f>
        <v>0</v>
      </c>
      <c r="AA229" s="459">
        <f>IF(Y$227="Error","Error",IF(Y229&lt;&gt;"/",V229*Y229,0))</f>
        <v>0</v>
      </c>
    </row>
    <row r="230" spans="1:27" ht="15" customHeight="1" x14ac:dyDescent="0.25">
      <c r="A230" s="927">
        <v>2</v>
      </c>
      <c r="B230" s="928" t="str">
        <f>IF(Paramètres!AY7=0,"",Paramètres!AY7)</f>
        <v/>
      </c>
      <c r="C230" s="781">
        <f t="shared" ref="C230:C234" si="125">IF(C229&lt;&gt;0,C229+IF(AND(B229&lt;&gt;"",A229&lt;E$227),B229,0),IF(AND(B229&lt;&gt;"",A229&lt;E$227),B229,0))</f>
        <v>0</v>
      </c>
      <c r="D230" s="574" t="str">
        <f t="shared" si="122"/>
        <v>/</v>
      </c>
      <c r="E230" s="107" t="str">
        <f>IF(G$227="Error","Error",IF(AND($E$227&lt;&gt;"/",$E$227&gt;'Paramètres - Admin'!$A3),'Paramètres - Admin'!$A4,"/"))</f>
        <v>/</v>
      </c>
      <c r="F230" s="121" t="str">
        <f>IF(E230&lt;&gt;"/",VLOOKUP(E230,COSTS_Minion[#All],2),"/")</f>
        <v>/</v>
      </c>
      <c r="G230" s="94" t="str">
        <f>IF(E230&lt;&gt;"/",VLOOKUP(E230,COSTS_Minion[#All],3),"/")</f>
        <v>/</v>
      </c>
      <c r="H230" s="121">
        <f t="shared" si="123"/>
        <v>0</v>
      </c>
      <c r="I230" s="522">
        <f t="shared" si="124"/>
        <v>0</v>
      </c>
      <c r="J230" s="927">
        <v>2</v>
      </c>
      <c r="K230" s="928" t="str">
        <f>IF(Paramètres!BB7=0,"",Paramètres!BB7)</f>
        <v/>
      </c>
      <c r="L230" s="781">
        <f>IF(L229&lt;&gt;0,L229+IF(AND(K229&lt;&gt;"",J229&lt;N$227),K229,0),IF(AND(K229&lt;&gt;"",J229&lt;N$227),K229,0))</f>
        <v>0</v>
      </c>
      <c r="M230" s="574" t="str">
        <f>IF(N230&lt;&gt;"/",IF(P$227="Error","Error",$Q$227+L230),"/")</f>
        <v>/</v>
      </c>
      <c r="N230" s="107" t="str">
        <f>IF(P$227="Error","Error",IF(AND($N$227&lt;&gt;"/",$N$227&gt;'Paramètres - Admin'!$A3),'Paramètres - Admin'!$A4,"/"))</f>
        <v>/</v>
      </c>
      <c r="O230" s="121" t="str">
        <f>IF(N230&lt;&gt;"/",VLOOKUP(N230,COSTS_Golem[#All],2),"/")</f>
        <v>/</v>
      </c>
      <c r="P230" s="94" t="str">
        <f>IF(N230&lt;&gt;"/",VLOOKUP(N230,COSTS_Golem[#All],3),"/")</f>
        <v>/</v>
      </c>
      <c r="Q230" s="121">
        <f>IF(P$227="Error","Error",IF(O230&lt;&gt;"/",M230*O230,0))</f>
        <v>0</v>
      </c>
      <c r="R230" s="522">
        <f>IF(P$227="Error","Error",IF(P230&lt;&gt;"/",M230*P230,0))</f>
        <v>0</v>
      </c>
      <c r="S230" s="927">
        <v>2</v>
      </c>
      <c r="T230" s="928" t="str">
        <f>IF(Paramètres!BC7=0,"",Paramètres!BC7)</f>
        <v/>
      </c>
      <c r="U230" s="781">
        <f>IF(U229&lt;&gt;0,U229+IF(AND(T229&lt;&gt;"",S229&lt;W$227),T229,0),IF(AND(T229&lt;&gt;"",S229&lt;W$227),T229,0))</f>
        <v>0</v>
      </c>
      <c r="V230" s="574" t="str">
        <f>IF(W230&lt;&gt;"/",IF(Y$227="Error","Error",$Z$227+U230),"/")</f>
        <v>/</v>
      </c>
      <c r="W230" s="107" t="str">
        <f>IF(Y$227="Error","Error",IF(AND($W$227&lt;&gt;"/",$W$227&gt;'Paramètres - Admin'!$A3),'Paramètres - Admin'!$A4,"/"))</f>
        <v>/</v>
      </c>
      <c r="X230" s="121" t="str">
        <f>IF(W230&lt;&gt;"/",VLOOKUP(W230,COSTS_Witch[#All],2),"/")</f>
        <v>/</v>
      </c>
      <c r="Y230" s="94" t="str">
        <f>IF(W230&lt;&gt;"/",VLOOKUP(W230,COSTS_Witch[#All],3),"/")</f>
        <v>/</v>
      </c>
      <c r="Z230" s="121">
        <f>IF(Y$227="Error","Error",IF(X230&lt;&gt;"/",V230*X230,0))</f>
        <v>0</v>
      </c>
      <c r="AA230" s="522">
        <f>IF(Y$227="Error","Error",IF(Y230&lt;&gt;"/",V230*Y230,0))</f>
        <v>0</v>
      </c>
    </row>
    <row r="231" spans="1:27" ht="15" customHeight="1" thickBot="1" x14ac:dyDescent="0.3">
      <c r="A231" s="927">
        <v>3</v>
      </c>
      <c r="B231" s="928" t="str">
        <f>IF(Paramètres!AY8=0,"",Paramètres!AY8)</f>
        <v/>
      </c>
      <c r="C231" s="781">
        <f t="shared" si="125"/>
        <v>0</v>
      </c>
      <c r="D231" s="574" t="str">
        <f t="shared" si="122"/>
        <v>/</v>
      </c>
      <c r="E231" s="107" t="str">
        <f>IF(G$227="Error","Error",IF(AND($E$227&lt;&gt;"/",$E$227&gt;'Paramètres - Admin'!$A4),'Paramètres - Admin'!$A5,"/"))</f>
        <v>/</v>
      </c>
      <c r="F231" s="121" t="str">
        <f>IF(E231&lt;&gt;"/",VLOOKUP(E231,COSTS_Minion[#All],2),"/")</f>
        <v>/</v>
      </c>
      <c r="G231" s="94" t="str">
        <f>IF(E231&lt;&gt;"/",VLOOKUP(E231,COSTS_Minion[#All],3),"/")</f>
        <v>/</v>
      </c>
      <c r="H231" s="121">
        <f t="shared" si="123"/>
        <v>0</v>
      </c>
      <c r="I231" s="522">
        <f t="shared" si="124"/>
        <v>0</v>
      </c>
      <c r="J231" s="927">
        <v>3</v>
      </c>
      <c r="K231" s="928" t="str">
        <f>IF(Paramètres!BB8=0,"",Paramètres!BB8)</f>
        <v/>
      </c>
      <c r="L231" s="781">
        <f>IF(L230&lt;&gt;0,L230+IF(AND(K230&lt;&gt;"",J230&lt;N$227),K230,0),IF(AND(K230&lt;&gt;"",J230&lt;N$227),K230,0))</f>
        <v>0</v>
      </c>
      <c r="M231" s="574" t="str">
        <f>IF(N231&lt;&gt;"/",IF(P$227="Error","Error",$Q$227+L231),"/")</f>
        <v>/</v>
      </c>
      <c r="N231" s="107" t="str">
        <f>IF(P$227="Error","Error",IF(AND($N$227&lt;&gt;"/",$N$227&gt;'Paramètres - Admin'!$A4),'Paramètres - Admin'!$A5,"/"))</f>
        <v>/</v>
      </c>
      <c r="O231" s="121" t="str">
        <f>IF(N231&lt;&gt;"/",VLOOKUP(N231,COSTS_Golem[#All],2),"/")</f>
        <v>/</v>
      </c>
      <c r="P231" s="94" t="str">
        <f>IF(N231&lt;&gt;"/",VLOOKUP(N231,COSTS_Golem[#All],3),"/")</f>
        <v>/</v>
      </c>
      <c r="Q231" s="121">
        <f>IF(P$227="Error","Error",IF(O231&lt;&gt;"/",M231*O231,0))</f>
        <v>0</v>
      </c>
      <c r="R231" s="522">
        <f>IF(P$227="Error","Error",IF(P231&lt;&gt;"/",M231*P231,0))</f>
        <v>0</v>
      </c>
      <c r="S231" s="929">
        <v>3</v>
      </c>
      <c r="T231" s="930" t="str">
        <f>IF(Paramètres!BC8=0,"",Paramètres!BC8)</f>
        <v/>
      </c>
      <c r="U231" s="782">
        <f>IF(U230&lt;&gt;0,U230+IF(AND(T230&lt;&gt;"",S230&lt;W$227),T230,0),IF(AND(T230&lt;&gt;"",S230&lt;W$227),T230,0))</f>
        <v>0</v>
      </c>
      <c r="V231" s="575" t="str">
        <f>IF(W231&lt;&gt;"/",IF(Y$227="Error","Error",$Z$227+U231),"/")</f>
        <v>/</v>
      </c>
      <c r="W231" s="113" t="str">
        <f>IF(Y$227="Error","Error",IF(AND($W$227&lt;&gt;"/",$W$227&gt;'Paramètres - Admin'!$A4),'Paramètres - Admin'!$A5,"/"))</f>
        <v>/</v>
      </c>
      <c r="X231" s="203" t="str">
        <f>IF(W231&lt;&gt;"/",VLOOKUP(W231,COSTS_Witch[#All],2),"/")</f>
        <v>/</v>
      </c>
      <c r="Y231" s="112" t="str">
        <f>IF(W231&lt;&gt;"/",VLOOKUP(W231,COSTS_Witch[#All],3),"/")</f>
        <v>/</v>
      </c>
      <c r="Z231" s="203">
        <f>IF(Y$227="Error","Error",IF(X231&lt;&gt;"/",V231*X231,0))</f>
        <v>0</v>
      </c>
      <c r="AA231" s="114">
        <f>IF(Y$227="Error","Error",IF(Y231&lt;&gt;"/",V231*Y231,0))</f>
        <v>0</v>
      </c>
    </row>
    <row r="232" spans="1:27" ht="15" customHeight="1" thickBot="1" x14ac:dyDescent="0.3">
      <c r="A232" s="927">
        <v>4</v>
      </c>
      <c r="B232" s="928" t="str">
        <f>IF(Paramètres!AY9=0,"",Paramètres!AY9)</f>
        <v/>
      </c>
      <c r="C232" s="781">
        <f t="shared" si="125"/>
        <v>0</v>
      </c>
      <c r="D232" s="574" t="str">
        <f t="shared" si="122"/>
        <v>/</v>
      </c>
      <c r="E232" s="107" t="str">
        <f>IF(G$227="Error","Error",IF(AND($E$227&lt;&gt;"/",$E$227&gt;'Paramètres - Admin'!$A5),'Paramètres - Admin'!$A6,"/"))</f>
        <v>/</v>
      </c>
      <c r="F232" s="121" t="str">
        <f>IF(E232&lt;&gt;"/",VLOOKUP(E232,COSTS_Minion[#All],2),"/")</f>
        <v>/</v>
      </c>
      <c r="G232" s="94" t="str">
        <f>IF(E232&lt;&gt;"/",VLOOKUP(E232,COSTS_Minion[#All],3),"/")</f>
        <v>/</v>
      </c>
      <c r="H232" s="121">
        <f t="shared" si="123"/>
        <v>0</v>
      </c>
      <c r="I232" s="522">
        <f t="shared" si="124"/>
        <v>0</v>
      </c>
      <c r="J232" s="927">
        <v>4</v>
      </c>
      <c r="K232" s="928" t="str">
        <f>IF(Paramètres!BB9=0,"",Paramètres!BB9)</f>
        <v/>
      </c>
      <c r="L232" s="781">
        <f>IF(L231&lt;&gt;0,L231+IF(AND(K231&lt;&gt;"",J231&lt;N$227),K231,0),IF(AND(K231&lt;&gt;"",J231&lt;N$227),K231,0))</f>
        <v>0</v>
      </c>
      <c r="M232" s="574" t="str">
        <f>IF(N232&lt;&gt;"/",IF(P$227="Error","Error",$Q$227+L232),"/")</f>
        <v>/</v>
      </c>
      <c r="N232" s="107" t="str">
        <f>IF(P$227="Error","Error",IF(AND($N$227&lt;&gt;"/",$N$227&gt;'Paramètres - Admin'!$A5),'Paramètres - Admin'!$A6,"/"))</f>
        <v>/</v>
      </c>
      <c r="O232" s="121" t="str">
        <f>IF(N232&lt;&gt;"/",VLOOKUP(N232,COSTS_Golem[#All],2),"/")</f>
        <v>/</v>
      </c>
      <c r="P232" s="94" t="str">
        <f>IF(N232&lt;&gt;"/",VLOOKUP(N232,COSTS_Golem[#All],3),"/")</f>
        <v>/</v>
      </c>
      <c r="Q232" s="121">
        <f>IF(P$227="Error","Error",IF(O232&lt;&gt;"/",M232*O232,0))</f>
        <v>0</v>
      </c>
      <c r="R232" s="522">
        <f>IF(P$227="Error","Error",IF(P232&lt;&gt;"/",M232*P232,0))</f>
        <v>0</v>
      </c>
      <c r="S232" s="905"/>
      <c r="T232" s="571"/>
      <c r="U232" s="571"/>
      <c r="V232" s="571"/>
      <c r="W232" s="571"/>
      <c r="X232" s="572"/>
      <c r="Y232" s="511" t="s">
        <v>31</v>
      </c>
      <c r="Z232" s="224">
        <f>IF(Y$227="Error","Error",SUM(Z229:Z230))</f>
        <v>0</v>
      </c>
      <c r="AA232" s="222">
        <f>IF(Y$227="Error","Error",SUM(AA229:AA230))</f>
        <v>0</v>
      </c>
    </row>
    <row r="233" spans="1:27" ht="15" customHeight="1" thickBot="1" x14ac:dyDescent="0.3">
      <c r="A233" s="927">
        <v>5</v>
      </c>
      <c r="B233" s="928" t="str">
        <f>IF(Paramètres!AY10=0,"",Paramètres!AY10)</f>
        <v/>
      </c>
      <c r="C233" s="781">
        <f t="shared" si="125"/>
        <v>0</v>
      </c>
      <c r="D233" s="574" t="str">
        <f t="shared" si="122"/>
        <v>/</v>
      </c>
      <c r="E233" s="107" t="str">
        <f>IF(G$227="Error","Error",IF(AND($E$227&lt;&gt;"/",$E$227&gt;'Paramètres - Admin'!$A6),'Paramètres - Admin'!$A7,"/"))</f>
        <v>/</v>
      </c>
      <c r="F233" s="121" t="str">
        <f>IF(E233&lt;&gt;"/",VLOOKUP(E233,COSTS_Minion[#All],2),"/")</f>
        <v>/</v>
      </c>
      <c r="G233" s="94" t="str">
        <f>IF(E233&lt;&gt;"/",VLOOKUP(E233,COSTS_Minion[#All],3),"/")</f>
        <v>/</v>
      </c>
      <c r="H233" s="121">
        <f t="shared" si="123"/>
        <v>0</v>
      </c>
      <c r="I233" s="522">
        <f t="shared" si="124"/>
        <v>0</v>
      </c>
      <c r="J233" s="929">
        <v>5</v>
      </c>
      <c r="K233" s="930" t="str">
        <f>IF(Paramètres!BB10=0,"",Paramètres!BB10)</f>
        <v/>
      </c>
      <c r="L233" s="782">
        <f>IF(L232&lt;&gt;0,L232+IF(AND(K232&lt;&gt;"",J232&lt;N$227),K232,0),IF(AND(K232&lt;&gt;"",J232&lt;N$227),K232,0))</f>
        <v>0</v>
      </c>
      <c r="M233" s="575" t="str">
        <f>IF(N233&lt;&gt;"/",IF(P$227="Error","Error",$Q$227+L233),"/")</f>
        <v>/</v>
      </c>
      <c r="N233" s="113" t="str">
        <f>IF(P$227="Error","Error",IF(AND($N$227&lt;&gt;"/",$N$227&gt;'Paramètres - Admin'!$A6),'Paramètres - Admin'!$A7,"/"))</f>
        <v>/</v>
      </c>
      <c r="O233" s="203" t="str">
        <f>IF(N233&lt;&gt;"/",VLOOKUP(N233,COSTS_Golem[#All],2),"/")</f>
        <v>/</v>
      </c>
      <c r="P233" s="112" t="str">
        <f>IF(N233&lt;&gt;"/",VLOOKUP(N233,COSTS_Golem[#All],3),"/")</f>
        <v>/</v>
      </c>
      <c r="Q233" s="203">
        <f>IF(P$227="Error","Error",IF(O233&lt;&gt;"/",M233*O233,0))</f>
        <v>0</v>
      </c>
      <c r="R233" s="114">
        <f>IF(P$227="Error","Error",IF(P233&lt;&gt;"/",M233*P233,0))</f>
        <v>0</v>
      </c>
      <c r="S233" s="1120" t="s">
        <v>573</v>
      </c>
      <c r="T233" s="1120"/>
      <c r="U233" s="1121"/>
      <c r="V233" s="512" t="s">
        <v>38</v>
      </c>
      <c r="W233" s="513" t="s">
        <v>39</v>
      </c>
      <c r="X233" s="82"/>
      <c r="Y233" s="512" t="s">
        <v>256</v>
      </c>
      <c r="Z233" s="514" t="s">
        <v>361</v>
      </c>
      <c r="AA233" s="513" t="s">
        <v>257</v>
      </c>
    </row>
    <row r="234" spans="1:27" ht="15" customHeight="1" thickBot="1" x14ac:dyDescent="0.3">
      <c r="A234" s="927">
        <v>6</v>
      </c>
      <c r="B234" s="928" t="str">
        <f>IF(Paramètres!AY11=0,"",Paramètres!AY11)</f>
        <v/>
      </c>
      <c r="C234" s="781">
        <f t="shared" si="125"/>
        <v>0</v>
      </c>
      <c r="D234" s="574" t="str">
        <f t="shared" si="122"/>
        <v>/</v>
      </c>
      <c r="E234" s="107" t="str">
        <f>IF(G$227="Error","Error",IF(AND($E$227&lt;&gt;"/",$E$227&gt;'Paramètres - Admin'!$A7),'Paramètres - Admin'!$A8,"/"))</f>
        <v>/</v>
      </c>
      <c r="F234" s="121" t="str">
        <f>IF(E234&lt;&gt;"/",VLOOKUP(E234,COSTS_Minion[#All],2),"/")</f>
        <v>/</v>
      </c>
      <c r="G234" s="94" t="str">
        <f>IF(E234&lt;&gt;"/",VLOOKUP(E234,COSTS_Minion[#All],3),"/")</f>
        <v>/</v>
      </c>
      <c r="H234" s="121">
        <f t="shared" si="123"/>
        <v>0</v>
      </c>
      <c r="I234" s="522">
        <f t="shared" si="124"/>
        <v>0</v>
      </c>
      <c r="J234" s="905"/>
      <c r="K234" s="571"/>
      <c r="L234" s="571"/>
      <c r="M234" s="571"/>
      <c r="N234" s="571"/>
      <c r="O234" s="572"/>
      <c r="P234" s="511" t="s">
        <v>31</v>
      </c>
      <c r="Q234" s="224">
        <f>IF(P$227="Error","Error",SUM(Q229:Q233))</f>
        <v>0</v>
      </c>
      <c r="R234" s="222">
        <f>IF(P$227="Error","Error",SUM(R229:R233))</f>
        <v>0</v>
      </c>
      <c r="S234" s="1123"/>
      <c r="T234" s="1123"/>
      <c r="U234" s="1124"/>
      <c r="V234" s="515">
        <f>VLOOKUP($A$2,AVAILABLE_Upgrades_Dark_Troops[#All],MATCH(S233,AVAILABLE_Upgrades_Dark_Troops[#Headers],0))</f>
        <v>0</v>
      </c>
      <c r="W234" s="516">
        <f>VLOOKUP(IF(ISERROR(LOOKUP(MATCH(1,Paramètres!$K$6:$K$45,0),Paramètres!$A$6:$A$45)),0,LOOKUP(MATCH(1,Paramètres!$K$6:$K$45,0),Paramètres!$A$6:$A$45)),AVAILABLE_Upgrades_Dark_Troops[#All],MATCH(S233,AVAILABLE_Upgrades_Dark_Troops[#Headers],0)+1)</f>
        <v>0</v>
      </c>
      <c r="X234" s="201"/>
      <c r="Y234" s="518">
        <f>IF(SUM(T236:T238)&gt;V234,"Error",SUM(T236:T238))</f>
        <v>0</v>
      </c>
      <c r="Z234" s="519">
        <f>IF(Y$234="Error","Error",V234-Y234)</f>
        <v>0</v>
      </c>
      <c r="AA234" s="526">
        <f>IF(Y$234="Error","Error",SUM(V236:V238))</f>
        <v>0</v>
      </c>
    </row>
    <row r="235" spans="1:27" ht="15" customHeight="1" thickBot="1" x14ac:dyDescent="0.3">
      <c r="A235" s="929">
        <v>7</v>
      </c>
      <c r="B235" s="930" t="str">
        <f>IF(Paramètres!AY12=0,"",Paramètres!AY12)</f>
        <v/>
      </c>
      <c r="C235" s="782">
        <f t="shared" ref="C235" si="126">IF(C234&lt;&gt;0,C234+IF(AND(B234&lt;&gt;"",A234&lt;E$227),B234,0),IF(AND(B234&lt;&gt;"",A234&lt;E$227),B234,0))</f>
        <v>0</v>
      </c>
      <c r="D235" s="575" t="str">
        <f t="shared" si="122"/>
        <v>/</v>
      </c>
      <c r="E235" s="113" t="str">
        <f>IF(G$227="Error","Error",IF(AND($E$227&lt;&gt;"/",$E$227&gt;'Paramètres - Admin'!$A8),'Paramètres - Admin'!$A9,"/"))</f>
        <v>/</v>
      </c>
      <c r="F235" s="203" t="str">
        <f>IF(E235&lt;&gt;"/",VLOOKUP(E235,COSTS_Minion[#All],2),"/")</f>
        <v>/</v>
      </c>
      <c r="G235" s="112" t="str">
        <f>IF(E235&lt;&gt;"/",VLOOKUP(E235,COSTS_Minion[#All],3),"/")</f>
        <v>/</v>
      </c>
      <c r="H235" s="203">
        <f t="shared" si="123"/>
        <v>0</v>
      </c>
      <c r="I235" s="114">
        <f t="shared" si="124"/>
        <v>0</v>
      </c>
      <c r="S235" s="520" t="s">
        <v>30</v>
      </c>
      <c r="T235" s="339" t="s">
        <v>29</v>
      </c>
      <c r="U235" s="581"/>
      <c r="V235" s="455" t="s">
        <v>29</v>
      </c>
      <c r="W235" s="456" t="s">
        <v>30</v>
      </c>
      <c r="X235" s="226" t="s">
        <v>258</v>
      </c>
      <c r="Y235" s="226" t="s">
        <v>259</v>
      </c>
      <c r="Z235" s="226" t="s">
        <v>232</v>
      </c>
      <c r="AA235" s="227" t="s">
        <v>233</v>
      </c>
    </row>
    <row r="236" spans="1:27" ht="15" customHeight="1" thickBot="1" x14ac:dyDescent="0.3">
      <c r="A236" s="906"/>
      <c r="B236" s="571"/>
      <c r="C236" s="571"/>
      <c r="D236" s="571"/>
      <c r="E236" s="571"/>
      <c r="F236" s="572"/>
      <c r="G236" s="511" t="s">
        <v>31</v>
      </c>
      <c r="H236" s="224">
        <f>IF(G$227="Error","Error",SUM(H229:H234))</f>
        <v>0</v>
      </c>
      <c r="I236" s="222">
        <f>IF(G$227="Error","Error",SUM(I229:I233))</f>
        <v>0</v>
      </c>
      <c r="S236" s="512">
        <v>1</v>
      </c>
      <c r="T236" s="926" t="str">
        <f>IF(Paramètres!BD6=0,"",Paramètres!BD6)</f>
        <v/>
      </c>
      <c r="U236" s="586">
        <f>IF(U235&lt;&gt;0,U235+IF(AND(T235&lt;&gt;"",S235&lt;W$234),T235,0),IF(AND(T235&lt;&gt;"",S235&lt;W$234),T235,0))</f>
        <v>0</v>
      </c>
      <c r="V236" s="573" t="str">
        <f>IF(W236&lt;&gt;"/",IF(Y$234="Error","Error",$Z$234+U236),"/")</f>
        <v>/</v>
      </c>
      <c r="W236" s="457" t="str">
        <f>IF($Y$234="Error","Error",IF(AND($W$234&lt;&gt;"/",$W$234&gt;'Paramètres - Admin'!$A2),'Paramètres - Admin'!$A3,"/"))</f>
        <v>/</v>
      </c>
      <c r="X236" s="118" t="str">
        <f>IF(W236&lt;&gt;"/",VLOOKUP(W236,COSTS_Lava_Hound[#All],2),"/")</f>
        <v>/</v>
      </c>
      <c r="Y236" s="458" t="str">
        <f>IF(W236&lt;&gt;"/",VLOOKUP(W236,COSTS_Lava_Hound[#All],3),"/")</f>
        <v>/</v>
      </c>
      <c r="Z236" s="118">
        <f>IF(Y$234="Error","Error",IF(X236&lt;&gt;"/",V236*X236,0))</f>
        <v>0</v>
      </c>
      <c r="AA236" s="459">
        <f>IF(Y$234="Error","Error",IF(Y236&lt;&gt;"/",V236*Y236,0))</f>
        <v>0</v>
      </c>
    </row>
    <row r="237" spans="1:27" ht="15" customHeight="1" x14ac:dyDescent="0.25">
      <c r="A237" s="1119" t="s">
        <v>245</v>
      </c>
      <c r="B237" s="1120"/>
      <c r="C237" s="1121"/>
      <c r="D237" s="80" t="s">
        <v>38</v>
      </c>
      <c r="E237" s="81" t="s">
        <v>39</v>
      </c>
      <c r="F237" s="82"/>
      <c r="G237" s="512" t="s">
        <v>256</v>
      </c>
      <c r="H237" s="514" t="s">
        <v>361</v>
      </c>
      <c r="I237" s="513" t="s">
        <v>257</v>
      </c>
      <c r="J237" s="1119" t="s">
        <v>66</v>
      </c>
      <c r="K237" s="1120"/>
      <c r="L237" s="1121"/>
      <c r="M237" s="80" t="s">
        <v>38</v>
      </c>
      <c r="N237" s="81" t="s">
        <v>39</v>
      </c>
      <c r="O237" s="82"/>
      <c r="P237" s="512" t="s">
        <v>256</v>
      </c>
      <c r="Q237" s="514" t="s">
        <v>361</v>
      </c>
      <c r="R237" s="513" t="s">
        <v>257</v>
      </c>
      <c r="S237" s="927">
        <v>2</v>
      </c>
      <c r="T237" s="928" t="str">
        <f>IF(Paramètres!BD7=0,"",Paramètres!BD7)</f>
        <v/>
      </c>
      <c r="U237" s="781">
        <f>IF(U236&lt;&gt;0,U236+IF(AND(T236&lt;&gt;"",S236&lt;W$234),T236,0),IF(AND(T236&lt;&gt;"",S236&lt;W$234),T236,0))</f>
        <v>0</v>
      </c>
      <c r="V237" s="574" t="str">
        <f>IF(W237&lt;&gt;"/",IF(Y$234="Error","Error",$Z$234+U237),"/")</f>
        <v>/</v>
      </c>
      <c r="W237" s="107" t="str">
        <f>IF($Y$234="Error","Error",IF(AND($W$234&lt;&gt;"/",$W$234&gt;'Paramètres - Admin'!$A3),'Paramètres - Admin'!$A4,"/"))</f>
        <v>/</v>
      </c>
      <c r="X237" s="121" t="str">
        <f>IF(W237&lt;&gt;"/",VLOOKUP(W237,COSTS_Lava_Hound[#All],2),"/")</f>
        <v>/</v>
      </c>
      <c r="Y237" s="94" t="str">
        <f>IF(W237&lt;&gt;"/",VLOOKUP(W237,COSTS_Lava_Hound[#All],3),"/")</f>
        <v>/</v>
      </c>
      <c r="Z237" s="121">
        <f>IF(Y$234="Error","Error",IF(X237&lt;&gt;"/",V237*X237,0))</f>
        <v>0</v>
      </c>
      <c r="AA237" s="522">
        <f>IF(Y$234="Error","Error",IF(Y237&lt;&gt;"/",V237*Y237,0))</f>
        <v>0</v>
      </c>
    </row>
    <row r="238" spans="1:27" ht="15" customHeight="1" thickBot="1" x14ac:dyDescent="0.3">
      <c r="A238" s="1122"/>
      <c r="B238" s="1123"/>
      <c r="C238" s="1124"/>
      <c r="D238" s="88">
        <f>VLOOKUP($A$2,AVAILABLE_Upgrades_Dark_Troops[#All],MATCH(A237,AVAILABLE_Upgrades_Dark_Troops[#Headers],0))</f>
        <v>0</v>
      </c>
      <c r="E238" s="516">
        <f>VLOOKUP(IF(ISERROR(LOOKUP(MATCH(1,Paramètres!$K$6:$K$45,0),Paramètres!$A$6:$A$45)),0,LOOKUP(MATCH(1,Paramètres!$K$6:$K$45,0),Paramètres!$A$6:$A$45)),AVAILABLE_Upgrades_Dark_Troops[#All],MATCH(A237,AVAILABLE_Upgrades_Dark_Troops[#Headers],0)+1)</f>
        <v>0</v>
      </c>
      <c r="F238" s="201"/>
      <c r="G238" s="96">
        <f>IF(SUM(B240:B245)&gt;D238,"Error",SUM(B240:B245))</f>
        <v>0</v>
      </c>
      <c r="H238" s="97">
        <f>IF(G$238="Error","Error",D238-G238)</f>
        <v>0</v>
      </c>
      <c r="I238" s="202">
        <f>IF(G$238="Error","Error",SUM(D240:D245))</f>
        <v>0</v>
      </c>
      <c r="J238" s="1122"/>
      <c r="K238" s="1123"/>
      <c r="L238" s="1124"/>
      <c r="M238" s="88">
        <f>VLOOKUP($A$2,AVAILABLE_Upgrades_Dark_Troops[#All],MATCH(J237,AVAILABLE_Upgrades_Dark_Troops[#Headers],0))</f>
        <v>0</v>
      </c>
      <c r="N238" s="516">
        <f>VLOOKUP(IF(ISERROR(LOOKUP(MATCH(1,Paramètres!$K$6:$K$45,0),Paramètres!$A$6:$A$45)),0,LOOKUP(MATCH(1,Paramètres!$K$6:$K$45,0),Paramètres!$A$6:$A$45)),AVAILABLE_Upgrades_Dark_Troops[#All],MATCH(J237,AVAILABLE_Upgrades_Dark_Troops[#Headers],0)+1)</f>
        <v>0</v>
      </c>
      <c r="O238" s="201"/>
      <c r="P238" s="96">
        <f>IF(SUM(K240:K244)&gt;M238,"Error",SUM(K240:K244))</f>
        <v>0</v>
      </c>
      <c r="Q238" s="97">
        <f>IF(P$238="Error","Error",M238-P238)</f>
        <v>0</v>
      </c>
      <c r="R238" s="202">
        <f>IF(P$238="Error","Error",SUM(M240:M244))</f>
        <v>0</v>
      </c>
      <c r="S238" s="929">
        <v>3</v>
      </c>
      <c r="T238" s="930" t="str">
        <f>IF(Paramètres!BD8=0,"",Paramètres!BD8)</f>
        <v/>
      </c>
      <c r="U238" s="782">
        <f>IF(U237&lt;&gt;0,U237+IF(AND(T237&lt;&gt;"",S237&lt;W$234),T237,0),IF(AND(T237&lt;&gt;"",S237&lt;W$234),T237,0))</f>
        <v>0</v>
      </c>
      <c r="V238" s="575" t="str">
        <f>IF(W238&lt;&gt;"/",IF(Y$234="Error","Error",$Z$234+U238),"/")</f>
        <v>/</v>
      </c>
      <c r="W238" s="113" t="str">
        <f>IF($Y$234="Error","Error",IF(AND($W$234&lt;&gt;"/",$W$234&gt;'Paramètres - Admin'!$A4),'Paramètres - Admin'!$A5,"/"))</f>
        <v>/</v>
      </c>
      <c r="X238" s="203" t="str">
        <f>IF(W238&lt;&gt;"/",VLOOKUP(W238,COSTS_Lava_Hound[#All],2),"/")</f>
        <v>/</v>
      </c>
      <c r="Y238" s="112" t="str">
        <f>IF(W238&lt;&gt;"/",VLOOKUP(W238,COSTS_Lava_Hound[#All],3),"/")</f>
        <v>/</v>
      </c>
      <c r="Z238" s="203">
        <f>IF(Y$234="Error","Error",IF(X238&lt;&gt;"/",V238*X238,0))</f>
        <v>0</v>
      </c>
      <c r="AA238" s="114">
        <f>IF(Y$234="Error","Error",IF(Y238&lt;&gt;"/",V238*Y238,0))</f>
        <v>0</v>
      </c>
    </row>
    <row r="239" spans="1:27" ht="15" customHeight="1" thickBot="1" x14ac:dyDescent="0.3">
      <c r="A239" s="520" t="s">
        <v>30</v>
      </c>
      <c r="B239" s="339" t="s">
        <v>29</v>
      </c>
      <c r="C239" s="581"/>
      <c r="D239" s="455" t="s">
        <v>29</v>
      </c>
      <c r="E239" s="456" t="s">
        <v>30</v>
      </c>
      <c r="F239" s="226" t="s">
        <v>258</v>
      </c>
      <c r="G239" s="226" t="s">
        <v>259</v>
      </c>
      <c r="H239" s="226" t="s">
        <v>232</v>
      </c>
      <c r="I239" s="227" t="s">
        <v>233</v>
      </c>
      <c r="J239" s="520" t="s">
        <v>30</v>
      </c>
      <c r="K239" s="339" t="s">
        <v>29</v>
      </c>
      <c r="L239" s="581"/>
      <c r="M239" s="455" t="s">
        <v>29</v>
      </c>
      <c r="N239" s="456" t="s">
        <v>30</v>
      </c>
      <c r="O239" s="226" t="s">
        <v>258</v>
      </c>
      <c r="P239" s="226" t="s">
        <v>259</v>
      </c>
      <c r="Q239" s="226" t="s">
        <v>232</v>
      </c>
      <c r="R239" s="227" t="s">
        <v>233</v>
      </c>
      <c r="S239" s="906"/>
      <c r="T239" s="571"/>
      <c r="U239" s="571"/>
      <c r="V239" s="571"/>
      <c r="W239" s="571"/>
      <c r="X239" s="572"/>
      <c r="Y239" s="511" t="s">
        <v>31</v>
      </c>
      <c r="Z239" s="224">
        <f>IF(Y$234="Error","Error",SUM(Z236:Z238))</f>
        <v>0</v>
      </c>
      <c r="AA239" s="534">
        <f>IF(Y$234="Error","Error",SUM(AA236:AA238))</f>
        <v>0</v>
      </c>
    </row>
    <row r="240" spans="1:27" ht="15" customHeight="1" x14ac:dyDescent="0.25">
      <c r="A240" s="512">
        <v>1</v>
      </c>
      <c r="B240" s="926" t="str">
        <f>IF(Paramètres!AZ6=0,"",Paramètres!AZ6)</f>
        <v/>
      </c>
      <c r="C240" s="586">
        <f t="shared" ref="C240:C245" si="127">IF(C239&lt;&gt;0,C239+IF(AND(B239&lt;&gt;"",A239&lt;E$238),B239,0),IF(AND(B239&lt;&gt;"",A239&lt;E$238),B239,0))</f>
        <v>0</v>
      </c>
      <c r="D240" s="573" t="str">
        <f t="shared" ref="D240:D245" si="128">IF(E240&lt;&gt;"/",IF(G$238="Error","Error",$H$238+C240),"/")</f>
        <v>/</v>
      </c>
      <c r="E240" s="457" t="str">
        <f>IF(G$238="Error","Error",IF(AND($E$238&lt;&gt;"/",$E$238&gt;'Paramètres - Admin'!$A2),'Paramètres - Admin'!$A3,"/"))</f>
        <v>/</v>
      </c>
      <c r="F240" s="118" t="str">
        <f>IF(E240&lt;&gt;"/",VLOOKUP(E240,COSTS_Hog_Rider[#All],2),"/")</f>
        <v>/</v>
      </c>
      <c r="G240" s="458" t="str">
        <f>IF(E240&lt;&gt;"/",VLOOKUP(E240,COSTS_Hog_Rider[#All],3),"/")</f>
        <v>/</v>
      </c>
      <c r="H240" s="118">
        <f t="shared" ref="H240:H245" si="129">IF(G$238="Error","Error",IF(F240&lt;&gt;"/",D240*F240,0))</f>
        <v>0</v>
      </c>
      <c r="I240" s="459">
        <f t="shared" ref="I240:I245" si="130">IF(G$238="Error","Error",IF(G240&lt;&gt;"/",D240*G240,0))</f>
        <v>0</v>
      </c>
      <c r="J240" s="512">
        <v>1</v>
      </c>
      <c r="K240" s="926" t="str">
        <f>IF(Paramètres!BA6=0,"",Paramètres!BA6)</f>
        <v/>
      </c>
      <c r="L240" s="586">
        <f>IF(L239&lt;&gt;0,L239+IF(AND(K239&lt;&gt;"",J239&lt;N$238),K239,0),IF(AND(K239&lt;&gt;"",J239&lt;N$238),K239,0))</f>
        <v>0</v>
      </c>
      <c r="M240" s="573" t="str">
        <f>IF(N240&lt;&gt;"/",IF(P$238="Error","Error",$Q$238+L240),"/")</f>
        <v>/</v>
      </c>
      <c r="N240" s="457" t="str">
        <f>IF(P$238="Error","Error",IF(AND($N$238&lt;&gt;"/",$N$238&gt;'Paramètres - Admin'!$A2),'Paramètres - Admin'!$A3,"/"))</f>
        <v>/</v>
      </c>
      <c r="O240" s="118" t="str">
        <f>IF(N240&lt;&gt;"/",VLOOKUP(N240,COSTS_Valkyrie[#All],2),"/")</f>
        <v>/</v>
      </c>
      <c r="P240" s="458" t="str">
        <f>IF(N240&lt;&gt;"/",VLOOKUP(N240,COSTS_Valkyrie[#All],3),"/")</f>
        <v>/</v>
      </c>
      <c r="Q240" s="118">
        <f>IF(P$238="Error","Error",IF(O240&lt;&gt;"/",M240*O240,0))</f>
        <v>0</v>
      </c>
      <c r="R240" s="459">
        <f>IF(P$238="Error","Error",IF(P240&lt;&gt;"/",M240*P240,0))</f>
        <v>0</v>
      </c>
      <c r="S240" s="1120" t="s">
        <v>818</v>
      </c>
      <c r="T240" s="1120"/>
      <c r="U240" s="1121"/>
      <c r="V240" s="512" t="s">
        <v>38</v>
      </c>
      <c r="W240" s="513" t="s">
        <v>39</v>
      </c>
      <c r="X240" s="82"/>
      <c r="Y240" s="512" t="s">
        <v>256</v>
      </c>
      <c r="Z240" s="514" t="s">
        <v>361</v>
      </c>
      <c r="AA240" s="513" t="s">
        <v>257</v>
      </c>
    </row>
    <row r="241" spans="1:84" ht="15" customHeight="1" thickBot="1" x14ac:dyDescent="0.3">
      <c r="A241" s="927">
        <v>2</v>
      </c>
      <c r="B241" s="928" t="str">
        <f>IF(Paramètres!AZ7=0,"",Paramètres!AZ7)</f>
        <v/>
      </c>
      <c r="C241" s="781">
        <f t="shared" si="127"/>
        <v>0</v>
      </c>
      <c r="D241" s="574" t="str">
        <f t="shared" si="128"/>
        <v>/</v>
      </c>
      <c r="E241" s="107" t="str">
        <f>IF(G$238="Error","Error",IF(AND($E$238&lt;&gt;"/",$E$238&gt;'Paramètres - Admin'!$A3),'Paramètres - Admin'!$A4,"/"))</f>
        <v>/</v>
      </c>
      <c r="F241" s="121" t="str">
        <f>IF(E241&lt;&gt;"/",VLOOKUP(E241,COSTS_Hog_Rider[#All],2),"/")</f>
        <v>/</v>
      </c>
      <c r="G241" s="94" t="str">
        <f>IF(E241&lt;&gt;"/",VLOOKUP(E241,COSTS_Hog_Rider[#All],3),"/")</f>
        <v>/</v>
      </c>
      <c r="H241" s="121">
        <f t="shared" si="129"/>
        <v>0</v>
      </c>
      <c r="I241" s="522">
        <f t="shared" si="130"/>
        <v>0</v>
      </c>
      <c r="J241" s="927">
        <v>2</v>
      </c>
      <c r="K241" s="928" t="str">
        <f>IF(Paramètres!BA7=0,"",Paramètres!BA7)</f>
        <v/>
      </c>
      <c r="L241" s="781">
        <f>IF(L240&lt;&gt;0,L240+IF(AND(K240&lt;&gt;"",J240&lt;N$238),K240,0),IF(AND(K240&lt;&gt;"",J240&lt;N$238),K240,0))</f>
        <v>0</v>
      </c>
      <c r="M241" s="574" t="str">
        <f>IF(N241&lt;&gt;"/",IF(P$238="Error","Error",$Q$238+L241),"/")</f>
        <v>/</v>
      </c>
      <c r="N241" s="107" t="str">
        <f>IF(P$238="Error","Error",IF(AND($N$238&lt;&gt;"/",$N$238&gt;'Paramètres - Admin'!$A3),'Paramètres - Admin'!$A4,"/"))</f>
        <v>/</v>
      </c>
      <c r="O241" s="121" t="str">
        <f>IF(N241&lt;&gt;"/",VLOOKUP(N241,COSTS_Valkyrie[#All],2),"/")</f>
        <v>/</v>
      </c>
      <c r="P241" s="94" t="str">
        <f>IF(N241&lt;&gt;"/",VLOOKUP(N241,COSTS_Valkyrie[#All],3),"/")</f>
        <v>/</v>
      </c>
      <c r="Q241" s="121">
        <f>IF(P$238="Error","Error",IF(O241&lt;&gt;"/",M241*O241,0))</f>
        <v>0</v>
      </c>
      <c r="R241" s="522">
        <f>IF(P$238="Error","Error",IF(P241&lt;&gt;"/",M241*P241,0))</f>
        <v>0</v>
      </c>
      <c r="S241" s="1123"/>
      <c r="T241" s="1123"/>
      <c r="U241" s="1124"/>
      <c r="V241" s="515">
        <f>VLOOKUP($A$2,AVAILABLE_Upgrades_Dark_Troops[#All],MATCH(S240,AVAILABLE_Upgrades_Dark_Troops[#Headers],0))</f>
        <v>0</v>
      </c>
      <c r="W241" s="516">
        <f>VLOOKUP(IF(ISERROR(LOOKUP(MATCH(1,Paramètres!$K$6:$K$45,0),Paramètres!$A$6:$A$45)),0,LOOKUP(MATCH(1,Paramètres!$K$6:$K$45,0),Paramètres!$A$6:$A$45)),AVAILABLE_Upgrades_Dark_Troops[#All],MATCH(S240,AVAILABLE_Upgrades_Dark_Troops[#Headers],0)+1)</f>
        <v>0</v>
      </c>
      <c r="X241" s="201"/>
      <c r="Y241" s="518">
        <f>IF(SUM(T243:T245)&gt;V241,"Error",SUM(T243:T245))</f>
        <v>0</v>
      </c>
      <c r="Z241" s="519">
        <f>IF(Y$241="Error","Error",V241-Y241)</f>
        <v>0</v>
      </c>
      <c r="AA241" s="526">
        <f>IF(Y$241="Error","Error",SUM(V243:V245))</f>
        <v>0</v>
      </c>
    </row>
    <row r="242" spans="1:84" ht="15" customHeight="1" thickBot="1" x14ac:dyDescent="0.3">
      <c r="A242" s="927">
        <v>3</v>
      </c>
      <c r="B242" s="928" t="str">
        <f>IF(Paramètres!AZ8=0,"",Paramètres!AZ8)</f>
        <v/>
      </c>
      <c r="C242" s="781">
        <f t="shared" si="127"/>
        <v>0</v>
      </c>
      <c r="D242" s="574" t="str">
        <f t="shared" si="128"/>
        <v>/</v>
      </c>
      <c r="E242" s="107" t="str">
        <f>IF(G$238="Error","Error",IF(AND($E$238&lt;&gt;"/",$E$238&gt;'Paramètres - Admin'!$A4),'Paramètres - Admin'!$A5,"/"))</f>
        <v>/</v>
      </c>
      <c r="F242" s="121" t="str">
        <f>IF(E242&lt;&gt;"/",VLOOKUP(E242,COSTS_Hog_Rider[#All],2),"/")</f>
        <v>/</v>
      </c>
      <c r="G242" s="94" t="str">
        <f>IF(E242&lt;&gt;"/",VLOOKUP(E242,COSTS_Hog_Rider[#All],3),"/")</f>
        <v>/</v>
      </c>
      <c r="H242" s="121">
        <f t="shared" si="129"/>
        <v>0</v>
      </c>
      <c r="I242" s="522">
        <f t="shared" si="130"/>
        <v>0</v>
      </c>
      <c r="J242" s="927">
        <v>3</v>
      </c>
      <c r="K242" s="928" t="str">
        <f>IF(Paramètres!BA8=0,"",Paramètres!BA8)</f>
        <v/>
      </c>
      <c r="L242" s="781">
        <f>IF(L241&lt;&gt;0,L241+IF(AND(K241&lt;&gt;"",J241&lt;N$238),K241,0),IF(AND(K241&lt;&gt;"",J241&lt;N$238),K241,0))</f>
        <v>0</v>
      </c>
      <c r="M242" s="574" t="str">
        <f>IF(N242&lt;&gt;"/",IF(P$238="Error","Error",$Q$238+L242),"/")</f>
        <v>/</v>
      </c>
      <c r="N242" s="107" t="str">
        <f>IF(P$238="Error","Error",IF(AND($N$238&lt;&gt;"/",$N$238&gt;'Paramètres - Admin'!$A4),'Paramètres - Admin'!$A5,"/"))</f>
        <v>/</v>
      </c>
      <c r="O242" s="121" t="str">
        <f>IF(N242&lt;&gt;"/",VLOOKUP(N242,COSTS_Valkyrie[#All],2),"/")</f>
        <v>/</v>
      </c>
      <c r="P242" s="94" t="str">
        <f>IF(N242&lt;&gt;"/",VLOOKUP(N242,COSTS_Valkyrie[#All],3),"/")</f>
        <v>/</v>
      </c>
      <c r="Q242" s="121">
        <f>IF(P$238="Error","Error",IF(O242&lt;&gt;"/",M242*O242,0))</f>
        <v>0</v>
      </c>
      <c r="R242" s="522">
        <f>IF(P$238="Error","Error",IF(P242&lt;&gt;"/",M242*P242,0))</f>
        <v>0</v>
      </c>
      <c r="S242" s="520" t="s">
        <v>30</v>
      </c>
      <c r="T242" s="1015" t="s">
        <v>29</v>
      </c>
      <c r="U242" s="581"/>
      <c r="V242" s="455" t="s">
        <v>29</v>
      </c>
      <c r="W242" s="456" t="s">
        <v>30</v>
      </c>
      <c r="X242" s="226" t="s">
        <v>258</v>
      </c>
      <c r="Y242" s="226" t="s">
        <v>259</v>
      </c>
      <c r="Z242" s="226" t="s">
        <v>232</v>
      </c>
      <c r="AA242" s="227" t="s">
        <v>233</v>
      </c>
    </row>
    <row r="243" spans="1:84" ht="15" customHeight="1" x14ac:dyDescent="0.25">
      <c r="A243" s="927">
        <v>4</v>
      </c>
      <c r="B243" s="928" t="str">
        <f>IF(Paramètres!AZ9=0,"",Paramètres!AZ9)</f>
        <v/>
      </c>
      <c r="C243" s="781">
        <f t="shared" si="127"/>
        <v>0</v>
      </c>
      <c r="D243" s="574" t="str">
        <f t="shared" si="128"/>
        <v>/</v>
      </c>
      <c r="E243" s="107" t="str">
        <f>IF(G$238="Error","Error",IF(AND($E$238&lt;&gt;"/",$E$238&gt;'Paramètres - Admin'!$A5),'Paramètres - Admin'!$A6,"/"))</f>
        <v>/</v>
      </c>
      <c r="F243" s="121" t="str">
        <f>IF(E243&lt;&gt;"/",VLOOKUP(E243,COSTS_Hog_Rider[#All],2),"/")</f>
        <v>/</v>
      </c>
      <c r="G243" s="94" t="str">
        <f>IF(E243&lt;&gt;"/",VLOOKUP(E243,COSTS_Hog_Rider[#All],3),"/")</f>
        <v>/</v>
      </c>
      <c r="H243" s="121">
        <f t="shared" si="129"/>
        <v>0</v>
      </c>
      <c r="I243" s="522">
        <f t="shared" si="130"/>
        <v>0</v>
      </c>
      <c r="J243" s="927">
        <v>4</v>
      </c>
      <c r="K243" s="928" t="str">
        <f>IF(Paramètres!BA9=0,"",Paramètres!BA9)</f>
        <v/>
      </c>
      <c r="L243" s="781">
        <f>IF(L242&lt;&gt;0,L242+IF(AND(K242&lt;&gt;"",J242&lt;N$238),K242,0),IF(AND(K242&lt;&gt;"",J242&lt;N$238),K242,0))</f>
        <v>0</v>
      </c>
      <c r="M243" s="574" t="str">
        <f>IF(N243&lt;&gt;"/",IF(P$238="Error","Error",$Q$238+L243),"/")</f>
        <v>/</v>
      </c>
      <c r="N243" s="107" t="str">
        <f>IF(P$238="Error","Error",IF(AND($N$238&lt;&gt;"/",$N$238&gt;'Paramètres - Admin'!$A5),'Paramètres - Admin'!$A6,"/"))</f>
        <v>/</v>
      </c>
      <c r="O243" s="121" t="str">
        <f>IF(N243&lt;&gt;"/",VLOOKUP(N243,COSTS_Valkyrie[#All],2),"/")</f>
        <v>/</v>
      </c>
      <c r="P243" s="94" t="str">
        <f>IF(N243&lt;&gt;"/",VLOOKUP(N243,COSTS_Valkyrie[#All],3),"/")</f>
        <v>/</v>
      </c>
      <c r="Q243" s="121">
        <f>IF(P$238="Error","Error",IF(O243&lt;&gt;"/",M243*O243,0))</f>
        <v>0</v>
      </c>
      <c r="R243" s="522">
        <f>IF(P$238="Error","Error",IF(P243&lt;&gt;"/",M243*P243,0))</f>
        <v>0</v>
      </c>
      <c r="S243" s="512">
        <v>1</v>
      </c>
      <c r="T243" s="926" t="str">
        <f>IF(Paramètres!BE6=0,"",Paramètres!BE6)</f>
        <v/>
      </c>
      <c r="U243" s="586">
        <f>IF(U242&lt;&gt;0,U242+IF(AND(T242&lt;&gt;"",S242&lt;W$241),T242,0),IF(AND(T242&lt;&gt;"",S242&lt;W$241),T242,0))</f>
        <v>0</v>
      </c>
      <c r="V243" s="573" t="str">
        <f>IF(W243&lt;&gt;"/",IF(Y$241="Error","Error",$Z$241+U243),"/")</f>
        <v>/</v>
      </c>
      <c r="W243" s="457" t="str">
        <f>IF($Y$241="Error","Error",IF(AND($W$241&lt;&gt;"/",$W$241&gt;'Paramètres - Admin'!$A2),'Paramètres - Admin'!$A3,"/"))</f>
        <v>/</v>
      </c>
      <c r="X243" s="118" t="str">
        <f>IF(W243&lt;&gt;"/",VLOOKUP(W243,COSTS_Bouliste[#All],2),"/")</f>
        <v>/</v>
      </c>
      <c r="Y243" s="458" t="str">
        <f>IF(W243&lt;&gt;"/",VLOOKUP(W243,COSTS_Bouliste[#All],3),"/")</f>
        <v>/</v>
      </c>
      <c r="Z243" s="118">
        <f>IF(Y$234="Error","Error",IF(X243&lt;&gt;"/",V243*X243,0))</f>
        <v>0</v>
      </c>
      <c r="AA243" s="459">
        <f>IF(Y$234="Error","Error",IF(Y243&lt;&gt;"/",V243*Y243,0))</f>
        <v>0</v>
      </c>
    </row>
    <row r="244" spans="1:84" ht="15" customHeight="1" thickBot="1" x14ac:dyDescent="0.3">
      <c r="A244" s="927">
        <v>5</v>
      </c>
      <c r="B244" s="928" t="str">
        <f>IF(Paramètres!AZ10=0,"",Paramètres!AZ10)</f>
        <v/>
      </c>
      <c r="C244" s="781">
        <f t="shared" si="127"/>
        <v>0</v>
      </c>
      <c r="D244" s="574" t="str">
        <f t="shared" si="128"/>
        <v>/</v>
      </c>
      <c r="E244" s="107" t="str">
        <f>IF(G$238="Error","Error",IF(AND($E$238&lt;&gt;"/",$E$238&gt;'Paramètres - Admin'!$A6),'Paramètres - Admin'!$A7,"/"))</f>
        <v>/</v>
      </c>
      <c r="F244" s="121" t="str">
        <f>IF(E244&lt;&gt;"/",VLOOKUP(E244,COSTS_Hog_Rider[#All],2),"/")</f>
        <v>/</v>
      </c>
      <c r="G244" s="94" t="str">
        <f>IF(E244&lt;&gt;"/",VLOOKUP(E244,COSTS_Hog_Rider[#All],3),"/")</f>
        <v>/</v>
      </c>
      <c r="H244" s="121">
        <f t="shared" si="129"/>
        <v>0</v>
      </c>
      <c r="I244" s="522">
        <f t="shared" si="130"/>
        <v>0</v>
      </c>
      <c r="J244" s="929">
        <v>5</v>
      </c>
      <c r="K244" s="930" t="str">
        <f>IF(Paramètres!BA10=0,"",Paramètres!BA10)</f>
        <v/>
      </c>
      <c r="L244" s="782">
        <f>IF(L243&lt;&gt;0,L243+IF(AND(K243&lt;&gt;"",J243&lt;N$238),K243,0),IF(AND(K243&lt;&gt;"",J243&lt;N$238),K243,0))</f>
        <v>0</v>
      </c>
      <c r="M244" s="575" t="str">
        <f>IF(N244&lt;&gt;"/",IF(P$238="Error","Error",$Q$238+L244),"/")</f>
        <v>/</v>
      </c>
      <c r="N244" s="113" t="str">
        <f>IF(P$238="Error","Error",IF(AND($N$238&lt;&gt;"/",$N$238&gt;'Paramètres - Admin'!$A6),'Paramètres - Admin'!$A7,"/"))</f>
        <v>/</v>
      </c>
      <c r="O244" s="203" t="str">
        <f>IF(N244&lt;&gt;"/",VLOOKUP(N244,COSTS_Valkyrie[#All],2),"/")</f>
        <v>/</v>
      </c>
      <c r="P244" s="112" t="str">
        <f>IF(N244&lt;&gt;"/",VLOOKUP(N244,COSTS_Valkyrie[#All],3),"/")</f>
        <v>/</v>
      </c>
      <c r="Q244" s="203">
        <f>IF(P$238="Error","Error",IF(O244&lt;&gt;"/",M244*O244,0))</f>
        <v>0</v>
      </c>
      <c r="R244" s="114">
        <f>IF(P$238="Error","Error",IF(P244&lt;&gt;"/",M244*P244,0))</f>
        <v>0</v>
      </c>
      <c r="S244" s="927">
        <v>2</v>
      </c>
      <c r="T244" s="928" t="str">
        <f>IF(Paramètres!BE7=0,"",Paramètres!BE7)</f>
        <v/>
      </c>
      <c r="U244" s="781">
        <f>IF(U243&lt;&gt;0,U243+IF(AND(T243&lt;&gt;"",S243&lt;W$234),T243,0),IF(AND(T243&lt;&gt;"",S243&lt;W$234),T243,0))</f>
        <v>0</v>
      </c>
      <c r="V244" s="574" t="str">
        <f>IF(W244&lt;&gt;"/",IF(Y$241="Error","Error",$Z$241+U244),"/")</f>
        <v>/</v>
      </c>
      <c r="W244" s="107" t="str">
        <f>IF($Y$241="Error","Error",IF(AND($W$241&lt;&gt;"/",$W$241&gt;'Paramètres - Admin'!$A3),'Paramètres - Admin'!$A4,"/"))</f>
        <v>/</v>
      </c>
      <c r="X244" s="121" t="str">
        <f>IF(W244&lt;&gt;"/",VLOOKUP(W244,COSTS_Bouliste[#All],2),"/")</f>
        <v>/</v>
      </c>
      <c r="Y244" s="94" t="str">
        <f>IF(W244&lt;&gt;"/",VLOOKUP(W244,COSTS_Bouliste[#All],3),"/")</f>
        <v>/</v>
      </c>
      <c r="Z244" s="121">
        <f>IF(Y$234="Error","Error",IF(X244&lt;&gt;"/",V244*X244,0))</f>
        <v>0</v>
      </c>
      <c r="AA244" s="522">
        <f>IF(Y$234="Error","Error",IF(Y244&lt;&gt;"/",V244*Y244,0))</f>
        <v>0</v>
      </c>
    </row>
    <row r="245" spans="1:84" ht="15" customHeight="1" thickBot="1" x14ac:dyDescent="0.3">
      <c r="A245" s="929">
        <v>6</v>
      </c>
      <c r="B245" s="930" t="str">
        <f>IF(Paramètres!AZ11=0,"",Paramètres!AZ11)</f>
        <v/>
      </c>
      <c r="C245" s="782">
        <f t="shared" si="127"/>
        <v>0</v>
      </c>
      <c r="D245" s="575" t="str">
        <f t="shared" si="128"/>
        <v>/</v>
      </c>
      <c r="E245" s="113" t="str">
        <f>IF(G$238="Error","Error",IF(AND($E$238&lt;&gt;"/",$E$238&gt;'Paramètres - Admin'!$A7),'Paramètres - Admin'!$A8,"/"))</f>
        <v>/</v>
      </c>
      <c r="F245" s="203" t="str">
        <f>IF(E245&lt;&gt;"/",VLOOKUP(E245,COSTS_Hog_Rider[#All],2),"/")</f>
        <v>/</v>
      </c>
      <c r="G245" s="112" t="str">
        <f>IF(E245&lt;&gt;"/",VLOOKUP(E245,COSTS_Hog_Rider[#All],3),"/")</f>
        <v>/</v>
      </c>
      <c r="H245" s="203">
        <f t="shared" si="129"/>
        <v>0</v>
      </c>
      <c r="I245" s="114">
        <f t="shared" si="130"/>
        <v>0</v>
      </c>
      <c r="J245" s="910"/>
      <c r="K245" s="911"/>
      <c r="L245" s="911"/>
      <c r="M245" s="911"/>
      <c r="N245" s="911"/>
      <c r="O245" s="912"/>
      <c r="P245" s="511" t="s">
        <v>31</v>
      </c>
      <c r="Q245" s="224">
        <f>IF(P$238="Error","Error",SUM(Q240:Q244))</f>
        <v>0</v>
      </c>
      <c r="R245" s="222">
        <f>IF(P$238="Error","Error",SUM(R240:R244))</f>
        <v>0</v>
      </c>
      <c r="S245" s="929">
        <v>3</v>
      </c>
      <c r="T245" s="930" t="str">
        <f>IF(Paramètres!BE8=0,"",Paramètres!BE8)</f>
        <v/>
      </c>
      <c r="U245" s="782">
        <f>IF(U244&lt;&gt;0,U244+IF(AND(T244&lt;&gt;"",S244&lt;W$234),T244,0),IF(AND(T244&lt;&gt;"",S244&lt;W$234),T244,0))</f>
        <v>0</v>
      </c>
      <c r="V245" s="575" t="str">
        <f>IF(W245&lt;&gt;"/",IF(Y$241="Error","Error",$Z$241+U245),"/")</f>
        <v>/</v>
      </c>
      <c r="W245" s="113" t="str">
        <f>IF($Y$241="Error","Error",IF(AND($W$241&lt;&gt;"/",$W$241&gt;'Paramètres - Admin'!$A4),'Paramètres - Admin'!$A5,"/"))</f>
        <v>/</v>
      </c>
      <c r="X245" s="203" t="str">
        <f>IF(W245&lt;&gt;"/",VLOOKUP(W245,COSTS_Bouliste[#All],2),"/")</f>
        <v>/</v>
      </c>
      <c r="Y245" s="112" t="str">
        <f>IF(W245&lt;&gt;"/",VLOOKUP(W245,COSTS_Bouliste[#All],3),"/")</f>
        <v>/</v>
      </c>
      <c r="Z245" s="203">
        <f>IF(Y$234="Error","Error",IF(X245&lt;&gt;"/",V245*X245,0))</f>
        <v>0</v>
      </c>
      <c r="AA245" s="114">
        <f>IF(Y$234="Error","Error",IF(Y245&lt;&gt;"/",V245*Y245,0))</f>
        <v>0</v>
      </c>
    </row>
    <row r="246" spans="1:84" ht="15" customHeight="1" thickBot="1" x14ac:dyDescent="0.3">
      <c r="A246" s="906"/>
      <c r="B246" s="571"/>
      <c r="C246" s="571"/>
      <c r="D246" s="571"/>
      <c r="E246" s="571"/>
      <c r="F246" s="572"/>
      <c r="G246" s="511" t="s">
        <v>31</v>
      </c>
      <c r="H246" s="224">
        <f>IF(G$238="Error","Error",SUM(H240:H245))</f>
        <v>0</v>
      </c>
      <c r="I246" s="222">
        <f>IF(G$238="Error","Error",SUM(I240:I245))</f>
        <v>0</v>
      </c>
      <c r="S246" s="906"/>
      <c r="T246" s="905"/>
      <c r="U246" s="905"/>
      <c r="V246" s="905"/>
      <c r="W246" s="905"/>
      <c r="X246" s="802"/>
      <c r="Y246" s="511" t="s">
        <v>31</v>
      </c>
      <c r="Z246" s="224">
        <f>IF(Y$234="Error","Error",SUM(Z243:Z245))</f>
        <v>0</v>
      </c>
      <c r="AA246" s="534">
        <f>IF(Y$234="Error","Error",SUM(AA243:AA245))</f>
        <v>0</v>
      </c>
      <c r="BV246" s="525"/>
      <c r="BW246" s="525"/>
      <c r="BX246" s="525"/>
      <c r="BY246" s="525"/>
      <c r="BZ246" s="525"/>
      <c r="CA246" s="525"/>
      <c r="CB246" s="525"/>
      <c r="CC246" s="525"/>
      <c r="CD246" s="525"/>
      <c r="CE246" s="525"/>
      <c r="CF246" s="525"/>
    </row>
    <row r="247" spans="1:84" ht="15" customHeight="1" x14ac:dyDescent="0.25">
      <c r="A247" s="128"/>
      <c r="B247" s="128"/>
      <c r="C247" s="128"/>
      <c r="D247" s="128"/>
      <c r="E247" s="128"/>
      <c r="F247" s="128"/>
    </row>
    <row r="248" spans="1:84" s="525" customFormat="1" ht="15" customHeight="1" x14ac:dyDescent="0.25">
      <c r="A248" s="129"/>
      <c r="B248" s="129"/>
      <c r="C248" s="129"/>
      <c r="D248" s="129"/>
      <c r="E248" s="129"/>
      <c r="F248" s="129"/>
      <c r="AO248" s="128"/>
      <c r="AP248" s="128"/>
      <c r="AQ248" s="128"/>
      <c r="AR248" s="128"/>
      <c r="AS248" s="128"/>
      <c r="AT248" s="128"/>
      <c r="AU248" s="128"/>
      <c r="AV248" s="128"/>
      <c r="AW248" s="128"/>
      <c r="AX248" s="128"/>
      <c r="AY248" s="128"/>
      <c r="BK248" s="128"/>
      <c r="BL248" s="128"/>
      <c r="BM248" s="128"/>
      <c r="BN248" s="128"/>
      <c r="BO248" s="128"/>
      <c r="BP248" s="128"/>
      <c r="BQ248" s="128"/>
      <c r="BR248" s="128"/>
      <c r="BS248" s="128"/>
      <c r="BT248" s="128"/>
      <c r="BU248" s="128"/>
      <c r="BV248" s="128"/>
      <c r="BW248" s="128"/>
      <c r="BX248" s="128"/>
      <c r="BY248" s="128"/>
      <c r="BZ248" s="128"/>
      <c r="CA248" s="128"/>
      <c r="CB248" s="128"/>
      <c r="CC248" s="128"/>
      <c r="CD248" s="128"/>
      <c r="CE248" s="128"/>
      <c r="CF248" s="128"/>
    </row>
    <row r="249" spans="1:84" s="525" customFormat="1" ht="19.5" customHeight="1" thickBot="1" x14ac:dyDescent="0.3">
      <c r="A249" s="1117" t="s">
        <v>178</v>
      </c>
      <c r="B249" s="1118"/>
      <c r="C249" s="1118"/>
      <c r="D249" s="1118"/>
      <c r="E249" s="1118"/>
      <c r="F249" s="1118"/>
      <c r="G249" s="1118"/>
      <c r="H249" s="1118"/>
      <c r="I249" s="1118"/>
      <c r="J249" s="1118"/>
      <c r="K249" s="1118"/>
      <c r="L249" s="1118"/>
      <c r="M249" s="1118"/>
      <c r="N249" s="1118"/>
      <c r="O249" s="1118"/>
      <c r="P249" s="1118"/>
      <c r="Q249" s="1118"/>
      <c r="R249" s="1118"/>
      <c r="S249" s="1118"/>
      <c r="T249" s="1118"/>
      <c r="U249" s="1118"/>
      <c r="V249" s="1118"/>
      <c r="W249" s="1118"/>
      <c r="X249" s="1118"/>
      <c r="Y249" s="1118"/>
      <c r="Z249" s="1118"/>
      <c r="AA249" s="1118"/>
    </row>
    <row r="250" spans="1:84" ht="15" customHeight="1" x14ac:dyDescent="0.25">
      <c r="A250" s="1119" t="s">
        <v>196</v>
      </c>
      <c r="B250" s="1120"/>
      <c r="C250" s="1121"/>
      <c r="D250" s="80" t="s">
        <v>38</v>
      </c>
      <c r="E250" s="81" t="s">
        <v>39</v>
      </c>
      <c r="F250" s="82"/>
      <c r="G250" s="512" t="s">
        <v>256</v>
      </c>
      <c r="H250" s="514" t="s">
        <v>361</v>
      </c>
      <c r="I250" s="513" t="s">
        <v>257</v>
      </c>
      <c r="J250" s="1119" t="s">
        <v>182</v>
      </c>
      <c r="K250" s="1128"/>
      <c r="L250" s="1049"/>
      <c r="M250" s="80" t="s">
        <v>38</v>
      </c>
      <c r="N250" s="81" t="s">
        <v>39</v>
      </c>
      <c r="O250" s="82"/>
      <c r="P250" s="512" t="s">
        <v>256</v>
      </c>
      <c r="Q250" s="514" t="s">
        <v>361</v>
      </c>
      <c r="R250" s="513" t="s">
        <v>257</v>
      </c>
      <c r="S250" s="1119" t="s">
        <v>738</v>
      </c>
      <c r="T250" s="1128"/>
      <c r="U250" s="1049"/>
      <c r="V250" s="512" t="s">
        <v>38</v>
      </c>
      <c r="W250" s="513" t="s">
        <v>39</v>
      </c>
      <c r="X250" s="82"/>
      <c r="Y250" s="512" t="s">
        <v>256</v>
      </c>
      <c r="Z250" s="514" t="s">
        <v>361</v>
      </c>
      <c r="AA250" s="513" t="s">
        <v>257</v>
      </c>
    </row>
    <row r="251" spans="1:84" ht="15" customHeight="1" thickBot="1" x14ac:dyDescent="0.3">
      <c r="A251" s="1122"/>
      <c r="B251" s="1123"/>
      <c r="C251" s="1124"/>
      <c r="D251" s="88">
        <f>VLOOKUP($A$2,AVAILABLE_Heroes[#All],MATCH(A250,AVAILABLE_Heroes[#Headers],0))</f>
        <v>0</v>
      </c>
      <c r="E251" s="89">
        <f>VLOOKUP($A$2,AVAILABLE_Heroes[#All],MATCH(A250,AVAILABLE_Heroes[#Headers],0)+1)</f>
        <v>0</v>
      </c>
      <c r="F251" s="201"/>
      <c r="G251" s="96">
        <f>IF(SUM(B253:B292)&gt;D251,"Error",SUM(B253:B292))</f>
        <v>0</v>
      </c>
      <c r="H251" s="97">
        <f>IF(G$251="Error","Error",D251-G251)</f>
        <v>0</v>
      </c>
      <c r="I251" s="202">
        <f>IF(G$251="Error","Error",SUM(D253:D292))</f>
        <v>0</v>
      </c>
      <c r="J251" s="1129"/>
      <c r="K251" s="1130"/>
      <c r="L251" s="1131"/>
      <c r="M251" s="88">
        <f>VLOOKUP($A$2,AVAILABLE_Heroes[#All],MATCH(J250,AVAILABLE_Heroes[#Headers],0))</f>
        <v>0</v>
      </c>
      <c r="N251" s="89">
        <f>VLOOKUP($A$2,AVAILABLE_Heroes[#All],MATCH(J250,AVAILABLE_Heroes[#Headers],0)+1)</f>
        <v>0</v>
      </c>
      <c r="O251" s="201"/>
      <c r="P251" s="96">
        <f>IF(SUM(K253:K292)&gt;M251,"Error",SUM(K253:K292))</f>
        <v>0</v>
      </c>
      <c r="Q251" s="97">
        <f>IF(P$251="Error","Error",M251-P251)</f>
        <v>0</v>
      </c>
      <c r="R251" s="202">
        <f>IF(P$251="Error","Error",SUM(M253:M292))</f>
        <v>0</v>
      </c>
      <c r="S251" s="1129"/>
      <c r="T251" s="1130"/>
      <c r="U251" s="1131"/>
      <c r="V251" s="515">
        <f>VLOOKUP($A$2,AVAILABLE_Heroes[#All],MATCH(S250,AVAILABLE_Heroes[#Headers],0))</f>
        <v>0</v>
      </c>
      <c r="W251" s="516">
        <f>VLOOKUP($A$2,AVAILABLE_Heroes[#All],MATCH(S250,AVAILABLE_Heroes[#Headers],0)+1)</f>
        <v>0</v>
      </c>
      <c r="X251" s="201"/>
      <c r="Y251" s="518">
        <f>IF(SUM(T253:T292)&gt;V251,"Error",SUM(T253:T292))</f>
        <v>0</v>
      </c>
      <c r="Z251" s="519">
        <f>IF(Y$251="Error","Error",V251-Y251)</f>
        <v>0</v>
      </c>
      <c r="AA251" s="526">
        <f>IF(Y$251="Error","Error",SUM(V253:V292))</f>
        <v>0</v>
      </c>
    </row>
    <row r="252" spans="1:84" ht="15" customHeight="1" thickBot="1" x14ac:dyDescent="0.3">
      <c r="A252" s="99" t="s">
        <v>30</v>
      </c>
      <c r="B252" s="125" t="s">
        <v>29</v>
      </c>
      <c r="C252" s="101"/>
      <c r="D252" s="216" t="s">
        <v>29</v>
      </c>
      <c r="E252" s="217" t="s">
        <v>30</v>
      </c>
      <c r="F252" s="532" t="s">
        <v>258</v>
      </c>
      <c r="G252" s="532" t="s">
        <v>259</v>
      </c>
      <c r="H252" s="532" t="s">
        <v>232</v>
      </c>
      <c r="I252" s="533" t="s">
        <v>233</v>
      </c>
      <c r="J252" s="204" t="s">
        <v>30</v>
      </c>
      <c r="K252" s="125" t="s">
        <v>29</v>
      </c>
      <c r="L252" s="101"/>
      <c r="M252" s="216" t="s">
        <v>29</v>
      </c>
      <c r="N252" s="217" t="s">
        <v>30</v>
      </c>
      <c r="O252" s="532" t="s">
        <v>258</v>
      </c>
      <c r="P252" s="532" t="s">
        <v>259</v>
      </c>
      <c r="Q252" s="532" t="s">
        <v>232</v>
      </c>
      <c r="R252" s="533" t="s">
        <v>233</v>
      </c>
      <c r="S252" s="204" t="s">
        <v>30</v>
      </c>
      <c r="T252" s="523" t="s">
        <v>29</v>
      </c>
      <c r="U252" s="521"/>
      <c r="V252" s="530" t="s">
        <v>29</v>
      </c>
      <c r="W252" s="531" t="s">
        <v>30</v>
      </c>
      <c r="X252" s="532" t="s">
        <v>258</v>
      </c>
      <c r="Y252" s="532" t="s">
        <v>259</v>
      </c>
      <c r="Z252" s="532" t="s">
        <v>232</v>
      </c>
      <c r="AA252" s="533" t="s">
        <v>233</v>
      </c>
    </row>
    <row r="253" spans="1:84" ht="15" customHeight="1" x14ac:dyDescent="0.25">
      <c r="A253" s="512">
        <v>1</v>
      </c>
      <c r="B253" s="926" t="str">
        <f>IF(Paramètres!BF6=0,"",Paramètres!BF6)</f>
        <v/>
      </c>
      <c r="C253" s="586">
        <f t="shared" ref="C253:C292" si="131">IF(C252&lt;&gt;0,C252+IF(AND(B252&lt;&gt;"",A252&lt;E$251),B252,0),IF(AND(B252&lt;&gt;"",A252&lt;E$251),B252,0))</f>
        <v>0</v>
      </c>
      <c r="D253" s="573" t="str">
        <f t="shared" ref="D253:D292" si="132">IF(E253&lt;&gt;"/",IF(G$251="Error","Error",$H$251+C253),"/")</f>
        <v>/</v>
      </c>
      <c r="E253" s="457" t="str">
        <f>IF(G$251="Error","Error",IF(AND($E$251&lt;&gt;"/",$E$251&gt;'Paramètres - Admin'!$A2),'Paramètres - Admin'!$A3,"/"))</f>
        <v>/</v>
      </c>
      <c r="F253" s="118" t="str">
        <f>IF(E253&lt;&gt;"/",VLOOKUP(E253,COSTS_Barbarian_King[#All],2),"/")</f>
        <v>/</v>
      </c>
      <c r="G253" s="458" t="str">
        <f>IF(E253&lt;&gt;"/",VLOOKUP(E253,COSTS_Barbarian_King[#All],3),"/")</f>
        <v>/</v>
      </c>
      <c r="H253" s="118">
        <f t="shared" ref="H253:H292" si="133">IF(G$251="Error","Error",IF(F253&lt;&gt;"/",D253*F253,0))</f>
        <v>0</v>
      </c>
      <c r="I253" s="459">
        <f t="shared" ref="I253:I292" si="134">IF(G$251="Error","Error",IF(G253&lt;&gt;"/",D253*G253,0))</f>
        <v>0</v>
      </c>
      <c r="J253" s="512">
        <v>1</v>
      </c>
      <c r="K253" s="926" t="str">
        <f>IF(Paramètres!BG6=0,"",Paramètres!BG6)</f>
        <v/>
      </c>
      <c r="L253" s="586">
        <f t="shared" ref="L253:L292" si="135">IF(L252&lt;&gt;0,L252+IF(AND(K252&lt;&gt;"",J252&lt;N$251),K252,0),IF(AND(K252&lt;&gt;"",J252&lt;N$251),K252,0))</f>
        <v>0</v>
      </c>
      <c r="M253" s="573" t="str">
        <f t="shared" ref="M253:M292" si="136">IF(N253&lt;&gt;"/",IF(P$251="Error","Error",$Q$251+L253),"/")</f>
        <v>/</v>
      </c>
      <c r="N253" s="457" t="str">
        <f>IF(P$251="Error","Error",IF(AND($N$251&lt;&gt;"/",$N$251&gt;'Paramètres - Admin'!$A2),'Paramètres - Admin'!$A3,"/"))</f>
        <v>/</v>
      </c>
      <c r="O253" s="118" t="str">
        <f>IF(N253&lt;&gt;"/",VLOOKUP(N253,COSTS_Archer_Queen[#All],2),"/")</f>
        <v>/</v>
      </c>
      <c r="P253" s="458" t="str">
        <f>IF(N253&lt;&gt;"/",VLOOKUP(N253,COSTS_Archer_Queen[#All],3),"/")</f>
        <v>/</v>
      </c>
      <c r="Q253" s="118">
        <f t="shared" ref="Q253:Q292" si="137">IF(P$251="Error","Error",IF(O253&lt;&gt;"/",M253*O253,0))</f>
        <v>0</v>
      </c>
      <c r="R253" s="459">
        <f t="shared" ref="R253:R292" si="138">IF(P$251="Error","Error",IF(P253&lt;&gt;"/",M253*P253,0))</f>
        <v>0</v>
      </c>
      <c r="S253" s="512">
        <v>1</v>
      </c>
      <c r="T253" s="926" t="str">
        <f>IF(Paramètres!BH6=0,"",Paramètres!BH6)</f>
        <v/>
      </c>
      <c r="U253" s="586">
        <f t="shared" ref="U253:U292" si="139">IF(U252&lt;&gt;0,U252+IF(AND(T252&lt;&gt;"",S252&lt;W$251),T252,0),IF(AND(T252&lt;&gt;"",S252&lt;W$251),T252,0))</f>
        <v>0</v>
      </c>
      <c r="V253" s="573" t="str">
        <f>IF(W253&lt;&gt;"/",IF(Y$251="Error","Error",$Z$251+U253),"/")</f>
        <v>/</v>
      </c>
      <c r="W253" s="457" t="str">
        <f>IF(Y$251="Error","Error",IF(AND($W$251&lt;&gt;"/",$W$251&gt;'Paramètres - Admin'!$A2),'Paramètres - Admin'!$A3,"/"))</f>
        <v>/</v>
      </c>
      <c r="X253" s="939" t="str">
        <f>IF(W253&lt;&gt;"/",VLOOKUP(W253,COSTS_Grand_Warden[#All],2),"/")</f>
        <v>/</v>
      </c>
      <c r="Y253" s="458" t="str">
        <f>IF(W253&lt;&gt;"/",VLOOKUP(W253,COSTS_Grand_Warden[#All],3),"/")</f>
        <v>/</v>
      </c>
      <c r="Z253" s="939">
        <f>IF(Y$251="Error","Error",IF(X253&lt;&gt;"/",V253*X253,0))</f>
        <v>0</v>
      </c>
      <c r="AA253" s="459">
        <f>IF(Y$251="Error","Error",IF(Y253&lt;&gt;"/",V253*Y253,0))</f>
        <v>0</v>
      </c>
    </row>
    <row r="254" spans="1:84" ht="15" customHeight="1" x14ac:dyDescent="0.25">
      <c r="A254" s="927">
        <v>2</v>
      </c>
      <c r="B254" s="928" t="str">
        <f>IF(Paramètres!BF7=0,"",Paramètres!BF7)</f>
        <v/>
      </c>
      <c r="C254" s="781">
        <f t="shared" si="131"/>
        <v>0</v>
      </c>
      <c r="D254" s="574" t="str">
        <f t="shared" si="132"/>
        <v>/</v>
      </c>
      <c r="E254" s="107" t="str">
        <f>IF(G$251="Error","Error",IF(AND($E$251&lt;&gt;"/",$E$251&gt;'Paramètres - Admin'!$A3),'Paramètres - Admin'!$A4,"/"))</f>
        <v>/</v>
      </c>
      <c r="F254" s="121" t="str">
        <f>IF(E254&lt;&gt;"/",VLOOKUP(E254,COSTS_Barbarian_King[#All],2),"/")</f>
        <v>/</v>
      </c>
      <c r="G254" s="94" t="str">
        <f>IF(E254&lt;&gt;"/",VLOOKUP(E254,COSTS_Barbarian_King[#All],3),"/")</f>
        <v>/</v>
      </c>
      <c r="H254" s="121">
        <f t="shared" si="133"/>
        <v>0</v>
      </c>
      <c r="I254" s="522">
        <f t="shared" si="134"/>
        <v>0</v>
      </c>
      <c r="J254" s="927">
        <v>2</v>
      </c>
      <c r="K254" s="928" t="str">
        <f>IF(Paramètres!BG7=0,"",Paramètres!BG7)</f>
        <v/>
      </c>
      <c r="L254" s="781">
        <f t="shared" si="135"/>
        <v>0</v>
      </c>
      <c r="M254" s="574" t="str">
        <f t="shared" si="136"/>
        <v>/</v>
      </c>
      <c r="N254" s="107" t="str">
        <f>IF(P$251="Error","Error",IF(AND($N$251&lt;&gt;"/",$N$251&gt;'Paramètres - Admin'!$A3),'Paramètres - Admin'!$A4,"/"))</f>
        <v>/</v>
      </c>
      <c r="O254" s="121" t="str">
        <f>IF(N254&lt;&gt;"/",VLOOKUP(N254,COSTS_Archer_Queen[#All],2),"/")</f>
        <v>/</v>
      </c>
      <c r="P254" s="94" t="str">
        <f>IF(N254&lt;&gt;"/",VLOOKUP(N254,COSTS_Archer_Queen[#All],3),"/")</f>
        <v>/</v>
      </c>
      <c r="Q254" s="121">
        <f t="shared" si="137"/>
        <v>0</v>
      </c>
      <c r="R254" s="522">
        <f t="shared" si="138"/>
        <v>0</v>
      </c>
      <c r="S254" s="927">
        <v>2</v>
      </c>
      <c r="T254" s="928" t="str">
        <f>IF(Paramètres!BH7=0,"",Paramètres!BH7)</f>
        <v/>
      </c>
      <c r="U254" s="781">
        <f t="shared" si="139"/>
        <v>0</v>
      </c>
      <c r="V254" s="574" t="str">
        <f t="shared" ref="V254:V292" si="140">IF(W254&lt;&gt;"/",IF(Y$251="Error","Error",$Z$251+U254),"/")</f>
        <v>/</v>
      </c>
      <c r="W254" s="107" t="str">
        <f>IF(Y$251="Error","Error",IF(AND($W$251&lt;&gt;"/",$W$251&gt;'Paramètres - Admin'!$A3),'Paramètres - Admin'!$A4,"/"))</f>
        <v>/</v>
      </c>
      <c r="X254" s="800" t="str">
        <f>IF(W254&lt;&gt;"/",VLOOKUP(W254,COSTS_Grand_Warden[#All],2),"/")</f>
        <v>/</v>
      </c>
      <c r="Y254" s="94" t="str">
        <f>IF(W254&lt;&gt;"/",VLOOKUP(W254,COSTS_Grand_Warden[#All],3),"/")</f>
        <v>/</v>
      </c>
      <c r="Z254" s="800">
        <f t="shared" ref="Z254:Z292" si="141">IF(Y$251="Error","Error",IF(X254&lt;&gt;"/",V254*X254,0))</f>
        <v>0</v>
      </c>
      <c r="AA254" s="522">
        <f t="shared" ref="AA254:AA292" si="142">IF(Y$251="Error","Error",IF(Y254&lt;&gt;"/",V254*Y254,0))</f>
        <v>0</v>
      </c>
    </row>
    <row r="255" spans="1:84" ht="15" customHeight="1" x14ac:dyDescent="0.25">
      <c r="A255" s="927">
        <v>3</v>
      </c>
      <c r="B255" s="928" t="str">
        <f>IF(Paramètres!BF8=0,"",Paramètres!BF8)</f>
        <v/>
      </c>
      <c r="C255" s="781">
        <f t="shared" si="131"/>
        <v>0</v>
      </c>
      <c r="D255" s="574" t="str">
        <f t="shared" si="132"/>
        <v>/</v>
      </c>
      <c r="E255" s="107" t="str">
        <f>IF(G$251="Error","Error",IF(AND($E$251&lt;&gt;"/",$E$251&gt;'Paramètres - Admin'!$A4),'Paramètres - Admin'!$A5,"/"))</f>
        <v>/</v>
      </c>
      <c r="F255" s="121" t="str">
        <f>IF(E255&lt;&gt;"/",VLOOKUP(E255,COSTS_Barbarian_King[#All],2),"/")</f>
        <v>/</v>
      </c>
      <c r="G255" s="94" t="str">
        <f>IF(E255&lt;&gt;"/",VLOOKUP(E255,COSTS_Barbarian_King[#All],3),"/")</f>
        <v>/</v>
      </c>
      <c r="H255" s="121">
        <f t="shared" si="133"/>
        <v>0</v>
      </c>
      <c r="I255" s="522">
        <f t="shared" si="134"/>
        <v>0</v>
      </c>
      <c r="J255" s="927">
        <v>3</v>
      </c>
      <c r="K255" s="928" t="str">
        <f>IF(Paramètres!BG8=0,"",Paramètres!BG8)</f>
        <v/>
      </c>
      <c r="L255" s="781">
        <f t="shared" si="135"/>
        <v>0</v>
      </c>
      <c r="M255" s="574" t="str">
        <f t="shared" si="136"/>
        <v>/</v>
      </c>
      <c r="N255" s="107" t="str">
        <f>IF(P$251="Error","Error",IF(AND($N$251&lt;&gt;"/",$N$251&gt;'Paramètres - Admin'!$A4),'Paramètres - Admin'!$A5,"/"))</f>
        <v>/</v>
      </c>
      <c r="O255" s="121" t="str">
        <f>IF(N255&lt;&gt;"/",VLOOKUP(N255,COSTS_Archer_Queen[#All],2),"/")</f>
        <v>/</v>
      </c>
      <c r="P255" s="94" t="str">
        <f>IF(N255&lt;&gt;"/",VLOOKUP(N255,COSTS_Archer_Queen[#All],3),"/")</f>
        <v>/</v>
      </c>
      <c r="Q255" s="121">
        <f t="shared" si="137"/>
        <v>0</v>
      </c>
      <c r="R255" s="522">
        <f t="shared" si="138"/>
        <v>0</v>
      </c>
      <c r="S255" s="927">
        <v>3</v>
      </c>
      <c r="T255" s="928" t="str">
        <f>IF(Paramètres!BH8=0,"",Paramètres!BH8)</f>
        <v/>
      </c>
      <c r="U255" s="781">
        <f t="shared" si="139"/>
        <v>0</v>
      </c>
      <c r="V255" s="574" t="str">
        <f t="shared" si="140"/>
        <v>/</v>
      </c>
      <c r="W255" s="107" t="str">
        <f>IF(Y$251="Error","Error",IF(AND($W$251&lt;&gt;"/",$W$251&gt;'Paramètres - Admin'!$A4),'Paramètres - Admin'!$A5,"/"))</f>
        <v>/</v>
      </c>
      <c r="X255" s="800" t="str">
        <f>IF(W255&lt;&gt;"/",VLOOKUP(W255,COSTS_Grand_Warden[#All],2),"/")</f>
        <v>/</v>
      </c>
      <c r="Y255" s="94" t="str">
        <f>IF(W255&lt;&gt;"/",VLOOKUP(W255,COSTS_Grand_Warden[#All],3),"/")</f>
        <v>/</v>
      </c>
      <c r="Z255" s="800">
        <f t="shared" si="141"/>
        <v>0</v>
      </c>
      <c r="AA255" s="522">
        <f t="shared" si="142"/>
        <v>0</v>
      </c>
    </row>
    <row r="256" spans="1:84" ht="15" customHeight="1" x14ac:dyDescent="0.25">
      <c r="A256" s="927">
        <v>4</v>
      </c>
      <c r="B256" s="928" t="str">
        <f>IF(Paramètres!BF9=0,"",Paramètres!BF9)</f>
        <v/>
      </c>
      <c r="C256" s="781">
        <f t="shared" si="131"/>
        <v>0</v>
      </c>
      <c r="D256" s="574" t="str">
        <f t="shared" si="132"/>
        <v>/</v>
      </c>
      <c r="E256" s="107" t="str">
        <f>IF(G$251="Error","Error",IF(AND($E$251&lt;&gt;"/",$E$251&gt;'Paramètres - Admin'!$A5),'Paramètres - Admin'!$A6,"/"))</f>
        <v>/</v>
      </c>
      <c r="F256" s="121" t="str">
        <f>IF(E256&lt;&gt;"/",VLOOKUP(E256,COSTS_Barbarian_King[#All],2),"/")</f>
        <v>/</v>
      </c>
      <c r="G256" s="94" t="str">
        <f>IF(E256&lt;&gt;"/",VLOOKUP(E256,COSTS_Barbarian_King[#All],3),"/")</f>
        <v>/</v>
      </c>
      <c r="H256" s="121">
        <f t="shared" si="133"/>
        <v>0</v>
      </c>
      <c r="I256" s="522">
        <f t="shared" si="134"/>
        <v>0</v>
      </c>
      <c r="J256" s="927">
        <v>4</v>
      </c>
      <c r="K256" s="928" t="str">
        <f>IF(Paramètres!BG9=0,"",Paramètres!BG9)</f>
        <v/>
      </c>
      <c r="L256" s="781">
        <f t="shared" si="135"/>
        <v>0</v>
      </c>
      <c r="M256" s="574" t="str">
        <f t="shared" si="136"/>
        <v>/</v>
      </c>
      <c r="N256" s="107" t="str">
        <f>IF(P$251="Error","Error",IF(AND($N$251&lt;&gt;"/",$N$251&gt;'Paramètres - Admin'!$A5),'Paramètres - Admin'!$A6,"/"))</f>
        <v>/</v>
      </c>
      <c r="O256" s="121" t="str">
        <f>IF(N256&lt;&gt;"/",VLOOKUP(N256,COSTS_Archer_Queen[#All],2),"/")</f>
        <v>/</v>
      </c>
      <c r="P256" s="94" t="str">
        <f>IF(N256&lt;&gt;"/",VLOOKUP(N256,COSTS_Archer_Queen[#All],3),"/")</f>
        <v>/</v>
      </c>
      <c r="Q256" s="121">
        <f t="shared" si="137"/>
        <v>0</v>
      </c>
      <c r="R256" s="522">
        <f t="shared" si="138"/>
        <v>0</v>
      </c>
      <c r="S256" s="927">
        <v>4</v>
      </c>
      <c r="T256" s="928" t="str">
        <f>IF(Paramètres!BH9=0,"",Paramètres!BH9)</f>
        <v/>
      </c>
      <c r="U256" s="781">
        <f t="shared" si="139"/>
        <v>0</v>
      </c>
      <c r="V256" s="574" t="str">
        <f t="shared" si="140"/>
        <v>/</v>
      </c>
      <c r="W256" s="107" t="str">
        <f>IF(Y$251="Error","Error",IF(AND($W$251&lt;&gt;"/",$W$251&gt;'Paramètres - Admin'!$A5),'Paramètres - Admin'!$A6,"/"))</f>
        <v>/</v>
      </c>
      <c r="X256" s="800" t="str">
        <f>IF(W256&lt;&gt;"/",VLOOKUP(W256,COSTS_Grand_Warden[#All],2),"/")</f>
        <v>/</v>
      </c>
      <c r="Y256" s="94" t="str">
        <f>IF(W256&lt;&gt;"/",VLOOKUP(W256,COSTS_Grand_Warden[#All],3),"/")</f>
        <v>/</v>
      </c>
      <c r="Z256" s="800">
        <f t="shared" si="141"/>
        <v>0</v>
      </c>
      <c r="AA256" s="522">
        <f t="shared" si="142"/>
        <v>0</v>
      </c>
    </row>
    <row r="257" spans="1:27" ht="15" customHeight="1" x14ac:dyDescent="0.25">
      <c r="A257" s="927">
        <v>5</v>
      </c>
      <c r="B257" s="928" t="str">
        <f>IF(Paramètres!BF10=0,"",Paramètres!BF10)</f>
        <v/>
      </c>
      <c r="C257" s="781">
        <f t="shared" si="131"/>
        <v>0</v>
      </c>
      <c r="D257" s="574" t="str">
        <f t="shared" si="132"/>
        <v>/</v>
      </c>
      <c r="E257" s="107" t="str">
        <f>IF(G$251="Error","Error",IF(AND($E$251&lt;&gt;"/",$E$251&gt;'Paramètres - Admin'!$A6),'Paramètres - Admin'!$A7,"/"))</f>
        <v>/</v>
      </c>
      <c r="F257" s="121" t="str">
        <f>IF(E257&lt;&gt;"/",VLOOKUP(E257,COSTS_Barbarian_King[#All],2),"/")</f>
        <v>/</v>
      </c>
      <c r="G257" s="94" t="str">
        <f>IF(E257&lt;&gt;"/",VLOOKUP(E257,COSTS_Barbarian_King[#All],3),"/")</f>
        <v>/</v>
      </c>
      <c r="H257" s="121">
        <f t="shared" si="133"/>
        <v>0</v>
      </c>
      <c r="I257" s="522">
        <f t="shared" si="134"/>
        <v>0</v>
      </c>
      <c r="J257" s="927">
        <v>5</v>
      </c>
      <c r="K257" s="928" t="str">
        <f>IF(Paramètres!BG10=0,"",Paramètres!BG10)</f>
        <v/>
      </c>
      <c r="L257" s="781">
        <f t="shared" si="135"/>
        <v>0</v>
      </c>
      <c r="M257" s="574" t="str">
        <f t="shared" si="136"/>
        <v>/</v>
      </c>
      <c r="N257" s="107" t="str">
        <f>IF(P$251="Error","Error",IF(AND($N$251&lt;&gt;"/",$N$251&gt;'Paramètres - Admin'!$A6),'Paramètres - Admin'!$A7,"/"))</f>
        <v>/</v>
      </c>
      <c r="O257" s="121" t="str">
        <f>IF(N257&lt;&gt;"/",VLOOKUP(N257,COSTS_Archer_Queen[#All],2),"/")</f>
        <v>/</v>
      </c>
      <c r="P257" s="94" t="str">
        <f>IF(N257&lt;&gt;"/",VLOOKUP(N257,COSTS_Archer_Queen[#All],3),"/")</f>
        <v>/</v>
      </c>
      <c r="Q257" s="121">
        <f t="shared" si="137"/>
        <v>0</v>
      </c>
      <c r="R257" s="522">
        <f t="shared" si="138"/>
        <v>0</v>
      </c>
      <c r="S257" s="927">
        <v>5</v>
      </c>
      <c r="T257" s="928" t="str">
        <f>IF(Paramètres!BH10=0,"",Paramètres!BH10)</f>
        <v/>
      </c>
      <c r="U257" s="781">
        <f t="shared" si="139"/>
        <v>0</v>
      </c>
      <c r="V257" s="574" t="str">
        <f t="shared" si="140"/>
        <v>/</v>
      </c>
      <c r="W257" s="107" t="str">
        <f>IF(Y$251="Error","Error",IF(AND($W$251&lt;&gt;"/",$W$251&gt;'Paramètres - Admin'!$A6),'Paramètres - Admin'!$A7,"/"))</f>
        <v>/</v>
      </c>
      <c r="X257" s="800" t="str">
        <f>IF(W257&lt;&gt;"/",VLOOKUP(W257,COSTS_Grand_Warden[#All],2),"/")</f>
        <v>/</v>
      </c>
      <c r="Y257" s="94" t="str">
        <f>IF(W257&lt;&gt;"/",VLOOKUP(W257,COSTS_Grand_Warden[#All],3),"/")</f>
        <v>/</v>
      </c>
      <c r="Z257" s="800">
        <f t="shared" si="141"/>
        <v>0</v>
      </c>
      <c r="AA257" s="522">
        <f t="shared" si="142"/>
        <v>0</v>
      </c>
    </row>
    <row r="258" spans="1:27" ht="15" customHeight="1" x14ac:dyDescent="0.25">
      <c r="A258" s="927">
        <v>6</v>
      </c>
      <c r="B258" s="928" t="str">
        <f>IF(Paramètres!BF11=0,"",Paramètres!BF11)</f>
        <v/>
      </c>
      <c r="C258" s="781">
        <f t="shared" si="131"/>
        <v>0</v>
      </c>
      <c r="D258" s="574" t="str">
        <f t="shared" si="132"/>
        <v>/</v>
      </c>
      <c r="E258" s="107" t="str">
        <f>IF(G$251="Error","Error",IF(AND($E$251&lt;&gt;"/",$E$251&gt;'Paramètres - Admin'!$A7),'Paramètres - Admin'!$A8,"/"))</f>
        <v>/</v>
      </c>
      <c r="F258" s="121" t="str">
        <f>IF(E258&lt;&gt;"/",VLOOKUP(E258,COSTS_Barbarian_King[#All],2),"/")</f>
        <v>/</v>
      </c>
      <c r="G258" s="94" t="str">
        <f>IF(E258&lt;&gt;"/",VLOOKUP(E258,COSTS_Barbarian_King[#All],3),"/")</f>
        <v>/</v>
      </c>
      <c r="H258" s="121">
        <f t="shared" si="133"/>
        <v>0</v>
      </c>
      <c r="I258" s="522">
        <f t="shared" si="134"/>
        <v>0</v>
      </c>
      <c r="J258" s="927">
        <v>6</v>
      </c>
      <c r="K258" s="928" t="str">
        <f>IF(Paramètres!BG11=0,"",Paramètres!BG11)</f>
        <v/>
      </c>
      <c r="L258" s="781">
        <f t="shared" si="135"/>
        <v>0</v>
      </c>
      <c r="M258" s="574" t="str">
        <f t="shared" si="136"/>
        <v>/</v>
      </c>
      <c r="N258" s="107" t="str">
        <f>IF(P$251="Error","Error",IF(AND($N$251&lt;&gt;"/",$N$251&gt;'Paramètres - Admin'!$A7),'Paramètres - Admin'!$A8,"/"))</f>
        <v>/</v>
      </c>
      <c r="O258" s="121" t="str">
        <f>IF(N258&lt;&gt;"/",VLOOKUP(N258,COSTS_Archer_Queen[#All],2),"/")</f>
        <v>/</v>
      </c>
      <c r="P258" s="94" t="str">
        <f>IF(N258&lt;&gt;"/",VLOOKUP(N258,COSTS_Archer_Queen[#All],3),"/")</f>
        <v>/</v>
      </c>
      <c r="Q258" s="121">
        <f t="shared" si="137"/>
        <v>0</v>
      </c>
      <c r="R258" s="522">
        <f t="shared" si="138"/>
        <v>0</v>
      </c>
      <c r="S258" s="927">
        <v>6</v>
      </c>
      <c r="T258" s="928" t="str">
        <f>IF(Paramètres!BH11=0,"",Paramètres!BH11)</f>
        <v/>
      </c>
      <c r="U258" s="781">
        <f t="shared" si="139"/>
        <v>0</v>
      </c>
      <c r="V258" s="574" t="str">
        <f t="shared" si="140"/>
        <v>/</v>
      </c>
      <c r="W258" s="107" t="str">
        <f>IF(Y$251="Error","Error",IF(AND($W$251&lt;&gt;"/",$W$251&gt;'Paramètres - Admin'!$A7),'Paramètres - Admin'!$A8,"/"))</f>
        <v>/</v>
      </c>
      <c r="X258" s="800" t="str">
        <f>IF(W258&lt;&gt;"/",VLOOKUP(W258,COSTS_Grand_Warden[#All],2),"/")</f>
        <v>/</v>
      </c>
      <c r="Y258" s="94" t="str">
        <f>IF(W258&lt;&gt;"/",VLOOKUP(W258,COSTS_Grand_Warden[#All],3),"/")</f>
        <v>/</v>
      </c>
      <c r="Z258" s="800">
        <f t="shared" si="141"/>
        <v>0</v>
      </c>
      <c r="AA258" s="522">
        <f t="shared" si="142"/>
        <v>0</v>
      </c>
    </row>
    <row r="259" spans="1:27" ht="15" customHeight="1" x14ac:dyDescent="0.25">
      <c r="A259" s="927">
        <v>7</v>
      </c>
      <c r="B259" s="928" t="str">
        <f>IF(Paramètres!BF12=0,"",Paramètres!BF12)</f>
        <v/>
      </c>
      <c r="C259" s="781">
        <f t="shared" si="131"/>
        <v>0</v>
      </c>
      <c r="D259" s="574" t="str">
        <f t="shared" si="132"/>
        <v>/</v>
      </c>
      <c r="E259" s="107" t="str">
        <f>IF(G$251="Error","Error",IF(AND($E$251&lt;&gt;"/",$E$251&gt;'Paramètres - Admin'!$A8),'Paramètres - Admin'!$A9,"/"))</f>
        <v>/</v>
      </c>
      <c r="F259" s="121" t="str">
        <f>IF(E259&lt;&gt;"/",VLOOKUP(E259,COSTS_Barbarian_King[#All],2),"/")</f>
        <v>/</v>
      </c>
      <c r="G259" s="94" t="str">
        <f>IF(E259&lt;&gt;"/",VLOOKUP(E259,COSTS_Barbarian_King[#All],3),"/")</f>
        <v>/</v>
      </c>
      <c r="H259" s="121">
        <f t="shared" si="133"/>
        <v>0</v>
      </c>
      <c r="I259" s="522">
        <f t="shared" si="134"/>
        <v>0</v>
      </c>
      <c r="J259" s="927">
        <v>7</v>
      </c>
      <c r="K259" s="928" t="str">
        <f>IF(Paramètres!BG12=0,"",Paramètres!BG12)</f>
        <v/>
      </c>
      <c r="L259" s="781">
        <f t="shared" si="135"/>
        <v>0</v>
      </c>
      <c r="M259" s="574" t="str">
        <f t="shared" si="136"/>
        <v>/</v>
      </c>
      <c r="N259" s="107" t="str">
        <f>IF(P$251="Error","Error",IF(AND($N$251&lt;&gt;"/",$N$251&gt;'Paramètres - Admin'!$A8),'Paramètres - Admin'!$A9,"/"))</f>
        <v>/</v>
      </c>
      <c r="O259" s="121" t="str">
        <f>IF(N259&lt;&gt;"/",VLOOKUP(N259,COSTS_Archer_Queen[#All],2),"/")</f>
        <v>/</v>
      </c>
      <c r="P259" s="94" t="str">
        <f>IF(N259&lt;&gt;"/",VLOOKUP(N259,COSTS_Archer_Queen[#All],3),"/")</f>
        <v>/</v>
      </c>
      <c r="Q259" s="121">
        <f t="shared" si="137"/>
        <v>0</v>
      </c>
      <c r="R259" s="522">
        <f t="shared" si="138"/>
        <v>0</v>
      </c>
      <c r="S259" s="927">
        <v>7</v>
      </c>
      <c r="T259" s="928" t="str">
        <f>IF(Paramètres!BH12=0,"",Paramètres!BH12)</f>
        <v/>
      </c>
      <c r="U259" s="781">
        <f t="shared" si="139"/>
        <v>0</v>
      </c>
      <c r="V259" s="574" t="str">
        <f t="shared" si="140"/>
        <v>/</v>
      </c>
      <c r="W259" s="107" t="str">
        <f>IF(Y$251="Error","Error",IF(AND($W$251&lt;&gt;"/",$W$251&gt;'Paramètres - Admin'!$A8),'Paramètres - Admin'!$A9,"/"))</f>
        <v>/</v>
      </c>
      <c r="X259" s="800" t="str">
        <f>IF(W259&lt;&gt;"/",VLOOKUP(W259,COSTS_Grand_Warden[#All],2),"/")</f>
        <v>/</v>
      </c>
      <c r="Y259" s="94" t="str">
        <f>IF(W259&lt;&gt;"/",VLOOKUP(W259,COSTS_Grand_Warden[#All],3),"/")</f>
        <v>/</v>
      </c>
      <c r="Z259" s="800">
        <f t="shared" si="141"/>
        <v>0</v>
      </c>
      <c r="AA259" s="522">
        <f t="shared" si="142"/>
        <v>0</v>
      </c>
    </row>
    <row r="260" spans="1:27" ht="15" customHeight="1" x14ac:dyDescent="0.25">
      <c r="A260" s="927">
        <v>8</v>
      </c>
      <c r="B260" s="928" t="str">
        <f>IF(Paramètres!BF13=0,"",Paramètres!BF13)</f>
        <v/>
      </c>
      <c r="C260" s="781">
        <f t="shared" si="131"/>
        <v>0</v>
      </c>
      <c r="D260" s="574" t="str">
        <f t="shared" si="132"/>
        <v>/</v>
      </c>
      <c r="E260" s="107" t="str">
        <f>IF(G$251="Error","Error",IF(AND($E$251&lt;&gt;"/",$E$251&gt;'Paramètres - Admin'!$A9),'Paramètres - Admin'!$A10,"/"))</f>
        <v>/</v>
      </c>
      <c r="F260" s="121" t="str">
        <f>IF(E260&lt;&gt;"/",VLOOKUP(E260,COSTS_Barbarian_King[#All],2),"/")</f>
        <v>/</v>
      </c>
      <c r="G260" s="94" t="str">
        <f>IF(E260&lt;&gt;"/",VLOOKUP(E260,COSTS_Barbarian_King[#All],3),"/")</f>
        <v>/</v>
      </c>
      <c r="H260" s="121">
        <f t="shared" si="133"/>
        <v>0</v>
      </c>
      <c r="I260" s="522">
        <f t="shared" si="134"/>
        <v>0</v>
      </c>
      <c r="J260" s="927">
        <v>8</v>
      </c>
      <c r="K260" s="928" t="str">
        <f>IF(Paramètres!BG13=0,"",Paramètres!BG13)</f>
        <v/>
      </c>
      <c r="L260" s="781">
        <f t="shared" si="135"/>
        <v>0</v>
      </c>
      <c r="M260" s="574" t="str">
        <f t="shared" si="136"/>
        <v>/</v>
      </c>
      <c r="N260" s="107" t="str">
        <f>IF(P$251="Error","Error",IF(AND($N$251&lt;&gt;"/",$N$251&gt;'Paramètres - Admin'!$A9),'Paramètres - Admin'!$A10,"/"))</f>
        <v>/</v>
      </c>
      <c r="O260" s="121" t="str">
        <f>IF(N260&lt;&gt;"/",VLOOKUP(N260,COSTS_Archer_Queen[#All],2),"/")</f>
        <v>/</v>
      </c>
      <c r="P260" s="94" t="str">
        <f>IF(N260&lt;&gt;"/",VLOOKUP(N260,COSTS_Archer_Queen[#All],3),"/")</f>
        <v>/</v>
      </c>
      <c r="Q260" s="121">
        <f t="shared" si="137"/>
        <v>0</v>
      </c>
      <c r="R260" s="522">
        <f t="shared" si="138"/>
        <v>0</v>
      </c>
      <c r="S260" s="927">
        <v>8</v>
      </c>
      <c r="T260" s="928" t="str">
        <f>IF(Paramètres!BH13=0,"",Paramètres!BH13)</f>
        <v/>
      </c>
      <c r="U260" s="781">
        <f t="shared" si="139"/>
        <v>0</v>
      </c>
      <c r="V260" s="574" t="str">
        <f t="shared" si="140"/>
        <v>/</v>
      </c>
      <c r="W260" s="107" t="str">
        <f>IF(Y$251="Error","Error",IF(AND($W$251&lt;&gt;"/",$W$251&gt;'Paramètres - Admin'!$A9),'Paramètres - Admin'!$A10,"/"))</f>
        <v>/</v>
      </c>
      <c r="X260" s="800" t="str">
        <f>IF(W260&lt;&gt;"/",VLOOKUP(W260,COSTS_Grand_Warden[#All],2),"/")</f>
        <v>/</v>
      </c>
      <c r="Y260" s="94" t="str">
        <f>IF(W260&lt;&gt;"/",VLOOKUP(W260,COSTS_Grand_Warden[#All],3),"/")</f>
        <v>/</v>
      </c>
      <c r="Z260" s="800">
        <f t="shared" si="141"/>
        <v>0</v>
      </c>
      <c r="AA260" s="522">
        <f t="shared" si="142"/>
        <v>0</v>
      </c>
    </row>
    <row r="261" spans="1:27" ht="15" customHeight="1" x14ac:dyDescent="0.25">
      <c r="A261" s="927">
        <v>9</v>
      </c>
      <c r="B261" s="928" t="str">
        <f>IF(Paramètres!BF14=0,"",Paramètres!BF14)</f>
        <v/>
      </c>
      <c r="C261" s="781">
        <f t="shared" si="131"/>
        <v>0</v>
      </c>
      <c r="D261" s="574" t="str">
        <f t="shared" si="132"/>
        <v>/</v>
      </c>
      <c r="E261" s="107" t="str">
        <f>IF(G$251="Error","Error",IF(AND($E$251&lt;&gt;"/",$E$251&gt;'Paramètres - Admin'!$A10),'Paramètres - Admin'!$A11,"/"))</f>
        <v>/</v>
      </c>
      <c r="F261" s="121" t="str">
        <f>IF(E261&lt;&gt;"/",VLOOKUP(E261,COSTS_Barbarian_King[#All],2),"/")</f>
        <v>/</v>
      </c>
      <c r="G261" s="94" t="str">
        <f>IF(E261&lt;&gt;"/",VLOOKUP(E261,COSTS_Barbarian_King[#All],3),"/")</f>
        <v>/</v>
      </c>
      <c r="H261" s="121">
        <f t="shared" si="133"/>
        <v>0</v>
      </c>
      <c r="I261" s="522">
        <f t="shared" si="134"/>
        <v>0</v>
      </c>
      <c r="J261" s="927">
        <v>9</v>
      </c>
      <c r="K261" s="928" t="str">
        <f>IF(Paramètres!BG14=0,"",Paramètres!BG14)</f>
        <v/>
      </c>
      <c r="L261" s="781">
        <f t="shared" si="135"/>
        <v>0</v>
      </c>
      <c r="M261" s="574" t="str">
        <f t="shared" si="136"/>
        <v>/</v>
      </c>
      <c r="N261" s="107" t="str">
        <f>IF(P$251="Error","Error",IF(AND($N$251&lt;&gt;"/",$N$251&gt;'Paramètres - Admin'!$A10),'Paramètres - Admin'!$A11,"/"))</f>
        <v>/</v>
      </c>
      <c r="O261" s="121" t="str">
        <f>IF(N261&lt;&gt;"/",VLOOKUP(N261,COSTS_Archer_Queen[#All],2),"/")</f>
        <v>/</v>
      </c>
      <c r="P261" s="94" t="str">
        <f>IF(N261&lt;&gt;"/",VLOOKUP(N261,COSTS_Archer_Queen[#All],3),"/")</f>
        <v>/</v>
      </c>
      <c r="Q261" s="121">
        <f t="shared" si="137"/>
        <v>0</v>
      </c>
      <c r="R261" s="522">
        <f t="shared" si="138"/>
        <v>0</v>
      </c>
      <c r="S261" s="927">
        <v>9</v>
      </c>
      <c r="T261" s="928" t="str">
        <f>IF(Paramètres!BH14=0,"",Paramètres!BH14)</f>
        <v/>
      </c>
      <c r="U261" s="781">
        <f t="shared" si="139"/>
        <v>0</v>
      </c>
      <c r="V261" s="574" t="str">
        <f t="shared" si="140"/>
        <v>/</v>
      </c>
      <c r="W261" s="107" t="str">
        <f>IF(Y$251="Error","Error",IF(AND($W$251&lt;&gt;"/",$W$251&gt;'Paramètres - Admin'!$A10),'Paramètres - Admin'!$A11,"/"))</f>
        <v>/</v>
      </c>
      <c r="X261" s="800" t="str">
        <f>IF(W261&lt;&gt;"/",VLOOKUP(W261,COSTS_Grand_Warden[#All],2),"/")</f>
        <v>/</v>
      </c>
      <c r="Y261" s="94" t="str">
        <f>IF(W261&lt;&gt;"/",VLOOKUP(W261,COSTS_Grand_Warden[#All],3),"/")</f>
        <v>/</v>
      </c>
      <c r="Z261" s="800">
        <f t="shared" si="141"/>
        <v>0</v>
      </c>
      <c r="AA261" s="522">
        <f t="shared" si="142"/>
        <v>0</v>
      </c>
    </row>
    <row r="262" spans="1:27" ht="15" customHeight="1" x14ac:dyDescent="0.25">
      <c r="A262" s="927">
        <v>10</v>
      </c>
      <c r="B262" s="928" t="str">
        <f>IF(Paramètres!BF15=0,"",Paramètres!BF15)</f>
        <v/>
      </c>
      <c r="C262" s="781">
        <f t="shared" si="131"/>
        <v>0</v>
      </c>
      <c r="D262" s="574" t="str">
        <f t="shared" si="132"/>
        <v>/</v>
      </c>
      <c r="E262" s="107" t="str">
        <f>IF(G$251="Error","Error",IF(AND($E$251&lt;&gt;"/",$E$251&gt;'Paramètres - Admin'!$A11),'Paramètres - Admin'!$A12,"/"))</f>
        <v>/</v>
      </c>
      <c r="F262" s="121" t="str">
        <f>IF(E262&lt;&gt;"/",VLOOKUP(E262,COSTS_Barbarian_King[#All],2),"/")</f>
        <v>/</v>
      </c>
      <c r="G262" s="94" t="str">
        <f>IF(E262&lt;&gt;"/",VLOOKUP(E262,COSTS_Barbarian_King[#All],3),"/")</f>
        <v>/</v>
      </c>
      <c r="H262" s="121">
        <f t="shared" si="133"/>
        <v>0</v>
      </c>
      <c r="I262" s="522">
        <f t="shared" si="134"/>
        <v>0</v>
      </c>
      <c r="J262" s="927">
        <v>10</v>
      </c>
      <c r="K262" s="928" t="str">
        <f>IF(Paramètres!BG15=0,"",Paramètres!BG15)</f>
        <v/>
      </c>
      <c r="L262" s="781">
        <f t="shared" si="135"/>
        <v>0</v>
      </c>
      <c r="M262" s="574" t="str">
        <f t="shared" si="136"/>
        <v>/</v>
      </c>
      <c r="N262" s="107" t="str">
        <f>IF(P$251="Error","Error",IF(AND($N$251&lt;&gt;"/",$N$251&gt;'Paramètres - Admin'!$A11),'Paramètres - Admin'!$A12,"/"))</f>
        <v>/</v>
      </c>
      <c r="O262" s="121" t="str">
        <f>IF(N262&lt;&gt;"/",VLOOKUP(N262,COSTS_Archer_Queen[#All],2),"/")</f>
        <v>/</v>
      </c>
      <c r="P262" s="94" t="str">
        <f>IF(N262&lt;&gt;"/",VLOOKUP(N262,COSTS_Archer_Queen[#All],3),"/")</f>
        <v>/</v>
      </c>
      <c r="Q262" s="121">
        <f t="shared" si="137"/>
        <v>0</v>
      </c>
      <c r="R262" s="522">
        <f t="shared" si="138"/>
        <v>0</v>
      </c>
      <c r="S262" s="927">
        <v>10</v>
      </c>
      <c r="T262" s="928" t="str">
        <f>IF(Paramètres!BH15=0,"",Paramètres!BH15)</f>
        <v/>
      </c>
      <c r="U262" s="781">
        <f t="shared" si="139"/>
        <v>0</v>
      </c>
      <c r="V262" s="574" t="str">
        <f t="shared" si="140"/>
        <v>/</v>
      </c>
      <c r="W262" s="107" t="str">
        <f>IF(Y$251="Error","Error",IF(AND($W$251&lt;&gt;"/",$W$251&gt;'Paramètres - Admin'!$A11),'Paramètres - Admin'!$A12,"/"))</f>
        <v>/</v>
      </c>
      <c r="X262" s="800" t="str">
        <f>IF(W262&lt;&gt;"/",VLOOKUP(W262,COSTS_Grand_Warden[#All],2),"/")</f>
        <v>/</v>
      </c>
      <c r="Y262" s="94" t="str">
        <f>IF(W262&lt;&gt;"/",VLOOKUP(W262,COSTS_Grand_Warden[#All],3),"/")</f>
        <v>/</v>
      </c>
      <c r="Z262" s="800">
        <f t="shared" si="141"/>
        <v>0</v>
      </c>
      <c r="AA262" s="522">
        <f t="shared" si="142"/>
        <v>0</v>
      </c>
    </row>
    <row r="263" spans="1:27" ht="15" customHeight="1" x14ac:dyDescent="0.25">
      <c r="A263" s="927">
        <v>11</v>
      </c>
      <c r="B263" s="928" t="str">
        <f>IF(Paramètres!BF16=0,"",Paramètres!BF16)</f>
        <v/>
      </c>
      <c r="C263" s="781">
        <f t="shared" si="131"/>
        <v>0</v>
      </c>
      <c r="D263" s="574" t="str">
        <f t="shared" si="132"/>
        <v>/</v>
      </c>
      <c r="E263" s="107" t="str">
        <f>IF(G$251="Error","Error",IF(AND($E$251&lt;&gt;"/",$E$251&gt;'Paramètres - Admin'!$A12),'Paramètres - Admin'!$A13,"/"))</f>
        <v>/</v>
      </c>
      <c r="F263" s="121" t="str">
        <f>IF(E263&lt;&gt;"/",VLOOKUP(E263,COSTS_Barbarian_King[#All],2),"/")</f>
        <v>/</v>
      </c>
      <c r="G263" s="94" t="str">
        <f>IF(E263&lt;&gt;"/",VLOOKUP(E263,COSTS_Barbarian_King[#All],3),"/")</f>
        <v>/</v>
      </c>
      <c r="H263" s="121">
        <f t="shared" si="133"/>
        <v>0</v>
      </c>
      <c r="I263" s="522">
        <f t="shared" si="134"/>
        <v>0</v>
      </c>
      <c r="J263" s="927">
        <v>11</v>
      </c>
      <c r="K263" s="928" t="str">
        <f>IF(Paramètres!BG16=0,"",Paramètres!BG16)</f>
        <v/>
      </c>
      <c r="L263" s="781">
        <f t="shared" si="135"/>
        <v>0</v>
      </c>
      <c r="M263" s="574" t="str">
        <f t="shared" si="136"/>
        <v>/</v>
      </c>
      <c r="N263" s="107" t="str">
        <f>IF(P$251="Error","Error",IF(AND($N$251&lt;&gt;"/",$N$251&gt;'Paramètres - Admin'!$A12),'Paramètres - Admin'!$A13,"/"))</f>
        <v>/</v>
      </c>
      <c r="O263" s="121" t="str">
        <f>IF(N263&lt;&gt;"/",VLOOKUP(N263,COSTS_Archer_Queen[#All],2),"/")</f>
        <v>/</v>
      </c>
      <c r="P263" s="94" t="str">
        <f>IF(N263&lt;&gt;"/",VLOOKUP(N263,COSTS_Archer_Queen[#All],3),"/")</f>
        <v>/</v>
      </c>
      <c r="Q263" s="121">
        <f t="shared" si="137"/>
        <v>0</v>
      </c>
      <c r="R263" s="522">
        <f t="shared" si="138"/>
        <v>0</v>
      </c>
      <c r="S263" s="927">
        <v>11</v>
      </c>
      <c r="T263" s="928" t="str">
        <f>IF(Paramètres!BH16=0,"",Paramètres!BH16)</f>
        <v/>
      </c>
      <c r="U263" s="781">
        <f t="shared" si="139"/>
        <v>0</v>
      </c>
      <c r="V263" s="574" t="str">
        <f t="shared" si="140"/>
        <v>/</v>
      </c>
      <c r="W263" s="107" t="str">
        <f>IF(Y$251="Error","Error",IF(AND($W$251&lt;&gt;"/",$W$251&gt;'Paramètres - Admin'!$A12),'Paramètres - Admin'!$A13,"/"))</f>
        <v>/</v>
      </c>
      <c r="X263" s="800" t="str">
        <f>IF(W263&lt;&gt;"/",VLOOKUP(W263,COSTS_Grand_Warden[#All],2),"/")</f>
        <v>/</v>
      </c>
      <c r="Y263" s="94" t="str">
        <f>IF(W263&lt;&gt;"/",VLOOKUP(W263,COSTS_Grand_Warden[#All],3),"/")</f>
        <v>/</v>
      </c>
      <c r="Z263" s="800">
        <f t="shared" si="141"/>
        <v>0</v>
      </c>
      <c r="AA263" s="522">
        <f t="shared" si="142"/>
        <v>0</v>
      </c>
    </row>
    <row r="264" spans="1:27" ht="15" customHeight="1" x14ac:dyDescent="0.25">
      <c r="A264" s="927">
        <v>12</v>
      </c>
      <c r="B264" s="928" t="str">
        <f>IF(Paramètres!BF17=0,"",Paramètres!BF17)</f>
        <v/>
      </c>
      <c r="C264" s="781">
        <f t="shared" si="131"/>
        <v>0</v>
      </c>
      <c r="D264" s="574" t="str">
        <f t="shared" si="132"/>
        <v>/</v>
      </c>
      <c r="E264" s="107" t="str">
        <f>IF(G$251="Error","Error",IF(AND($E$251&lt;&gt;"/",$E$251&gt;'Paramètres - Admin'!$A13),'Paramètres - Admin'!$A14,"/"))</f>
        <v>/</v>
      </c>
      <c r="F264" s="121" t="str">
        <f>IF(E264&lt;&gt;"/",VLOOKUP(E264,COSTS_Barbarian_King[#All],2),"/")</f>
        <v>/</v>
      </c>
      <c r="G264" s="94" t="str">
        <f>IF(E264&lt;&gt;"/",VLOOKUP(E264,COSTS_Barbarian_King[#All],3),"/")</f>
        <v>/</v>
      </c>
      <c r="H264" s="121">
        <f t="shared" si="133"/>
        <v>0</v>
      </c>
      <c r="I264" s="522">
        <f t="shared" si="134"/>
        <v>0</v>
      </c>
      <c r="J264" s="927">
        <v>12</v>
      </c>
      <c r="K264" s="928" t="str">
        <f>IF(Paramètres!BG17=0,"",Paramètres!BG17)</f>
        <v/>
      </c>
      <c r="L264" s="781">
        <f t="shared" si="135"/>
        <v>0</v>
      </c>
      <c r="M264" s="574" t="str">
        <f t="shared" si="136"/>
        <v>/</v>
      </c>
      <c r="N264" s="107" t="str">
        <f>IF(P$251="Error","Error",IF(AND($N$251&lt;&gt;"/",$N$251&gt;'Paramètres - Admin'!$A13),'Paramètres - Admin'!$A14,"/"))</f>
        <v>/</v>
      </c>
      <c r="O264" s="121" t="str">
        <f>IF(N264&lt;&gt;"/",VLOOKUP(N264,COSTS_Archer_Queen[#All],2),"/")</f>
        <v>/</v>
      </c>
      <c r="P264" s="94" t="str">
        <f>IF(N264&lt;&gt;"/",VLOOKUP(N264,COSTS_Archer_Queen[#All],3),"/")</f>
        <v>/</v>
      </c>
      <c r="Q264" s="121">
        <f t="shared" si="137"/>
        <v>0</v>
      </c>
      <c r="R264" s="522">
        <f t="shared" si="138"/>
        <v>0</v>
      </c>
      <c r="S264" s="927">
        <v>12</v>
      </c>
      <c r="T264" s="928" t="str">
        <f>IF(Paramètres!BH17=0,"",Paramètres!BH17)</f>
        <v/>
      </c>
      <c r="U264" s="781">
        <f t="shared" si="139"/>
        <v>0</v>
      </c>
      <c r="V264" s="574" t="str">
        <f t="shared" si="140"/>
        <v>/</v>
      </c>
      <c r="W264" s="107" t="str">
        <f>IF(Y$251="Error","Error",IF(AND($W$251&lt;&gt;"/",$W$251&gt;'Paramètres - Admin'!$A13),'Paramètres - Admin'!$A14,"/"))</f>
        <v>/</v>
      </c>
      <c r="X264" s="800" t="str">
        <f>IF(W264&lt;&gt;"/",VLOOKUP(W264,COSTS_Grand_Warden[#All],2),"/")</f>
        <v>/</v>
      </c>
      <c r="Y264" s="94" t="str">
        <f>IF(W264&lt;&gt;"/",VLOOKUP(W264,COSTS_Grand_Warden[#All],3),"/")</f>
        <v>/</v>
      </c>
      <c r="Z264" s="800">
        <f t="shared" si="141"/>
        <v>0</v>
      </c>
      <c r="AA264" s="522">
        <f t="shared" si="142"/>
        <v>0</v>
      </c>
    </row>
    <row r="265" spans="1:27" ht="15" customHeight="1" x14ac:dyDescent="0.25">
      <c r="A265" s="927">
        <v>13</v>
      </c>
      <c r="B265" s="928" t="str">
        <f>IF(Paramètres!BF18=0,"",Paramètres!BF18)</f>
        <v/>
      </c>
      <c r="C265" s="781">
        <f t="shared" si="131"/>
        <v>0</v>
      </c>
      <c r="D265" s="574" t="str">
        <f t="shared" si="132"/>
        <v>/</v>
      </c>
      <c r="E265" s="107" t="str">
        <f>IF(G$251="Error","Error",IF(AND($E$251&lt;&gt;"/",$E$251&gt;'Paramètres - Admin'!$A14),'Paramètres - Admin'!$A15,"/"))</f>
        <v>/</v>
      </c>
      <c r="F265" s="121" t="str">
        <f>IF(E265&lt;&gt;"/",VLOOKUP(E265,COSTS_Barbarian_King[#All],2),"/")</f>
        <v>/</v>
      </c>
      <c r="G265" s="94" t="str">
        <f>IF(E265&lt;&gt;"/",VLOOKUP(E265,COSTS_Barbarian_King[#All],3),"/")</f>
        <v>/</v>
      </c>
      <c r="H265" s="121">
        <f t="shared" si="133"/>
        <v>0</v>
      </c>
      <c r="I265" s="522">
        <f t="shared" si="134"/>
        <v>0</v>
      </c>
      <c r="J265" s="927">
        <v>13</v>
      </c>
      <c r="K265" s="928" t="str">
        <f>IF(Paramètres!BG18=0,"",Paramètres!BG18)</f>
        <v/>
      </c>
      <c r="L265" s="781">
        <f t="shared" si="135"/>
        <v>0</v>
      </c>
      <c r="M265" s="574" t="str">
        <f t="shared" si="136"/>
        <v>/</v>
      </c>
      <c r="N265" s="107" t="str">
        <f>IF(P$251="Error","Error",IF(AND($N$251&lt;&gt;"/",$N$251&gt;'Paramètres - Admin'!$A14),'Paramètres - Admin'!$A15,"/"))</f>
        <v>/</v>
      </c>
      <c r="O265" s="121" t="str">
        <f>IF(N265&lt;&gt;"/",VLOOKUP(N265,COSTS_Archer_Queen[#All],2),"/")</f>
        <v>/</v>
      </c>
      <c r="P265" s="94" t="str">
        <f>IF(N265&lt;&gt;"/",VLOOKUP(N265,COSTS_Archer_Queen[#All],3),"/")</f>
        <v>/</v>
      </c>
      <c r="Q265" s="121">
        <f t="shared" si="137"/>
        <v>0</v>
      </c>
      <c r="R265" s="522">
        <f t="shared" si="138"/>
        <v>0</v>
      </c>
      <c r="S265" s="927">
        <v>13</v>
      </c>
      <c r="T265" s="928" t="str">
        <f>IF(Paramètres!BH18=0,"",Paramètres!BH18)</f>
        <v/>
      </c>
      <c r="U265" s="781">
        <f t="shared" si="139"/>
        <v>0</v>
      </c>
      <c r="V265" s="574" t="str">
        <f t="shared" si="140"/>
        <v>/</v>
      </c>
      <c r="W265" s="107" t="str">
        <f>IF(Y$251="Error","Error",IF(AND($W$251&lt;&gt;"/",$W$251&gt;'Paramètres - Admin'!$A14),'Paramètres - Admin'!$A15,"/"))</f>
        <v>/</v>
      </c>
      <c r="X265" s="800" t="str">
        <f>IF(W265&lt;&gt;"/",VLOOKUP(W265,COSTS_Grand_Warden[#All],2),"/")</f>
        <v>/</v>
      </c>
      <c r="Y265" s="94" t="str">
        <f>IF(W265&lt;&gt;"/",VLOOKUP(W265,COSTS_Grand_Warden[#All],3),"/")</f>
        <v>/</v>
      </c>
      <c r="Z265" s="800">
        <f t="shared" si="141"/>
        <v>0</v>
      </c>
      <c r="AA265" s="522">
        <f t="shared" si="142"/>
        <v>0</v>
      </c>
    </row>
    <row r="266" spans="1:27" ht="15" customHeight="1" x14ac:dyDescent="0.25">
      <c r="A266" s="927">
        <v>14</v>
      </c>
      <c r="B266" s="928" t="str">
        <f>IF(Paramètres!BF19=0,"",Paramètres!BF19)</f>
        <v/>
      </c>
      <c r="C266" s="781">
        <f t="shared" si="131"/>
        <v>0</v>
      </c>
      <c r="D266" s="574" t="str">
        <f t="shared" si="132"/>
        <v>/</v>
      </c>
      <c r="E266" s="107" t="str">
        <f>IF(G$251="Error","Error",IF(AND($E$251&lt;&gt;"/",$E$251&gt;'Paramètres - Admin'!$A15),'Paramètres - Admin'!$A16,"/"))</f>
        <v>/</v>
      </c>
      <c r="F266" s="121" t="str">
        <f>IF(E266&lt;&gt;"/",VLOOKUP(E266,COSTS_Barbarian_King[#All],2),"/")</f>
        <v>/</v>
      </c>
      <c r="G266" s="94" t="str">
        <f>IF(E266&lt;&gt;"/",VLOOKUP(E266,COSTS_Barbarian_King[#All],3),"/")</f>
        <v>/</v>
      </c>
      <c r="H266" s="121">
        <f t="shared" si="133"/>
        <v>0</v>
      </c>
      <c r="I266" s="522">
        <f t="shared" si="134"/>
        <v>0</v>
      </c>
      <c r="J266" s="927">
        <v>14</v>
      </c>
      <c r="K266" s="928" t="str">
        <f>IF(Paramètres!BG19=0,"",Paramètres!BG19)</f>
        <v/>
      </c>
      <c r="L266" s="781">
        <f t="shared" si="135"/>
        <v>0</v>
      </c>
      <c r="M266" s="574" t="str">
        <f t="shared" si="136"/>
        <v>/</v>
      </c>
      <c r="N266" s="107" t="str">
        <f>IF(P$251="Error","Error",IF(AND($N$251&lt;&gt;"/",$N$251&gt;'Paramètres - Admin'!$A15),'Paramètres - Admin'!$A16,"/"))</f>
        <v>/</v>
      </c>
      <c r="O266" s="121" t="str">
        <f>IF(N266&lt;&gt;"/",VLOOKUP(N266,COSTS_Archer_Queen[#All],2),"/")</f>
        <v>/</v>
      </c>
      <c r="P266" s="94" t="str">
        <f>IF(N266&lt;&gt;"/",VLOOKUP(N266,COSTS_Archer_Queen[#All],3),"/")</f>
        <v>/</v>
      </c>
      <c r="Q266" s="121">
        <f t="shared" si="137"/>
        <v>0</v>
      </c>
      <c r="R266" s="522">
        <f t="shared" si="138"/>
        <v>0</v>
      </c>
      <c r="S266" s="927">
        <v>14</v>
      </c>
      <c r="T266" s="928" t="str">
        <f>IF(Paramètres!BH19=0,"",Paramètres!BH19)</f>
        <v/>
      </c>
      <c r="U266" s="781">
        <f t="shared" si="139"/>
        <v>0</v>
      </c>
      <c r="V266" s="574" t="str">
        <f t="shared" si="140"/>
        <v>/</v>
      </c>
      <c r="W266" s="107" t="str">
        <f>IF(Y$251="Error","Error",IF(AND($W$251&lt;&gt;"/",$W$251&gt;'Paramètres - Admin'!$A15),'Paramètres - Admin'!$A16,"/"))</f>
        <v>/</v>
      </c>
      <c r="X266" s="800" t="str">
        <f>IF(W266&lt;&gt;"/",VLOOKUP(W266,COSTS_Grand_Warden[#All],2),"/")</f>
        <v>/</v>
      </c>
      <c r="Y266" s="94" t="str">
        <f>IF(W266&lt;&gt;"/",VLOOKUP(W266,COSTS_Grand_Warden[#All],3),"/")</f>
        <v>/</v>
      </c>
      <c r="Z266" s="800">
        <f t="shared" si="141"/>
        <v>0</v>
      </c>
      <c r="AA266" s="522">
        <f t="shared" si="142"/>
        <v>0</v>
      </c>
    </row>
    <row r="267" spans="1:27" ht="15" customHeight="1" x14ac:dyDescent="0.25">
      <c r="A267" s="927">
        <v>15</v>
      </c>
      <c r="B267" s="928" t="str">
        <f>IF(Paramètres!BF20=0,"",Paramètres!BF20)</f>
        <v/>
      </c>
      <c r="C267" s="781">
        <f t="shared" si="131"/>
        <v>0</v>
      </c>
      <c r="D267" s="574" t="str">
        <f t="shared" si="132"/>
        <v>/</v>
      </c>
      <c r="E267" s="107" t="str">
        <f>IF(G$251="Error","Error",IF(AND($E$251&lt;&gt;"/",$E$251&gt;'Paramètres - Admin'!$A16),'Paramètres - Admin'!$A17,"/"))</f>
        <v>/</v>
      </c>
      <c r="F267" s="121" t="str">
        <f>IF(E267&lt;&gt;"/",VLOOKUP(E267,COSTS_Barbarian_King[#All],2),"/")</f>
        <v>/</v>
      </c>
      <c r="G267" s="94" t="str">
        <f>IF(E267&lt;&gt;"/",VLOOKUP(E267,COSTS_Barbarian_King[#All],3),"/")</f>
        <v>/</v>
      </c>
      <c r="H267" s="121">
        <f t="shared" si="133"/>
        <v>0</v>
      </c>
      <c r="I267" s="522">
        <f t="shared" si="134"/>
        <v>0</v>
      </c>
      <c r="J267" s="927">
        <v>15</v>
      </c>
      <c r="K267" s="928" t="str">
        <f>IF(Paramètres!BG20=0,"",Paramètres!BG20)</f>
        <v/>
      </c>
      <c r="L267" s="781">
        <f t="shared" si="135"/>
        <v>0</v>
      </c>
      <c r="M267" s="574" t="str">
        <f t="shared" si="136"/>
        <v>/</v>
      </c>
      <c r="N267" s="107" t="str">
        <f>IF(P$251="Error","Error",IF(AND($N$251&lt;&gt;"/",$N$251&gt;'Paramètres - Admin'!$A16),'Paramètres - Admin'!$A17,"/"))</f>
        <v>/</v>
      </c>
      <c r="O267" s="121" t="str">
        <f>IF(N267&lt;&gt;"/",VLOOKUP(N267,COSTS_Archer_Queen[#All],2),"/")</f>
        <v>/</v>
      </c>
      <c r="P267" s="94" t="str">
        <f>IF(N267&lt;&gt;"/",VLOOKUP(N267,COSTS_Archer_Queen[#All],3),"/")</f>
        <v>/</v>
      </c>
      <c r="Q267" s="121">
        <f t="shared" si="137"/>
        <v>0</v>
      </c>
      <c r="R267" s="522">
        <f t="shared" si="138"/>
        <v>0</v>
      </c>
      <c r="S267" s="927">
        <v>15</v>
      </c>
      <c r="T267" s="928" t="str">
        <f>IF(Paramètres!BH20=0,"",Paramètres!BH20)</f>
        <v/>
      </c>
      <c r="U267" s="781">
        <f t="shared" si="139"/>
        <v>0</v>
      </c>
      <c r="V267" s="574" t="str">
        <f t="shared" si="140"/>
        <v>/</v>
      </c>
      <c r="W267" s="107" t="str">
        <f>IF(Y$251="Error","Error",IF(AND($W$251&lt;&gt;"/",$W$251&gt;'Paramètres - Admin'!$A16),'Paramètres - Admin'!$A17,"/"))</f>
        <v>/</v>
      </c>
      <c r="X267" s="800" t="str">
        <f>IF(W267&lt;&gt;"/",VLOOKUP(W267,COSTS_Grand_Warden[#All],2),"/")</f>
        <v>/</v>
      </c>
      <c r="Y267" s="94" t="str">
        <f>IF(W267&lt;&gt;"/",VLOOKUP(W267,COSTS_Grand_Warden[#All],3),"/")</f>
        <v>/</v>
      </c>
      <c r="Z267" s="800">
        <f t="shared" si="141"/>
        <v>0</v>
      </c>
      <c r="AA267" s="522">
        <f t="shared" si="142"/>
        <v>0</v>
      </c>
    </row>
    <row r="268" spans="1:27" ht="15" customHeight="1" x14ac:dyDescent="0.25">
      <c r="A268" s="927">
        <v>16</v>
      </c>
      <c r="B268" s="928" t="str">
        <f>IF(Paramètres!BF21=0,"",Paramètres!BF21)</f>
        <v/>
      </c>
      <c r="C268" s="781">
        <f t="shared" si="131"/>
        <v>0</v>
      </c>
      <c r="D268" s="574" t="str">
        <f t="shared" si="132"/>
        <v>/</v>
      </c>
      <c r="E268" s="107" t="str">
        <f>IF(G$251="Error","Error",IF(AND($E$251&lt;&gt;"/",$E$251&gt;'Paramètres - Admin'!$A17),'Paramètres - Admin'!$A18,"/"))</f>
        <v>/</v>
      </c>
      <c r="F268" s="121" t="str">
        <f>IF(E268&lt;&gt;"/",VLOOKUP(E268,COSTS_Barbarian_King[#All],2),"/")</f>
        <v>/</v>
      </c>
      <c r="G268" s="94" t="str">
        <f>IF(E268&lt;&gt;"/",VLOOKUP(E268,COSTS_Barbarian_King[#All],3),"/")</f>
        <v>/</v>
      </c>
      <c r="H268" s="121">
        <f t="shared" si="133"/>
        <v>0</v>
      </c>
      <c r="I268" s="522">
        <f t="shared" si="134"/>
        <v>0</v>
      </c>
      <c r="J268" s="927">
        <v>16</v>
      </c>
      <c r="K268" s="928" t="str">
        <f>IF(Paramètres!BG21=0,"",Paramètres!BG21)</f>
        <v/>
      </c>
      <c r="L268" s="781">
        <f t="shared" si="135"/>
        <v>0</v>
      </c>
      <c r="M268" s="574" t="str">
        <f t="shared" si="136"/>
        <v>/</v>
      </c>
      <c r="N268" s="107" t="str">
        <f>IF(P$251="Error","Error",IF(AND($N$251&lt;&gt;"/",$N$251&gt;'Paramètres - Admin'!$A17),'Paramètres - Admin'!$A18,"/"))</f>
        <v>/</v>
      </c>
      <c r="O268" s="121" t="str">
        <f>IF(N268&lt;&gt;"/",VLOOKUP(N268,COSTS_Archer_Queen[#All],2),"/")</f>
        <v>/</v>
      </c>
      <c r="P268" s="94" t="str">
        <f>IF(N268&lt;&gt;"/",VLOOKUP(N268,COSTS_Archer_Queen[#All],3),"/")</f>
        <v>/</v>
      </c>
      <c r="Q268" s="121">
        <f t="shared" si="137"/>
        <v>0</v>
      </c>
      <c r="R268" s="522">
        <f t="shared" si="138"/>
        <v>0</v>
      </c>
      <c r="S268" s="927">
        <v>16</v>
      </c>
      <c r="T268" s="928" t="str">
        <f>IF(Paramètres!BH21=0,"",Paramètres!BH21)</f>
        <v/>
      </c>
      <c r="U268" s="781">
        <f t="shared" si="139"/>
        <v>0</v>
      </c>
      <c r="V268" s="574" t="str">
        <f t="shared" si="140"/>
        <v>/</v>
      </c>
      <c r="W268" s="107" t="str">
        <f>IF(Y$251="Error","Error",IF(AND($W$251&lt;&gt;"/",$W$251&gt;'Paramètres - Admin'!$A17),'Paramètres - Admin'!$A18,"/"))</f>
        <v>/</v>
      </c>
      <c r="X268" s="800" t="str">
        <f>IF(W268&lt;&gt;"/",VLOOKUP(W268,COSTS_Grand_Warden[#All],2),"/")</f>
        <v>/</v>
      </c>
      <c r="Y268" s="94" t="str">
        <f>IF(W268&lt;&gt;"/",VLOOKUP(W268,COSTS_Grand_Warden[#All],3),"/")</f>
        <v>/</v>
      </c>
      <c r="Z268" s="800">
        <f t="shared" si="141"/>
        <v>0</v>
      </c>
      <c r="AA268" s="522">
        <f t="shared" si="142"/>
        <v>0</v>
      </c>
    </row>
    <row r="269" spans="1:27" ht="15" customHeight="1" x14ac:dyDescent="0.25">
      <c r="A269" s="927">
        <v>17</v>
      </c>
      <c r="B269" s="928" t="str">
        <f>IF(Paramètres!BF22=0,"",Paramètres!BF22)</f>
        <v/>
      </c>
      <c r="C269" s="781">
        <f t="shared" si="131"/>
        <v>0</v>
      </c>
      <c r="D269" s="574" t="str">
        <f t="shared" si="132"/>
        <v>/</v>
      </c>
      <c r="E269" s="107" t="str">
        <f>IF(G$251="Error","Error",IF(AND($E$251&lt;&gt;"/",$E$251&gt;'Paramètres - Admin'!$A18),'Paramètres - Admin'!$A19,"/"))</f>
        <v>/</v>
      </c>
      <c r="F269" s="121" t="str">
        <f>IF(E269&lt;&gt;"/",VLOOKUP(E269,COSTS_Barbarian_King[#All],2),"/")</f>
        <v>/</v>
      </c>
      <c r="G269" s="94" t="str">
        <f>IF(E269&lt;&gt;"/",VLOOKUP(E269,COSTS_Barbarian_King[#All],3),"/")</f>
        <v>/</v>
      </c>
      <c r="H269" s="121">
        <f t="shared" si="133"/>
        <v>0</v>
      </c>
      <c r="I269" s="522">
        <f t="shared" si="134"/>
        <v>0</v>
      </c>
      <c r="J269" s="927">
        <v>17</v>
      </c>
      <c r="K269" s="928" t="str">
        <f>IF(Paramètres!BG22=0,"",Paramètres!BG22)</f>
        <v/>
      </c>
      <c r="L269" s="781">
        <f t="shared" si="135"/>
        <v>0</v>
      </c>
      <c r="M269" s="574" t="str">
        <f t="shared" si="136"/>
        <v>/</v>
      </c>
      <c r="N269" s="107" t="str">
        <f>IF(P$251="Error","Error",IF(AND($N$251&lt;&gt;"/",$N$251&gt;'Paramètres - Admin'!$A18),'Paramètres - Admin'!$A19,"/"))</f>
        <v>/</v>
      </c>
      <c r="O269" s="121" t="str">
        <f>IF(N269&lt;&gt;"/",VLOOKUP(N269,COSTS_Archer_Queen[#All],2),"/")</f>
        <v>/</v>
      </c>
      <c r="P269" s="94" t="str">
        <f>IF(N269&lt;&gt;"/",VLOOKUP(N269,COSTS_Archer_Queen[#All],3),"/")</f>
        <v>/</v>
      </c>
      <c r="Q269" s="121">
        <f t="shared" si="137"/>
        <v>0</v>
      </c>
      <c r="R269" s="522">
        <f t="shared" si="138"/>
        <v>0</v>
      </c>
      <c r="S269" s="927">
        <v>17</v>
      </c>
      <c r="T269" s="928" t="str">
        <f>IF(Paramètres!BH22=0,"",Paramètres!BH22)</f>
        <v/>
      </c>
      <c r="U269" s="781">
        <f t="shared" si="139"/>
        <v>0</v>
      </c>
      <c r="V269" s="574" t="str">
        <f t="shared" si="140"/>
        <v>/</v>
      </c>
      <c r="W269" s="107" t="str">
        <f>IF(Y$251="Error","Error",IF(AND($W$251&lt;&gt;"/",$W$251&gt;'Paramètres - Admin'!$A18),'Paramètres - Admin'!$A19,"/"))</f>
        <v>/</v>
      </c>
      <c r="X269" s="800" t="str">
        <f>IF(W269&lt;&gt;"/",VLOOKUP(W269,COSTS_Grand_Warden[#All],2),"/")</f>
        <v>/</v>
      </c>
      <c r="Y269" s="94" t="str">
        <f>IF(W269&lt;&gt;"/",VLOOKUP(W269,COSTS_Grand_Warden[#All],3),"/")</f>
        <v>/</v>
      </c>
      <c r="Z269" s="800">
        <f t="shared" si="141"/>
        <v>0</v>
      </c>
      <c r="AA269" s="522">
        <f t="shared" si="142"/>
        <v>0</v>
      </c>
    </row>
    <row r="270" spans="1:27" ht="15" customHeight="1" x14ac:dyDescent="0.25">
      <c r="A270" s="927">
        <v>18</v>
      </c>
      <c r="B270" s="928" t="str">
        <f>IF(Paramètres!BF23=0,"",Paramètres!BF23)</f>
        <v/>
      </c>
      <c r="C270" s="781">
        <f t="shared" si="131"/>
        <v>0</v>
      </c>
      <c r="D270" s="574" t="str">
        <f t="shared" si="132"/>
        <v>/</v>
      </c>
      <c r="E270" s="107" t="str">
        <f>IF(G$251="Error","Error",IF(AND($E$251&lt;&gt;"/",$E$251&gt;'Paramètres - Admin'!$A19),'Paramètres - Admin'!$A20,"/"))</f>
        <v>/</v>
      </c>
      <c r="F270" s="121" t="str">
        <f>IF(E270&lt;&gt;"/",VLOOKUP(E270,COSTS_Barbarian_King[#All],2),"/")</f>
        <v>/</v>
      </c>
      <c r="G270" s="94" t="str">
        <f>IF(E270&lt;&gt;"/",VLOOKUP(E270,COSTS_Barbarian_King[#All],3),"/")</f>
        <v>/</v>
      </c>
      <c r="H270" s="121">
        <f t="shared" si="133"/>
        <v>0</v>
      </c>
      <c r="I270" s="522">
        <f t="shared" si="134"/>
        <v>0</v>
      </c>
      <c r="J270" s="927">
        <v>18</v>
      </c>
      <c r="K270" s="928" t="str">
        <f>IF(Paramètres!BG23=0,"",Paramètres!BG23)</f>
        <v/>
      </c>
      <c r="L270" s="781">
        <f t="shared" si="135"/>
        <v>0</v>
      </c>
      <c r="M270" s="574" t="str">
        <f t="shared" si="136"/>
        <v>/</v>
      </c>
      <c r="N270" s="107" t="str">
        <f>IF(P$251="Error","Error",IF(AND($N$251&lt;&gt;"/",$N$251&gt;'Paramètres - Admin'!$A19),'Paramètres - Admin'!$A20,"/"))</f>
        <v>/</v>
      </c>
      <c r="O270" s="121" t="str">
        <f>IF(N270&lt;&gt;"/",VLOOKUP(N270,COSTS_Archer_Queen[#All],2),"/")</f>
        <v>/</v>
      </c>
      <c r="P270" s="94" t="str">
        <f>IF(N270&lt;&gt;"/",VLOOKUP(N270,COSTS_Archer_Queen[#All],3),"/")</f>
        <v>/</v>
      </c>
      <c r="Q270" s="121">
        <f t="shared" si="137"/>
        <v>0</v>
      </c>
      <c r="R270" s="522">
        <f t="shared" si="138"/>
        <v>0</v>
      </c>
      <c r="S270" s="927">
        <v>18</v>
      </c>
      <c r="T270" s="928" t="str">
        <f>IF(Paramètres!BH23=0,"",Paramètres!BH23)</f>
        <v/>
      </c>
      <c r="U270" s="781">
        <f t="shared" si="139"/>
        <v>0</v>
      </c>
      <c r="V270" s="574" t="str">
        <f t="shared" si="140"/>
        <v>/</v>
      </c>
      <c r="W270" s="107" t="str">
        <f>IF(Y$251="Error","Error",IF(AND($W$251&lt;&gt;"/",$W$251&gt;'Paramètres - Admin'!$A19),'Paramètres - Admin'!$A20,"/"))</f>
        <v>/</v>
      </c>
      <c r="X270" s="800" t="str">
        <f>IF(W270&lt;&gt;"/",VLOOKUP(W270,COSTS_Grand_Warden[#All],2),"/")</f>
        <v>/</v>
      </c>
      <c r="Y270" s="94" t="str">
        <f>IF(W270&lt;&gt;"/",VLOOKUP(W270,COSTS_Grand_Warden[#All],3),"/")</f>
        <v>/</v>
      </c>
      <c r="Z270" s="800">
        <f t="shared" si="141"/>
        <v>0</v>
      </c>
      <c r="AA270" s="522">
        <f t="shared" si="142"/>
        <v>0</v>
      </c>
    </row>
    <row r="271" spans="1:27" ht="15" customHeight="1" x14ac:dyDescent="0.25">
      <c r="A271" s="927">
        <v>19</v>
      </c>
      <c r="B271" s="928" t="str">
        <f>IF(Paramètres!BF24=0,"",Paramètres!BF24)</f>
        <v/>
      </c>
      <c r="C271" s="781">
        <f t="shared" si="131"/>
        <v>0</v>
      </c>
      <c r="D271" s="574" t="str">
        <f t="shared" si="132"/>
        <v>/</v>
      </c>
      <c r="E271" s="107" t="str">
        <f>IF(G$251="Error","Error",IF(AND($E$251&lt;&gt;"/",$E$251&gt;'Paramètres - Admin'!$A20),'Paramètres - Admin'!$A21,"/"))</f>
        <v>/</v>
      </c>
      <c r="F271" s="121" t="str">
        <f>IF(E271&lt;&gt;"/",VLOOKUP(E271,COSTS_Barbarian_King[#All],2),"/")</f>
        <v>/</v>
      </c>
      <c r="G271" s="94" t="str">
        <f>IF(E271&lt;&gt;"/",VLOOKUP(E271,COSTS_Barbarian_King[#All],3),"/")</f>
        <v>/</v>
      </c>
      <c r="H271" s="121">
        <f t="shared" si="133"/>
        <v>0</v>
      </c>
      <c r="I271" s="522">
        <f t="shared" si="134"/>
        <v>0</v>
      </c>
      <c r="J271" s="927">
        <v>19</v>
      </c>
      <c r="K271" s="928" t="str">
        <f>IF(Paramètres!BG24=0,"",Paramètres!BG24)</f>
        <v/>
      </c>
      <c r="L271" s="781">
        <f t="shared" si="135"/>
        <v>0</v>
      </c>
      <c r="M271" s="574" t="str">
        <f t="shared" si="136"/>
        <v>/</v>
      </c>
      <c r="N271" s="107" t="str">
        <f>IF(P$251="Error","Error",IF(AND($N$251&lt;&gt;"/",$N$251&gt;'Paramètres - Admin'!$A20),'Paramètres - Admin'!$A21,"/"))</f>
        <v>/</v>
      </c>
      <c r="O271" s="121" t="str">
        <f>IF(N271&lt;&gt;"/",VLOOKUP(N271,COSTS_Archer_Queen[#All],2),"/")</f>
        <v>/</v>
      </c>
      <c r="P271" s="94" t="str">
        <f>IF(N271&lt;&gt;"/",VLOOKUP(N271,COSTS_Archer_Queen[#All],3),"/")</f>
        <v>/</v>
      </c>
      <c r="Q271" s="121">
        <f t="shared" si="137"/>
        <v>0</v>
      </c>
      <c r="R271" s="522">
        <f t="shared" si="138"/>
        <v>0</v>
      </c>
      <c r="S271" s="927">
        <v>19</v>
      </c>
      <c r="T271" s="928" t="str">
        <f>IF(Paramètres!BH24=0,"",Paramètres!BH24)</f>
        <v/>
      </c>
      <c r="U271" s="781">
        <f t="shared" si="139"/>
        <v>0</v>
      </c>
      <c r="V271" s="574" t="str">
        <f t="shared" si="140"/>
        <v>/</v>
      </c>
      <c r="W271" s="107" t="str">
        <f>IF(Y$251="Error","Error",IF(AND($W$251&lt;&gt;"/",$W$251&gt;'Paramètres - Admin'!$A20),'Paramètres - Admin'!$A21,"/"))</f>
        <v>/</v>
      </c>
      <c r="X271" s="800" t="str">
        <f>IF(W271&lt;&gt;"/",VLOOKUP(W271,COSTS_Grand_Warden[#All],2),"/")</f>
        <v>/</v>
      </c>
      <c r="Y271" s="94" t="str">
        <f>IF(W271&lt;&gt;"/",VLOOKUP(W271,COSTS_Grand_Warden[#All],3),"/")</f>
        <v>/</v>
      </c>
      <c r="Z271" s="800">
        <f t="shared" si="141"/>
        <v>0</v>
      </c>
      <c r="AA271" s="522">
        <f t="shared" si="142"/>
        <v>0</v>
      </c>
    </row>
    <row r="272" spans="1:27" ht="15" customHeight="1" x14ac:dyDescent="0.25">
      <c r="A272" s="927">
        <v>20</v>
      </c>
      <c r="B272" s="928" t="str">
        <f>IF(Paramètres!BF25=0,"",Paramètres!BF25)</f>
        <v/>
      </c>
      <c r="C272" s="781">
        <f t="shared" si="131"/>
        <v>0</v>
      </c>
      <c r="D272" s="574" t="str">
        <f t="shared" si="132"/>
        <v>/</v>
      </c>
      <c r="E272" s="107" t="str">
        <f>IF(G$251="Error","Error",IF(AND($E$251&lt;&gt;"/",$E$251&gt;'Paramètres - Admin'!$A21),'Paramètres - Admin'!$A22,"/"))</f>
        <v>/</v>
      </c>
      <c r="F272" s="121" t="str">
        <f>IF(E272&lt;&gt;"/",VLOOKUP(E272,COSTS_Barbarian_King[#All],2),"/")</f>
        <v>/</v>
      </c>
      <c r="G272" s="94" t="str">
        <f>IF(E272&lt;&gt;"/",VLOOKUP(E272,COSTS_Barbarian_King[#All],3),"/")</f>
        <v>/</v>
      </c>
      <c r="H272" s="121">
        <f t="shared" si="133"/>
        <v>0</v>
      </c>
      <c r="I272" s="522">
        <f t="shared" si="134"/>
        <v>0</v>
      </c>
      <c r="J272" s="927">
        <v>20</v>
      </c>
      <c r="K272" s="928" t="str">
        <f>IF(Paramètres!BG25=0,"",Paramètres!BG25)</f>
        <v/>
      </c>
      <c r="L272" s="781">
        <f t="shared" si="135"/>
        <v>0</v>
      </c>
      <c r="M272" s="574" t="str">
        <f t="shared" si="136"/>
        <v>/</v>
      </c>
      <c r="N272" s="107" t="str">
        <f>IF(P$251="Error","Error",IF(AND($N$251&lt;&gt;"/",$N$251&gt;'Paramètres - Admin'!$A21),'Paramètres - Admin'!$A22,"/"))</f>
        <v>/</v>
      </c>
      <c r="O272" s="121" t="str">
        <f>IF(N272&lt;&gt;"/",VLOOKUP(N272,COSTS_Archer_Queen[#All],2),"/")</f>
        <v>/</v>
      </c>
      <c r="P272" s="94" t="str">
        <f>IF(N272&lt;&gt;"/",VLOOKUP(N272,COSTS_Archer_Queen[#All],3),"/")</f>
        <v>/</v>
      </c>
      <c r="Q272" s="121">
        <f t="shared" si="137"/>
        <v>0</v>
      </c>
      <c r="R272" s="522">
        <f t="shared" si="138"/>
        <v>0</v>
      </c>
      <c r="S272" s="927">
        <v>20</v>
      </c>
      <c r="T272" s="928" t="str">
        <f>IF(Paramètres!BH25=0,"",Paramètres!BH25)</f>
        <v/>
      </c>
      <c r="U272" s="781">
        <f t="shared" si="139"/>
        <v>0</v>
      </c>
      <c r="V272" s="574" t="str">
        <f t="shared" si="140"/>
        <v>/</v>
      </c>
      <c r="W272" s="107" t="str">
        <f>IF(Y$251="Error","Error",IF(AND($W$251&lt;&gt;"/",$W$251&gt;'Paramètres - Admin'!$A21),'Paramètres - Admin'!$A22,"/"))</f>
        <v>/</v>
      </c>
      <c r="X272" s="800" t="str">
        <f>IF(W272&lt;&gt;"/",VLOOKUP(W272,COSTS_Grand_Warden[#All],2),"/")</f>
        <v>/</v>
      </c>
      <c r="Y272" s="94" t="str">
        <f>IF(W272&lt;&gt;"/",VLOOKUP(W272,COSTS_Grand_Warden[#All],3),"/")</f>
        <v>/</v>
      </c>
      <c r="Z272" s="800">
        <f t="shared" si="141"/>
        <v>0</v>
      </c>
      <c r="AA272" s="522">
        <f t="shared" si="142"/>
        <v>0</v>
      </c>
    </row>
    <row r="273" spans="1:84" ht="15" customHeight="1" x14ac:dyDescent="0.25">
      <c r="A273" s="927">
        <v>21</v>
      </c>
      <c r="B273" s="928" t="str">
        <f>IF(Paramètres!BF26=0,"",Paramètres!BF26)</f>
        <v/>
      </c>
      <c r="C273" s="781">
        <f t="shared" si="131"/>
        <v>0</v>
      </c>
      <c r="D273" s="574" t="str">
        <f t="shared" si="132"/>
        <v>/</v>
      </c>
      <c r="E273" s="107" t="str">
        <f>IF(G$251="Error","Error",IF(AND($E$251&lt;&gt;"/",$E$251&gt;'Paramètres - Admin'!$A22),'Paramètres - Admin'!$A23,"/"))</f>
        <v>/</v>
      </c>
      <c r="F273" s="121" t="str">
        <f>IF(E273&lt;&gt;"/",VLOOKUP(E273,COSTS_Barbarian_King[#All],2),"/")</f>
        <v>/</v>
      </c>
      <c r="G273" s="94" t="str">
        <f>IF(E273&lt;&gt;"/",VLOOKUP(E273,COSTS_Barbarian_King[#All],3),"/")</f>
        <v>/</v>
      </c>
      <c r="H273" s="121">
        <f t="shared" si="133"/>
        <v>0</v>
      </c>
      <c r="I273" s="522">
        <f t="shared" si="134"/>
        <v>0</v>
      </c>
      <c r="J273" s="927">
        <v>21</v>
      </c>
      <c r="K273" s="928" t="str">
        <f>IF(Paramètres!BG26=0,"",Paramètres!BG26)</f>
        <v/>
      </c>
      <c r="L273" s="781">
        <f t="shared" si="135"/>
        <v>0</v>
      </c>
      <c r="M273" s="574" t="str">
        <f t="shared" si="136"/>
        <v>/</v>
      </c>
      <c r="N273" s="107" t="str">
        <f>IF(P$251="Error","Error",IF(AND($N$251&lt;&gt;"/",$N$251&gt;'Paramètres - Admin'!$A22),'Paramètres - Admin'!$A23,"/"))</f>
        <v>/</v>
      </c>
      <c r="O273" s="121" t="str">
        <f>IF(N273&lt;&gt;"/",VLOOKUP(N273,COSTS_Archer_Queen[#All],2),"/")</f>
        <v>/</v>
      </c>
      <c r="P273" s="94" t="str">
        <f>IF(N273&lt;&gt;"/",VLOOKUP(N273,COSTS_Archer_Queen[#All],3),"/")</f>
        <v>/</v>
      </c>
      <c r="Q273" s="121">
        <f t="shared" si="137"/>
        <v>0</v>
      </c>
      <c r="R273" s="522">
        <f t="shared" si="138"/>
        <v>0</v>
      </c>
      <c r="S273" s="927">
        <v>21</v>
      </c>
      <c r="T273" s="928" t="str">
        <f>IF(Paramètres!BH26=0,"",Paramètres!BH26)</f>
        <v/>
      </c>
      <c r="U273" s="781">
        <f t="shared" si="139"/>
        <v>0</v>
      </c>
      <c r="V273" s="574" t="str">
        <f t="shared" si="140"/>
        <v>/</v>
      </c>
      <c r="W273" s="107" t="str">
        <f>IF(Y$251="Error","Error",IF(AND($W$251&lt;&gt;"/",$W$251&gt;'Paramètres - Admin'!$A22),'Paramètres - Admin'!$A23,"/"))</f>
        <v>/</v>
      </c>
      <c r="X273" s="800" t="str">
        <f>IF(W273&lt;&gt;"/",VLOOKUP(W273,COSTS_Grand_Warden[#All],2),"/")</f>
        <v>/</v>
      </c>
      <c r="Y273" s="94" t="str">
        <f>IF(W273&lt;&gt;"/",VLOOKUP(W273,COSTS_Grand_Warden[#All],3),"/")</f>
        <v>/</v>
      </c>
      <c r="Z273" s="800">
        <f t="shared" si="141"/>
        <v>0</v>
      </c>
      <c r="AA273" s="522">
        <f t="shared" si="142"/>
        <v>0</v>
      </c>
    </row>
    <row r="274" spans="1:84" ht="15" customHeight="1" x14ac:dyDescent="0.25">
      <c r="A274" s="927">
        <v>22</v>
      </c>
      <c r="B274" s="928" t="str">
        <f>IF(Paramètres!BF27=0,"",Paramètres!BF27)</f>
        <v/>
      </c>
      <c r="C274" s="781">
        <f t="shared" si="131"/>
        <v>0</v>
      </c>
      <c r="D274" s="574" t="str">
        <f t="shared" si="132"/>
        <v>/</v>
      </c>
      <c r="E274" s="107" t="str">
        <f>IF(G$251="Error","Error",IF(AND($E$251&lt;&gt;"/",$E$251&gt;'Paramètres - Admin'!$A23),'Paramètres - Admin'!$A24,"/"))</f>
        <v>/</v>
      </c>
      <c r="F274" s="121" t="str">
        <f>IF(E274&lt;&gt;"/",VLOOKUP(E274,COSTS_Barbarian_King[#All],2),"/")</f>
        <v>/</v>
      </c>
      <c r="G274" s="94" t="str">
        <f>IF(E274&lt;&gt;"/",VLOOKUP(E274,COSTS_Barbarian_King[#All],3),"/")</f>
        <v>/</v>
      </c>
      <c r="H274" s="121">
        <f t="shared" si="133"/>
        <v>0</v>
      </c>
      <c r="I274" s="522">
        <f t="shared" si="134"/>
        <v>0</v>
      </c>
      <c r="J274" s="927">
        <v>22</v>
      </c>
      <c r="K274" s="928" t="str">
        <f>IF(Paramètres!BG27=0,"",Paramètres!BG27)</f>
        <v/>
      </c>
      <c r="L274" s="781">
        <f t="shared" si="135"/>
        <v>0</v>
      </c>
      <c r="M274" s="574" t="str">
        <f t="shared" si="136"/>
        <v>/</v>
      </c>
      <c r="N274" s="107" t="str">
        <f>IF(P$251="Error","Error",IF(AND($N$251&lt;&gt;"/",$N$251&gt;'Paramètres - Admin'!$A23),'Paramètres - Admin'!$A24,"/"))</f>
        <v>/</v>
      </c>
      <c r="O274" s="121" t="str">
        <f>IF(N274&lt;&gt;"/",VLOOKUP(N274,COSTS_Archer_Queen[#All],2),"/")</f>
        <v>/</v>
      </c>
      <c r="P274" s="94" t="str">
        <f>IF(N274&lt;&gt;"/",VLOOKUP(N274,COSTS_Archer_Queen[#All],3),"/")</f>
        <v>/</v>
      </c>
      <c r="Q274" s="121">
        <f t="shared" si="137"/>
        <v>0</v>
      </c>
      <c r="R274" s="522">
        <f t="shared" si="138"/>
        <v>0</v>
      </c>
      <c r="S274" s="927">
        <v>22</v>
      </c>
      <c r="T274" s="928" t="str">
        <f>IF(Paramètres!BH27=0,"",Paramètres!BH27)</f>
        <v/>
      </c>
      <c r="U274" s="781">
        <f t="shared" si="139"/>
        <v>0</v>
      </c>
      <c r="V274" s="574" t="str">
        <f t="shared" si="140"/>
        <v>/</v>
      </c>
      <c r="W274" s="107" t="str">
        <f>IF(Y$251="Error","Error",IF(AND($W$251&lt;&gt;"/",$W$251&gt;'Paramètres - Admin'!$A23),'Paramètres - Admin'!$A24,"/"))</f>
        <v>/</v>
      </c>
      <c r="X274" s="800" t="str">
        <f>IF(W274&lt;&gt;"/",VLOOKUP(W274,COSTS_Grand_Warden[#All],2),"/")</f>
        <v>/</v>
      </c>
      <c r="Y274" s="94" t="str">
        <f>IF(W274&lt;&gt;"/",VLOOKUP(W274,COSTS_Grand_Warden[#All],3),"/")</f>
        <v>/</v>
      </c>
      <c r="Z274" s="800">
        <f t="shared" si="141"/>
        <v>0</v>
      </c>
      <c r="AA274" s="522">
        <f t="shared" si="142"/>
        <v>0</v>
      </c>
    </row>
    <row r="275" spans="1:84" ht="15" customHeight="1" x14ac:dyDescent="0.25">
      <c r="A275" s="927">
        <v>23</v>
      </c>
      <c r="B275" s="928" t="str">
        <f>IF(Paramètres!BF28=0,"",Paramètres!BF28)</f>
        <v/>
      </c>
      <c r="C275" s="781">
        <f t="shared" si="131"/>
        <v>0</v>
      </c>
      <c r="D275" s="574" t="str">
        <f t="shared" si="132"/>
        <v>/</v>
      </c>
      <c r="E275" s="107" t="str">
        <f>IF(G$251="Error","Error",IF(AND($E$251&lt;&gt;"/",$E$251&gt;'Paramètres - Admin'!$A24),'Paramètres - Admin'!$A25,"/"))</f>
        <v>/</v>
      </c>
      <c r="F275" s="121" t="str">
        <f>IF(E275&lt;&gt;"/",VLOOKUP(E275,COSTS_Barbarian_King[#All],2),"/")</f>
        <v>/</v>
      </c>
      <c r="G275" s="94" t="str">
        <f>IF(E275&lt;&gt;"/",VLOOKUP(E275,COSTS_Barbarian_King[#All],3),"/")</f>
        <v>/</v>
      </c>
      <c r="H275" s="121">
        <f t="shared" si="133"/>
        <v>0</v>
      </c>
      <c r="I275" s="522">
        <f t="shared" si="134"/>
        <v>0</v>
      </c>
      <c r="J275" s="927">
        <v>23</v>
      </c>
      <c r="K275" s="928" t="str">
        <f>IF(Paramètres!BG28=0,"",Paramètres!BG28)</f>
        <v/>
      </c>
      <c r="L275" s="781">
        <f t="shared" si="135"/>
        <v>0</v>
      </c>
      <c r="M275" s="574" t="str">
        <f t="shared" si="136"/>
        <v>/</v>
      </c>
      <c r="N275" s="107" t="str">
        <f>IF(P$251="Error","Error",IF(AND($N$251&lt;&gt;"/",$N$251&gt;'Paramètres - Admin'!$A24),'Paramètres - Admin'!$A25,"/"))</f>
        <v>/</v>
      </c>
      <c r="O275" s="121" t="str">
        <f>IF(N275&lt;&gt;"/",VLOOKUP(N275,COSTS_Archer_Queen[#All],2),"/")</f>
        <v>/</v>
      </c>
      <c r="P275" s="94" t="str">
        <f>IF(N275&lt;&gt;"/",VLOOKUP(N275,COSTS_Archer_Queen[#All],3),"/")</f>
        <v>/</v>
      </c>
      <c r="Q275" s="121">
        <f t="shared" si="137"/>
        <v>0</v>
      </c>
      <c r="R275" s="522">
        <f t="shared" si="138"/>
        <v>0</v>
      </c>
      <c r="S275" s="927">
        <v>23</v>
      </c>
      <c r="T275" s="928" t="str">
        <f>IF(Paramètres!BH28=0,"",Paramètres!BH28)</f>
        <v/>
      </c>
      <c r="U275" s="781">
        <f t="shared" si="139"/>
        <v>0</v>
      </c>
      <c r="V275" s="574" t="str">
        <f t="shared" si="140"/>
        <v>/</v>
      </c>
      <c r="W275" s="107" t="str">
        <f>IF(Y$251="Error","Error",IF(AND($W$251&lt;&gt;"/",$W$251&gt;'Paramètres - Admin'!$A24),'Paramètres - Admin'!$A25,"/"))</f>
        <v>/</v>
      </c>
      <c r="X275" s="800" t="str">
        <f>IF(W275&lt;&gt;"/",VLOOKUP(W275,COSTS_Grand_Warden[#All],2),"/")</f>
        <v>/</v>
      </c>
      <c r="Y275" s="94" t="str">
        <f>IF(W275&lt;&gt;"/",VLOOKUP(W275,COSTS_Grand_Warden[#All],3),"/")</f>
        <v>/</v>
      </c>
      <c r="Z275" s="800">
        <f t="shared" si="141"/>
        <v>0</v>
      </c>
      <c r="AA275" s="522">
        <f t="shared" si="142"/>
        <v>0</v>
      </c>
    </row>
    <row r="276" spans="1:84" ht="15" customHeight="1" x14ac:dyDescent="0.25">
      <c r="A276" s="927">
        <v>24</v>
      </c>
      <c r="B276" s="928" t="str">
        <f>IF(Paramètres!BF29=0,"",Paramètres!BF29)</f>
        <v/>
      </c>
      <c r="C276" s="781">
        <f t="shared" si="131"/>
        <v>0</v>
      </c>
      <c r="D276" s="574" t="str">
        <f t="shared" si="132"/>
        <v>/</v>
      </c>
      <c r="E276" s="107" t="str">
        <f>IF(G$251="Error","Error",IF(AND($E$251&lt;&gt;"/",$E$251&gt;'Paramètres - Admin'!$A25),'Paramètres - Admin'!$A26,"/"))</f>
        <v>/</v>
      </c>
      <c r="F276" s="121" t="str">
        <f>IF(E276&lt;&gt;"/",VLOOKUP(E276,COSTS_Barbarian_King[#All],2),"/")</f>
        <v>/</v>
      </c>
      <c r="G276" s="94" t="str">
        <f>IF(E276&lt;&gt;"/",VLOOKUP(E276,COSTS_Barbarian_King[#All],3),"/")</f>
        <v>/</v>
      </c>
      <c r="H276" s="121">
        <f t="shared" si="133"/>
        <v>0</v>
      </c>
      <c r="I276" s="522">
        <f t="shared" si="134"/>
        <v>0</v>
      </c>
      <c r="J276" s="927">
        <v>24</v>
      </c>
      <c r="K276" s="928" t="str">
        <f>IF(Paramètres!BG29=0,"",Paramètres!BG29)</f>
        <v/>
      </c>
      <c r="L276" s="781">
        <f t="shared" si="135"/>
        <v>0</v>
      </c>
      <c r="M276" s="574" t="str">
        <f t="shared" si="136"/>
        <v>/</v>
      </c>
      <c r="N276" s="107" t="str">
        <f>IF(P$251="Error","Error",IF(AND($N$251&lt;&gt;"/",$N$251&gt;'Paramètres - Admin'!$A25),'Paramètres - Admin'!$A26,"/"))</f>
        <v>/</v>
      </c>
      <c r="O276" s="121" t="str">
        <f>IF(N276&lt;&gt;"/",VLOOKUP(N276,COSTS_Archer_Queen[#All],2),"/")</f>
        <v>/</v>
      </c>
      <c r="P276" s="94" t="str">
        <f>IF(N276&lt;&gt;"/",VLOOKUP(N276,COSTS_Archer_Queen[#All],3),"/")</f>
        <v>/</v>
      </c>
      <c r="Q276" s="121">
        <f t="shared" si="137"/>
        <v>0</v>
      </c>
      <c r="R276" s="522">
        <f t="shared" si="138"/>
        <v>0</v>
      </c>
      <c r="S276" s="927">
        <v>24</v>
      </c>
      <c r="T276" s="928" t="str">
        <f>IF(Paramètres!BH29=0,"",Paramètres!BH29)</f>
        <v/>
      </c>
      <c r="U276" s="781">
        <f t="shared" si="139"/>
        <v>0</v>
      </c>
      <c r="V276" s="574" t="str">
        <f t="shared" si="140"/>
        <v>/</v>
      </c>
      <c r="W276" s="107" t="str">
        <f>IF(Y$251="Error","Error",IF(AND($W$251&lt;&gt;"/",$W$251&gt;'Paramètres - Admin'!$A25),'Paramètres - Admin'!$A26,"/"))</f>
        <v>/</v>
      </c>
      <c r="X276" s="800" t="str">
        <f>IF(W276&lt;&gt;"/",VLOOKUP(W276,COSTS_Grand_Warden[#All],2),"/")</f>
        <v>/</v>
      </c>
      <c r="Y276" s="94" t="str">
        <f>IF(W276&lt;&gt;"/",VLOOKUP(W276,COSTS_Grand_Warden[#All],3),"/")</f>
        <v>/</v>
      </c>
      <c r="Z276" s="800">
        <f t="shared" si="141"/>
        <v>0</v>
      </c>
      <c r="AA276" s="522">
        <f t="shared" si="142"/>
        <v>0</v>
      </c>
    </row>
    <row r="277" spans="1:84" ht="15" customHeight="1" x14ac:dyDescent="0.25">
      <c r="A277" s="927">
        <v>25</v>
      </c>
      <c r="B277" s="928" t="str">
        <f>IF(Paramètres!BF30=0,"",Paramètres!BF30)</f>
        <v/>
      </c>
      <c r="C277" s="781">
        <f t="shared" si="131"/>
        <v>0</v>
      </c>
      <c r="D277" s="574" t="str">
        <f t="shared" si="132"/>
        <v>/</v>
      </c>
      <c r="E277" s="107" t="str">
        <f>IF(G$251="Error","Error",IF(AND($E$251&lt;&gt;"/",$E$251&gt;'Paramètres - Admin'!$A26),'Paramètres - Admin'!$A27,"/"))</f>
        <v>/</v>
      </c>
      <c r="F277" s="121" t="str">
        <f>IF(E277&lt;&gt;"/",VLOOKUP(E277,COSTS_Barbarian_King[#All],2),"/")</f>
        <v>/</v>
      </c>
      <c r="G277" s="94" t="str">
        <f>IF(E277&lt;&gt;"/",VLOOKUP(E277,COSTS_Barbarian_King[#All],3),"/")</f>
        <v>/</v>
      </c>
      <c r="H277" s="121">
        <f t="shared" si="133"/>
        <v>0</v>
      </c>
      <c r="I277" s="522">
        <f t="shared" si="134"/>
        <v>0</v>
      </c>
      <c r="J277" s="927">
        <v>25</v>
      </c>
      <c r="K277" s="928" t="str">
        <f>IF(Paramètres!BG30=0,"",Paramètres!BG30)</f>
        <v/>
      </c>
      <c r="L277" s="781">
        <f t="shared" si="135"/>
        <v>0</v>
      </c>
      <c r="M277" s="574" t="str">
        <f t="shared" si="136"/>
        <v>/</v>
      </c>
      <c r="N277" s="107" t="str">
        <f>IF(P$251="Error","Error",IF(AND($N$251&lt;&gt;"/",$N$251&gt;'Paramètres - Admin'!$A26),'Paramètres - Admin'!$A27,"/"))</f>
        <v>/</v>
      </c>
      <c r="O277" s="121" t="str">
        <f>IF(N277&lt;&gt;"/",VLOOKUP(N277,COSTS_Archer_Queen[#All],2),"/")</f>
        <v>/</v>
      </c>
      <c r="P277" s="94" t="str">
        <f>IF(N277&lt;&gt;"/",VLOOKUP(N277,COSTS_Archer_Queen[#All],3),"/")</f>
        <v>/</v>
      </c>
      <c r="Q277" s="121">
        <f t="shared" si="137"/>
        <v>0</v>
      </c>
      <c r="R277" s="522">
        <f t="shared" si="138"/>
        <v>0</v>
      </c>
      <c r="S277" s="927">
        <v>25</v>
      </c>
      <c r="T277" s="928" t="str">
        <f>IF(Paramètres!BH30=0,"",Paramètres!BH30)</f>
        <v/>
      </c>
      <c r="U277" s="781">
        <f t="shared" si="139"/>
        <v>0</v>
      </c>
      <c r="V277" s="574" t="str">
        <f t="shared" si="140"/>
        <v>/</v>
      </c>
      <c r="W277" s="107" t="str">
        <f>IF(Y$251="Error","Error",IF(AND($W$251&lt;&gt;"/",$W$251&gt;'Paramètres - Admin'!$A26),'Paramètres - Admin'!$A27,"/"))</f>
        <v>/</v>
      </c>
      <c r="X277" s="800" t="str">
        <f>IF(W277&lt;&gt;"/",VLOOKUP(W277,COSTS_Grand_Warden[#All],2),"/")</f>
        <v>/</v>
      </c>
      <c r="Y277" s="94" t="str">
        <f>IF(W277&lt;&gt;"/",VLOOKUP(W277,COSTS_Grand_Warden[#All],3),"/")</f>
        <v>/</v>
      </c>
      <c r="Z277" s="800">
        <f t="shared" si="141"/>
        <v>0</v>
      </c>
      <c r="AA277" s="522">
        <f t="shared" si="142"/>
        <v>0</v>
      </c>
    </row>
    <row r="278" spans="1:84" ht="15" customHeight="1" x14ac:dyDescent="0.25">
      <c r="A278" s="927">
        <v>26</v>
      </c>
      <c r="B278" s="928" t="str">
        <f>IF(Paramètres!BF31=0,"",Paramètres!BF31)</f>
        <v/>
      </c>
      <c r="C278" s="781">
        <f t="shared" si="131"/>
        <v>0</v>
      </c>
      <c r="D278" s="574" t="str">
        <f t="shared" si="132"/>
        <v>/</v>
      </c>
      <c r="E278" s="107" t="str">
        <f>IF(G$251="Error","Error",IF(AND($E$251&lt;&gt;"/",$E$251&gt;'Paramètres - Admin'!$A27),'Paramètres - Admin'!$A28,"/"))</f>
        <v>/</v>
      </c>
      <c r="F278" s="121" t="str">
        <f>IF(E278&lt;&gt;"/",VLOOKUP(E278,COSTS_Barbarian_King[#All],2),"/")</f>
        <v>/</v>
      </c>
      <c r="G278" s="94" t="str">
        <f>IF(E278&lt;&gt;"/",VLOOKUP(E278,COSTS_Barbarian_King[#All],3),"/")</f>
        <v>/</v>
      </c>
      <c r="H278" s="121">
        <f t="shared" si="133"/>
        <v>0</v>
      </c>
      <c r="I278" s="522">
        <f t="shared" si="134"/>
        <v>0</v>
      </c>
      <c r="J278" s="927">
        <v>26</v>
      </c>
      <c r="K278" s="928" t="str">
        <f>IF(Paramètres!BG31=0,"",Paramètres!BG31)</f>
        <v/>
      </c>
      <c r="L278" s="781">
        <f t="shared" si="135"/>
        <v>0</v>
      </c>
      <c r="M278" s="574" t="str">
        <f t="shared" si="136"/>
        <v>/</v>
      </c>
      <c r="N278" s="107" t="str">
        <f>IF(P$251="Error","Error",IF(AND($N$251&lt;&gt;"/",$N$251&gt;'Paramètres - Admin'!$A27),'Paramètres - Admin'!$A28,"/"))</f>
        <v>/</v>
      </c>
      <c r="O278" s="121" t="str">
        <f>IF(N278&lt;&gt;"/",VLOOKUP(N278,COSTS_Archer_Queen[#All],2),"/")</f>
        <v>/</v>
      </c>
      <c r="P278" s="94" t="str">
        <f>IF(N278&lt;&gt;"/",VLOOKUP(N278,COSTS_Archer_Queen[#All],3),"/")</f>
        <v>/</v>
      </c>
      <c r="Q278" s="121">
        <f t="shared" si="137"/>
        <v>0</v>
      </c>
      <c r="R278" s="522">
        <f t="shared" si="138"/>
        <v>0</v>
      </c>
      <c r="S278" s="927">
        <v>26</v>
      </c>
      <c r="T278" s="928" t="str">
        <f>IF(Paramètres!BH31=0,"",Paramètres!BH31)</f>
        <v/>
      </c>
      <c r="U278" s="781">
        <f t="shared" si="139"/>
        <v>0</v>
      </c>
      <c r="V278" s="574" t="str">
        <f t="shared" si="140"/>
        <v>/</v>
      </c>
      <c r="W278" s="107" t="str">
        <f>IF(Y$251="Error","Error",IF(AND($W$251&lt;&gt;"/",$W$251&gt;'Paramètres - Admin'!$A27),'Paramètres - Admin'!$A28,"/"))</f>
        <v>/</v>
      </c>
      <c r="X278" s="800" t="str">
        <f>IF(W278&lt;&gt;"/",VLOOKUP(W278,COSTS_Grand_Warden[#All],2),"/")</f>
        <v>/</v>
      </c>
      <c r="Y278" s="94" t="str">
        <f>IF(W278&lt;&gt;"/",VLOOKUP(W278,COSTS_Grand_Warden[#All],3),"/")</f>
        <v>/</v>
      </c>
      <c r="Z278" s="800">
        <f t="shared" si="141"/>
        <v>0</v>
      </c>
      <c r="AA278" s="522">
        <f t="shared" si="142"/>
        <v>0</v>
      </c>
    </row>
    <row r="279" spans="1:84" ht="15" customHeight="1" x14ac:dyDescent="0.25">
      <c r="A279" s="927">
        <v>27</v>
      </c>
      <c r="B279" s="928" t="str">
        <f>IF(Paramètres!BF32=0,"",Paramètres!BF32)</f>
        <v/>
      </c>
      <c r="C279" s="781">
        <f t="shared" si="131"/>
        <v>0</v>
      </c>
      <c r="D279" s="574" t="str">
        <f t="shared" si="132"/>
        <v>/</v>
      </c>
      <c r="E279" s="107" t="str">
        <f>IF(G$251="Error","Error",IF(AND($E$251&lt;&gt;"/",$E$251&gt;'Paramètres - Admin'!$A28),'Paramètres - Admin'!$A29,"/"))</f>
        <v>/</v>
      </c>
      <c r="F279" s="121" t="str">
        <f>IF(E279&lt;&gt;"/",VLOOKUP(E279,COSTS_Barbarian_King[#All],2),"/")</f>
        <v>/</v>
      </c>
      <c r="G279" s="94" t="str">
        <f>IF(E279&lt;&gt;"/",VLOOKUP(E279,COSTS_Barbarian_King[#All],3),"/")</f>
        <v>/</v>
      </c>
      <c r="H279" s="121">
        <f t="shared" si="133"/>
        <v>0</v>
      </c>
      <c r="I279" s="522">
        <f t="shared" si="134"/>
        <v>0</v>
      </c>
      <c r="J279" s="927">
        <v>27</v>
      </c>
      <c r="K279" s="928" t="str">
        <f>IF(Paramètres!BG32=0,"",Paramètres!BG32)</f>
        <v/>
      </c>
      <c r="L279" s="781">
        <f t="shared" si="135"/>
        <v>0</v>
      </c>
      <c r="M279" s="574" t="str">
        <f t="shared" si="136"/>
        <v>/</v>
      </c>
      <c r="N279" s="107" t="str">
        <f>IF(P$251="Error","Error",IF(AND($N$251&lt;&gt;"/",$N$251&gt;'Paramètres - Admin'!$A28),'Paramètres - Admin'!$A29,"/"))</f>
        <v>/</v>
      </c>
      <c r="O279" s="121" t="str">
        <f>IF(N279&lt;&gt;"/",VLOOKUP(N279,COSTS_Archer_Queen[#All],2),"/")</f>
        <v>/</v>
      </c>
      <c r="P279" s="94" t="str">
        <f>IF(N279&lt;&gt;"/",VLOOKUP(N279,COSTS_Archer_Queen[#All],3),"/")</f>
        <v>/</v>
      </c>
      <c r="Q279" s="121">
        <f t="shared" si="137"/>
        <v>0</v>
      </c>
      <c r="R279" s="522">
        <f t="shared" si="138"/>
        <v>0</v>
      </c>
      <c r="S279" s="927">
        <v>27</v>
      </c>
      <c r="T279" s="928" t="str">
        <f>IF(Paramètres!BH32=0,"",Paramètres!BH32)</f>
        <v/>
      </c>
      <c r="U279" s="781">
        <f t="shared" si="139"/>
        <v>0</v>
      </c>
      <c r="V279" s="574" t="str">
        <f t="shared" si="140"/>
        <v>/</v>
      </c>
      <c r="W279" s="107" t="str">
        <f>IF(Y$251="Error","Error",IF(AND($W$251&lt;&gt;"/",$W$251&gt;'Paramètres - Admin'!$A28),'Paramètres - Admin'!$A29,"/"))</f>
        <v>/</v>
      </c>
      <c r="X279" s="800" t="str">
        <f>IF(W279&lt;&gt;"/",VLOOKUP(W279,COSTS_Grand_Warden[#All],2),"/")</f>
        <v>/</v>
      </c>
      <c r="Y279" s="94" t="str">
        <f>IF(W279&lt;&gt;"/",VLOOKUP(W279,COSTS_Grand_Warden[#All],3),"/")</f>
        <v>/</v>
      </c>
      <c r="Z279" s="800">
        <f t="shared" si="141"/>
        <v>0</v>
      </c>
      <c r="AA279" s="522">
        <f t="shared" si="142"/>
        <v>0</v>
      </c>
    </row>
    <row r="280" spans="1:84" ht="15" customHeight="1" x14ac:dyDescent="0.25">
      <c r="A280" s="927">
        <v>28</v>
      </c>
      <c r="B280" s="928" t="str">
        <f>IF(Paramètres!BF33=0,"",Paramètres!BF33)</f>
        <v/>
      </c>
      <c r="C280" s="781">
        <f t="shared" si="131"/>
        <v>0</v>
      </c>
      <c r="D280" s="574" t="str">
        <f t="shared" si="132"/>
        <v>/</v>
      </c>
      <c r="E280" s="107" t="str">
        <f>IF(G$251="Error","Error",IF(AND($E$251&lt;&gt;"/",$E$251&gt;'Paramètres - Admin'!$A29),'Paramètres - Admin'!$A30,"/"))</f>
        <v>/</v>
      </c>
      <c r="F280" s="121" t="str">
        <f>IF(E280&lt;&gt;"/",VLOOKUP(E280,COSTS_Barbarian_King[#All],2),"/")</f>
        <v>/</v>
      </c>
      <c r="G280" s="94" t="str">
        <f>IF(E280&lt;&gt;"/",VLOOKUP(E280,COSTS_Barbarian_King[#All],3),"/")</f>
        <v>/</v>
      </c>
      <c r="H280" s="121">
        <f t="shared" si="133"/>
        <v>0</v>
      </c>
      <c r="I280" s="522">
        <f t="shared" si="134"/>
        <v>0</v>
      </c>
      <c r="J280" s="927">
        <v>28</v>
      </c>
      <c r="K280" s="928" t="str">
        <f>IF(Paramètres!BG33=0,"",Paramètres!BG33)</f>
        <v/>
      </c>
      <c r="L280" s="781">
        <f t="shared" si="135"/>
        <v>0</v>
      </c>
      <c r="M280" s="574" t="str">
        <f t="shared" si="136"/>
        <v>/</v>
      </c>
      <c r="N280" s="107" t="str">
        <f>IF(P$251="Error","Error",IF(AND($N$251&lt;&gt;"/",$N$251&gt;'Paramètres - Admin'!$A29),'Paramètres - Admin'!$A30,"/"))</f>
        <v>/</v>
      </c>
      <c r="O280" s="121" t="str">
        <f>IF(N280&lt;&gt;"/",VLOOKUP(N280,COSTS_Archer_Queen[#All],2),"/")</f>
        <v>/</v>
      </c>
      <c r="P280" s="94" t="str">
        <f>IF(N280&lt;&gt;"/",VLOOKUP(N280,COSTS_Archer_Queen[#All],3),"/")</f>
        <v>/</v>
      </c>
      <c r="Q280" s="121">
        <f t="shared" si="137"/>
        <v>0</v>
      </c>
      <c r="R280" s="522">
        <f t="shared" si="138"/>
        <v>0</v>
      </c>
      <c r="S280" s="927">
        <v>28</v>
      </c>
      <c r="T280" s="928" t="str">
        <f>IF(Paramètres!BH33=0,"",Paramètres!BH33)</f>
        <v/>
      </c>
      <c r="U280" s="781">
        <f t="shared" si="139"/>
        <v>0</v>
      </c>
      <c r="V280" s="574" t="str">
        <f t="shared" si="140"/>
        <v>/</v>
      </c>
      <c r="W280" s="107" t="str">
        <f>IF(Y$251="Error","Error",IF(AND($W$251&lt;&gt;"/",$W$251&gt;'Paramètres - Admin'!$A29),'Paramètres - Admin'!$A30,"/"))</f>
        <v>/</v>
      </c>
      <c r="X280" s="800" t="str">
        <f>IF(W280&lt;&gt;"/",VLOOKUP(W280,COSTS_Grand_Warden[#All],2),"/")</f>
        <v>/</v>
      </c>
      <c r="Y280" s="94" t="str">
        <f>IF(W280&lt;&gt;"/",VLOOKUP(W280,COSTS_Grand_Warden[#All],3),"/")</f>
        <v>/</v>
      </c>
      <c r="Z280" s="800">
        <f t="shared" si="141"/>
        <v>0</v>
      </c>
      <c r="AA280" s="522">
        <f t="shared" si="142"/>
        <v>0</v>
      </c>
    </row>
    <row r="281" spans="1:84" ht="15" customHeight="1" x14ac:dyDescent="0.25">
      <c r="A281" s="927">
        <v>29</v>
      </c>
      <c r="B281" s="928" t="str">
        <f>IF(Paramètres!BF34=0,"",Paramètres!BF34)</f>
        <v/>
      </c>
      <c r="C281" s="781">
        <f t="shared" si="131"/>
        <v>0</v>
      </c>
      <c r="D281" s="574" t="str">
        <f t="shared" si="132"/>
        <v>/</v>
      </c>
      <c r="E281" s="107" t="str">
        <f>IF(G$251="Error","Error",IF(AND($E$251&lt;&gt;"/",$E$251&gt;'Paramètres - Admin'!$A30),'Paramètres - Admin'!$A31,"/"))</f>
        <v>/</v>
      </c>
      <c r="F281" s="121" t="str">
        <f>IF(E281&lt;&gt;"/",VLOOKUP(E281,COSTS_Barbarian_King[#All],2),"/")</f>
        <v>/</v>
      </c>
      <c r="G281" s="94" t="str">
        <f>IF(E281&lt;&gt;"/",VLOOKUP(E281,COSTS_Barbarian_King[#All],3),"/")</f>
        <v>/</v>
      </c>
      <c r="H281" s="121">
        <f t="shared" si="133"/>
        <v>0</v>
      </c>
      <c r="I281" s="522">
        <f t="shared" si="134"/>
        <v>0</v>
      </c>
      <c r="J281" s="927">
        <v>29</v>
      </c>
      <c r="K281" s="928" t="str">
        <f>IF(Paramètres!BG34=0,"",Paramètres!BG34)</f>
        <v/>
      </c>
      <c r="L281" s="781">
        <f t="shared" si="135"/>
        <v>0</v>
      </c>
      <c r="M281" s="574" t="str">
        <f t="shared" si="136"/>
        <v>/</v>
      </c>
      <c r="N281" s="107" t="str">
        <f>IF(P$251="Error","Error",IF(AND($N$251&lt;&gt;"/",$N$251&gt;'Paramètres - Admin'!$A30),'Paramètres - Admin'!$A31,"/"))</f>
        <v>/</v>
      </c>
      <c r="O281" s="121" t="str">
        <f>IF(N281&lt;&gt;"/",VLOOKUP(N281,COSTS_Archer_Queen[#All],2),"/")</f>
        <v>/</v>
      </c>
      <c r="P281" s="94" t="str">
        <f>IF(N281&lt;&gt;"/",VLOOKUP(N281,COSTS_Archer_Queen[#All],3),"/")</f>
        <v>/</v>
      </c>
      <c r="Q281" s="121">
        <f t="shared" si="137"/>
        <v>0</v>
      </c>
      <c r="R281" s="522">
        <f t="shared" si="138"/>
        <v>0</v>
      </c>
      <c r="S281" s="927">
        <v>29</v>
      </c>
      <c r="T281" s="928" t="str">
        <f>IF(Paramètres!BH34=0,"",Paramètres!BH34)</f>
        <v/>
      </c>
      <c r="U281" s="781">
        <f t="shared" si="139"/>
        <v>0</v>
      </c>
      <c r="V281" s="574" t="str">
        <f t="shared" si="140"/>
        <v>/</v>
      </c>
      <c r="W281" s="107" t="str">
        <f>IF(Y$251="Error","Error",IF(AND($W$251&lt;&gt;"/",$W$251&gt;'Paramètres - Admin'!$A30),'Paramètres - Admin'!$A31,"/"))</f>
        <v>/</v>
      </c>
      <c r="X281" s="800" t="str">
        <f>IF(W281&lt;&gt;"/",VLOOKUP(W281,COSTS_Grand_Warden[#All],2),"/")</f>
        <v>/</v>
      </c>
      <c r="Y281" s="94" t="str">
        <f>IF(W281&lt;&gt;"/",VLOOKUP(W281,COSTS_Grand_Warden[#All],3),"/")</f>
        <v>/</v>
      </c>
      <c r="Z281" s="800">
        <f t="shared" si="141"/>
        <v>0</v>
      </c>
      <c r="AA281" s="522">
        <f t="shared" si="142"/>
        <v>0</v>
      </c>
    </row>
    <row r="282" spans="1:84" ht="15" customHeight="1" x14ac:dyDescent="0.25">
      <c r="A282" s="927">
        <v>30</v>
      </c>
      <c r="B282" s="928" t="str">
        <f>IF(Paramètres!BF35=0,"",Paramètres!BF35)</f>
        <v/>
      </c>
      <c r="C282" s="781">
        <f t="shared" si="131"/>
        <v>0</v>
      </c>
      <c r="D282" s="574" t="str">
        <f t="shared" si="132"/>
        <v>/</v>
      </c>
      <c r="E282" s="107" t="str">
        <f>IF(G$251="Error","Error",IF(AND($E$251&lt;&gt;"/",$E$251&gt;'Paramètres - Admin'!$A31),'Paramètres - Admin'!$A32,"/"))</f>
        <v>/</v>
      </c>
      <c r="F282" s="121" t="str">
        <f>IF(E282&lt;&gt;"/",VLOOKUP(E282,COSTS_Barbarian_King[#All],2),"/")</f>
        <v>/</v>
      </c>
      <c r="G282" s="94" t="str">
        <f>IF(E282&lt;&gt;"/",VLOOKUP(E282,COSTS_Barbarian_King[#All],3),"/")</f>
        <v>/</v>
      </c>
      <c r="H282" s="121">
        <f t="shared" si="133"/>
        <v>0</v>
      </c>
      <c r="I282" s="522">
        <f t="shared" si="134"/>
        <v>0</v>
      </c>
      <c r="J282" s="927">
        <v>30</v>
      </c>
      <c r="K282" s="928" t="str">
        <f>IF(Paramètres!BG35=0,"",Paramètres!BG35)</f>
        <v/>
      </c>
      <c r="L282" s="781">
        <f t="shared" si="135"/>
        <v>0</v>
      </c>
      <c r="M282" s="574" t="str">
        <f t="shared" si="136"/>
        <v>/</v>
      </c>
      <c r="N282" s="107" t="str">
        <f>IF(P$251="Error","Error",IF(AND($N$251&lt;&gt;"/",$N$251&gt;'Paramètres - Admin'!$A31),'Paramètres - Admin'!$A32,"/"))</f>
        <v>/</v>
      </c>
      <c r="O282" s="121" t="str">
        <f>IF(N282&lt;&gt;"/",VLOOKUP(N282,COSTS_Archer_Queen[#All],2),"/")</f>
        <v>/</v>
      </c>
      <c r="P282" s="94" t="str">
        <f>IF(N282&lt;&gt;"/",VLOOKUP(N282,COSTS_Archer_Queen[#All],3),"/")</f>
        <v>/</v>
      </c>
      <c r="Q282" s="121">
        <f t="shared" si="137"/>
        <v>0</v>
      </c>
      <c r="R282" s="522">
        <f t="shared" si="138"/>
        <v>0</v>
      </c>
      <c r="S282" s="927">
        <v>30</v>
      </c>
      <c r="T282" s="928" t="str">
        <f>IF(Paramètres!BH35=0,"",Paramètres!BH35)</f>
        <v/>
      </c>
      <c r="U282" s="781">
        <f t="shared" si="139"/>
        <v>0</v>
      </c>
      <c r="V282" s="574" t="str">
        <f t="shared" si="140"/>
        <v>/</v>
      </c>
      <c r="W282" s="107" t="str">
        <f>IF(Y$251="Error","Error",IF(AND($W$251&lt;&gt;"/",$W$251&gt;'Paramètres - Admin'!$A31),'Paramètres - Admin'!$A32,"/"))</f>
        <v>/</v>
      </c>
      <c r="X282" s="800" t="str">
        <f>IF(W282&lt;&gt;"/",VLOOKUP(W282,COSTS_Grand_Warden[#All],2),"/")</f>
        <v>/</v>
      </c>
      <c r="Y282" s="94" t="str">
        <f>IF(W282&lt;&gt;"/",VLOOKUP(W282,COSTS_Grand_Warden[#All],3),"/")</f>
        <v>/</v>
      </c>
      <c r="Z282" s="800">
        <f t="shared" si="141"/>
        <v>0</v>
      </c>
      <c r="AA282" s="522">
        <f t="shared" si="142"/>
        <v>0</v>
      </c>
    </row>
    <row r="283" spans="1:84" ht="15" customHeight="1" x14ac:dyDescent="0.25">
      <c r="A283" s="927">
        <v>31</v>
      </c>
      <c r="B283" s="928" t="str">
        <f>IF(Paramètres!BF36=0,"",Paramètres!BF36)</f>
        <v/>
      </c>
      <c r="C283" s="781">
        <f t="shared" si="131"/>
        <v>0</v>
      </c>
      <c r="D283" s="574" t="str">
        <f t="shared" si="132"/>
        <v>/</v>
      </c>
      <c r="E283" s="107" t="str">
        <f>IF(G$251="Error","Error",IF(AND($E$251&lt;&gt;"/",$E$251&gt;'Paramètres - Admin'!$A32),'Paramètres - Admin'!$A33,"/"))</f>
        <v>/</v>
      </c>
      <c r="F283" s="121" t="str">
        <f>IF(E283&lt;&gt;"/",VLOOKUP(E283,COSTS_Barbarian_King[#All],2),"/")</f>
        <v>/</v>
      </c>
      <c r="G283" s="94" t="str">
        <f>IF(E283&lt;&gt;"/",VLOOKUP(E283,COSTS_Barbarian_King[#All],3),"/")</f>
        <v>/</v>
      </c>
      <c r="H283" s="121">
        <f t="shared" si="133"/>
        <v>0</v>
      </c>
      <c r="I283" s="522">
        <f t="shared" si="134"/>
        <v>0</v>
      </c>
      <c r="J283" s="927">
        <v>31</v>
      </c>
      <c r="K283" s="928" t="str">
        <f>IF(Paramètres!BG36=0,"",Paramètres!BG36)</f>
        <v/>
      </c>
      <c r="L283" s="781">
        <f t="shared" si="135"/>
        <v>0</v>
      </c>
      <c r="M283" s="574" t="str">
        <f t="shared" si="136"/>
        <v>/</v>
      </c>
      <c r="N283" s="107" t="str">
        <f>IF(P$251="Error","Error",IF(AND($N$251&lt;&gt;"/",$N$251&gt;'Paramètres - Admin'!$A32),'Paramètres - Admin'!$A33,"/"))</f>
        <v>/</v>
      </c>
      <c r="O283" s="121" t="str">
        <f>IF(N283&lt;&gt;"/",VLOOKUP(N283,COSTS_Archer_Queen[#All],2),"/")</f>
        <v>/</v>
      </c>
      <c r="P283" s="94" t="str">
        <f>IF(N283&lt;&gt;"/",VLOOKUP(N283,COSTS_Archer_Queen[#All],3),"/")</f>
        <v>/</v>
      </c>
      <c r="Q283" s="121">
        <f t="shared" si="137"/>
        <v>0</v>
      </c>
      <c r="R283" s="522">
        <f t="shared" si="138"/>
        <v>0</v>
      </c>
      <c r="S283" s="927">
        <v>31</v>
      </c>
      <c r="T283" s="928" t="str">
        <f>IF(Paramètres!BH36=0,"",Paramètres!BH36)</f>
        <v/>
      </c>
      <c r="U283" s="781">
        <f t="shared" si="139"/>
        <v>0</v>
      </c>
      <c r="V283" s="574" t="str">
        <f t="shared" si="140"/>
        <v>/</v>
      </c>
      <c r="W283" s="107" t="str">
        <f>IF(Y$251="Error","Error",IF(AND($W$251&lt;&gt;"/",$W$251&gt;'Paramètres - Admin'!$A32),'Paramètres - Admin'!$A33,"/"))</f>
        <v>/</v>
      </c>
      <c r="X283" s="800" t="str">
        <f>IF(W283&lt;&gt;"/",VLOOKUP(W283,COSTS_Grand_Warden[#All],2),"/")</f>
        <v>/</v>
      </c>
      <c r="Y283" s="94" t="str">
        <f>IF(W283&lt;&gt;"/",VLOOKUP(W283,COSTS_Grand_Warden[#All],3),"/")</f>
        <v>/</v>
      </c>
      <c r="Z283" s="800">
        <f t="shared" si="141"/>
        <v>0</v>
      </c>
      <c r="AA283" s="522">
        <f t="shared" si="142"/>
        <v>0</v>
      </c>
    </row>
    <row r="284" spans="1:84" ht="15" customHeight="1" x14ac:dyDescent="0.25">
      <c r="A284" s="927">
        <v>32</v>
      </c>
      <c r="B284" s="928" t="str">
        <f>IF(Paramètres!BF37=0,"",Paramètres!BF37)</f>
        <v/>
      </c>
      <c r="C284" s="781">
        <f t="shared" si="131"/>
        <v>0</v>
      </c>
      <c r="D284" s="574" t="str">
        <f t="shared" si="132"/>
        <v>/</v>
      </c>
      <c r="E284" s="107" t="str">
        <f>IF(G$251="Error","Error",IF(AND($E$251&lt;&gt;"/",$E$251&gt;'Paramètres - Admin'!$A33),'Paramètres - Admin'!$A34,"/"))</f>
        <v>/</v>
      </c>
      <c r="F284" s="121" t="str">
        <f>IF(E284&lt;&gt;"/",VLOOKUP(E284,COSTS_Barbarian_King[#All],2),"/")</f>
        <v>/</v>
      </c>
      <c r="G284" s="94" t="str">
        <f>IF(E284&lt;&gt;"/",VLOOKUP(E284,COSTS_Barbarian_King[#All],3),"/")</f>
        <v>/</v>
      </c>
      <c r="H284" s="121">
        <f t="shared" si="133"/>
        <v>0</v>
      </c>
      <c r="I284" s="522">
        <f t="shared" si="134"/>
        <v>0</v>
      </c>
      <c r="J284" s="927">
        <v>32</v>
      </c>
      <c r="K284" s="928" t="str">
        <f>IF(Paramètres!BG37=0,"",Paramètres!BG37)</f>
        <v/>
      </c>
      <c r="L284" s="781">
        <f t="shared" si="135"/>
        <v>0</v>
      </c>
      <c r="M284" s="574" t="str">
        <f t="shared" si="136"/>
        <v>/</v>
      </c>
      <c r="N284" s="107" t="str">
        <f>IF(P$251="Error","Error",IF(AND($N$251&lt;&gt;"/",$N$251&gt;'Paramètres - Admin'!$A33),'Paramètres - Admin'!$A34,"/"))</f>
        <v>/</v>
      </c>
      <c r="O284" s="121" t="str">
        <f>IF(N284&lt;&gt;"/",VLOOKUP(N284,COSTS_Archer_Queen[#All],2),"/")</f>
        <v>/</v>
      </c>
      <c r="P284" s="94" t="str">
        <f>IF(N284&lt;&gt;"/",VLOOKUP(N284,COSTS_Archer_Queen[#All],3),"/")</f>
        <v>/</v>
      </c>
      <c r="Q284" s="121">
        <f t="shared" si="137"/>
        <v>0</v>
      </c>
      <c r="R284" s="522">
        <f t="shared" si="138"/>
        <v>0</v>
      </c>
      <c r="S284" s="927">
        <v>32</v>
      </c>
      <c r="T284" s="928" t="str">
        <f>IF(Paramètres!BH37=0,"",Paramètres!BH37)</f>
        <v/>
      </c>
      <c r="U284" s="781">
        <f t="shared" si="139"/>
        <v>0</v>
      </c>
      <c r="V284" s="574" t="str">
        <f t="shared" si="140"/>
        <v>/</v>
      </c>
      <c r="W284" s="107" t="str">
        <f>IF(Y$251="Error","Error",IF(AND($W$251&lt;&gt;"/",$W$251&gt;'Paramètres - Admin'!$A33),'Paramètres - Admin'!$A34,"/"))</f>
        <v>/</v>
      </c>
      <c r="X284" s="800" t="str">
        <f>IF(W284&lt;&gt;"/",VLOOKUP(W284,COSTS_Grand_Warden[#All],2),"/")</f>
        <v>/</v>
      </c>
      <c r="Y284" s="94" t="str">
        <f>IF(W284&lt;&gt;"/",VLOOKUP(W284,COSTS_Grand_Warden[#All],3),"/")</f>
        <v>/</v>
      </c>
      <c r="Z284" s="800">
        <f t="shared" si="141"/>
        <v>0</v>
      </c>
      <c r="AA284" s="522">
        <f t="shared" si="142"/>
        <v>0</v>
      </c>
    </row>
    <row r="285" spans="1:84" ht="15" customHeight="1" x14ac:dyDescent="0.25">
      <c r="A285" s="927">
        <v>33</v>
      </c>
      <c r="B285" s="928" t="str">
        <f>IF(Paramètres!BF38=0,"",Paramètres!BF38)</f>
        <v/>
      </c>
      <c r="C285" s="781">
        <f t="shared" si="131"/>
        <v>0</v>
      </c>
      <c r="D285" s="574" t="str">
        <f t="shared" si="132"/>
        <v>/</v>
      </c>
      <c r="E285" s="107" t="str">
        <f>IF(G$251="Error","Error",IF(AND($E$251&lt;&gt;"/",$E$251&gt;'Paramètres - Admin'!$A34),'Paramètres - Admin'!$A35,"/"))</f>
        <v>/</v>
      </c>
      <c r="F285" s="121" t="str">
        <f>IF(E285&lt;&gt;"/",VLOOKUP(E285,COSTS_Barbarian_King[#All],2),"/")</f>
        <v>/</v>
      </c>
      <c r="G285" s="94" t="str">
        <f>IF(E285&lt;&gt;"/",VLOOKUP(E285,COSTS_Barbarian_King[#All],3),"/")</f>
        <v>/</v>
      </c>
      <c r="H285" s="121">
        <f t="shared" si="133"/>
        <v>0</v>
      </c>
      <c r="I285" s="522">
        <f t="shared" si="134"/>
        <v>0</v>
      </c>
      <c r="J285" s="927">
        <v>33</v>
      </c>
      <c r="K285" s="928" t="str">
        <f>IF(Paramètres!BG38=0,"",Paramètres!BG38)</f>
        <v/>
      </c>
      <c r="L285" s="781">
        <f t="shared" si="135"/>
        <v>0</v>
      </c>
      <c r="M285" s="574" t="str">
        <f t="shared" si="136"/>
        <v>/</v>
      </c>
      <c r="N285" s="107" t="str">
        <f>IF(P$251="Error","Error",IF(AND($N$251&lt;&gt;"/",$N$251&gt;'Paramètres - Admin'!$A34),'Paramètres - Admin'!$A35,"/"))</f>
        <v>/</v>
      </c>
      <c r="O285" s="121" t="str">
        <f>IF(N285&lt;&gt;"/",VLOOKUP(N285,COSTS_Archer_Queen[#All],2),"/")</f>
        <v>/</v>
      </c>
      <c r="P285" s="94" t="str">
        <f>IF(N285&lt;&gt;"/",VLOOKUP(N285,COSTS_Archer_Queen[#All],3),"/")</f>
        <v>/</v>
      </c>
      <c r="Q285" s="121">
        <f t="shared" si="137"/>
        <v>0</v>
      </c>
      <c r="R285" s="522">
        <f t="shared" si="138"/>
        <v>0</v>
      </c>
      <c r="S285" s="927">
        <v>33</v>
      </c>
      <c r="T285" s="928" t="str">
        <f>IF(Paramètres!BH38=0,"",Paramètres!BH38)</f>
        <v/>
      </c>
      <c r="U285" s="781">
        <f t="shared" si="139"/>
        <v>0</v>
      </c>
      <c r="V285" s="574" t="str">
        <f t="shared" si="140"/>
        <v>/</v>
      </c>
      <c r="W285" s="107" t="str">
        <f>IF(Y$251="Error","Error",IF(AND($W$251&lt;&gt;"/",$W$251&gt;'Paramètres - Admin'!$A34),'Paramètres - Admin'!$A35,"/"))</f>
        <v>/</v>
      </c>
      <c r="X285" s="800" t="str">
        <f>IF(W285&lt;&gt;"/",VLOOKUP(W285,COSTS_Grand_Warden[#All],2),"/")</f>
        <v>/</v>
      </c>
      <c r="Y285" s="94" t="str">
        <f>IF(W285&lt;&gt;"/",VLOOKUP(W285,COSTS_Grand_Warden[#All],3),"/")</f>
        <v>/</v>
      </c>
      <c r="Z285" s="800">
        <f t="shared" si="141"/>
        <v>0</v>
      </c>
      <c r="AA285" s="522">
        <f t="shared" si="142"/>
        <v>0</v>
      </c>
      <c r="BV285" s="525"/>
      <c r="BW285" s="525"/>
      <c r="BX285" s="525"/>
      <c r="BY285" s="525"/>
      <c r="BZ285" s="525"/>
      <c r="CA285" s="525"/>
      <c r="CB285" s="525"/>
      <c r="CC285" s="525"/>
      <c r="CD285" s="525"/>
      <c r="CE285" s="525"/>
      <c r="CF285" s="525"/>
    </row>
    <row r="286" spans="1:84" ht="15" customHeight="1" x14ac:dyDescent="0.25">
      <c r="A286" s="927">
        <v>34</v>
      </c>
      <c r="B286" s="928" t="str">
        <f>IF(Paramètres!BF39=0,"",Paramètres!BF39)</f>
        <v/>
      </c>
      <c r="C286" s="781">
        <f t="shared" si="131"/>
        <v>0</v>
      </c>
      <c r="D286" s="574" t="str">
        <f t="shared" si="132"/>
        <v>/</v>
      </c>
      <c r="E286" s="107" t="str">
        <f>IF(G$251="Error","Error",IF(AND($E$251&lt;&gt;"/",$E$251&gt;'Paramètres - Admin'!$A35),'Paramètres - Admin'!$A36,"/"))</f>
        <v>/</v>
      </c>
      <c r="F286" s="121" t="str">
        <f>IF(E286&lt;&gt;"/",VLOOKUP(E286,COSTS_Barbarian_King[#All],2),"/")</f>
        <v>/</v>
      </c>
      <c r="G286" s="94" t="str">
        <f>IF(E286&lt;&gt;"/",VLOOKUP(E286,COSTS_Barbarian_King[#All],3),"/")</f>
        <v>/</v>
      </c>
      <c r="H286" s="121">
        <f t="shared" si="133"/>
        <v>0</v>
      </c>
      <c r="I286" s="522">
        <f t="shared" si="134"/>
        <v>0</v>
      </c>
      <c r="J286" s="927">
        <v>34</v>
      </c>
      <c r="K286" s="928" t="str">
        <f>IF(Paramètres!BG39=0,"",Paramètres!BG39)</f>
        <v/>
      </c>
      <c r="L286" s="781">
        <f t="shared" si="135"/>
        <v>0</v>
      </c>
      <c r="M286" s="574" t="str">
        <f t="shared" si="136"/>
        <v>/</v>
      </c>
      <c r="N286" s="107" t="str">
        <f>IF(P$251="Error","Error",IF(AND($N$251&lt;&gt;"/",$N$251&gt;'Paramètres - Admin'!$A35),'Paramètres - Admin'!$A36,"/"))</f>
        <v>/</v>
      </c>
      <c r="O286" s="121" t="str">
        <f>IF(N286&lt;&gt;"/",VLOOKUP(N286,COSTS_Archer_Queen[#All],2),"/")</f>
        <v>/</v>
      </c>
      <c r="P286" s="94" t="str">
        <f>IF(N286&lt;&gt;"/",VLOOKUP(N286,COSTS_Archer_Queen[#All],3),"/")</f>
        <v>/</v>
      </c>
      <c r="Q286" s="121">
        <f t="shared" si="137"/>
        <v>0</v>
      </c>
      <c r="R286" s="522">
        <f t="shared" si="138"/>
        <v>0</v>
      </c>
      <c r="S286" s="927">
        <v>34</v>
      </c>
      <c r="T286" s="928" t="str">
        <f>IF(Paramètres!BH39=0,"",Paramètres!BH39)</f>
        <v/>
      </c>
      <c r="U286" s="781">
        <f t="shared" si="139"/>
        <v>0</v>
      </c>
      <c r="V286" s="574" t="str">
        <f t="shared" si="140"/>
        <v>/</v>
      </c>
      <c r="W286" s="107" t="str">
        <f>IF(Y$251="Error","Error",IF(AND($W$251&lt;&gt;"/",$W$251&gt;'Paramètres - Admin'!$A35),'Paramètres - Admin'!$A36,"/"))</f>
        <v>/</v>
      </c>
      <c r="X286" s="800" t="str">
        <f>IF(W286&lt;&gt;"/",VLOOKUP(W286,COSTS_Grand_Warden[#All],2),"/")</f>
        <v>/</v>
      </c>
      <c r="Y286" s="94" t="str">
        <f>IF(W286&lt;&gt;"/",VLOOKUP(W286,COSTS_Grand_Warden[#All],3),"/")</f>
        <v>/</v>
      </c>
      <c r="Z286" s="800">
        <f t="shared" si="141"/>
        <v>0</v>
      </c>
      <c r="AA286" s="522">
        <f t="shared" si="142"/>
        <v>0</v>
      </c>
      <c r="BV286" s="525"/>
      <c r="BW286" s="525"/>
      <c r="BX286" s="525"/>
      <c r="BY286" s="525"/>
      <c r="BZ286" s="525"/>
      <c r="CA286" s="525"/>
      <c r="CB286" s="525"/>
      <c r="CC286" s="525"/>
      <c r="CD286" s="525"/>
      <c r="CE286" s="525"/>
      <c r="CF286" s="525"/>
    </row>
    <row r="287" spans="1:84" ht="15" customHeight="1" x14ac:dyDescent="0.25">
      <c r="A287" s="927">
        <v>35</v>
      </c>
      <c r="B287" s="928" t="str">
        <f>IF(Paramètres!BF40=0,"",Paramètres!BF40)</f>
        <v/>
      </c>
      <c r="C287" s="781">
        <f t="shared" si="131"/>
        <v>0</v>
      </c>
      <c r="D287" s="574" t="str">
        <f t="shared" si="132"/>
        <v>/</v>
      </c>
      <c r="E287" s="107" t="str">
        <f>IF(G$251="Error","Error",IF(AND($E$251&lt;&gt;"/",$E$251&gt;'Paramètres - Admin'!$A36),'Paramètres - Admin'!$A37,"/"))</f>
        <v>/</v>
      </c>
      <c r="F287" s="121" t="str">
        <f>IF(E287&lt;&gt;"/",VLOOKUP(E287,COSTS_Barbarian_King[#All],2),"/")</f>
        <v>/</v>
      </c>
      <c r="G287" s="94" t="str">
        <f>IF(E287&lt;&gt;"/",VLOOKUP(E287,COSTS_Barbarian_King[#All],3),"/")</f>
        <v>/</v>
      </c>
      <c r="H287" s="121">
        <f t="shared" si="133"/>
        <v>0</v>
      </c>
      <c r="I287" s="522">
        <f t="shared" si="134"/>
        <v>0</v>
      </c>
      <c r="J287" s="927">
        <v>35</v>
      </c>
      <c r="K287" s="928" t="str">
        <f>IF(Paramètres!BG40=0,"",Paramètres!BG40)</f>
        <v/>
      </c>
      <c r="L287" s="781">
        <f t="shared" si="135"/>
        <v>0</v>
      </c>
      <c r="M287" s="574" t="str">
        <f t="shared" si="136"/>
        <v>/</v>
      </c>
      <c r="N287" s="107" t="str">
        <f>IF(P$251="Error","Error",IF(AND($N$251&lt;&gt;"/",$N$251&gt;'Paramètres - Admin'!$A36),'Paramètres - Admin'!$A37,"/"))</f>
        <v>/</v>
      </c>
      <c r="O287" s="121" t="str">
        <f>IF(N287&lt;&gt;"/",VLOOKUP(N287,COSTS_Archer_Queen[#All],2),"/")</f>
        <v>/</v>
      </c>
      <c r="P287" s="94" t="str">
        <f>IF(N287&lt;&gt;"/",VLOOKUP(N287,COSTS_Archer_Queen[#All],3),"/")</f>
        <v>/</v>
      </c>
      <c r="Q287" s="121">
        <f t="shared" si="137"/>
        <v>0</v>
      </c>
      <c r="R287" s="522">
        <f t="shared" si="138"/>
        <v>0</v>
      </c>
      <c r="S287" s="927">
        <v>35</v>
      </c>
      <c r="T287" s="928" t="str">
        <f>IF(Paramètres!BH40=0,"",Paramètres!BH40)</f>
        <v/>
      </c>
      <c r="U287" s="781">
        <f t="shared" si="139"/>
        <v>0</v>
      </c>
      <c r="V287" s="574" t="str">
        <f t="shared" si="140"/>
        <v>/</v>
      </c>
      <c r="W287" s="107" t="str">
        <f>IF(Y$251="Error","Error",IF(AND($W$251&lt;&gt;"/",$W$251&gt;'Paramètres - Admin'!$A36),'Paramètres - Admin'!$A37,"/"))</f>
        <v>/</v>
      </c>
      <c r="X287" s="800" t="str">
        <f>IF(W287&lt;&gt;"/",VLOOKUP(W287,COSTS_Grand_Warden[#All],2),"/")</f>
        <v>/</v>
      </c>
      <c r="Y287" s="94" t="str">
        <f>IF(W287&lt;&gt;"/",VLOOKUP(W287,COSTS_Grand_Warden[#All],3),"/")</f>
        <v>/</v>
      </c>
      <c r="Z287" s="800">
        <f t="shared" si="141"/>
        <v>0</v>
      </c>
      <c r="AA287" s="522">
        <f t="shared" si="142"/>
        <v>0</v>
      </c>
      <c r="BV287" s="525"/>
      <c r="BW287" s="525"/>
      <c r="BX287" s="525"/>
      <c r="BY287" s="525"/>
      <c r="BZ287" s="525"/>
      <c r="CA287" s="525"/>
      <c r="CB287" s="525"/>
      <c r="CC287" s="525"/>
      <c r="CD287" s="525"/>
      <c r="CE287" s="525"/>
      <c r="CF287" s="525"/>
    </row>
    <row r="288" spans="1:84" ht="15" customHeight="1" x14ac:dyDescent="0.25">
      <c r="A288" s="927">
        <v>36</v>
      </c>
      <c r="B288" s="928" t="str">
        <f>IF(Paramètres!BF41=0,"",Paramètres!BF41)</f>
        <v/>
      </c>
      <c r="C288" s="781">
        <f t="shared" si="131"/>
        <v>0</v>
      </c>
      <c r="D288" s="574" t="str">
        <f t="shared" si="132"/>
        <v>/</v>
      </c>
      <c r="E288" s="107" t="str">
        <f>IF(G$251="Error","Error",IF(AND($E$251&lt;&gt;"/",$E$251&gt;'Paramètres - Admin'!$A37),'Paramètres - Admin'!$A38,"/"))</f>
        <v>/</v>
      </c>
      <c r="F288" s="121" t="str">
        <f>IF(E288&lt;&gt;"/",VLOOKUP(E288,COSTS_Barbarian_King[#All],2),"/")</f>
        <v>/</v>
      </c>
      <c r="G288" s="94" t="str">
        <f>IF(E288&lt;&gt;"/",VLOOKUP(E288,COSTS_Barbarian_King[#All],3),"/")</f>
        <v>/</v>
      </c>
      <c r="H288" s="121">
        <f t="shared" si="133"/>
        <v>0</v>
      </c>
      <c r="I288" s="522">
        <f t="shared" si="134"/>
        <v>0</v>
      </c>
      <c r="J288" s="927">
        <v>36</v>
      </c>
      <c r="K288" s="928" t="str">
        <f>IF(Paramètres!BG41=0,"",Paramètres!BG41)</f>
        <v/>
      </c>
      <c r="L288" s="781">
        <f t="shared" si="135"/>
        <v>0</v>
      </c>
      <c r="M288" s="574" t="str">
        <f t="shared" si="136"/>
        <v>/</v>
      </c>
      <c r="N288" s="107" t="str">
        <f>IF(P$251="Error","Error",IF(AND($N$251&lt;&gt;"/",$N$251&gt;'Paramètres - Admin'!$A37),'Paramètres - Admin'!$A38,"/"))</f>
        <v>/</v>
      </c>
      <c r="O288" s="121" t="str">
        <f>IF(N288&lt;&gt;"/",VLOOKUP(N288,COSTS_Archer_Queen[#All],2),"/")</f>
        <v>/</v>
      </c>
      <c r="P288" s="94" t="str">
        <f>IF(N288&lt;&gt;"/",VLOOKUP(N288,COSTS_Archer_Queen[#All],3),"/")</f>
        <v>/</v>
      </c>
      <c r="Q288" s="121">
        <f t="shared" si="137"/>
        <v>0</v>
      </c>
      <c r="R288" s="522">
        <f t="shared" si="138"/>
        <v>0</v>
      </c>
      <c r="S288" s="927">
        <v>36</v>
      </c>
      <c r="T288" s="928" t="str">
        <f>IF(Paramètres!BH41=0,"",Paramètres!BH41)</f>
        <v/>
      </c>
      <c r="U288" s="781">
        <f t="shared" si="139"/>
        <v>0</v>
      </c>
      <c r="V288" s="574" t="str">
        <f t="shared" si="140"/>
        <v>/</v>
      </c>
      <c r="W288" s="107" t="str">
        <f>IF(Y$251="Error","Error",IF(AND($W$251&lt;&gt;"/",$W$251&gt;'Paramètres - Admin'!$A37),'Paramètres - Admin'!$A38,"/"))</f>
        <v>/</v>
      </c>
      <c r="X288" s="800" t="str">
        <f>IF(W288&lt;&gt;"/",VLOOKUP(W288,COSTS_Grand_Warden[#All],2),"/")</f>
        <v>/</v>
      </c>
      <c r="Y288" s="94" t="str">
        <f>IF(W288&lt;&gt;"/",VLOOKUP(W288,COSTS_Grand_Warden[#All],3),"/")</f>
        <v>/</v>
      </c>
      <c r="Z288" s="800">
        <f t="shared" si="141"/>
        <v>0</v>
      </c>
      <c r="AA288" s="522">
        <f t="shared" si="142"/>
        <v>0</v>
      </c>
      <c r="BV288" s="525"/>
      <c r="BW288" s="525"/>
      <c r="BX288" s="525"/>
      <c r="BY288" s="525"/>
      <c r="BZ288" s="525"/>
      <c r="CA288" s="525"/>
      <c r="CB288" s="525"/>
      <c r="CC288" s="525"/>
      <c r="CD288" s="525"/>
      <c r="CE288" s="525"/>
      <c r="CF288" s="525"/>
    </row>
    <row r="289" spans="1:84" ht="15" customHeight="1" x14ac:dyDescent="0.25">
      <c r="A289" s="927">
        <v>37</v>
      </c>
      <c r="B289" s="928" t="str">
        <f>IF(Paramètres!BF42=0,"",Paramètres!BF42)</f>
        <v/>
      </c>
      <c r="C289" s="781">
        <f t="shared" si="131"/>
        <v>0</v>
      </c>
      <c r="D289" s="574" t="str">
        <f t="shared" si="132"/>
        <v>/</v>
      </c>
      <c r="E289" s="107" t="str">
        <f>IF(G$251="Error","Error",IF(AND($E$251&lt;&gt;"/",$E$251&gt;'Paramètres - Admin'!$A38),'Paramètres - Admin'!$A39,"/"))</f>
        <v>/</v>
      </c>
      <c r="F289" s="121" t="str">
        <f>IF(E289&lt;&gt;"/",VLOOKUP(E289,COSTS_Barbarian_King[#All],2),"/")</f>
        <v>/</v>
      </c>
      <c r="G289" s="94" t="str">
        <f>IF(E289&lt;&gt;"/",VLOOKUP(E289,COSTS_Barbarian_King[#All],3),"/")</f>
        <v>/</v>
      </c>
      <c r="H289" s="121">
        <f t="shared" si="133"/>
        <v>0</v>
      </c>
      <c r="I289" s="522">
        <f t="shared" si="134"/>
        <v>0</v>
      </c>
      <c r="J289" s="927">
        <v>37</v>
      </c>
      <c r="K289" s="928" t="str">
        <f>IF(Paramètres!BG42=0,"",Paramètres!BG42)</f>
        <v/>
      </c>
      <c r="L289" s="781">
        <f t="shared" si="135"/>
        <v>0</v>
      </c>
      <c r="M289" s="574" t="str">
        <f t="shared" si="136"/>
        <v>/</v>
      </c>
      <c r="N289" s="107" t="str">
        <f>IF(P$251="Error","Error",IF(AND($N$251&lt;&gt;"/",$N$251&gt;'Paramètres - Admin'!$A38),'Paramètres - Admin'!$A39,"/"))</f>
        <v>/</v>
      </c>
      <c r="O289" s="121" t="str">
        <f>IF(N289&lt;&gt;"/",VLOOKUP(N289,COSTS_Archer_Queen[#All],2),"/")</f>
        <v>/</v>
      </c>
      <c r="P289" s="94" t="str">
        <f>IF(N289&lt;&gt;"/",VLOOKUP(N289,COSTS_Archer_Queen[#All],3),"/")</f>
        <v>/</v>
      </c>
      <c r="Q289" s="121">
        <f t="shared" si="137"/>
        <v>0</v>
      </c>
      <c r="R289" s="522">
        <f t="shared" si="138"/>
        <v>0</v>
      </c>
      <c r="S289" s="927">
        <v>37</v>
      </c>
      <c r="T289" s="928" t="str">
        <f>IF(Paramètres!BH42=0,"",Paramètres!BH42)</f>
        <v/>
      </c>
      <c r="U289" s="781">
        <f t="shared" si="139"/>
        <v>0</v>
      </c>
      <c r="V289" s="574" t="str">
        <f t="shared" si="140"/>
        <v>/</v>
      </c>
      <c r="W289" s="107" t="str">
        <f>IF(Y$251="Error","Error",IF(AND($W$251&lt;&gt;"/",$W$251&gt;'Paramètres - Admin'!$A38),'Paramètres - Admin'!$A39,"/"))</f>
        <v>/</v>
      </c>
      <c r="X289" s="800" t="str">
        <f>IF(W289&lt;&gt;"/",VLOOKUP(W289,COSTS_Grand_Warden[#All],2),"/")</f>
        <v>/</v>
      </c>
      <c r="Y289" s="94" t="str">
        <f>IF(W289&lt;&gt;"/",VLOOKUP(W289,COSTS_Grand_Warden[#All],3),"/")</f>
        <v>/</v>
      </c>
      <c r="Z289" s="800">
        <f t="shared" si="141"/>
        <v>0</v>
      </c>
      <c r="AA289" s="522">
        <f t="shared" si="142"/>
        <v>0</v>
      </c>
      <c r="BK289" s="525"/>
      <c r="BL289" s="525"/>
      <c r="BM289" s="525"/>
      <c r="BN289" s="525"/>
      <c r="BO289" s="525"/>
      <c r="BP289" s="525"/>
      <c r="BQ289" s="525"/>
      <c r="BR289" s="525"/>
      <c r="BS289" s="525"/>
      <c r="BT289" s="525"/>
      <c r="BU289" s="525"/>
      <c r="BV289" s="525"/>
      <c r="BW289" s="525"/>
      <c r="BX289" s="525"/>
      <c r="BY289" s="525"/>
      <c r="BZ289" s="525"/>
      <c r="CA289" s="525"/>
      <c r="CB289" s="525"/>
      <c r="CC289" s="525"/>
      <c r="CD289" s="525"/>
      <c r="CE289" s="525"/>
      <c r="CF289" s="525"/>
    </row>
    <row r="290" spans="1:84" ht="15" customHeight="1" x14ac:dyDescent="0.25">
      <c r="A290" s="927">
        <v>38</v>
      </c>
      <c r="B290" s="928" t="str">
        <f>IF(Paramètres!BF43=0,"",Paramètres!BF43)</f>
        <v/>
      </c>
      <c r="C290" s="781">
        <f t="shared" si="131"/>
        <v>0</v>
      </c>
      <c r="D290" s="574" t="str">
        <f t="shared" si="132"/>
        <v>/</v>
      </c>
      <c r="E290" s="107" t="str">
        <f>IF(G$251="Error","Error",IF(AND($E$251&lt;&gt;"/",$E$251&gt;'Paramètres - Admin'!$A39),'Paramètres - Admin'!$A40,"/"))</f>
        <v>/</v>
      </c>
      <c r="F290" s="121" t="str">
        <f>IF(E290&lt;&gt;"/",VLOOKUP(E290,COSTS_Barbarian_King[#All],2),"/")</f>
        <v>/</v>
      </c>
      <c r="G290" s="94" t="str">
        <f>IF(E290&lt;&gt;"/",VLOOKUP(E290,COSTS_Barbarian_King[#All],3),"/")</f>
        <v>/</v>
      </c>
      <c r="H290" s="121">
        <f t="shared" si="133"/>
        <v>0</v>
      </c>
      <c r="I290" s="522">
        <f t="shared" si="134"/>
        <v>0</v>
      </c>
      <c r="J290" s="927">
        <v>38</v>
      </c>
      <c r="K290" s="928" t="str">
        <f>IF(Paramètres!BG43=0,"",Paramètres!BG43)</f>
        <v/>
      </c>
      <c r="L290" s="781">
        <f t="shared" si="135"/>
        <v>0</v>
      </c>
      <c r="M290" s="574" t="str">
        <f t="shared" si="136"/>
        <v>/</v>
      </c>
      <c r="N290" s="107" t="str">
        <f>IF(P$251="Error","Error",IF(AND($N$251&lt;&gt;"/",$N$251&gt;'Paramètres - Admin'!$A39),'Paramètres - Admin'!$A40,"/"))</f>
        <v>/</v>
      </c>
      <c r="O290" s="121" t="str">
        <f>IF(N290&lt;&gt;"/",VLOOKUP(N290,COSTS_Archer_Queen[#All],2),"/")</f>
        <v>/</v>
      </c>
      <c r="P290" s="94" t="str">
        <f>IF(N290&lt;&gt;"/",VLOOKUP(N290,COSTS_Archer_Queen[#All],3),"/")</f>
        <v>/</v>
      </c>
      <c r="Q290" s="121">
        <f t="shared" si="137"/>
        <v>0</v>
      </c>
      <c r="R290" s="522">
        <f t="shared" si="138"/>
        <v>0</v>
      </c>
      <c r="S290" s="927">
        <v>38</v>
      </c>
      <c r="T290" s="928" t="str">
        <f>IF(Paramètres!BH43=0,"",Paramètres!BH43)</f>
        <v/>
      </c>
      <c r="U290" s="781">
        <f t="shared" si="139"/>
        <v>0</v>
      </c>
      <c r="V290" s="574" t="str">
        <f t="shared" si="140"/>
        <v>/</v>
      </c>
      <c r="W290" s="107" t="str">
        <f>IF(Y$251="Error","Error",IF(AND($W$251&lt;&gt;"/",$W$251&gt;'Paramètres - Admin'!$A39),'Paramètres - Admin'!$A40,"/"))</f>
        <v>/</v>
      </c>
      <c r="X290" s="800" t="str">
        <f>IF(W290&lt;&gt;"/",VLOOKUP(W290,COSTS_Grand_Warden[#All],2),"/")</f>
        <v>/</v>
      </c>
      <c r="Y290" s="94" t="str">
        <f>IF(W290&lt;&gt;"/",VLOOKUP(W290,COSTS_Grand_Warden[#All],3),"/")</f>
        <v>/</v>
      </c>
      <c r="Z290" s="800">
        <f t="shared" si="141"/>
        <v>0</v>
      </c>
      <c r="AA290" s="522">
        <f t="shared" si="142"/>
        <v>0</v>
      </c>
      <c r="BK290" s="525"/>
      <c r="BL290" s="525"/>
      <c r="BM290" s="525"/>
      <c r="BN290" s="525"/>
      <c r="BO290" s="525"/>
      <c r="BP290" s="525"/>
      <c r="BQ290" s="525"/>
      <c r="BR290" s="525"/>
      <c r="BS290" s="525"/>
      <c r="BT290" s="525"/>
      <c r="BU290" s="525"/>
      <c r="BV290" s="525"/>
      <c r="BW290" s="525"/>
      <c r="BX290" s="525"/>
      <c r="BY290" s="525"/>
      <c r="BZ290" s="525"/>
      <c r="CA290" s="525"/>
      <c r="CB290" s="525"/>
      <c r="CC290" s="525"/>
      <c r="CD290" s="525"/>
      <c r="CE290" s="525"/>
      <c r="CF290" s="525"/>
    </row>
    <row r="291" spans="1:84" ht="15" customHeight="1" x14ac:dyDescent="0.25">
      <c r="A291" s="927">
        <v>39</v>
      </c>
      <c r="B291" s="928" t="str">
        <f>IF(Paramètres!BF44=0,"",Paramètres!BF44)</f>
        <v/>
      </c>
      <c r="C291" s="781">
        <f t="shared" si="131"/>
        <v>0</v>
      </c>
      <c r="D291" s="574" t="str">
        <f t="shared" si="132"/>
        <v>/</v>
      </c>
      <c r="E291" s="107" t="str">
        <f>IF(G$251="Error","Error",IF(AND($E$251&lt;&gt;"/",$E$251&gt;'Paramètres - Admin'!$A40),'Paramètres - Admin'!$A41,"/"))</f>
        <v>/</v>
      </c>
      <c r="F291" s="121" t="str">
        <f>IF(E291&lt;&gt;"/",VLOOKUP(E291,COSTS_Barbarian_King[#All],2),"/")</f>
        <v>/</v>
      </c>
      <c r="G291" s="94" t="str">
        <f>IF(E291&lt;&gt;"/",VLOOKUP(E291,COSTS_Barbarian_King[#All],3),"/")</f>
        <v>/</v>
      </c>
      <c r="H291" s="121">
        <f t="shared" si="133"/>
        <v>0</v>
      </c>
      <c r="I291" s="522">
        <f t="shared" si="134"/>
        <v>0</v>
      </c>
      <c r="J291" s="927">
        <v>39</v>
      </c>
      <c r="K291" s="928" t="str">
        <f>IF(Paramètres!BG44=0,"",Paramètres!BG44)</f>
        <v/>
      </c>
      <c r="L291" s="781">
        <f t="shared" si="135"/>
        <v>0</v>
      </c>
      <c r="M291" s="574" t="str">
        <f t="shared" si="136"/>
        <v>/</v>
      </c>
      <c r="N291" s="107" t="str">
        <f>IF(P$251="Error","Error",IF(AND($N$251&lt;&gt;"/",$N$251&gt;'Paramètres - Admin'!$A40),'Paramètres - Admin'!$A41,"/"))</f>
        <v>/</v>
      </c>
      <c r="O291" s="121" t="str">
        <f>IF(N291&lt;&gt;"/",VLOOKUP(N291,COSTS_Archer_Queen[#All],2),"/")</f>
        <v>/</v>
      </c>
      <c r="P291" s="94" t="str">
        <f>IF(N291&lt;&gt;"/",VLOOKUP(N291,COSTS_Archer_Queen[#All],3),"/")</f>
        <v>/</v>
      </c>
      <c r="Q291" s="121">
        <f t="shared" si="137"/>
        <v>0</v>
      </c>
      <c r="R291" s="522">
        <f t="shared" si="138"/>
        <v>0</v>
      </c>
      <c r="S291" s="927">
        <v>39</v>
      </c>
      <c r="T291" s="928" t="str">
        <f>IF(Paramètres!BH44=0,"",Paramètres!BH44)</f>
        <v/>
      </c>
      <c r="U291" s="781">
        <f t="shared" si="139"/>
        <v>0</v>
      </c>
      <c r="V291" s="574" t="str">
        <f t="shared" si="140"/>
        <v>/</v>
      </c>
      <c r="W291" s="107" t="str">
        <f>IF(Y$251="Error","Error",IF(AND($W$251&lt;&gt;"/",$W$251&gt;'Paramètres - Admin'!$A40),'Paramètres - Admin'!$A41,"/"))</f>
        <v>/</v>
      </c>
      <c r="X291" s="800" t="str">
        <f>IF(W291&lt;&gt;"/",VLOOKUP(W291,COSTS_Grand_Warden[#All],2),"/")</f>
        <v>/</v>
      </c>
      <c r="Y291" s="94" t="str">
        <f>IF(W291&lt;&gt;"/",VLOOKUP(W291,COSTS_Grand_Warden[#All],3),"/")</f>
        <v>/</v>
      </c>
      <c r="Z291" s="800">
        <f t="shared" si="141"/>
        <v>0</v>
      </c>
      <c r="AA291" s="522">
        <f t="shared" si="142"/>
        <v>0</v>
      </c>
      <c r="AP291" s="525"/>
      <c r="AQ291" s="525"/>
      <c r="AR291" s="525"/>
      <c r="AS291" s="525"/>
      <c r="AT291" s="525"/>
      <c r="AU291" s="525"/>
      <c r="AV291" s="525"/>
      <c r="AW291" s="525"/>
      <c r="AX291" s="525"/>
      <c r="AY291" s="525"/>
      <c r="BK291" s="525"/>
      <c r="BL291" s="525"/>
      <c r="BM291" s="525"/>
      <c r="BN291" s="525"/>
      <c r="BO291" s="525"/>
      <c r="BP291" s="525"/>
      <c r="BQ291" s="525"/>
      <c r="BR291" s="525"/>
      <c r="BS291" s="525"/>
      <c r="BT291" s="525"/>
      <c r="BU291" s="525"/>
      <c r="BV291" s="525"/>
      <c r="BW291" s="525"/>
      <c r="BX291" s="525"/>
      <c r="BY291" s="525"/>
      <c r="BZ291" s="525"/>
      <c r="CA291" s="525"/>
      <c r="CB291" s="525"/>
      <c r="CC291" s="525"/>
      <c r="CD291" s="525"/>
      <c r="CE291" s="525"/>
      <c r="CF291" s="525"/>
    </row>
    <row r="292" spans="1:84" ht="15" customHeight="1" thickBot="1" x14ac:dyDescent="0.3">
      <c r="A292" s="929">
        <v>40</v>
      </c>
      <c r="B292" s="930" t="str">
        <f>IF(Paramètres!BF45=0,"",Paramètres!BF45)</f>
        <v/>
      </c>
      <c r="C292" s="782">
        <f t="shared" si="131"/>
        <v>0</v>
      </c>
      <c r="D292" s="575" t="str">
        <f t="shared" si="132"/>
        <v>/</v>
      </c>
      <c r="E292" s="113" t="str">
        <f>IF(G$251="Error","Error",IF(AND($E$251&lt;&gt;"/",$E$251&gt;'Paramètres - Admin'!$A41),'Paramètres - Admin'!$A42,"/"))</f>
        <v>/</v>
      </c>
      <c r="F292" s="203" t="str">
        <f>IF(E292&lt;&gt;"/",VLOOKUP(E292,COSTS_Barbarian_King[#All],2),"/")</f>
        <v>/</v>
      </c>
      <c r="G292" s="112" t="str">
        <f>IF(E292&lt;&gt;"/",VLOOKUP(E292,COSTS_Barbarian_King[#All],3),"/")</f>
        <v>/</v>
      </c>
      <c r="H292" s="203">
        <f t="shared" si="133"/>
        <v>0</v>
      </c>
      <c r="I292" s="114">
        <f t="shared" si="134"/>
        <v>0</v>
      </c>
      <c r="J292" s="929">
        <v>40</v>
      </c>
      <c r="K292" s="930" t="str">
        <f>IF(Paramètres!BG45=0,"",Paramètres!BG45)</f>
        <v/>
      </c>
      <c r="L292" s="782">
        <f t="shared" si="135"/>
        <v>0</v>
      </c>
      <c r="M292" s="575" t="str">
        <f t="shared" si="136"/>
        <v>/</v>
      </c>
      <c r="N292" s="113" t="str">
        <f>IF(P$251="Error","Error",IF(AND($N$251&lt;&gt;"/",$N$251&gt;'Paramètres - Admin'!$A41),'Paramètres - Admin'!$A42,"/"))</f>
        <v>/</v>
      </c>
      <c r="O292" s="203" t="str">
        <f>IF(N292&lt;&gt;"/",VLOOKUP(N292,COSTS_Archer_Queen[#All],2),"/")</f>
        <v>/</v>
      </c>
      <c r="P292" s="112" t="str">
        <f>IF(N292&lt;&gt;"/",VLOOKUP(N292,COSTS_Archer_Queen[#All],3),"/")</f>
        <v>/</v>
      </c>
      <c r="Q292" s="203">
        <f t="shared" si="137"/>
        <v>0</v>
      </c>
      <c r="R292" s="114">
        <f t="shared" si="138"/>
        <v>0</v>
      </c>
      <c r="S292" s="929">
        <v>40</v>
      </c>
      <c r="T292" s="930" t="str">
        <f>IF(Paramètres!BH45=0,"",Paramètres!BH45)</f>
        <v/>
      </c>
      <c r="U292" s="782">
        <f t="shared" si="139"/>
        <v>0</v>
      </c>
      <c r="V292" s="575" t="str">
        <f t="shared" si="140"/>
        <v>/</v>
      </c>
      <c r="W292" s="113" t="str">
        <f>IF(Y$251="Error","Error",IF(AND($W$251&lt;&gt;"/",$W$251&gt;'Paramètres - Admin'!$A41),'Paramètres - Admin'!$A42,"/"))</f>
        <v>/</v>
      </c>
      <c r="X292" s="918" t="str">
        <f>IF(W292&lt;&gt;"/",VLOOKUP(W292,COSTS_Grand_Warden[#All],2),"/")</f>
        <v>/</v>
      </c>
      <c r="Y292" s="112" t="str">
        <f>IF(W292&lt;&gt;"/",VLOOKUP(W292,COSTS_Grand_Warden[#All],3),"/")</f>
        <v>/</v>
      </c>
      <c r="Z292" s="918">
        <f t="shared" si="141"/>
        <v>0</v>
      </c>
      <c r="AA292" s="114">
        <f t="shared" si="142"/>
        <v>0</v>
      </c>
      <c r="AO292" s="525"/>
      <c r="AP292" s="525"/>
      <c r="AQ292" s="525"/>
      <c r="AR292" s="525"/>
      <c r="AS292" s="525"/>
      <c r="AT292" s="525"/>
      <c r="AU292" s="525"/>
      <c r="AV292" s="525"/>
      <c r="AW292" s="525"/>
      <c r="AX292" s="525"/>
      <c r="AY292" s="525"/>
      <c r="BK292" s="525"/>
      <c r="BL292" s="525"/>
      <c r="BM292" s="525"/>
      <c r="BN292" s="525"/>
      <c r="BO292" s="525"/>
      <c r="BP292" s="525"/>
      <c r="BQ292" s="525"/>
      <c r="BR292" s="525"/>
      <c r="BS292" s="525"/>
      <c r="BT292" s="525"/>
      <c r="BU292" s="525"/>
      <c r="BV292" s="525"/>
      <c r="BW292" s="525"/>
      <c r="BX292" s="525"/>
      <c r="BY292" s="525"/>
      <c r="BZ292" s="525"/>
      <c r="CA292" s="525"/>
      <c r="CB292" s="525"/>
      <c r="CC292" s="525"/>
      <c r="CD292" s="525"/>
      <c r="CE292" s="525"/>
      <c r="CF292" s="525"/>
    </row>
    <row r="293" spans="1:84" s="525" customFormat="1" ht="15" customHeight="1" thickBot="1" x14ac:dyDescent="0.3">
      <c r="A293" s="910"/>
      <c r="B293" s="911"/>
      <c r="C293" s="911"/>
      <c r="D293" s="911"/>
      <c r="E293" s="911"/>
      <c r="F293" s="912"/>
      <c r="G293" s="511" t="s">
        <v>31</v>
      </c>
      <c r="H293" s="224">
        <f>IF(G$251="Error","Error",SUM(H253:H292))</f>
        <v>0</v>
      </c>
      <c r="I293" s="222">
        <f>IF(G$251="Error","Error",SUM(I253:I292))</f>
        <v>0</v>
      </c>
      <c r="J293" s="907"/>
      <c r="K293" s="908"/>
      <c r="L293" s="908"/>
      <c r="M293" s="908"/>
      <c r="N293" s="908"/>
      <c r="O293" s="909"/>
      <c r="P293" s="511" t="s">
        <v>31</v>
      </c>
      <c r="Q293" s="224">
        <f>IF(P$251="Error","Error",SUM(Q253:Q292))</f>
        <v>0</v>
      </c>
      <c r="R293" s="222">
        <f>IF(P$251="Error","Error",SUM(R253:R292))</f>
        <v>0</v>
      </c>
      <c r="S293" s="907"/>
      <c r="T293" s="908"/>
      <c r="U293" s="908"/>
      <c r="V293" s="908"/>
      <c r="W293" s="908"/>
      <c r="X293" s="909"/>
      <c r="Y293" s="511" t="s">
        <v>31</v>
      </c>
      <c r="Z293" s="919">
        <f>IF(Y$251="Error","Error",SUM(Z253:Z292))</f>
        <v>0</v>
      </c>
      <c r="AA293" s="534">
        <f>IF(Y$251="Error","Error",SUM(AA253:AA292))</f>
        <v>0</v>
      </c>
    </row>
    <row r="294" spans="1:84" s="525" customFormat="1" ht="15" customHeight="1" x14ac:dyDescent="0.25">
      <c r="A294" s="129"/>
      <c r="B294" s="129"/>
      <c r="C294" s="129"/>
      <c r="D294" s="129"/>
      <c r="E294" s="129"/>
      <c r="F294" s="129"/>
      <c r="G294" s="128"/>
      <c r="H294" s="128"/>
      <c r="I294" s="128"/>
      <c r="J294" s="128"/>
      <c r="K294" s="128"/>
      <c r="L294" s="128"/>
      <c r="M294" s="128"/>
      <c r="N294" s="128"/>
      <c r="O294" s="128"/>
      <c r="P294" s="128"/>
      <c r="Q294" s="128"/>
      <c r="R294" s="128"/>
      <c r="S294" s="128"/>
      <c r="T294" s="128"/>
      <c r="U294" s="128"/>
      <c r="V294" s="128"/>
    </row>
    <row r="295" spans="1:84" s="525" customFormat="1" ht="15" customHeight="1" x14ac:dyDescent="0.25">
      <c r="A295" s="129"/>
      <c r="B295" s="129"/>
      <c r="C295" s="129"/>
      <c r="D295" s="129"/>
      <c r="E295" s="129"/>
      <c r="F295" s="129"/>
    </row>
    <row r="296" spans="1:84" s="525" customFormat="1" ht="20.100000000000001" customHeight="1" x14ac:dyDescent="0.25"/>
    <row r="297" spans="1:84" s="525" customFormat="1" ht="15" customHeight="1" x14ac:dyDescent="0.25"/>
    <row r="298" spans="1:84" s="525" customFormat="1" ht="15" customHeight="1" x14ac:dyDescent="0.25"/>
    <row r="299" spans="1:84" s="525" customFormat="1" ht="15" customHeight="1" x14ac:dyDescent="0.25"/>
    <row r="300" spans="1:84" s="525" customFormat="1" ht="15" customHeight="1" x14ac:dyDescent="0.25">
      <c r="BV300" s="128"/>
      <c r="BW300" s="128"/>
      <c r="BX300" s="128"/>
      <c r="BY300" s="128"/>
      <c r="BZ300" s="128"/>
      <c r="CA300" s="128"/>
      <c r="CB300" s="128"/>
      <c r="CC300" s="128"/>
      <c r="CD300" s="128"/>
      <c r="CE300" s="128"/>
      <c r="CF300" s="128"/>
    </row>
    <row r="301" spans="1:84" s="525" customFormat="1" ht="15" customHeight="1" x14ac:dyDescent="0.25">
      <c r="BV301" s="128"/>
      <c r="BW301" s="128"/>
      <c r="BX301" s="128"/>
      <c r="BY301" s="128"/>
      <c r="BZ301" s="128"/>
      <c r="CA301" s="128"/>
      <c r="CB301" s="128"/>
      <c r="CC301" s="128"/>
      <c r="CD301" s="128"/>
      <c r="CE301" s="128"/>
      <c r="CF301" s="128"/>
    </row>
    <row r="302" spans="1:84" s="525" customFormat="1" ht="15" customHeight="1" x14ac:dyDescent="0.25">
      <c r="BV302" s="128"/>
      <c r="BW302" s="128"/>
      <c r="BX302" s="128"/>
      <c r="BY302" s="128"/>
      <c r="BZ302" s="128"/>
      <c r="CA302" s="128"/>
      <c r="CB302" s="128"/>
      <c r="CC302" s="128"/>
      <c r="CD302" s="128"/>
      <c r="CE302" s="128"/>
      <c r="CF302" s="128"/>
    </row>
    <row r="303" spans="1:84" s="525" customFormat="1" ht="15" customHeight="1" x14ac:dyDescent="0.25"/>
    <row r="304" spans="1:84" s="525" customFormat="1" ht="15" customHeight="1" x14ac:dyDescent="0.25">
      <c r="BK304" s="128"/>
      <c r="BL304" s="128"/>
      <c r="BM304" s="128"/>
      <c r="BN304" s="128"/>
      <c r="BO304" s="128"/>
      <c r="BP304" s="128"/>
      <c r="BQ304" s="128"/>
      <c r="BR304" s="128"/>
      <c r="BS304" s="128"/>
      <c r="BT304" s="128"/>
      <c r="BU304" s="128"/>
      <c r="BV304" s="128"/>
      <c r="BW304" s="128"/>
      <c r="BX304" s="128"/>
      <c r="BY304" s="128"/>
      <c r="BZ304" s="128"/>
      <c r="CA304" s="128"/>
      <c r="CB304" s="128"/>
      <c r="CC304" s="128"/>
      <c r="CD304" s="128"/>
      <c r="CE304" s="128"/>
      <c r="CF304" s="128"/>
    </row>
    <row r="305" spans="1:84" s="525" customFormat="1" ht="15" customHeight="1" x14ac:dyDescent="0.25">
      <c r="BK305" s="128"/>
      <c r="BL305" s="128"/>
      <c r="BM305" s="128"/>
      <c r="BN305" s="128"/>
      <c r="BO305" s="128"/>
      <c r="BP305" s="128"/>
      <c r="BQ305" s="128"/>
      <c r="BR305" s="128"/>
      <c r="BS305" s="128"/>
      <c r="BT305" s="128"/>
      <c r="BU305" s="128"/>
      <c r="BV305" s="128"/>
      <c r="BW305" s="128"/>
      <c r="BX305" s="128"/>
      <c r="BY305" s="128"/>
      <c r="BZ305" s="128"/>
      <c r="CA305" s="128"/>
      <c r="CB305" s="128"/>
      <c r="CC305" s="128"/>
      <c r="CD305" s="128"/>
      <c r="CE305" s="128"/>
      <c r="CF305" s="128"/>
    </row>
    <row r="306" spans="1:84" s="525" customFormat="1" ht="15" customHeight="1" x14ac:dyDescent="0.25">
      <c r="AO306" s="128"/>
      <c r="AP306" s="128"/>
      <c r="AQ306" s="128"/>
      <c r="AR306" s="128"/>
      <c r="AS306" s="128"/>
      <c r="AT306" s="128"/>
      <c r="AU306" s="128"/>
      <c r="AV306" s="128"/>
      <c r="AW306" s="128"/>
      <c r="AX306" s="128"/>
      <c r="AY306" s="128"/>
      <c r="BK306" s="128"/>
      <c r="BL306" s="128"/>
      <c r="BM306" s="128"/>
      <c r="BN306" s="128"/>
      <c r="BO306" s="128"/>
      <c r="BP306" s="128"/>
      <c r="BQ306" s="128"/>
      <c r="BR306" s="128"/>
      <c r="BS306" s="128"/>
      <c r="BT306" s="128"/>
      <c r="BU306" s="128"/>
      <c r="BV306" s="128"/>
      <c r="BW306" s="128"/>
      <c r="BX306" s="128"/>
      <c r="BY306" s="128"/>
      <c r="BZ306" s="128"/>
      <c r="CA306" s="128"/>
      <c r="CB306" s="128"/>
      <c r="CC306" s="128"/>
      <c r="CD306" s="128"/>
      <c r="CE306" s="128"/>
      <c r="CF306" s="128"/>
    </row>
    <row r="307" spans="1:84" s="525" customFormat="1" ht="15" customHeight="1" x14ac:dyDescent="0.25">
      <c r="AO307" s="128"/>
      <c r="AP307" s="128"/>
      <c r="AQ307" s="128"/>
      <c r="AR307" s="128"/>
      <c r="AS307" s="128"/>
      <c r="AT307" s="128"/>
      <c r="AU307" s="128"/>
      <c r="AV307" s="128"/>
      <c r="AW307" s="128"/>
      <c r="AX307" s="128"/>
      <c r="AY307" s="128"/>
      <c r="BV307" s="128"/>
      <c r="BW307" s="128"/>
      <c r="BX307" s="128"/>
      <c r="BY307" s="128"/>
      <c r="BZ307" s="128"/>
      <c r="CA307" s="128"/>
      <c r="CB307" s="128"/>
      <c r="CC307" s="128"/>
      <c r="CD307" s="128"/>
      <c r="CE307" s="128"/>
      <c r="CF307" s="128"/>
    </row>
    <row r="308" spans="1:84" ht="15" customHeight="1" x14ac:dyDescent="0.25">
      <c r="A308" s="128"/>
      <c r="B308" s="128"/>
      <c r="C308" s="128"/>
      <c r="D308" s="128"/>
      <c r="E308" s="128"/>
      <c r="F308" s="128"/>
    </row>
    <row r="309" spans="1:84" ht="15" customHeight="1" x14ac:dyDescent="0.25">
      <c r="A309" s="128"/>
      <c r="B309" s="128"/>
      <c r="C309" s="128"/>
      <c r="D309" s="128"/>
      <c r="E309" s="128"/>
      <c r="F309" s="128"/>
      <c r="AO309" s="525"/>
      <c r="AP309" s="525"/>
      <c r="AQ309" s="525"/>
      <c r="AR309" s="525"/>
      <c r="AS309" s="525"/>
      <c r="AT309" s="525"/>
      <c r="AU309" s="525"/>
      <c r="AV309" s="525"/>
      <c r="AW309" s="525"/>
      <c r="AX309" s="525"/>
      <c r="AY309" s="525"/>
    </row>
    <row r="310" spans="1:84" ht="15" customHeight="1" x14ac:dyDescent="0.25">
      <c r="A310" s="128"/>
      <c r="B310" s="128"/>
      <c r="C310" s="128"/>
      <c r="D310" s="128"/>
      <c r="E310" s="128"/>
      <c r="F310" s="128"/>
    </row>
    <row r="311" spans="1:84" s="525" customFormat="1" ht="15" customHeight="1" x14ac:dyDescent="0.25">
      <c r="AO311" s="128"/>
      <c r="AP311" s="128"/>
      <c r="AQ311" s="128"/>
      <c r="AR311" s="128"/>
      <c r="AS311" s="128"/>
      <c r="AT311" s="128"/>
      <c r="AU311" s="128"/>
      <c r="AV311" s="128"/>
      <c r="AW311" s="128"/>
      <c r="AX311" s="128"/>
      <c r="AY311" s="128"/>
      <c r="BK311" s="128"/>
      <c r="BL311" s="128"/>
      <c r="BM311" s="128"/>
      <c r="BN311" s="128"/>
      <c r="BO311" s="128"/>
      <c r="BP311" s="128"/>
      <c r="BQ311" s="128"/>
      <c r="BR311" s="128"/>
      <c r="BS311" s="128"/>
      <c r="BT311" s="128"/>
      <c r="BU311" s="128"/>
      <c r="BV311" s="128"/>
      <c r="BW311" s="128"/>
      <c r="BX311" s="128"/>
      <c r="BY311" s="128"/>
      <c r="BZ311" s="128"/>
      <c r="CA311" s="128"/>
      <c r="CB311" s="128"/>
      <c r="CC311" s="128"/>
      <c r="CD311" s="128"/>
      <c r="CE311" s="128"/>
      <c r="CF311" s="128"/>
    </row>
    <row r="312" spans="1:84" ht="15" customHeight="1" x14ac:dyDescent="0.25">
      <c r="A312" s="128"/>
      <c r="B312" s="128"/>
      <c r="C312" s="128"/>
      <c r="D312" s="128"/>
      <c r="E312" s="128"/>
      <c r="F312" s="128"/>
    </row>
    <row r="313" spans="1:84" ht="15" customHeight="1" x14ac:dyDescent="0.25">
      <c r="A313" s="128"/>
      <c r="B313" s="128"/>
      <c r="C313" s="128"/>
      <c r="D313" s="128"/>
      <c r="E313" s="128"/>
      <c r="F313" s="128"/>
    </row>
    <row r="314" spans="1:84" ht="15" customHeight="1" x14ac:dyDescent="0.25">
      <c r="A314" s="128"/>
      <c r="B314" s="128"/>
      <c r="C314" s="128"/>
      <c r="D314" s="128"/>
      <c r="E314" s="128"/>
      <c r="F314" s="128"/>
    </row>
    <row r="315" spans="1:84" ht="15" customHeight="1" x14ac:dyDescent="0.25">
      <c r="A315" s="128"/>
      <c r="B315" s="128"/>
      <c r="C315" s="128"/>
      <c r="D315" s="128"/>
      <c r="E315" s="128"/>
      <c r="F315" s="128"/>
    </row>
    <row r="316" spans="1:84" ht="15" customHeight="1" x14ac:dyDescent="0.25">
      <c r="A316" s="128"/>
      <c r="B316" s="128"/>
      <c r="C316" s="128"/>
      <c r="D316" s="128"/>
      <c r="E316" s="128"/>
      <c r="F316" s="128"/>
    </row>
    <row r="317" spans="1:84" ht="15" customHeight="1" x14ac:dyDescent="0.25">
      <c r="A317" s="128"/>
      <c r="B317" s="128"/>
      <c r="C317" s="128"/>
      <c r="D317" s="128"/>
      <c r="E317" s="128"/>
      <c r="F317" s="128"/>
    </row>
    <row r="318" spans="1:84" ht="15" customHeight="1" x14ac:dyDescent="0.25">
      <c r="A318" s="128"/>
      <c r="B318" s="128"/>
      <c r="C318" s="128"/>
      <c r="D318" s="128"/>
      <c r="E318" s="128"/>
      <c r="F318" s="128"/>
    </row>
    <row r="319" spans="1:84" ht="15" customHeight="1" x14ac:dyDescent="0.25">
      <c r="A319" s="128"/>
      <c r="B319" s="128"/>
      <c r="C319" s="128"/>
      <c r="D319" s="128"/>
      <c r="E319" s="128"/>
      <c r="F319" s="128"/>
    </row>
    <row r="320" spans="1:84" ht="15" customHeight="1" x14ac:dyDescent="0.25">
      <c r="A320" s="128"/>
      <c r="B320" s="128"/>
      <c r="C320" s="128"/>
      <c r="D320" s="128"/>
      <c r="E320" s="128"/>
      <c r="F320" s="128"/>
    </row>
  </sheetData>
  <sheetProtection selectLockedCells="1"/>
  <mergeCells count="85">
    <mergeCell ref="A39:C40"/>
    <mergeCell ref="A53:C54"/>
    <mergeCell ref="J53:L54"/>
    <mergeCell ref="J39:L40"/>
    <mergeCell ref="S52:U53"/>
    <mergeCell ref="S240:U241"/>
    <mergeCell ref="J67:L68"/>
    <mergeCell ref="S97:U98"/>
    <mergeCell ref="S250:U251"/>
    <mergeCell ref="S39:U40"/>
    <mergeCell ref="A249:AA249"/>
    <mergeCell ref="A135:R135"/>
    <mergeCell ref="A237:C238"/>
    <mergeCell ref="J237:L238"/>
    <mergeCell ref="J163:L164"/>
    <mergeCell ref="A153:C154"/>
    <mergeCell ref="J153:L154"/>
    <mergeCell ref="A164:C165"/>
    <mergeCell ref="A176:C177"/>
    <mergeCell ref="J215:L216"/>
    <mergeCell ref="A215:C216"/>
    <mergeCell ref="A2:B2"/>
    <mergeCell ref="A1:B1"/>
    <mergeCell ref="C2:E2"/>
    <mergeCell ref="F2:H2"/>
    <mergeCell ref="I2:J2"/>
    <mergeCell ref="U2:V2"/>
    <mergeCell ref="C1:E1"/>
    <mergeCell ref="F1:H1"/>
    <mergeCell ref="R1:T1"/>
    <mergeCell ref="I1:J1"/>
    <mergeCell ref="K1:M1"/>
    <mergeCell ref="U1:V1"/>
    <mergeCell ref="N1:Q1"/>
    <mergeCell ref="N2:Q2"/>
    <mergeCell ref="K2:M2"/>
    <mergeCell ref="R2:T2"/>
    <mergeCell ref="S233:U234"/>
    <mergeCell ref="S120:U121"/>
    <mergeCell ref="J250:L251"/>
    <mergeCell ref="A250:C251"/>
    <mergeCell ref="A187:C188"/>
    <mergeCell ref="J196:L197"/>
    <mergeCell ref="A198:C199"/>
    <mergeCell ref="S184:U185"/>
    <mergeCell ref="A226:C227"/>
    <mergeCell ref="S203:U204"/>
    <mergeCell ref="J226:L227"/>
    <mergeCell ref="S226:U227"/>
    <mergeCell ref="J186:L187"/>
    <mergeCell ref="S176:U177"/>
    <mergeCell ref="S194:U195"/>
    <mergeCell ref="J176:L177"/>
    <mergeCell ref="A225:AA225"/>
    <mergeCell ref="A175:AA175"/>
    <mergeCell ref="A114:AA114"/>
    <mergeCell ref="S89:U90"/>
    <mergeCell ref="A136:C137"/>
    <mergeCell ref="J136:L137"/>
    <mergeCell ref="J115:L116"/>
    <mergeCell ref="J123:L124"/>
    <mergeCell ref="S115:U116"/>
    <mergeCell ref="A125:C126"/>
    <mergeCell ref="S105:U106"/>
    <mergeCell ref="S153:U154"/>
    <mergeCell ref="S215:U216"/>
    <mergeCell ref="A115:C116"/>
    <mergeCell ref="J97:L98"/>
    <mergeCell ref="A95:C96"/>
    <mergeCell ref="A3:AA3"/>
    <mergeCell ref="A214:AA214"/>
    <mergeCell ref="A38:AA38"/>
    <mergeCell ref="A66:AA66"/>
    <mergeCell ref="A152:AA152"/>
    <mergeCell ref="A82:C83"/>
    <mergeCell ref="S79:U80"/>
    <mergeCell ref="A67:C68"/>
    <mergeCell ref="J84:L85"/>
    <mergeCell ref="A4:C5"/>
    <mergeCell ref="J4:L5"/>
    <mergeCell ref="A20:C21"/>
    <mergeCell ref="J20:L21"/>
    <mergeCell ref="S20:U21"/>
    <mergeCell ref="S4:U5"/>
    <mergeCell ref="S67:U68"/>
  </mergeCells>
  <conditionalFormatting sqref="J151:K151 J1:K2 J174:K174 J248:K248 J294:K1048576">
    <cfRule type="expression" dxfId="1731" priority="905">
      <formula>AND($J1=0,$K1=0,$J1&lt;&gt;"",$J1&lt;&gt;"Total Cost")</formula>
    </cfRule>
  </conditionalFormatting>
  <conditionalFormatting sqref="U294:V295 U151:V151 U248:V248 U1:V2 U37:V37 U223:V224 U340:V1048576">
    <cfRule type="expression" dxfId="1730" priority="906">
      <formula>AND($U1=0,$V1=0,$U1&lt;&gt;"",$U1&lt;&gt;"Total Cost")</formula>
    </cfRule>
  </conditionalFormatting>
  <conditionalFormatting sqref="H250:I293 Z222 H136:I150 H215:I222 H39:I61 H4:I35 H67:I111 H115:I132 H153:I172 H226:I246 H176:I208">
    <cfRule type="expression" dxfId="1729" priority="908">
      <formula>AND($H4=0,$I4=0,$H4&lt;&gt;"",$H4&lt;&gt;"Total Cost")</formula>
    </cfRule>
  </conditionalFormatting>
  <conditionalFormatting sqref="Q250:R293 Q136:R145 Q215:R222 Q39:R49 Q53:R59 Q4:R35 Q67:R108 Q115:R129 Q153:R169 Q226:R234 Q237:R245 Q176:R206">
    <cfRule type="expression" dxfId="1728" priority="910">
      <formula>AND($Q4=0,$R4=0,$Q4&lt;&gt;"",$Q4&lt;&gt;"Total Cost")</formula>
    </cfRule>
  </conditionalFormatting>
  <conditionalFormatting sqref="Z251:AA292 Z215:AA222 Z39:AA63 Z4:AA13 Z20:AA29 Z67:AA110 Z115:AA126 Z153:AA161 Z226:AA246 Z176:AA211">
    <cfRule type="expression" dxfId="1727" priority="5">
      <formula>AND($Z4=0,$AA4=0,$Z4&lt;&gt;"",$Z4&lt;&gt;"Total Cost")</formula>
    </cfRule>
  </conditionalFormatting>
  <conditionalFormatting sqref="Z215:AA221">
    <cfRule type="expression" dxfId="1726" priority="915">
      <formula>AND($H215=0,$I215=0,$H215&lt;&gt;"",$H215&lt;&gt;"Total Cost")</formula>
    </cfRule>
  </conditionalFormatting>
  <conditionalFormatting sqref="Z108:AA108">
    <cfRule type="expression" dxfId="1725" priority="920">
      <formula>AND(#REF!=0,#REF!=0,#REF!&lt;&gt;"",#REF!&lt;&gt;"Total Cost")</formula>
    </cfRule>
  </conditionalFormatting>
  <pageMargins left="0.70866141732283472" right="0.70866141732283472" top="0.74803149606299213" bottom="0.74803149606299213" header="0.31496062992125984" footer="0.31496062992125984"/>
  <pageSetup paperSize="9" scale="14" fitToHeight="6" orientation="landscape" r:id="rId1"/>
  <ignoredErrors>
    <ignoredError sqref="A7:C7 A16 A8:A15 J8:J15 A17 J16 J7:L7"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FF0000"/>
  </sheetPr>
  <dimension ref="A1:E20"/>
  <sheetViews>
    <sheetView showGridLines="0" workbookViewId="0">
      <pane ySplit="2" topLeftCell="A4" activePane="bottomLeft" state="frozen"/>
      <selection activeCell="P319" sqref="P319"/>
      <selection pane="bottomLeft" activeCell="C23" sqref="C23"/>
    </sheetView>
  </sheetViews>
  <sheetFormatPr baseColWidth="10" defaultColWidth="11.42578125" defaultRowHeight="15" customHeight="1" x14ac:dyDescent="0.25"/>
  <cols>
    <col min="1" max="1" width="15.85546875" style="185" customWidth="1"/>
    <col min="2" max="5" width="20.7109375" style="185" customWidth="1"/>
    <col min="6" max="16384" width="11.42578125" style="185"/>
  </cols>
  <sheetData>
    <row r="1" spans="1:5" ht="15" customHeight="1" thickBot="1" x14ac:dyDescent="0.3">
      <c r="A1" s="330" t="s">
        <v>291</v>
      </c>
      <c r="B1" s="343" t="s">
        <v>261</v>
      </c>
      <c r="C1" s="966" t="s">
        <v>237</v>
      </c>
      <c r="D1" s="967" t="s">
        <v>241</v>
      </c>
      <c r="E1" s="331" t="s">
        <v>260</v>
      </c>
    </row>
    <row r="2" spans="1:5" ht="15" customHeight="1" thickTop="1" thickBot="1" x14ac:dyDescent="0.3">
      <c r="A2" s="338">
        <f>Paramètres!$BJ$2</f>
        <v>1</v>
      </c>
      <c r="B2" s="363" t="s">
        <v>281</v>
      </c>
      <c r="C2" s="342" t="str">
        <f>'À Faire - Récapitulatif'!H2</f>
        <v>4 250</v>
      </c>
      <c r="D2" s="390" t="str">
        <f>'À Faire - Récapitulatif'!K2</f>
        <v>4 700</v>
      </c>
      <c r="E2" s="332" t="str">
        <f>'À Faire - Récapitulatif'!M2</f>
        <v>0</v>
      </c>
    </row>
    <row r="3" spans="1:5" ht="20.100000000000001" customHeight="1" thickBot="1" x14ac:dyDescent="0.3">
      <c r="A3" s="1090" t="s">
        <v>119</v>
      </c>
      <c r="B3" s="1091"/>
      <c r="C3" s="1091"/>
      <c r="D3" s="1092"/>
    </row>
    <row r="4" spans="1:5" ht="15" customHeight="1" thickBot="1" x14ac:dyDescent="0.3">
      <c r="A4" s="188" t="s">
        <v>123</v>
      </c>
      <c r="B4" s="187" t="s">
        <v>176</v>
      </c>
      <c r="C4" s="197" t="s">
        <v>210</v>
      </c>
      <c r="D4" s="186" t="s">
        <v>211</v>
      </c>
    </row>
    <row r="5" spans="1:5" ht="15" customHeight="1" thickBot="1" x14ac:dyDescent="0.3">
      <c r="A5" s="246" t="s">
        <v>39</v>
      </c>
      <c r="B5" s="629">
        <f>VLOOKUP($A$2,AVAILABLE_Buildings_Resource[#All],MATCH(B$4,AVAILABLE_Buildings_Resource[#Headers],0)+1)</f>
        <v>2</v>
      </c>
      <c r="C5" s="247">
        <f>VLOOKUP($A$2,AVAILABLE_Buildings_Resource[#All],MATCH(C$4,AVAILABLE_Buildings_Resource[#Headers],0)+1)</f>
        <v>2</v>
      </c>
      <c r="D5" s="630">
        <f>VLOOKUP($A$2,AVAILABLE_Buildings_Resource[#All],MATCH(D$4,AVAILABLE_Buildings_Resource[#Headers],0)+1)</f>
        <v>0</v>
      </c>
    </row>
    <row r="6" spans="1:5" ht="15" customHeight="1" x14ac:dyDescent="0.25">
      <c r="A6" s="193">
        <v>1</v>
      </c>
      <c r="B6" s="631">
        <f>Paramètres!B6</f>
        <v>0</v>
      </c>
      <c r="C6" s="194">
        <f>Paramètres!C6</f>
        <v>0</v>
      </c>
      <c r="D6" s="195">
        <f>Paramètres!D6</f>
        <v>0</v>
      </c>
    </row>
    <row r="7" spans="1:5" ht="15" customHeight="1" x14ac:dyDescent="0.25">
      <c r="A7" s="192">
        <v>2</v>
      </c>
      <c r="B7" s="632">
        <f>Paramètres!B7</f>
        <v>0</v>
      </c>
      <c r="C7" s="190">
        <f>Paramètres!C7</f>
        <v>0</v>
      </c>
      <c r="D7" s="191">
        <f>Paramètres!D7</f>
        <v>0</v>
      </c>
    </row>
    <row r="8" spans="1:5" ht="15" customHeight="1" x14ac:dyDescent="0.25">
      <c r="A8" s="192">
        <v>3</v>
      </c>
      <c r="B8" s="632">
        <f>Paramètres!B8</f>
        <v>0</v>
      </c>
      <c r="C8" s="190">
        <f>Paramètres!C8</f>
        <v>0</v>
      </c>
      <c r="D8" s="191">
        <f>Paramètres!D8</f>
        <v>0</v>
      </c>
    </row>
    <row r="9" spans="1:5" ht="15" customHeight="1" x14ac:dyDescent="0.25">
      <c r="A9" s="192">
        <v>4</v>
      </c>
      <c r="B9" s="632">
        <f>Paramètres!B9</f>
        <v>0</v>
      </c>
      <c r="C9" s="190">
        <f>Paramètres!C9</f>
        <v>0</v>
      </c>
      <c r="D9" s="191">
        <f>Paramètres!D9</f>
        <v>0</v>
      </c>
    </row>
    <row r="10" spans="1:5" ht="15" customHeight="1" x14ac:dyDescent="0.25">
      <c r="A10" s="192">
        <v>5</v>
      </c>
      <c r="B10" s="632">
        <f>Paramètres!B10</f>
        <v>0</v>
      </c>
      <c r="C10" s="190">
        <f>Paramètres!C10</f>
        <v>0</v>
      </c>
      <c r="D10" s="191">
        <f>Paramètres!D10</f>
        <v>0</v>
      </c>
    </row>
    <row r="11" spans="1:5" ht="15" customHeight="1" x14ac:dyDescent="0.25">
      <c r="A11" s="192">
        <v>6</v>
      </c>
      <c r="B11" s="632">
        <f>Paramètres!B11</f>
        <v>0</v>
      </c>
      <c r="C11" s="190">
        <f>Paramètres!C11</f>
        <v>0</v>
      </c>
      <c r="D11" s="191">
        <f>Paramètres!D11</f>
        <v>0</v>
      </c>
    </row>
    <row r="12" spans="1:5" ht="15" customHeight="1" x14ac:dyDescent="0.25">
      <c r="A12" s="192">
        <v>7</v>
      </c>
      <c r="B12" s="632">
        <f>Paramètres!B12</f>
        <v>0</v>
      </c>
      <c r="C12" s="190">
        <f>Paramètres!C12</f>
        <v>0</v>
      </c>
      <c r="D12" s="191">
        <f>Paramètres!D12</f>
        <v>0</v>
      </c>
    </row>
    <row r="13" spans="1:5" ht="15" customHeight="1" x14ac:dyDescent="0.25">
      <c r="A13" s="192">
        <v>8</v>
      </c>
      <c r="B13" s="632">
        <f>Paramètres!B13</f>
        <v>0</v>
      </c>
      <c r="C13" s="190">
        <f>Paramètres!C13</f>
        <v>0</v>
      </c>
      <c r="D13" s="191">
        <f>Paramètres!D13</f>
        <v>0</v>
      </c>
    </row>
    <row r="14" spans="1:5" ht="15" customHeight="1" x14ac:dyDescent="0.25">
      <c r="A14" s="192">
        <v>9</v>
      </c>
      <c r="B14" s="632">
        <f>Paramètres!B14</f>
        <v>0</v>
      </c>
      <c r="C14" s="190">
        <f>Paramètres!C14</f>
        <v>0</v>
      </c>
      <c r="D14" s="191">
        <f>Paramètres!D14</f>
        <v>0</v>
      </c>
    </row>
    <row r="15" spans="1:5" ht="15" customHeight="1" x14ac:dyDescent="0.25">
      <c r="A15" s="192">
        <v>10</v>
      </c>
      <c r="B15" s="632">
        <f>Paramètres!B15</f>
        <v>0</v>
      </c>
      <c r="C15" s="190">
        <f>Paramètres!C15</f>
        <v>0</v>
      </c>
      <c r="D15" s="191">
        <f>Paramètres!D15</f>
        <v>0</v>
      </c>
    </row>
    <row r="16" spans="1:5" ht="15" customHeight="1" x14ac:dyDescent="0.25">
      <c r="A16" s="192">
        <v>11</v>
      </c>
      <c r="B16" s="632">
        <f>Paramètres!B16</f>
        <v>0</v>
      </c>
      <c r="C16" s="190">
        <f>Paramètres!C16</f>
        <v>0</v>
      </c>
      <c r="D16" s="191">
        <f>Paramètres!D16</f>
        <v>0</v>
      </c>
    </row>
    <row r="17" spans="1:5" ht="15" customHeight="1" thickBot="1" x14ac:dyDescent="0.3">
      <c r="A17" s="196">
        <v>12</v>
      </c>
      <c r="B17" s="706">
        <f>Paramètres!B17</f>
        <v>0</v>
      </c>
      <c r="C17" s="707">
        <f>Paramètres!C17</f>
        <v>0</v>
      </c>
      <c r="D17" s="708">
        <f>Paramètres!D17</f>
        <v>0</v>
      </c>
    </row>
    <row r="18" spans="1:5" ht="15" customHeight="1" x14ac:dyDescent="0.25">
      <c r="A18" s="441" t="s">
        <v>262</v>
      </c>
      <c r="B18" s="711">
        <f>SUMPRODUCT(B6:B17,EARNINGS_Gold_Mine[Production])</f>
        <v>0</v>
      </c>
      <c r="C18" s="712">
        <f>SUMPRODUCT(C6:C17,EARNINGS_Elixir_Collector[Production])</f>
        <v>0</v>
      </c>
      <c r="D18" s="713">
        <f>SUMPRODUCT(D6:D11,EARNINGS_Dark_Elixir_Drill[Production])</f>
        <v>0</v>
      </c>
      <c r="E18" s="128"/>
    </row>
    <row r="19" spans="1:5" ht="15" customHeight="1" thickBot="1" x14ac:dyDescent="0.3">
      <c r="A19" s="236" t="s">
        <v>263</v>
      </c>
      <c r="B19" s="714">
        <f>IF($B$2='Paramètres - Admin'!$E$2,B18,IF($B$2='Paramètres - Admin'!$E$3,B18*2,IF($B$2='Paramètres - Admin'!$E$4,B18*4,IF($B$2='Paramètres - Admin'!$E$5,B18*8,IF($B$2='Paramètres - Admin'!$E$6,B18*12,IF($B$2='Paramètres - Admin'!$E$7,B18*16,IF($B$2='Paramètres - Admin'!$E$8,B18*24,IF($B$2='Paramètres - Admin'!$E$9,B18*48,IF($B$2='Paramètres - Admin'!$E$10,B18*72,IF($B$2='Paramètres - Admin'!$E$11,B18*168,IF($B$2='Paramètres - Admin'!$E$12,B18*720)))))))))))</f>
        <v>0</v>
      </c>
      <c r="C19" s="715">
        <f>IF($B$2='Paramètres - Admin'!$E$2,C18,IF($B$2='Paramètres - Admin'!$E$3,C18*2,IF($B$2='Paramètres - Admin'!$E$4,C18*4,IF($B$2='Paramètres - Admin'!$E$5,C18*8,IF($B$2='Paramètres - Admin'!$E$6,C18*12,IF($B$2='Paramètres - Admin'!$E$7,C18*16,IF($B$2='Paramètres - Admin'!$E$8,C18*24,IF($B$2='Paramètres - Admin'!$E$9,C18*48,IF($B$2='Paramètres - Admin'!$E$10,C18*72,IF($B$2='Paramètres - Admin'!$E$11,C18*168,IF($B$2='Paramètres - Admin'!$E$12,C18*720)))))))))))</f>
        <v>0</v>
      </c>
      <c r="D19" s="716">
        <f>IF($B$2='Paramètres - Admin'!$E$2,D18,IF($B$2='Paramètres - Admin'!$E$3,D18*2,IF($B$2='Paramètres - Admin'!$E$4,D18*4,IF($B$2='Paramètres - Admin'!$E$5,D18*8,IF($B$2='Paramètres - Admin'!$E$6,D18*12,IF($B$2='Paramètres - Admin'!$E$7,D18*16,IF($B$2='Paramètres - Admin'!$E$8,D18*24,IF($B$2='Paramètres - Admin'!$E$9,D18*48,IF($B$2='Paramètres - Admin'!$E$10,D18*72,IF($B$2='Paramètres - Admin'!$E$11,D18*168,IF($B$2='Paramètres - Admin'!$E$12,D18*720)))))))))))</f>
        <v>0</v>
      </c>
    </row>
    <row r="20" spans="1:5" ht="15" customHeight="1" thickBot="1" x14ac:dyDescent="0.3">
      <c r="A20" s="975" t="s">
        <v>264</v>
      </c>
      <c r="B20" s="709">
        <f>IF(B$18&lt;&gt;0,IF($B$2='Paramètres - Admin'!$B$2,TEXT((C2/B$18)*60*60,"# 0")&amp;" " &amp; 'Paramètres - Admin'!$B$2,IF($B$2='Paramètres - Admin'!$B$3,TEXT((C2/B$18)*60,"# 0")&amp;" " &amp; 'Paramètres - Admin'!$B$3,IF($B$2='Paramètres - Admin'!$B$4,TEXT((C2/B$18),"# 0,00")&amp;" " &amp; 'Paramètres - Admin'!$B$4,IF($B$2='Paramètres - Admin'!$B$5,TEXT((C2/B$18)/24,"# 0,00")&amp;" " &amp; 'Paramètres - Admin'!$B$5,IF($B$2='Paramètres - Admin'!$B$6,TEXT(((C2/B$18)/24)/30,"# 0,00")&amp;" " &amp; 'Paramètres - Admin'!$B$6,IF((C2/B$18)/24&gt;=1,INT((C2/B$18)/24)&amp;" " &amp;  'Paramètres - Admin'!$D$4 &amp; " " &amp; HOUR((C2/B$18)/24-INT((C2/B$18)/24))&amp;" " &amp;  'Paramètres - Admin'!$D$3 &amp; " " &amp; MINUTE((C2/B$18)/24-INT((C2/B$18)/24))&amp;" " &amp;  'Paramètres - Admin'!$D$2,HOUR((C2/B$18)/24-INT((C2/B$18)/24))&amp;" " &amp;  'Paramètres - Admin'!$D$3 &amp; " " &amp; MINUTE((C2/B$18)/24-INT((C2/B$18)/24))&amp;" " &amp;  'Paramètres - Admin'!$D$2)))))),0)</f>
        <v>0</v>
      </c>
      <c r="C20" s="709">
        <f>IF(C$18&lt;&gt;0,IF($B$2='Paramètres - Admin'!$B$2,TEXT((D2/C$18)*60*60,"# 0")&amp;" " &amp; 'Paramètres - Admin'!$B$2,IF($B$2='Paramètres - Admin'!$B$3,TEXT((D2/C$18)*60,"# 0")&amp;" " &amp; 'Paramètres - Admin'!$B$3,IF($B$2='Paramètres - Admin'!$B$4,TEXT((D2/C$18),"# 0,00")&amp;" " &amp; 'Paramètres - Admin'!$B$4,IF($B$2='Paramètres - Admin'!$B$5,TEXT((D2/C$18)/24,"# 0,00")&amp;" " &amp; 'Paramètres - Admin'!$B$5,IF($B$2='Paramètres - Admin'!$B$6,TEXT(((D2/C$18)/24)/30,"# 0,00")&amp;" " &amp; 'Paramètres - Admin'!$B$6,IF((D2/C$18)/24&gt;=1,INT((D2/C$18)/24)&amp;" " &amp;  'Paramètres - Admin'!$D$4 &amp; " " &amp; HOUR((D2/C$18)/24-INT((D2/C$18)/24))&amp;" " &amp;  'Paramètres - Admin'!$D$3 &amp; " " &amp; MINUTE((D2/C$18)/24-INT((D2/C$18)/24))&amp;" " &amp;  'Paramètres - Admin'!$D$2,HOUR((D2/C$18)/24-INT((D2/C$18)/24))&amp;" " &amp;  'Paramètres - Admin'!$D$3 &amp; " " &amp; MINUTE((D2/C$18)/24-INT((D2/C$18)/24))&amp;" " &amp;  'Paramètres - Admin'!$D$2)))))),0)</f>
        <v>0</v>
      </c>
      <c r="D20" s="710">
        <f>IF(D$18&lt;&gt;0,IF($B$2='Paramètres - Admin'!$B$2,TEXT((E2/D$18)*60*60,"# 0")&amp;" " &amp; 'Paramètres - Admin'!$B$2,IF($B$2='Paramètres - Admin'!$B$3,TEXT((E2/D$18)*60,"# 0")&amp;" " &amp; 'Paramètres - Admin'!$B$3,IF($B$2='Paramètres - Admin'!$B$4,TEXT((E2/D$18),"# 0,00")&amp;" " &amp; 'Paramètres - Admin'!$B$4,IF($B$2='Paramètres - Admin'!$B$5,TEXT((E2/D$18)/24,"# 0,00")&amp;" " &amp; 'Paramètres - Admin'!$B$5,IF($B$2='Paramètres - Admin'!$B$6,TEXT(((E2/D$18)/24)/30,"# 0,00")&amp;" " &amp; 'Paramètres - Admin'!$B$6,IF((E2/D$18)/24&gt;=1,INT((E2/D$18)/24)&amp;" " &amp;  'Paramètres - Admin'!$D$4 &amp; " " &amp; HOUR((E2/D$18)/24-INT((E2/D$18)/24))&amp;" " &amp;  'Paramètres - Admin'!$D$3 &amp; " " &amp; MINUTE((E2/D$18)/24-INT((E2/D$18)/24))&amp;" " &amp;  'Paramètres - Admin'!$D$2,HOUR((E2/D$18)/24-INT((E2/D$18)/24))&amp;" " &amp;  'Paramètres - Admin'!$D$3 &amp; " " &amp; MINUTE((E2/D$18)/24-INT((E2/D$18)/24))&amp;" " &amp;  'Paramètres - Admin'!$D$2)))))),0)</f>
        <v>0</v>
      </c>
      <c r="E20" s="525"/>
    </row>
  </sheetData>
  <sheetProtection selectLockedCells="1"/>
  <mergeCells count="1">
    <mergeCell ref="A3:D3"/>
  </mergeCells>
  <conditionalFormatting sqref="B6:D17">
    <cfRule type="expression" dxfId="1724" priority="1">
      <formula>$A6&gt;B$5</formula>
    </cfRule>
  </conditionalFormatting>
  <dataValidations disablePrompts="1" count="1">
    <dataValidation type="list" allowBlank="1" showInputMessage="1" showErrorMessage="1" sqref="B2">
      <formula1>Period</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rgb="FFFFFF00"/>
  </sheetPr>
  <dimension ref="A1:N33"/>
  <sheetViews>
    <sheetView showGridLines="0" zoomScale="90" zoomScaleNormal="90" workbookViewId="0">
      <pane ySplit="2" topLeftCell="A3" activePane="bottomLeft" state="frozen"/>
      <selection activeCell="A3" sqref="A3:H6"/>
      <selection pane="bottomLeft" activeCell="N5" sqref="N5"/>
    </sheetView>
  </sheetViews>
  <sheetFormatPr baseColWidth="10" defaultColWidth="11.42578125" defaultRowHeight="15" customHeight="1" x14ac:dyDescent="0.25"/>
  <cols>
    <col min="1" max="1" width="21.28515625" style="133" bestFit="1" customWidth="1"/>
    <col min="2" max="2" width="7.28515625" style="132" customWidth="1"/>
    <col min="3" max="3" width="7.85546875" style="133" bestFit="1" customWidth="1"/>
    <col min="4" max="4" width="9.28515625" style="133" bestFit="1" customWidth="1"/>
    <col min="5" max="5" width="6.7109375" style="133" customWidth="1"/>
    <col min="6" max="6" width="14.85546875" style="133" bestFit="1" customWidth="1"/>
    <col min="7" max="8" width="2.7109375" style="133" customWidth="1"/>
    <col min="9" max="9" width="21.28515625" style="133" bestFit="1" customWidth="1"/>
    <col min="10" max="10" width="6" style="133" bestFit="1" customWidth="1"/>
    <col min="11" max="11" width="7.85546875" style="133" bestFit="1" customWidth="1"/>
    <col min="12" max="12" width="7.28515625" style="133" bestFit="1" customWidth="1"/>
    <col min="13" max="13" width="6.7109375" style="133" bestFit="1" customWidth="1"/>
    <col min="14" max="14" width="19.85546875" style="133" bestFit="1" customWidth="1"/>
    <col min="15" max="16384" width="11.42578125" style="133"/>
  </cols>
  <sheetData>
    <row r="1" spans="1:14" ht="23.25" thickBot="1" x14ac:dyDescent="0.3">
      <c r="A1" s="330" t="s">
        <v>291</v>
      </c>
      <c r="B1" s="1190" t="s">
        <v>294</v>
      </c>
      <c r="C1" s="1191"/>
      <c r="E1" s="132"/>
      <c r="F1" s="132"/>
      <c r="I1" s="189" t="s">
        <v>318</v>
      </c>
      <c r="J1" s="132"/>
      <c r="K1" s="132"/>
      <c r="L1" s="132"/>
      <c r="M1" s="132"/>
      <c r="N1" s="132"/>
    </row>
    <row r="2" spans="1:14" ht="16.5" thickBot="1" x14ac:dyDescent="0.3">
      <c r="A2" s="695">
        <f>Paramètres!$BJ$2</f>
        <v>1</v>
      </c>
      <c r="B2" s="1192">
        <f>Paramètres!BM2</f>
        <v>100</v>
      </c>
      <c r="C2" s="1193"/>
      <c r="E2" s="132"/>
      <c r="F2" s="132"/>
      <c r="I2" s="696">
        <f>Paramètres!H46</f>
        <v>0</v>
      </c>
      <c r="J2" s="132"/>
      <c r="K2" s="132"/>
      <c r="L2" s="132"/>
      <c r="M2" s="132"/>
      <c r="N2" s="132"/>
    </row>
    <row r="3" spans="1:14" ht="19.5" thickBot="1" x14ac:dyDescent="0.3">
      <c r="A3" s="1105" t="s">
        <v>421</v>
      </c>
      <c r="B3" s="1105"/>
      <c r="C3" s="1105"/>
      <c r="D3" s="1105"/>
      <c r="E3" s="1105"/>
      <c r="I3" s="1093" t="s">
        <v>313</v>
      </c>
      <c r="J3" s="1094"/>
      <c r="K3" s="1094"/>
      <c r="L3" s="1094"/>
      <c r="M3" s="1094"/>
      <c r="N3" s="1095"/>
    </row>
    <row r="4" spans="1:14" ht="16.5" customHeight="1" thickTop="1" thickBot="1" x14ac:dyDescent="0.3">
      <c r="A4" s="228" t="s">
        <v>123</v>
      </c>
      <c r="B4" s="1194" t="s">
        <v>423</v>
      </c>
      <c r="C4" s="1195"/>
      <c r="D4" s="697" t="s">
        <v>651</v>
      </c>
      <c r="E4" s="669" t="s">
        <v>736</v>
      </c>
      <c r="I4" s="277"/>
      <c r="J4" s="100" t="s">
        <v>39</v>
      </c>
      <c r="K4" s="226" t="s">
        <v>331</v>
      </c>
      <c r="L4" s="226" t="s">
        <v>390</v>
      </c>
      <c r="M4" s="278" t="s">
        <v>258</v>
      </c>
      <c r="N4" s="225" t="s">
        <v>207</v>
      </c>
    </row>
    <row r="5" spans="1:14" ht="16.5" customHeight="1" thickTop="1" x14ac:dyDescent="0.25">
      <c r="A5" s="341" t="s">
        <v>246</v>
      </c>
      <c r="B5" s="1204"/>
      <c r="C5" s="1205"/>
      <c r="D5" s="1206">
        <f>IF($E$4="Oui",VLOOKUP(1,LEAGUES_Bonus[#All],3),0)-VLOOKUP(1,LEAGUES_Find[#All],2)</f>
        <v>-10</v>
      </c>
      <c r="E5" s="1207"/>
      <c r="I5" s="119" t="s">
        <v>195</v>
      </c>
      <c r="J5" s="120">
        <f>VLOOKUP($A$2,AVAILABLE_Upgrades_Normal_Troops[#All],MATCH($I5,AVAILABLE_Upgrades_Normal_Troops[#Headers],0)+1)</f>
        <v>0</v>
      </c>
      <c r="K5" s="285">
        <f>IF(ISERROR(MATCH(1,Paramètres!AO$6:AO$45,0)),0,MATCH(1,Paramètres!AO$6:AO$45,0))</f>
        <v>0</v>
      </c>
      <c r="L5" s="286">
        <f>IF($K5&lt;&gt;0,VLOOKUP($K5,TRAINING_Barbarian[#All],2),0)</f>
        <v>0</v>
      </c>
      <c r="M5" s="95">
        <f>IF($K5&lt;&gt;0,VLOOKUP($K5,TRAINING_Barbarian[#All],3),0)</f>
        <v>0</v>
      </c>
      <c r="N5" s="373"/>
    </row>
    <row r="6" spans="1:14" ht="16.5" customHeight="1" x14ac:dyDescent="0.25">
      <c r="A6" s="90" t="s">
        <v>247</v>
      </c>
      <c r="B6" s="1208"/>
      <c r="C6" s="1209"/>
      <c r="D6" s="1210">
        <f>IF($E$4="Oui",VLOOKUP(1,LEAGUES_Bonus[#All],4),0)</f>
        <v>0</v>
      </c>
      <c r="E6" s="1211"/>
      <c r="I6" s="119" t="s">
        <v>50</v>
      </c>
      <c r="J6" s="120">
        <f>VLOOKUP($A$2,AVAILABLE_Upgrades_Normal_Troops[#All],MATCH($I6,AVAILABLE_Upgrades_Normal_Troops[#Headers],0)+1)</f>
        <v>0</v>
      </c>
      <c r="K6" s="285">
        <f>IF(ISERROR(MATCH(1,Paramètres!AP$6:AP$45,0)),0,MATCH(1,Paramètres!AP$6:AP$45,0))</f>
        <v>0</v>
      </c>
      <c r="L6" s="286">
        <f>IF($K6&lt;&gt;0,VLOOKUP($K6,TRAINING_Archer[#All],2),0)</f>
        <v>0</v>
      </c>
      <c r="M6" s="95">
        <f>IF($K6&lt;&gt;0,VLOOKUP($K6,TRAINING_Archer[#All],3),0)</f>
        <v>0</v>
      </c>
      <c r="N6" s="374"/>
    </row>
    <row r="7" spans="1:14" ht="16.5" customHeight="1" thickBot="1" x14ac:dyDescent="0.3">
      <c r="A7" s="376" t="s">
        <v>248</v>
      </c>
      <c r="B7" s="1212"/>
      <c r="C7" s="1213"/>
      <c r="D7" s="1179">
        <f>IF($E$4="Oui",VLOOKUP(1,LEAGUES_Bonus[#All],5),0)</f>
        <v>0</v>
      </c>
      <c r="E7" s="1180"/>
      <c r="I7" s="119" t="s">
        <v>189</v>
      </c>
      <c r="J7" s="120">
        <f>VLOOKUP($A$2,AVAILABLE_Upgrades_Normal_Troops[#All],MATCH($I7,AVAILABLE_Upgrades_Normal_Troops[#Headers],0)+1)</f>
        <v>0</v>
      </c>
      <c r="K7" s="285">
        <f>IF(ISERROR(MATCH(1,Paramètres!AQ$6:AQ$45,0)),0,MATCH(1,Paramètres!AQ$6:AQ$45,0))</f>
        <v>0</v>
      </c>
      <c r="L7" s="286">
        <f>IF($K7&lt;&gt;0,VLOOKUP($K7,TRAINING_Goblin[#All],2),0)</f>
        <v>0</v>
      </c>
      <c r="M7" s="95">
        <f>IF($K7&lt;&gt;0,VLOOKUP($K7,TRAINING_Goblin[#All],3),0)</f>
        <v>0</v>
      </c>
      <c r="N7" s="374"/>
    </row>
    <row r="8" spans="1:14" ht="16.5" customHeight="1" thickBot="1" x14ac:dyDescent="0.3">
      <c r="B8" s="133"/>
      <c r="I8" s="119" t="s">
        <v>188</v>
      </c>
      <c r="J8" s="120">
        <f>VLOOKUP($A$2,AVAILABLE_Upgrades_Normal_Troops[#All],MATCH($I8,AVAILABLE_Upgrades_Normal_Troops[#Headers],0)+1)</f>
        <v>0</v>
      </c>
      <c r="K8" s="285">
        <f>IF(ISERROR(MATCH(1,Paramètres!AR$6:AR$45,0)),0,MATCH(1,Paramètres!AR$6:AR$45,0))</f>
        <v>0</v>
      </c>
      <c r="L8" s="286">
        <f>IF($K8&lt;&gt;0,VLOOKUP($K8,TRAINING_Giant[#All],2),0)</f>
        <v>0</v>
      </c>
      <c r="M8" s="95">
        <f>IF($K8&lt;&gt;0,VLOOKUP($K8,TRAINING_Giant[#All],3),0)</f>
        <v>0</v>
      </c>
      <c r="N8" s="374"/>
    </row>
    <row r="9" spans="1:14" ht="16.5" customHeight="1" thickBot="1" x14ac:dyDescent="0.3">
      <c r="A9" s="1093" t="s">
        <v>422</v>
      </c>
      <c r="B9" s="1094"/>
      <c r="C9" s="1095"/>
      <c r="I9" s="119" t="s">
        <v>187</v>
      </c>
      <c r="J9" s="120">
        <f>VLOOKUP($A$2,AVAILABLE_Upgrades_Normal_Troops[#All],MATCH($I9,AVAILABLE_Upgrades_Normal_Troops[#Headers],0)+1)</f>
        <v>0</v>
      </c>
      <c r="K9" s="285">
        <f>IF(ISERROR(MATCH(1,Paramètres!AS$6:AS$45,0)),0,MATCH(1,Paramètres!AS$6:AS$45,0))</f>
        <v>0</v>
      </c>
      <c r="L9" s="286">
        <f>IF($K9&lt;&gt;0,VLOOKUP($K9,TRAINING_Wall_Breaker[#All],2),0)</f>
        <v>0</v>
      </c>
      <c r="M9" s="95">
        <f>IF($K9&lt;&gt;0,VLOOKUP($K9,TRAINING_Wall_Breaker[#All],3),0)</f>
        <v>0</v>
      </c>
      <c r="N9" s="374"/>
    </row>
    <row r="10" spans="1:14" ht="16.5" customHeight="1" thickBot="1" x14ac:dyDescent="0.3">
      <c r="A10" s="228" t="s">
        <v>123</v>
      </c>
      <c r="B10" s="1200" t="s">
        <v>423</v>
      </c>
      <c r="C10" s="1201"/>
      <c r="I10" s="119" t="s">
        <v>186</v>
      </c>
      <c r="J10" s="120">
        <f>VLOOKUP($A$2,AVAILABLE_Upgrades_Normal_Troops[#All],MATCH($I10,AVAILABLE_Upgrades_Normal_Troops[#Headers],0)+1)</f>
        <v>0</v>
      </c>
      <c r="K10" s="285">
        <f>IF(ISERROR(MATCH(1,Paramètres!AT$6:AT$45,0)),0,MATCH(1,Paramètres!AT$6:AT$45,0))</f>
        <v>0</v>
      </c>
      <c r="L10" s="286">
        <f>IF($K10&lt;&gt;0,VLOOKUP($K10,TRAINING_Balloon[#All],2),0)</f>
        <v>0</v>
      </c>
      <c r="M10" s="95">
        <f>IF($K10&lt;&gt;0,VLOOKUP($K10,TRAINING_Balloon[#All],3),0)</f>
        <v>0</v>
      </c>
      <c r="N10" s="374"/>
    </row>
    <row r="11" spans="1:14" ht="16.5" customHeight="1" x14ac:dyDescent="0.25">
      <c r="A11" s="116" t="s">
        <v>246</v>
      </c>
      <c r="B11" s="1202">
        <f>B5+D5</f>
        <v>-10</v>
      </c>
      <c r="C11" s="1203"/>
      <c r="I11" s="119" t="s">
        <v>185</v>
      </c>
      <c r="J11" s="120">
        <f>VLOOKUP($A$2,AVAILABLE_Upgrades_Normal_Troops[#All],MATCH($I11,AVAILABLE_Upgrades_Normal_Troops[#Headers],0)+1)</f>
        <v>0</v>
      </c>
      <c r="K11" s="285">
        <f>IF(ISERROR(MATCH(1,Paramètres!AU$6:AU$45,0)),0,MATCH(1,Paramètres!AU$6:AU$45,0))</f>
        <v>0</v>
      </c>
      <c r="L11" s="286">
        <f>IF($K11&lt;&gt;0,VLOOKUP($K11,TRAINING_Wizard[#All],2),0)</f>
        <v>0</v>
      </c>
      <c r="M11" s="95">
        <f>IF($K11&lt;&gt;0,VLOOKUP($K11,TRAINING_Wizard[#All],3),0)</f>
        <v>0</v>
      </c>
      <c r="N11" s="374"/>
    </row>
    <row r="12" spans="1:14" ht="16.5" customHeight="1" x14ac:dyDescent="0.25">
      <c r="A12" s="119" t="s">
        <v>247</v>
      </c>
      <c r="B12" s="1184">
        <f>(B6+D6)-(F32+N17)</f>
        <v>0</v>
      </c>
      <c r="C12" s="1185"/>
      <c r="I12" s="119" t="s">
        <v>184</v>
      </c>
      <c r="J12" s="120">
        <f>VLOOKUP($A$2,AVAILABLE_Upgrades_Normal_Troops[#All],MATCH($I12,AVAILABLE_Upgrades_Normal_Troops[#Headers],0)+1)</f>
        <v>0</v>
      </c>
      <c r="K12" s="285">
        <f>IF(ISERROR(MATCH(1,Paramètres!AV$6:AV$45,0)),0,MATCH(1,Paramètres!AV$6:AV$45,0))</f>
        <v>0</v>
      </c>
      <c r="L12" s="286">
        <f>IF($K12&lt;&gt;0,VLOOKUP($K12,TRAINING_Healer[#All],2),0)</f>
        <v>0</v>
      </c>
      <c r="M12" s="95">
        <f>IF($K12&lt;&gt;0,VLOOKUP($K12,TRAINING_Healer[#All],3),0)</f>
        <v>0</v>
      </c>
      <c r="N12" s="374"/>
    </row>
    <row r="13" spans="1:14" ht="16.5" customHeight="1" thickBot="1" x14ac:dyDescent="0.3">
      <c r="A13" s="289" t="s">
        <v>248</v>
      </c>
      <c r="B13" s="1186">
        <f>B7+D7-(F33+N30)</f>
        <v>0</v>
      </c>
      <c r="C13" s="1187"/>
      <c r="I13" s="119" t="s">
        <v>57</v>
      </c>
      <c r="J13" s="120">
        <f>VLOOKUP($A$2,AVAILABLE_Upgrades_Normal_Troops[#All],MATCH($I13,AVAILABLE_Upgrades_Normal_Troops[#Headers],0)+1)</f>
        <v>0</v>
      </c>
      <c r="K13" s="285">
        <f>IF(ISERROR(MATCH(1,Paramètres!AW$6:AW$45,0)),0,MATCH(1,Paramètres!AW$6:AW$45,0))</f>
        <v>0</v>
      </c>
      <c r="L13" s="286">
        <f>IF($K13&lt;&gt;0,VLOOKUP($K13,TRAINING_Dragon[#All],2),0)</f>
        <v>0</v>
      </c>
      <c r="M13" s="95">
        <f>IF($K13&lt;&gt;0,VLOOKUP($K13,TRAINING_Dragon[#All],3),0)</f>
        <v>0</v>
      </c>
      <c r="N13" s="374"/>
    </row>
    <row r="14" spans="1:14" ht="16.5" customHeight="1" thickBot="1" x14ac:dyDescent="0.3">
      <c r="I14" s="289" t="s">
        <v>58</v>
      </c>
      <c r="J14" s="155">
        <f>VLOOKUP($A$2,AVAILABLE_Upgrades_Normal_Troops[#All],MATCH($I14,AVAILABLE_Upgrades_Normal_Troops[#Headers],0)+1)</f>
        <v>0</v>
      </c>
      <c r="K14" s="519">
        <f>IF(ISERROR(MATCH(1,Paramètres!AX$6:AX$45,0)),0,MATCH(1,Paramètres!AX$6:AX$45,0))</f>
        <v>0</v>
      </c>
      <c r="L14" s="290">
        <f>IF($K14&lt;&gt;0,VLOOKUP($K14,TRAINING_PEKKA[#All],2),0)</f>
        <v>0</v>
      </c>
      <c r="M14" s="110">
        <f>IF($K14&lt;&gt;0,VLOOKUP($K14,TRAINING_PEKKA[#All],3),0)</f>
        <v>0</v>
      </c>
      <c r="N14" s="375"/>
    </row>
    <row r="15" spans="1:14" ht="16.5" customHeight="1" thickBot="1" x14ac:dyDescent="0.3">
      <c r="B15" s="1182" t="s">
        <v>298</v>
      </c>
      <c r="C15" s="1183"/>
      <c r="D15" s="1188" t="s">
        <v>332</v>
      </c>
      <c r="E15" s="1188"/>
      <c r="F15" s="1189"/>
      <c r="J15" s="1177" t="s">
        <v>317</v>
      </c>
      <c r="K15" s="1178"/>
      <c r="L15" s="689"/>
      <c r="M15" s="690"/>
      <c r="N15" s="299">
        <f>SUMPRODUCT(N$5:N$14,$L$5:$L$14)</f>
        <v>0</v>
      </c>
    </row>
    <row r="16" spans="1:14" ht="16.5" customHeight="1" thickBot="1" x14ac:dyDescent="0.3">
      <c r="B16" s="1196" t="s">
        <v>340</v>
      </c>
      <c r="C16" s="1197"/>
      <c r="D16" s="1198" t="s">
        <v>655</v>
      </c>
      <c r="E16" s="1198"/>
      <c r="F16" s="1199"/>
      <c r="J16" s="1175" t="s">
        <v>338</v>
      </c>
      <c r="K16" s="1181"/>
      <c r="L16" s="689"/>
      <c r="M16" s="690"/>
      <c r="N16" s="671">
        <f>SUMPRODUCT(Paramètres!J6:J13,'Coûts de Formation'!AL31:AL38)</f>
        <v>0</v>
      </c>
    </row>
    <row r="17" spans="1:14" ht="16.5" customHeight="1" thickBot="1" x14ac:dyDescent="0.3">
      <c r="B17" s="693"/>
      <c r="C17" s="693"/>
      <c r="D17" s="694"/>
      <c r="E17" s="694"/>
      <c r="F17" s="694"/>
      <c r="J17" s="1175" t="s">
        <v>232</v>
      </c>
      <c r="K17" s="1176"/>
      <c r="L17" s="691"/>
      <c r="M17" s="297"/>
      <c r="N17" s="382">
        <f>SUMPRODUCT(N$5:N$14,$M$5:$M$14)</f>
        <v>0</v>
      </c>
    </row>
    <row r="18" spans="1:14" ht="23.25" customHeight="1" thickBot="1" x14ac:dyDescent="0.3">
      <c r="A18" s="189" t="s">
        <v>315</v>
      </c>
      <c r="B18" s="670">
        <f>IF(ISERROR(MATCH(1,Paramètres!L$6:L$45,0)),0,MATCH(1,Paramètres!L$6:L$45,0))</f>
        <v>0</v>
      </c>
    </row>
    <row r="19" spans="1:14" ht="23.25" thickBot="1" x14ac:dyDescent="0.3">
      <c r="A19" s="189" t="s">
        <v>711</v>
      </c>
      <c r="B19" s="670">
        <f>IF(ISERROR(MATCH(1,Paramètres!M$6:M$45,0)),0,MATCH(1,Paramètres!M$6:M$45,0))</f>
        <v>0</v>
      </c>
      <c r="I19" s="189" t="s">
        <v>319</v>
      </c>
    </row>
    <row r="20" spans="1:14" ht="16.5" customHeight="1" thickBot="1" x14ac:dyDescent="0.3">
      <c r="A20" s="1093" t="s">
        <v>312</v>
      </c>
      <c r="B20" s="1094"/>
      <c r="C20" s="1094"/>
      <c r="D20" s="1094"/>
      <c r="E20" s="1094"/>
      <c r="F20" s="1095"/>
      <c r="I20" s="670">
        <f>Paramètres!I46</f>
        <v>0</v>
      </c>
    </row>
    <row r="21" spans="1:14" ht="16.5" customHeight="1" thickBot="1" x14ac:dyDescent="0.3">
      <c r="A21" s="273"/>
      <c r="B21" s="274" t="s">
        <v>39</v>
      </c>
      <c r="C21" s="532" t="s">
        <v>331</v>
      </c>
      <c r="D21" s="532" t="s">
        <v>390</v>
      </c>
      <c r="E21" s="275" t="s">
        <v>258</v>
      </c>
      <c r="F21" s="345" t="s">
        <v>208</v>
      </c>
      <c r="I21" s="1093" t="s">
        <v>314</v>
      </c>
      <c r="J21" s="1094"/>
      <c r="K21" s="1094"/>
      <c r="L21" s="1094"/>
      <c r="M21" s="1094"/>
      <c r="N21" s="1095"/>
    </row>
    <row r="22" spans="1:14" ht="16.5" customHeight="1" thickTop="1" thickBot="1" x14ac:dyDescent="0.3">
      <c r="A22" s="281" t="s">
        <v>190</v>
      </c>
      <c r="B22" s="83">
        <f>VLOOKUP($A$2,AVAILABLE_Upgrades_Spells[#All],MATCH($A22,AVAILABLE_Upgrades_Spells[#Headers],0)+1)</f>
        <v>0</v>
      </c>
      <c r="C22" s="282">
        <f>IF(ISERROR(MATCH(1,Paramètres!AG$6:AG$45,0)),0,MATCH(1,Paramètres!AG$6:AG$45,0))</f>
        <v>0</v>
      </c>
      <c r="D22" s="283">
        <f>IF($C22&lt;&gt;0,VLOOKUP($C22,TRAINING_Spell_Lightning[#All],2),0)</f>
        <v>0</v>
      </c>
      <c r="E22" s="800">
        <f>IF($C22&lt;&gt;0,VLOOKUP($C22,TRAINING_Spell_Lightning[#All],3),0)</f>
        <v>0</v>
      </c>
      <c r="F22" s="373"/>
      <c r="I22" s="280"/>
      <c r="J22" s="274" t="s">
        <v>39</v>
      </c>
      <c r="K22" s="532" t="s">
        <v>331</v>
      </c>
      <c r="L22" s="532" t="s">
        <v>390</v>
      </c>
      <c r="M22" s="275" t="s">
        <v>258</v>
      </c>
      <c r="N22" s="345" t="s">
        <v>343</v>
      </c>
    </row>
    <row r="23" spans="1:14" ht="16.5" customHeight="1" x14ac:dyDescent="0.25">
      <c r="A23" s="119" t="s">
        <v>191</v>
      </c>
      <c r="B23" s="91">
        <f>VLOOKUP($A$2,AVAILABLE_Upgrades_Spells[#All],MATCH($A23,AVAILABLE_Upgrades_Spells[#Headers],0)+1)</f>
        <v>0</v>
      </c>
      <c r="C23" s="285">
        <f>IF(ISERROR(MATCH(1,Paramètres!AH$6:AH$45,0)),0,MATCH(1,Paramètres!AH$6:AH$45,0))</f>
        <v>0</v>
      </c>
      <c r="D23" s="286">
        <f>IF($C23&lt;&gt;0,VLOOKUP($C23,TRAINING_Spell_Healing[#All],2),0)</f>
        <v>0</v>
      </c>
      <c r="E23" s="800">
        <f>IF($C23&lt;&gt;0,VLOOKUP($C23,TRAINING_Spell_Healing[#All],3),0)</f>
        <v>0</v>
      </c>
      <c r="F23" s="374"/>
      <c r="I23" s="281" t="s">
        <v>183</v>
      </c>
      <c r="J23" s="120">
        <f>VLOOKUP($A$2,AVAILABLE_Upgrades_Dark_Troops[#All],MATCH($I23,AVAILABLE_Upgrades_Dark_Troops[#Headers],0)+1)</f>
        <v>0</v>
      </c>
      <c r="K23" s="285">
        <f>IF(ISERROR(MATCH(1,Paramètres!AY$6:AY$45,0)),0,MATCH(1,Paramètres!AY$6:AY$45,0))</f>
        <v>0</v>
      </c>
      <c r="L23" s="286">
        <f>IF($K23&lt;&gt;0,VLOOKUP($K23,TRAINING_Minion[#All],2),0)</f>
        <v>0</v>
      </c>
      <c r="M23" s="121">
        <f>IF($K23&lt;&gt;0,VLOOKUP($K23,TRAINING_Minion[#All],3),0)</f>
        <v>0</v>
      </c>
      <c r="N23" s="555"/>
    </row>
    <row r="24" spans="1:14" ht="16.5" customHeight="1" x14ac:dyDescent="0.25">
      <c r="A24" s="119" t="s">
        <v>192</v>
      </c>
      <c r="B24" s="91">
        <f>VLOOKUP($A$2,AVAILABLE_Upgrades_Spells[#All],MATCH($A24,AVAILABLE_Upgrades_Spells[#Headers],0)+1)</f>
        <v>0</v>
      </c>
      <c r="C24" s="285">
        <f>IF(ISERROR(MATCH(1,Paramètres!AI$6:AI$45,0)),0,MATCH(1,Paramètres!AI$6:AI$45,0))</f>
        <v>0</v>
      </c>
      <c r="D24" s="286">
        <f>IF($C24&lt;&gt;0,VLOOKUP($C24,TRAINING_Spell_Rage[#All],2),0)</f>
        <v>0</v>
      </c>
      <c r="E24" s="800">
        <f>IF($C24&lt;&gt;0,VLOOKUP($C24,TRAINING_Spell_Rage[#All],3),0)</f>
        <v>0</v>
      </c>
      <c r="F24" s="374"/>
      <c r="I24" s="119" t="s">
        <v>245</v>
      </c>
      <c r="J24" s="120">
        <f>VLOOKUP($A$2,AVAILABLE_Upgrades_Dark_Troops[#All],MATCH($I24,AVAILABLE_Upgrades_Dark_Troops[#Headers],0)+1)</f>
        <v>0</v>
      </c>
      <c r="K24" s="285">
        <f>IF(ISERROR(MATCH(1,Paramètres!AZ$6:AZ$45,0)),0,MATCH(1,Paramètres!AZ$6:AZ$45,0))</f>
        <v>0</v>
      </c>
      <c r="L24" s="286">
        <f>IF($K24&lt;&gt;0,VLOOKUP($K24,TRAINING_Hog_Rider[#All],2),0)</f>
        <v>0</v>
      </c>
      <c r="M24" s="121">
        <f>IF($K24&lt;&gt;0,VLOOKUP($K24,TRAINING_Hog_Rider[#All],3),0)</f>
        <v>0</v>
      </c>
      <c r="N24" s="556"/>
    </row>
    <row r="25" spans="1:14" ht="16.5" customHeight="1" x14ac:dyDescent="0.25">
      <c r="A25" s="119" t="s">
        <v>193</v>
      </c>
      <c r="B25" s="91">
        <f>VLOOKUP($A$2,AVAILABLE_Upgrades_Spells[#All],MATCH($A25,AVAILABLE_Upgrades_Spells[#Headers],0)+1)</f>
        <v>0</v>
      </c>
      <c r="C25" s="285">
        <f>IF(ISERROR(MATCH(1,Paramètres!AJ$6:AJ$45,0)),0,MATCH(1,Paramètres!AJ$6:AJ$45,0))</f>
        <v>0</v>
      </c>
      <c r="D25" s="286">
        <f>IF($C25&lt;&gt;0,VLOOKUP($C25,TRAINING_Spell_Jump[#All],2),0)</f>
        <v>0</v>
      </c>
      <c r="E25" s="800">
        <f>IF($C25&lt;&gt;0,VLOOKUP($C25,TRAINING_Spell_Jump[#All],3),0)</f>
        <v>0</v>
      </c>
      <c r="F25" s="374"/>
      <c r="I25" s="119" t="s">
        <v>66</v>
      </c>
      <c r="J25" s="120">
        <f>VLOOKUP($A$2,AVAILABLE_Upgrades_Dark_Troops[#All],MATCH($I25,AVAILABLE_Upgrades_Dark_Troops[#Headers],0)+1)</f>
        <v>0</v>
      </c>
      <c r="K25" s="285">
        <f>IF(ISERROR(MATCH(1,Paramètres!BA$6:BA$45,0)),0,MATCH(1,Paramètres!BA$6:BA$45,0))</f>
        <v>0</v>
      </c>
      <c r="L25" s="286">
        <f>IF($K25&lt;&gt;0,VLOOKUP($K25,TRAINING_Valkyrie[#All],2),0)</f>
        <v>0</v>
      </c>
      <c r="M25" s="121">
        <f>IF($K25&lt;&gt;0,VLOOKUP($K25,TRAINING_Valkyrie[#All],3),0)</f>
        <v>0</v>
      </c>
      <c r="N25" s="556"/>
    </row>
    <row r="26" spans="1:14" ht="16.5" customHeight="1" thickBot="1" x14ac:dyDescent="0.3">
      <c r="A26" s="289" t="s">
        <v>194</v>
      </c>
      <c r="B26" s="515">
        <f>VLOOKUP($A$2,AVAILABLE_Upgrades_Spells[#All],MATCH($A26,AVAILABLE_Upgrades_Spells[#Headers],0)+1)</f>
        <v>0</v>
      </c>
      <c r="C26" s="218">
        <f>IF(ISERROR(MATCH(1,Paramètres!AK$6:AK$45,0)),0,MATCH(1,Paramètres!AK$6:AK$45,0))</f>
        <v>0</v>
      </c>
      <c r="D26" s="292">
        <f>IF($C26&lt;&gt;0,VLOOKUP($C26,TRAINING_Spell_Freeze[#All],2),0)</f>
        <v>0</v>
      </c>
      <c r="E26" s="800">
        <f>IF($C26&lt;&gt;0,VLOOKUP($C26,TRAINING_Spell_Freeze[#All],3),0)</f>
        <v>0</v>
      </c>
      <c r="F26" s="375"/>
      <c r="I26" s="119" t="s">
        <v>67</v>
      </c>
      <c r="J26" s="155">
        <f>VLOOKUP($A$2,AVAILABLE_Upgrades_Dark_Troops[#All],MATCH($I26,AVAILABLE_Upgrades_Dark_Troops[#Headers],0)+1)</f>
        <v>0</v>
      </c>
      <c r="K26" s="519">
        <f>IF(ISERROR(MATCH(1,Paramètres!BB$6:BB$45,0)),0,MATCH(1,Paramètres!BB$6:BB$45,0))</f>
        <v>0</v>
      </c>
      <c r="L26" s="290">
        <f>IF($K26&lt;&gt;0,VLOOKUP($K26,TRAINING_Golem[#All],2),0)</f>
        <v>0</v>
      </c>
      <c r="M26" s="122">
        <f>IF($K26&lt;&gt;0,VLOOKUP($K26,TRAINING_Golem[#All],3),0)</f>
        <v>0</v>
      </c>
      <c r="N26" s="556"/>
    </row>
    <row r="27" spans="1:14" ht="16.5" customHeight="1" thickBot="1" x14ac:dyDescent="0.3">
      <c r="A27" s="376" t="s">
        <v>706</v>
      </c>
      <c r="B27" s="461">
        <f>VLOOKUP($A$2,AVAILABLE_Upgrades_Dark_Spells[#All],MATCH($A27,AVAILABLE_Upgrades_Dark_Spells[#Headers],0)+1)</f>
        <v>0</v>
      </c>
      <c r="C27" s="462">
        <f>IF(ISERROR(MATCH(1,Paramètres!AL$6:AL$45,0)),0,MATCH(1,Paramètres!AL$6:AL$45,0))</f>
        <v>0</v>
      </c>
      <c r="D27" s="795">
        <f>IF($C27&lt;&gt;0,VLOOKUP($C27,TRAINING_Spell_Poison[#All],2),0)</f>
        <v>0</v>
      </c>
      <c r="E27" s="118">
        <f>IF($C27&lt;&gt;0,VLOOKUP($C27,TRAINING_Spell_Poison[#All],3),0)</f>
        <v>0</v>
      </c>
      <c r="F27" s="374"/>
      <c r="I27" s="119" t="s">
        <v>536</v>
      </c>
      <c r="J27" s="155">
        <f>VLOOKUP($A$2,AVAILABLE_Upgrades_Dark_Troops[#All],MATCH($I27,AVAILABLE_Upgrades_Dark_Troops[#Headers],0)+1)</f>
        <v>0</v>
      </c>
      <c r="K27" s="519">
        <f>IF(ISERROR(MATCH(1,Paramètres!BC$6:BC$45,0)),0,MATCH(1,Paramètres!BC$6:BC$45,0))</f>
        <v>0</v>
      </c>
      <c r="L27" s="290">
        <f>IF($K27&lt;&gt;0,VLOOKUP($K27,TRAINING_Witch[#All],2),0)</f>
        <v>0</v>
      </c>
      <c r="M27" s="122">
        <f>IF($K27&lt;&gt;0,VLOOKUP($K27,TRAINING_Witch[#All],3),0)</f>
        <v>0</v>
      </c>
      <c r="N27" s="556"/>
    </row>
    <row r="28" spans="1:14" ht="16.5" customHeight="1" thickBot="1" x14ac:dyDescent="0.3">
      <c r="A28" s="376" t="s">
        <v>718</v>
      </c>
      <c r="B28" s="91">
        <f>VLOOKUP($A$2,AVAILABLE_Upgrades_Dark_Spells[#All],MATCH($A28,AVAILABLE_Upgrades_Dark_Spells[#Headers],0)+1)</f>
        <v>0</v>
      </c>
      <c r="C28" s="285">
        <f>IF(ISERROR(MATCH(1,Paramètres!AM$6:AM$45,0)),0,MATCH(1,Paramètres!AM$6:AM$45,0))</f>
        <v>0</v>
      </c>
      <c r="D28" s="286">
        <f>IF($C28&lt;&gt;0,VLOOKUP($C28,TRAINING_Spell_Earthquake[#All],2),0)</f>
        <v>0</v>
      </c>
      <c r="E28" s="121">
        <f>IF($C28&lt;&gt;0,VLOOKUP($C28,TRAINING_Spell_Earthquake[#All],3),0)</f>
        <v>0</v>
      </c>
      <c r="F28" s="374"/>
      <c r="I28" s="116" t="s">
        <v>573</v>
      </c>
      <c r="J28" s="155">
        <f>VLOOKUP($A$2,AVAILABLE_Upgrades_Dark_Troops[#All],MATCH($I28,AVAILABLE_Upgrades_Dark_Troops[#Headers],0)+1)</f>
        <v>0</v>
      </c>
      <c r="K28" s="519">
        <f>IF(ISERROR(MATCH(1,Paramètres!BD$6:BD$45,0)),0,MATCH(1,Paramètres!BD$6:BD$45,0))</f>
        <v>0</v>
      </c>
      <c r="L28" s="290">
        <f>IF($K28&lt;&gt;0,VLOOKUP($K28,TRAINING_Lava_Hound[#All],2),0)</f>
        <v>0</v>
      </c>
      <c r="M28" s="122">
        <f>IF($K28&lt;&gt;0,VLOOKUP($K28,TRAINING_Lava_Hound[#All],3),0)</f>
        <v>0</v>
      </c>
      <c r="N28" s="557"/>
    </row>
    <row r="29" spans="1:14" ht="16.5" customHeight="1" thickBot="1" x14ac:dyDescent="0.3">
      <c r="A29" s="376" t="s">
        <v>707</v>
      </c>
      <c r="B29" s="515">
        <f>VLOOKUP($A$2,AVAILABLE_Upgrades_Dark_Spells[#All],MATCH($A29,AVAILABLE_Upgrades_Dark_Spells[#Headers],0)+1)</f>
        <v>0</v>
      </c>
      <c r="C29" s="218">
        <f>IF(ISERROR(MATCH(1,Paramètres!AN$6:AN$45,0)),0,MATCH(1,Paramètres!AN$6:AN$45,0))</f>
        <v>0</v>
      </c>
      <c r="D29" s="292">
        <f>IF($C29&lt;&gt;0,VLOOKUP($C29,TRAINING_Spell_Haste[#All],2),0)</f>
        <v>0</v>
      </c>
      <c r="E29" s="203">
        <f>IF($C29&lt;&gt;0,VLOOKUP($C29,TRAINING_Spell_Haste[#All],3),0)</f>
        <v>0</v>
      </c>
      <c r="F29" s="375"/>
      <c r="J29" s="1177" t="s">
        <v>317</v>
      </c>
      <c r="K29" s="1178"/>
      <c r="L29" s="280"/>
      <c r="M29" s="690"/>
      <c r="N29" s="299">
        <f>SUMPRODUCT(N$23:N$28,$L$23:$L$28)</f>
        <v>0</v>
      </c>
    </row>
    <row r="30" spans="1:14" ht="16.5" customHeight="1" thickBot="1" x14ac:dyDescent="0.3">
      <c r="B30" s="1177" t="s">
        <v>317</v>
      </c>
      <c r="C30" s="1178"/>
      <c r="D30" s="280"/>
      <c r="E30" s="690"/>
      <c r="F30" s="302">
        <f>SUMPRODUCT(F$22:F$29,$D$22:$D$29)</f>
        <v>0</v>
      </c>
      <c r="J30" s="1175" t="s">
        <v>232</v>
      </c>
      <c r="K30" s="1176"/>
      <c r="L30" s="692"/>
      <c r="M30" s="297"/>
      <c r="N30" s="305">
        <f>SUMPRODUCT(N$23:N$28,$M$23:$M$28)</f>
        <v>0</v>
      </c>
    </row>
    <row r="31" spans="1:14" ht="15" customHeight="1" x14ac:dyDescent="0.25">
      <c r="B31" s="1177" t="s">
        <v>654</v>
      </c>
      <c r="C31" s="1178"/>
      <c r="D31" s="280"/>
      <c r="E31" s="690"/>
      <c r="F31" s="671">
        <f>VLOOKUP($B$19,TRAINING_Dark_Spell_Factory[#All],2)+VLOOKUP($B$18,TRAINING_Spell_Factory[#All],2)</f>
        <v>0</v>
      </c>
    </row>
    <row r="32" spans="1:14" ht="15" customHeight="1" x14ac:dyDescent="0.25">
      <c r="B32" s="1175" t="s">
        <v>232</v>
      </c>
      <c r="C32" s="1176"/>
      <c r="D32" s="692"/>
      <c r="E32" s="297"/>
      <c r="F32" s="382">
        <f>SUMPRODUCT(F$22:F$26,$E$22:$E$26)</f>
        <v>0</v>
      </c>
    </row>
    <row r="33" spans="2:6" ht="15" customHeight="1" x14ac:dyDescent="0.25">
      <c r="B33" s="1175" t="s">
        <v>232</v>
      </c>
      <c r="C33" s="1176"/>
      <c r="D33" s="692"/>
      <c r="E33" s="297"/>
      <c r="F33" s="305">
        <f>SUMPRODUCT(F$27:F$29,$E$27:$E$29)</f>
        <v>0</v>
      </c>
    </row>
  </sheetData>
  <sheetProtection sheet="1" objects="1" scenarios="1" selectLockedCells="1"/>
  <dataConsolidate/>
  <mergeCells count="31">
    <mergeCell ref="B1:C1"/>
    <mergeCell ref="B2:C2"/>
    <mergeCell ref="A20:F20"/>
    <mergeCell ref="I3:N3"/>
    <mergeCell ref="A3:E3"/>
    <mergeCell ref="B4:C4"/>
    <mergeCell ref="B16:C16"/>
    <mergeCell ref="D16:F16"/>
    <mergeCell ref="A9:C9"/>
    <mergeCell ref="B10:C10"/>
    <mergeCell ref="B11:C11"/>
    <mergeCell ref="B5:C5"/>
    <mergeCell ref="D5:E5"/>
    <mergeCell ref="B6:C6"/>
    <mergeCell ref="D6:E6"/>
    <mergeCell ref="B7:C7"/>
    <mergeCell ref="B33:C33"/>
    <mergeCell ref="B32:C32"/>
    <mergeCell ref="J29:K29"/>
    <mergeCell ref="D7:E7"/>
    <mergeCell ref="J16:K16"/>
    <mergeCell ref="B31:C31"/>
    <mergeCell ref="B15:C15"/>
    <mergeCell ref="B12:C12"/>
    <mergeCell ref="B13:C13"/>
    <mergeCell ref="D15:F15"/>
    <mergeCell ref="J30:K30"/>
    <mergeCell ref="J15:K15"/>
    <mergeCell ref="J17:K17"/>
    <mergeCell ref="I21:N21"/>
    <mergeCell ref="B30:C30"/>
  </mergeCells>
  <conditionalFormatting sqref="B11:B13">
    <cfRule type="iconSet" priority="16">
      <iconSet iconSet="3Symbols2">
        <cfvo type="percent" val="0"/>
        <cfvo type="num" val="0"/>
        <cfvo type="num" val="1"/>
      </iconSet>
    </cfRule>
  </conditionalFormatting>
  <conditionalFormatting sqref="N27:N28">
    <cfRule type="expression" dxfId="1723" priority="124">
      <formula>#REF!&lt;5</formula>
    </cfRule>
  </conditionalFormatting>
  <conditionalFormatting sqref="N28">
    <cfRule type="expression" dxfId="1722" priority="136" stopIfTrue="1">
      <formula>$I$20&lt;1</formula>
    </cfRule>
  </conditionalFormatting>
  <conditionalFormatting sqref="N29 N15">
    <cfRule type="expression" dxfId="1721" priority="151">
      <formula>$N$15+$N$29&gt;$N$16</formula>
    </cfRule>
  </conditionalFormatting>
  <conditionalFormatting sqref="F30">
    <cfRule type="expression" dxfId="1720" priority="155">
      <formula>$F$30&gt;$F$31</formula>
    </cfRule>
  </conditionalFormatting>
  <conditionalFormatting sqref="N5:N14">
    <cfRule type="expression" dxfId="1719" priority="226">
      <formula>OR($J5=0,$K5=0)</formula>
    </cfRule>
  </conditionalFormatting>
  <conditionalFormatting sqref="F22:F26">
    <cfRule type="expression" dxfId="1718" priority="250">
      <formula>OR($B22=0,$C22=0)</formula>
    </cfRule>
  </conditionalFormatting>
  <conditionalFormatting sqref="F27:F29">
    <cfRule type="expression" dxfId="1717" priority="251">
      <formula>OR($B27=0,$D27=0)</formula>
    </cfRule>
  </conditionalFormatting>
  <conditionalFormatting sqref="N23:N27">
    <cfRule type="expression" dxfId="1716" priority="255">
      <formula>N$29&gt;#REF!</formula>
    </cfRule>
  </conditionalFormatting>
  <conditionalFormatting sqref="N23:N28">
    <cfRule type="expression" dxfId="1715" priority="256">
      <formula>OR($J23=0,$K23=0)</formula>
    </cfRule>
    <cfRule type="expression" dxfId="1714" priority="257">
      <formula>#REF!&lt;1</formula>
    </cfRule>
  </conditionalFormatting>
  <conditionalFormatting sqref="N28">
    <cfRule type="expression" dxfId="1713" priority="258">
      <formula>#REF!&lt;6</formula>
    </cfRule>
    <cfRule type="expression" dxfId="1712" priority="259" stopIfTrue="1">
      <formula>OR($J28=0,$K28=0)</formula>
    </cfRule>
    <cfRule type="expression" dxfId="1711" priority="260" stopIfTrue="1">
      <formula>N$29&gt;#REF!</formula>
    </cfRule>
  </conditionalFormatting>
  <dataValidations count="5">
    <dataValidation type="whole" allowBlank="1" showInputMessage="1" showErrorMessage="1" sqref="N23:N28 N5:N14">
      <formula1>0</formula1>
      <formula2>1000</formula2>
    </dataValidation>
    <dataValidation type="whole" allowBlank="1" showInputMessage="1" showErrorMessage="1" sqref="F22:F28 G5:G9">
      <formula1>0</formula1>
      <formula2>10</formula2>
    </dataValidation>
    <dataValidation type="list" showErrorMessage="1" sqref="E4">
      <formula1>"Oui,Non"</formula1>
    </dataValidation>
    <dataValidation type="whole" allowBlank="1" showInputMessage="1" showErrorMessage="1" sqref="B5:B7">
      <formula1>0</formula1>
      <formula2>2000000</formula2>
    </dataValidation>
    <dataValidation type="list" allowBlank="1" showInputMessage="1" showErrorMessage="1" sqref="N2">
      <formula1>"0,1,2,3,4,5,6,7,8,9,10"</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0000"/>
  </sheetPr>
  <dimension ref="A1:T29"/>
  <sheetViews>
    <sheetView showGridLines="0" workbookViewId="0">
      <pane ySplit="2" topLeftCell="A3" activePane="bottomLeft" state="frozen"/>
      <selection activeCell="P319" sqref="P319"/>
      <selection pane="bottomLeft" activeCell="B2" sqref="B2"/>
    </sheetView>
  </sheetViews>
  <sheetFormatPr baseColWidth="10" defaultColWidth="11.42578125" defaultRowHeight="15" customHeight="1" x14ac:dyDescent="0.25"/>
  <cols>
    <col min="1" max="1" width="15.28515625" style="133" bestFit="1" customWidth="1"/>
    <col min="2" max="7" width="10.7109375" style="133" customWidth="1"/>
    <col min="8" max="8" width="5.7109375" style="133" customWidth="1"/>
    <col min="9" max="9" width="20" style="133" bestFit="1" customWidth="1"/>
    <col min="10" max="10" width="9.140625" style="133" customWidth="1"/>
    <col min="11" max="13" width="8.7109375" style="133" customWidth="1"/>
    <col min="14" max="14" width="10.7109375" style="133" customWidth="1"/>
    <col min="15" max="16384" width="11.42578125" style="133"/>
  </cols>
  <sheetData>
    <row r="1" spans="1:20" ht="15" customHeight="1" thickBot="1" x14ac:dyDescent="0.3">
      <c r="A1" s="330" t="s">
        <v>291</v>
      </c>
      <c r="B1" s="968" t="s">
        <v>286</v>
      </c>
      <c r="C1" s="345" t="s">
        <v>292</v>
      </c>
      <c r="D1" s="189" t="s">
        <v>293</v>
      </c>
    </row>
    <row r="2" spans="1:20" ht="15" customHeight="1" thickTop="1" thickBot="1" x14ac:dyDescent="0.3">
      <c r="A2" s="482">
        <f>Paramètres!$BJ$2</f>
        <v>1</v>
      </c>
      <c r="B2" s="364" t="s">
        <v>289</v>
      </c>
      <c r="C2" s="364">
        <v>9</v>
      </c>
      <c r="D2" s="344">
        <f>IF($B$2='Paramètres - Admin'!$F$2,$C$2-$A$2,IF(B2='Paramètres - Admin'!$F$3,$A$2-$C$2))</f>
        <v>8</v>
      </c>
    </row>
    <row r="3" spans="1:20" ht="20.100000000000001" customHeight="1" thickBot="1" x14ac:dyDescent="0.3">
      <c r="A3" s="1106" t="s">
        <v>300</v>
      </c>
      <c r="B3" s="1107"/>
      <c r="C3" s="1107"/>
      <c r="D3" s="1107"/>
      <c r="E3" s="1107"/>
      <c r="F3" s="1107"/>
      <c r="G3" s="1214"/>
      <c r="I3" s="1093" t="str">
        <f>IF($B$2='Paramètres - Admin'!$F$2,$G$29 &amp; C2,IF($B$2='Paramètres - Admin'!$F$3,$H$29 &amp; C2))</f>
        <v>Loots - Gains Possibles vs HdV LVL 9</v>
      </c>
      <c r="J3" s="1094"/>
      <c r="K3" s="1094"/>
      <c r="L3" s="1094"/>
      <c r="M3" s="1095"/>
    </row>
    <row r="4" spans="1:20" ht="24" customHeight="1" thickBot="1" x14ac:dyDescent="0.3">
      <c r="A4" s="335"/>
      <c r="B4" s="225" t="s">
        <v>212</v>
      </c>
      <c r="C4" s="226" t="s">
        <v>452</v>
      </c>
      <c r="D4" s="226" t="s">
        <v>451</v>
      </c>
      <c r="E4" s="226" t="s">
        <v>176</v>
      </c>
      <c r="F4" s="226" t="s">
        <v>210</v>
      </c>
      <c r="G4" s="227" t="s">
        <v>211</v>
      </c>
      <c r="I4" s="853"/>
      <c r="J4" s="100" t="s">
        <v>307</v>
      </c>
      <c r="K4" s="226" t="s">
        <v>246</v>
      </c>
      <c r="L4" s="226" t="s">
        <v>247</v>
      </c>
      <c r="M4" s="227" t="s">
        <v>248</v>
      </c>
      <c r="R4" s="1215" t="s">
        <v>298</v>
      </c>
      <c r="S4" s="1217" t="s">
        <v>308</v>
      </c>
      <c r="T4" s="1218"/>
    </row>
    <row r="5" spans="1:20" ht="15" customHeight="1" thickBot="1" x14ac:dyDescent="0.3">
      <c r="A5" s="127" t="s">
        <v>38</v>
      </c>
      <c r="B5" s="229">
        <f>IF($B$2='Paramètres - Admin'!$F$2,VLOOKUP($C$2,AVAILABLE_Buildings_Resource[#All],MATCH(B$4,AVAILABLE_Buildings_Resource[#Headers],0)),IF($B$2='Paramètres - Admin'!$F$3,VLOOKUP($A$2,AVAILABLE_Buildings_Resource[#All],MATCH(B$4,AVAILABLE_Buildings_Resource[#Headers],0))))</f>
        <v>4</v>
      </c>
      <c r="C5" s="229">
        <f>IF($B$2='Paramètres - Admin'!$F$2,VLOOKUP($C$2,AVAILABLE_Buildings_Resource[#All],MATCH(C$4,AVAILABLE_Buildings_Resource[#Headers],0)),IF($B$2='Paramètres - Admin'!$F$3,VLOOKUP($A$2,AVAILABLE_Buildings_Resource[#All],MATCH(C$4,AVAILABLE_Buildings_Resource[#Headers],0))))</f>
        <v>4</v>
      </c>
      <c r="D5" s="229">
        <f>IF($B$2='Paramètres - Admin'!$F$2,VLOOKUP($C$2,AVAILABLE_Buildings_Resource[#All],MATCH(D$4,AVAILABLE_Buildings_Resource[#Headers],0)),IF($B$2='Paramètres - Admin'!$F$3,VLOOKUP($A$2,AVAILABLE_Buildings_Resource[#All],MATCH(D$4,AVAILABLE_Buildings_Resource[#Headers],0))))</f>
        <v>1</v>
      </c>
      <c r="E5" s="229">
        <f>IF($B$2='Paramètres - Admin'!$F$2,VLOOKUP($C$2,AVAILABLE_Buildings_Resource[#All],MATCH(E$4,AVAILABLE_Buildings_Resource[#Headers],0)),IF($B$2='Paramètres - Admin'!$F$3,VLOOKUP($A$2,AVAILABLE_Buildings_Resource[#All],MATCH(E$4,AVAILABLE_Buildings_Resource[#Headers],0))))</f>
        <v>6</v>
      </c>
      <c r="F5" s="229">
        <f>IF($B$2='Paramètres - Admin'!$F$2,VLOOKUP($C$2,AVAILABLE_Buildings_Resource[#All],MATCH(F$4,AVAILABLE_Buildings_Resource[#Headers],0)),IF($B$2='Paramètres - Admin'!$F$3,VLOOKUP($A$2,AVAILABLE_Buildings_Resource[#All],MATCH(F$4,AVAILABLE_Buildings_Resource[#Headers],0))))</f>
        <v>6</v>
      </c>
      <c r="G5" s="230">
        <f>IF($B$2='Paramètres - Admin'!$F$2,VLOOKUP($C$2,AVAILABLE_Buildings_Resource[#All],MATCH(G$4,AVAILABLE_Buildings_Resource[#Headers],0)),IF($B$2='Paramètres - Admin'!$F$3,VLOOKUP($A$2,AVAILABLE_Buildings_Resource[#All],MATCH(G$4,AVAILABLE_Buildings_Resource[#Headers],0))))</f>
        <v>2</v>
      </c>
      <c r="I5" s="854" t="s">
        <v>453</v>
      </c>
      <c r="J5" s="241">
        <f>VLOOKUP(1,LEAGUES_Loot_Multiplier[#All],3)</f>
        <v>2</v>
      </c>
      <c r="K5" s="86">
        <f>B25*$J5</f>
        <v>0</v>
      </c>
      <c r="L5" s="385">
        <f>C25*$J5</f>
        <v>20000</v>
      </c>
      <c r="M5" s="233">
        <f>D25*$J5</f>
        <v>0</v>
      </c>
      <c r="R5" s="1216"/>
      <c r="S5" s="1219"/>
      <c r="T5" s="1220"/>
    </row>
    <row r="6" spans="1:20" ht="15" customHeight="1" thickBot="1" x14ac:dyDescent="0.3">
      <c r="A6" s="484" t="s">
        <v>285</v>
      </c>
      <c r="B6" s="346">
        <f>IF($B$2='Paramètres - Admin'!$F$2,IF(ISERROR(VLOOKUP(VLOOKUP($C$2,AVAILABLE_Buildings_Resource[#All],MATCH(B$4,AVAILABLE_Buildings_Resource[#Headers],0)+1),EARNINGS_Gold_Storage[#All],2)),0,VLOOKUP(VLOOKUP($C$2,AVAILABLE_Buildings_Resource[#All],MATCH(B$4,AVAILABLE_Buildings_Resource[#Headers],0)+1),EARNINGS_Gold_Storage[#All],2)),IF($B$2='Paramètres - Admin'!$F$3,IF(ISERROR(VLOOKUP(VLOOKUP($A$2,AVAILABLE_Buildings_Resource[#All],MATCH(B$4,AVAILABLE_Buildings_Resource[#Headers],0)+1),EARNINGS_Gold_Storage[#All],2)),0,VLOOKUP(VLOOKUP($A$2,AVAILABLE_Buildings_Resource[#All],MATCH(B$4,AVAILABLE_Buildings_Resource[#Headers],0)+1),EARNINGS_Gold_Storage[#All],2))))</f>
        <v>1750000</v>
      </c>
      <c r="C6" s="346">
        <f>IF($B$2='Paramètres - Admin'!$F$2,IF(ISERROR(VLOOKUP(VLOOKUP($C$2,AVAILABLE_Buildings_Resource[#All],MATCH(C$4,AVAILABLE_Buildings_Resource[#Headers],0)+1),EARNINGS_Elixir_Storage[#All],2)),0,VLOOKUP(VLOOKUP($C$2,AVAILABLE_Buildings_Resource[#All],MATCH(C$4,AVAILABLE_Buildings_Resource[#Headers],0)+1),EARNINGS_Elixir_Storage[#All],2)),IF($B$2='Paramètres - Admin'!$F$3,IF(ISERROR(VLOOKUP(VLOOKUP($A$2,AVAILABLE_Buildings_Resource[#All],MATCH(C$4,AVAILABLE_Buildings_Resource[#Headers],0)+1),EARNINGS_Elixir_Storage[#All],2)),0,VLOOKUP(VLOOKUP($A$2,AVAILABLE_Buildings_Resource[#All],MATCH(C$4,AVAILABLE_Buildings_Resource[#Headers],0)+1),EARNINGS_Elixir_Storage[#All],2))))</f>
        <v>1750000</v>
      </c>
      <c r="D6" s="346">
        <f>IF($B$2='Paramètres - Admin'!$F$2,IF(ISERROR(VLOOKUP(VLOOKUP($C$2,AVAILABLE_Buildings_Resource[#All],MATCH(D$4,AVAILABLE_Buildings_Resource[#Headers],0)+1),EARNINGS_Dark_Elixir_Storage[#All],2)),0,VLOOKUP(VLOOKUP($C$2,AVAILABLE_Buildings_Resource[#All],MATCH(D$4,AVAILABLE_Buildings_Resource[#Headers],0)+1),EARNINGS_Dark_Elixir_Storage[#All],2)),IF($B$2='Paramètres - Admin'!$F$3,IF(ISERROR(VLOOKUP(VLOOKUP($A$2,AVAILABLE_Buildings_Resource[#All],MATCH(D$4,AVAILABLE_Buildings_Resource[#Headers],0)+1),EARNINGS_Dark_Elixir_Storage[#All],2)),0,VLOOKUP(VLOOKUP($A$2,AVAILABLE_Buildings_Resource[#All],MATCH(D$4,AVAILABLE_Buildings_Resource[#Headers],0)+1),EARNINGS_Dark_Elixir_Storage[#All],2))))</f>
        <v>180000</v>
      </c>
      <c r="E6" s="346">
        <f>IF($B$2='Paramètres - Admin'!$F$2,IF(ISERROR(VLOOKUP(VLOOKUP($C$2,AVAILABLE_Buildings_Resource[#All],MATCH(E$4,AVAILABLE_Buildings_Resource[#Headers],0)+1),EARNINGS_Gold_Mine[#All],3)),0,VLOOKUP(VLOOKUP($C$2,AVAILABLE_Buildings_Resource[#All],MATCH(E$4,AVAILABLE_Buildings_Resource[#Headers],0)+1),EARNINGS_Gold_Mine[#All],3)),IF($B$2='Paramètres - Admin'!$F$3,IF(ISERROR(VLOOKUP(VLOOKUP($A$2,AVAILABLE_Buildings_Resource[#All],MATCH(E$4,AVAILABLE_Buildings_Resource[#Headers],0)+1),EARNINGS_Gold_Mine[#All],3)),0,VLOOKUP(VLOOKUP($A$2,AVAILABLE_Buildings_Resource[#All],MATCH(E$4,AVAILABLE_Buildings_Resource[#Headers],0)+1),EARNINGS_Gold_Mine[#All],3))))</f>
        <v>200000</v>
      </c>
      <c r="F6" s="346">
        <f>IF($B$2='Paramètres - Admin'!$F$2,IF(ISERROR(VLOOKUP(VLOOKUP($C$2,AVAILABLE_Buildings_Resource[#All],MATCH(F$4,AVAILABLE_Buildings_Resource[#Headers],0)+1),EARNINGS_Elixir_Collector[#All],3)),0,VLOOKUP(VLOOKUP($C$2,AVAILABLE_Buildings_Resource[#All],MATCH(F$4,AVAILABLE_Buildings_Resource[#Headers],0)+1),EARNINGS_Elixir_Collector[#All],3)),IF($B$2='Paramètres - Admin'!$F$3,IF(ISERROR(VLOOKUP(VLOOKUP($A$2,AVAILABLE_Buildings_Resource[#All],MATCH(F$4,AVAILABLE_Buildings_Resource[#Headers],0)+1),EARNINGS_Elixir_Collector[#All],3)),0,VLOOKUP(VLOOKUP($A$2,AVAILABLE_Buildings_Resource[#All],MATCH(F$4,AVAILABLE_Buildings_Resource[#Headers],0)+1),EARNINGS_Elixir_Collector[#All],3))))</f>
        <v>200000</v>
      </c>
      <c r="G6" s="347">
        <f>IF($B$2='Paramètres - Admin'!$F$2,IF(ISERROR(VLOOKUP(VLOOKUP($C$2,AVAILABLE_Buildings_Resource[#All],MATCH(E$4,AVAILABLE_Buildings_Resource[#Headers],0)+1),EARNINGS_Dark_Elixir_Drill[#All],3)),0,VLOOKUP(VLOOKUP($C$2,AVAILABLE_Buildings_Resource[#All],MATCH(E$4,AVAILABLE_Buildings_Resource[#Headers],0)+1),EARNINGS_Dark_Elixir_Drill[#All],3)),IF($B$2='Paramètres - Admin'!$F$3,IF(ISERROR(VLOOKUP(VLOOKUP($A$2,AVAILABLE_Buildings_Resource[#All],MATCH(E$4,AVAILABLE_Buildings_Resource[#Headers],0)+1),EARNINGS_Dark_Elixir_Drill[#All],3)),0,VLOOKUP(VLOOKUP($A$2,AVAILABLE_Buildings_Resource[#All],MATCH(E$4,AVAILABLE_Buildings_Resource[#Headers],0)+1),EARNINGS_Dark_Elixir_Drill[#All],3))))</f>
        <v>1800</v>
      </c>
      <c r="I6" s="231" t="s">
        <v>304</v>
      </c>
      <c r="J6" s="242">
        <f>VLOOKUP(1,LEAGUES_Loot_Multiplier[#All],3)</f>
        <v>2</v>
      </c>
      <c r="K6" s="93">
        <f>E25*$J6</f>
        <v>0</v>
      </c>
      <c r="L6" s="386">
        <f>F25*$J6</f>
        <v>0</v>
      </c>
      <c r="M6" s="235">
        <f>G25*$J6</f>
        <v>0</v>
      </c>
    </row>
    <row r="7" spans="1:20" ht="15" customHeight="1" thickTop="1" x14ac:dyDescent="0.25">
      <c r="A7" s="108">
        <v>1</v>
      </c>
      <c r="B7" s="365"/>
      <c r="C7" s="366">
        <v>100000</v>
      </c>
      <c r="D7" s="366"/>
      <c r="E7" s="366"/>
      <c r="F7" s="366"/>
      <c r="G7" s="367"/>
      <c r="I7" s="231" t="s">
        <v>197</v>
      </c>
      <c r="J7" s="242">
        <f>IF(D2&gt;0,1,VLOOKUP(1,LEAGUES_Loot_Multiplier[#All],3))</f>
        <v>1</v>
      </c>
      <c r="K7" s="93">
        <f>$K$24*$J7</f>
        <v>1000</v>
      </c>
      <c r="L7" s="386">
        <f>$K$25*$J7</f>
        <v>1000</v>
      </c>
      <c r="M7" s="235">
        <v>0</v>
      </c>
      <c r="R7" s="1221" t="s">
        <v>299</v>
      </c>
      <c r="S7" s="1223" t="s">
        <v>342</v>
      </c>
      <c r="T7" s="1224"/>
    </row>
    <row r="8" spans="1:20" ht="15" customHeight="1" thickBot="1" x14ac:dyDescent="0.3">
      <c r="A8" s="106">
        <v>2</v>
      </c>
      <c r="B8" s="368"/>
      <c r="C8" s="244"/>
      <c r="D8" s="244"/>
      <c r="E8" s="244"/>
      <c r="F8" s="244"/>
      <c r="G8" s="369"/>
      <c r="I8" s="855" t="s">
        <v>306</v>
      </c>
      <c r="J8" s="243" t="s">
        <v>118</v>
      </c>
      <c r="K8" s="115">
        <f>IF($B$2='Paramètres - Admin'!$F$2,VLOOKUP(1,LEAGUES_Bonus[#All],3),0)</f>
        <v>0</v>
      </c>
      <c r="L8" s="387">
        <f>IF($B$2='Paramètres - Admin'!$F$2,VLOOKUP(1,LEAGUES_Bonus[#All],4),0)</f>
        <v>0</v>
      </c>
      <c r="M8" s="238">
        <f>IF($B$2='Paramètres - Admin'!$F$2,VLOOKUP(1,LEAGUES_Bonus[#All],5),0)</f>
        <v>0</v>
      </c>
      <c r="R8" s="1222"/>
      <c r="S8" s="1225"/>
      <c r="T8" s="1226"/>
    </row>
    <row r="9" spans="1:20" ht="15" customHeight="1" thickBot="1" x14ac:dyDescent="0.3">
      <c r="A9" s="106">
        <v>3</v>
      </c>
      <c r="B9" s="368"/>
      <c r="C9" s="244"/>
      <c r="D9" s="244"/>
      <c r="E9" s="244"/>
      <c r="F9" s="244"/>
      <c r="G9" s="369"/>
      <c r="I9" s="132"/>
      <c r="J9" s="511" t="s">
        <v>31</v>
      </c>
      <c r="K9" s="223">
        <f>SUM(K5:K8)</f>
        <v>1000</v>
      </c>
      <c r="L9" s="388">
        <f>SUM(L5:L8)</f>
        <v>21000</v>
      </c>
      <c r="M9" s="240">
        <f>SUM(M5:M8)</f>
        <v>0</v>
      </c>
    </row>
    <row r="10" spans="1:20" ht="15" customHeight="1" x14ac:dyDescent="0.25">
      <c r="A10" s="106">
        <v>4</v>
      </c>
      <c r="B10" s="368"/>
      <c r="C10" s="244"/>
      <c r="D10" s="244"/>
      <c r="E10" s="244"/>
      <c r="F10" s="244"/>
      <c r="G10" s="369"/>
    </row>
    <row r="11" spans="1:20" ht="15" customHeight="1" x14ac:dyDescent="0.25">
      <c r="A11" s="106">
        <v>5</v>
      </c>
      <c r="B11" s="368"/>
      <c r="C11" s="244"/>
      <c r="D11" s="244"/>
      <c r="E11" s="244"/>
      <c r="F11" s="244"/>
      <c r="G11" s="369"/>
    </row>
    <row r="12" spans="1:20" ht="15" customHeight="1" x14ac:dyDescent="0.25">
      <c r="A12" s="106">
        <v>6</v>
      </c>
      <c r="B12" s="368"/>
      <c r="C12" s="244"/>
      <c r="D12" s="244"/>
      <c r="E12" s="244"/>
      <c r="F12" s="244"/>
      <c r="G12" s="369"/>
    </row>
    <row r="13" spans="1:20" ht="15" customHeight="1" thickBot="1" x14ac:dyDescent="0.3">
      <c r="A13" s="236">
        <v>7</v>
      </c>
      <c r="B13" s="370"/>
      <c r="C13" s="371"/>
      <c r="D13" s="371"/>
      <c r="E13" s="371"/>
      <c r="F13" s="371"/>
      <c r="G13" s="372"/>
    </row>
    <row r="14" spans="1:20" ht="15" customHeight="1" thickTop="1" thickBot="1" x14ac:dyDescent="0.3">
      <c r="A14" s="228" t="s">
        <v>31</v>
      </c>
      <c r="B14" s="348">
        <f t="shared" ref="B14:G14" si="0">SUMIF($A7:$A13,"&lt;="&amp;B$5,B7:B13)</f>
        <v>0</v>
      </c>
      <c r="C14" s="349">
        <f t="shared" si="0"/>
        <v>100000</v>
      </c>
      <c r="D14" s="349">
        <f t="shared" si="0"/>
        <v>0</v>
      </c>
      <c r="E14" s="349">
        <f t="shared" si="0"/>
        <v>0</v>
      </c>
      <c r="F14" s="349">
        <f t="shared" si="0"/>
        <v>0</v>
      </c>
      <c r="G14" s="350">
        <f t="shared" si="0"/>
        <v>0</v>
      </c>
    </row>
    <row r="15" spans="1:20" ht="15" customHeight="1" thickBot="1" x14ac:dyDescent="0.3"/>
    <row r="16" spans="1:20" ht="24.75" customHeight="1" thickBot="1" x14ac:dyDescent="0.3">
      <c r="A16" s="1093" t="s">
        <v>301</v>
      </c>
      <c r="B16" s="1094"/>
      <c r="C16" s="1094"/>
      <c r="D16" s="1094"/>
      <c r="E16" s="1094"/>
      <c r="F16" s="1094"/>
      <c r="G16" s="1095"/>
    </row>
    <row r="17" spans="1:11" ht="25.5" customHeight="1" thickBot="1" x14ac:dyDescent="0.3">
      <c r="A17" s="333"/>
      <c r="B17" s="225" t="s">
        <v>212</v>
      </c>
      <c r="C17" s="226" t="s">
        <v>452</v>
      </c>
      <c r="D17" s="226" t="s">
        <v>451</v>
      </c>
      <c r="E17" s="226" t="s">
        <v>176</v>
      </c>
      <c r="F17" s="226" t="s">
        <v>210</v>
      </c>
      <c r="G17" s="227" t="s">
        <v>211</v>
      </c>
      <c r="I17" s="975" t="s">
        <v>123</v>
      </c>
      <c r="J17" s="841" t="s">
        <v>127</v>
      </c>
      <c r="K17" s="415" t="s">
        <v>295</v>
      </c>
    </row>
    <row r="18" spans="1:11" ht="27.75" customHeight="1" x14ac:dyDescent="0.25">
      <c r="A18" s="838">
        <v>1</v>
      </c>
      <c r="B18" s="232">
        <f t="shared" ref="B18:B24" si="1">IF($A18&gt;B$5,0,IF((B$7*$J$18)+(B$8*$J$18)+(B$9*$J$18)+(B$10*$J$18)+(B$11*$J$18)+(B$12*$J$18)+(B$13*$J$18)&gt;$K$18,$K$18*(B7/B$14),B7*$J$18))</f>
        <v>0</v>
      </c>
      <c r="C18" s="385">
        <f t="shared" ref="C18:C24" si="2">IF($A18&gt;C$5,0,IF((C$7*$J$19)+(C$8*$J$19)+(C$9*$J$19)+(C$10*$J$19)+(C$11*$J$19)+(C$12*$J$19)+(C$13*$J$19)&gt;$K$19,$K$19*(C7/C$14),C7*$J$19))</f>
        <v>10000</v>
      </c>
      <c r="D18" s="118">
        <f t="shared" ref="D18:D24" si="3">IF($A18&gt;D$5,0,IF((D$7*$J$20)+(D$8*$J$20)+(D$9*$J$20)+(D$10*$J$20)+(D$11*$J$20)+(D$12*$J$20)+(D$13*$J$20)&gt;$K$20,$K$20*(D7/D$14),D7*$J$20))</f>
        <v>0</v>
      </c>
      <c r="E18" s="86">
        <f t="shared" ref="E18:E24" si="4">IF($A18&gt;E$5,0,IF(E7&gt;$K$21,$K$21*$J$21,E7*$J$21))</f>
        <v>0</v>
      </c>
      <c r="F18" s="385">
        <f t="shared" ref="F18:F24" si="5">IF($A18&gt;F$5,0,IF(F7&gt;$K$22,$K$22*$J$22,F7*$J$22))</f>
        <v>0</v>
      </c>
      <c r="G18" s="233">
        <f t="shared" ref="G18:G24" si="6">IF($A18&gt;G$5,0,IF(G7&gt;$K$23,$K$23*$J$23,G7*$J$23))</f>
        <v>0</v>
      </c>
      <c r="I18" s="842" t="s">
        <v>212</v>
      </c>
      <c r="J18" s="843">
        <v>0.1</v>
      </c>
      <c r="K18" s="834">
        <v>400000</v>
      </c>
    </row>
    <row r="19" spans="1:11" ht="15" customHeight="1" x14ac:dyDescent="0.25">
      <c r="A19" s="838">
        <v>2</v>
      </c>
      <c r="B19" s="234">
        <f t="shared" si="1"/>
        <v>0</v>
      </c>
      <c r="C19" s="386">
        <f t="shared" si="2"/>
        <v>0</v>
      </c>
      <c r="D19" s="121">
        <f t="shared" si="3"/>
        <v>0</v>
      </c>
      <c r="E19" s="517">
        <f t="shared" si="4"/>
        <v>0</v>
      </c>
      <c r="F19" s="386">
        <f t="shared" si="5"/>
        <v>0</v>
      </c>
      <c r="G19" s="235">
        <f t="shared" si="6"/>
        <v>0</v>
      </c>
      <c r="I19" s="844" t="s">
        <v>452</v>
      </c>
      <c r="J19" s="845">
        <v>0.1</v>
      </c>
      <c r="K19" s="836">
        <v>400000</v>
      </c>
    </row>
    <row r="20" spans="1:11" ht="15" customHeight="1" x14ac:dyDescent="0.25">
      <c r="A20" s="838">
        <v>3</v>
      </c>
      <c r="B20" s="234">
        <f t="shared" si="1"/>
        <v>0</v>
      </c>
      <c r="C20" s="386">
        <f t="shared" si="2"/>
        <v>0</v>
      </c>
      <c r="D20" s="121">
        <f t="shared" si="3"/>
        <v>0</v>
      </c>
      <c r="E20" s="517">
        <f t="shared" si="4"/>
        <v>0</v>
      </c>
      <c r="F20" s="386">
        <f t="shared" si="5"/>
        <v>0</v>
      </c>
      <c r="G20" s="235">
        <f t="shared" si="6"/>
        <v>0</v>
      </c>
      <c r="I20" s="844" t="s">
        <v>451</v>
      </c>
      <c r="J20" s="846">
        <v>0.04</v>
      </c>
      <c r="K20" s="419">
        <v>3000</v>
      </c>
    </row>
    <row r="21" spans="1:11" ht="15" customHeight="1" x14ac:dyDescent="0.25">
      <c r="A21" s="838">
        <v>4</v>
      </c>
      <c r="B21" s="234">
        <f t="shared" si="1"/>
        <v>0</v>
      </c>
      <c r="C21" s="386">
        <f t="shared" si="2"/>
        <v>0</v>
      </c>
      <c r="D21" s="121">
        <f t="shared" si="3"/>
        <v>0</v>
      </c>
      <c r="E21" s="517">
        <f t="shared" si="4"/>
        <v>0</v>
      </c>
      <c r="F21" s="386">
        <f t="shared" si="5"/>
        <v>0</v>
      </c>
      <c r="G21" s="235">
        <f t="shared" si="6"/>
        <v>0</v>
      </c>
      <c r="I21" s="844" t="s">
        <v>176</v>
      </c>
      <c r="J21" s="847">
        <v>0.5</v>
      </c>
      <c r="K21" s="814">
        <f>IF($B$2='Paramètres - Admin'!$F$2,IF(ISERROR(VLOOKUP(VLOOKUP($C$2,AVAILABLE_Buildings_Resource[#All],MATCH(E$4,AVAILABLE_Buildings_Resource[#Headers],0)+1),EARNINGS_Gold_Storage[#All],2)),0,VLOOKUP(VLOOKUP($C$2,AVAILABLE_Buildings_Resource[#All],MATCH(E$4,AVAILABLE_Buildings_Resource[#Headers],0)+1),EARNINGS_Gold_Mine[#All],3)),IF($B$2='Paramètres - Admin'!$F$3,IF(ISERROR(VLOOKUP(VLOOKUP($A$2,AVAILABLE_Buildings_Resource[#All],MATCH(E$4,AVAILABLE_Buildings_Resource[#Headers],0)+1),EARNINGS_Gold_Storage[#All],2)),0,VLOOKUP(VLOOKUP($A$2,AVAILABLE_Buildings_Resource[#All],MATCH(E$4,AVAILABLE_Buildings_Resource[#Headers],0)+1),EARNINGS_Gold_Mine[#All],3))))</f>
        <v>200000</v>
      </c>
    </row>
    <row r="22" spans="1:11" ht="15" customHeight="1" x14ac:dyDescent="0.25">
      <c r="A22" s="838">
        <v>5</v>
      </c>
      <c r="B22" s="234">
        <f t="shared" si="1"/>
        <v>0</v>
      </c>
      <c r="C22" s="386">
        <f t="shared" si="2"/>
        <v>0</v>
      </c>
      <c r="D22" s="121">
        <f t="shared" si="3"/>
        <v>0</v>
      </c>
      <c r="E22" s="517">
        <f t="shared" si="4"/>
        <v>0</v>
      </c>
      <c r="F22" s="386">
        <f t="shared" si="5"/>
        <v>0</v>
      </c>
      <c r="G22" s="235">
        <f t="shared" si="6"/>
        <v>0</v>
      </c>
      <c r="I22" s="844" t="s">
        <v>210</v>
      </c>
      <c r="J22" s="845">
        <v>0.5</v>
      </c>
      <c r="K22" s="848">
        <f>IF($B$2='Paramètres - Admin'!$F$2,IF(ISERROR(VLOOKUP(VLOOKUP($C$2,AVAILABLE_Buildings_Resource[#All],MATCH(F$4,AVAILABLE_Buildings_Resource[#Headers],0)+1),EARNINGS_Gold_Storage[#All],2)),0,VLOOKUP(VLOOKUP($C$2,AVAILABLE_Buildings_Resource[#All],MATCH(F$4,AVAILABLE_Buildings_Resource[#Headers],0)+1),EARNINGS_Elixir_Collector[#All],3)),IF($B$2='Paramètres - Admin'!$F$3,IF(ISERROR(VLOOKUP(VLOOKUP($A$2,AVAILABLE_Buildings_Resource[#All],MATCH(F$4,AVAILABLE_Buildings_Resource[#Headers],0)+1),EARNINGS_Gold_Storage[#All],2)),0,VLOOKUP(VLOOKUP($A$2,AVAILABLE_Buildings_Resource[#All],MATCH(F$4,AVAILABLE_Buildings_Resource[#Headers],0)+1),EARNINGS_Elixir_Collector[#All],3))))</f>
        <v>200000</v>
      </c>
    </row>
    <row r="23" spans="1:11" ht="15" customHeight="1" x14ac:dyDescent="0.25">
      <c r="A23" s="838">
        <v>6</v>
      </c>
      <c r="B23" s="234">
        <f t="shared" si="1"/>
        <v>0</v>
      </c>
      <c r="C23" s="386">
        <f t="shared" si="2"/>
        <v>0</v>
      </c>
      <c r="D23" s="121">
        <f t="shared" si="3"/>
        <v>0</v>
      </c>
      <c r="E23" s="517">
        <f t="shared" si="4"/>
        <v>0</v>
      </c>
      <c r="F23" s="386">
        <f t="shared" si="5"/>
        <v>0</v>
      </c>
      <c r="G23" s="235">
        <f t="shared" si="6"/>
        <v>0</v>
      </c>
      <c r="I23" s="844" t="s">
        <v>211</v>
      </c>
      <c r="J23" s="846">
        <v>0.75</v>
      </c>
      <c r="K23" s="849">
        <v>1600</v>
      </c>
    </row>
    <row r="24" spans="1:11" ht="15" customHeight="1" thickBot="1" x14ac:dyDescent="0.3">
      <c r="A24" s="236">
        <v>7</v>
      </c>
      <c r="B24" s="237">
        <f t="shared" si="1"/>
        <v>0</v>
      </c>
      <c r="C24" s="387">
        <f t="shared" si="2"/>
        <v>0</v>
      </c>
      <c r="D24" s="203">
        <f t="shared" si="3"/>
        <v>0</v>
      </c>
      <c r="E24" s="115">
        <f t="shared" si="4"/>
        <v>0</v>
      </c>
      <c r="F24" s="387">
        <f t="shared" si="5"/>
        <v>0</v>
      </c>
      <c r="G24" s="238">
        <f t="shared" si="6"/>
        <v>0</v>
      </c>
      <c r="I24" s="850" t="s">
        <v>344</v>
      </c>
      <c r="J24" s="847">
        <v>1</v>
      </c>
      <c r="K24" s="835">
        <v>1000</v>
      </c>
    </row>
    <row r="25" spans="1:11" ht="15" customHeight="1" thickBot="1" x14ac:dyDescent="0.3">
      <c r="A25" s="228" t="s">
        <v>31</v>
      </c>
      <c r="B25" s="239">
        <f t="shared" ref="B25:G25" si="7">SUM(B18:B24)</f>
        <v>0</v>
      </c>
      <c r="C25" s="388">
        <f t="shared" si="7"/>
        <v>10000</v>
      </c>
      <c r="D25" s="224">
        <f t="shared" si="7"/>
        <v>0</v>
      </c>
      <c r="E25" s="223">
        <f t="shared" si="7"/>
        <v>0</v>
      </c>
      <c r="F25" s="388">
        <f t="shared" si="7"/>
        <v>0</v>
      </c>
      <c r="G25" s="240">
        <f t="shared" si="7"/>
        <v>0</v>
      </c>
      <c r="I25" s="851" t="s">
        <v>345</v>
      </c>
      <c r="J25" s="852">
        <v>1</v>
      </c>
      <c r="K25" s="837">
        <v>1000</v>
      </c>
    </row>
    <row r="29" spans="1:11" ht="20.100000000000001" customHeight="1" x14ac:dyDescent="0.25">
      <c r="G29" s="336" t="s">
        <v>310</v>
      </c>
      <c r="H29" s="336" t="s">
        <v>311</v>
      </c>
    </row>
  </sheetData>
  <sheetProtection sheet="1" objects="1" scenarios="1" selectLockedCells="1"/>
  <mergeCells count="7">
    <mergeCell ref="A16:G16"/>
    <mergeCell ref="A3:G3"/>
    <mergeCell ref="I3:M3"/>
    <mergeCell ref="R4:R5"/>
    <mergeCell ref="S4:T5"/>
    <mergeCell ref="R7:R8"/>
    <mergeCell ref="S7:T8"/>
  </mergeCells>
  <conditionalFormatting sqref="B7:G13">
    <cfRule type="expression" dxfId="1710" priority="101">
      <formula>$A7&gt;B$5</formula>
    </cfRule>
  </conditionalFormatting>
  <conditionalFormatting sqref="B7:B13">
    <cfRule type="expression" dxfId="1709" priority="100">
      <formula>$B7&gt;$B$6</formula>
    </cfRule>
  </conditionalFormatting>
  <conditionalFormatting sqref="D7:D13">
    <cfRule type="expression" dxfId="1708" priority="98">
      <formula>$D7&gt;$D$6</formula>
    </cfRule>
  </conditionalFormatting>
  <conditionalFormatting sqref="E7:E13">
    <cfRule type="expression" dxfId="1707" priority="97">
      <formula>$E7&gt;$E$6</formula>
    </cfRule>
  </conditionalFormatting>
  <conditionalFormatting sqref="G7:G13">
    <cfRule type="expression" dxfId="1706" priority="71">
      <formula>$G7&gt;$G$6</formula>
    </cfRule>
  </conditionalFormatting>
  <conditionalFormatting sqref="C7:C13">
    <cfRule type="expression" dxfId="1705" priority="99">
      <formula>$C7&gt;$C$6</formula>
    </cfRule>
  </conditionalFormatting>
  <conditionalFormatting sqref="F7:F13">
    <cfRule type="expression" dxfId="1704" priority="96">
      <formula>$F7&gt;$F$6</formula>
    </cfRule>
  </conditionalFormatting>
  <conditionalFormatting sqref="B18:G25">
    <cfRule type="expression" dxfId="1703" priority="2">
      <formula>B18=0</formula>
    </cfRule>
  </conditionalFormatting>
  <conditionalFormatting sqref="B9">
    <cfRule type="expression" dxfId="1702" priority="1">
      <formula>$C9&gt;$C$6</formula>
    </cfRule>
  </conditionalFormatting>
  <dataValidations count="3">
    <dataValidation type="list" allowBlank="1" showInputMessage="1" showErrorMessage="1" sqref="B2">
      <formula1>Attack_Defense</formula1>
    </dataValidation>
    <dataValidation type="list" allowBlank="1" showInputMessage="1" showErrorMessage="1" sqref="C2">
      <formula1>"1,2,3,4,5,6,7,8,9,10,11"</formula1>
    </dataValidation>
    <dataValidation type="whole" allowBlank="1" showInputMessage="1" showErrorMessage="1" sqref="B7:G13">
      <formula1>0</formula1>
      <formula2>2000000</formula2>
    </dataValidation>
  </dataValidations>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0000"/>
  </sheetPr>
  <dimension ref="A1:W41"/>
  <sheetViews>
    <sheetView showGridLines="0" zoomScaleNormal="100" workbookViewId="0">
      <pane ySplit="2" topLeftCell="A3" activePane="bottomLeft" state="frozen"/>
      <selection activeCell="P319" sqref="P319"/>
      <selection pane="bottomLeft" activeCell="B2" sqref="B2:C2"/>
    </sheetView>
  </sheetViews>
  <sheetFormatPr baseColWidth="10" defaultColWidth="11.42578125" defaultRowHeight="15" customHeight="1" x14ac:dyDescent="0.25"/>
  <cols>
    <col min="1" max="1" width="15.5703125" style="133" customWidth="1"/>
    <col min="2" max="2" width="7.28515625" style="132" customWidth="1"/>
    <col min="3" max="3" width="7.28515625" style="133" customWidth="1"/>
    <col min="4" max="5" width="6.7109375" style="133" customWidth="1"/>
    <col min="6" max="6" width="7.7109375" style="133" customWidth="1"/>
    <col min="7" max="7" width="15.7109375" style="133" customWidth="1"/>
    <col min="8" max="8" width="2.7109375" style="133" customWidth="1"/>
    <col min="9" max="9" width="10.7109375" style="133" customWidth="1"/>
    <col min="10" max="11" width="7.28515625" style="133" customWidth="1"/>
    <col min="12" max="14" width="6.7109375" style="133" hidden="1" customWidth="1"/>
    <col min="15" max="17" width="15.7109375" style="133" customWidth="1"/>
    <col min="18" max="18" width="16.42578125" style="133" customWidth="1"/>
    <col min="19" max="19" width="15.7109375" style="132" customWidth="1"/>
    <col min="20" max="20" width="19.28515625" style="133" customWidth="1"/>
    <col min="21" max="22" width="15.7109375" style="133" customWidth="1"/>
    <col min="23" max="23" width="15.7109375" style="132" customWidth="1"/>
    <col min="24" max="16384" width="11.42578125" style="133"/>
  </cols>
  <sheetData>
    <row r="1" spans="1:20" ht="24.95" customHeight="1" thickBot="1" x14ac:dyDescent="0.3">
      <c r="A1" s="330" t="s">
        <v>291</v>
      </c>
      <c r="B1" s="1112" t="s">
        <v>228</v>
      </c>
      <c r="C1" s="1266"/>
      <c r="D1" s="1253" t="s">
        <v>315</v>
      </c>
      <c r="E1" s="1263"/>
      <c r="F1" s="1253" t="s">
        <v>711</v>
      </c>
      <c r="G1" s="1254"/>
      <c r="I1" s="189" t="s">
        <v>318</v>
      </c>
      <c r="L1" s="268"/>
      <c r="M1" s="268"/>
      <c r="N1" s="269"/>
      <c r="O1" s="225" t="s">
        <v>323</v>
      </c>
      <c r="P1" s="226" t="s">
        <v>324</v>
      </c>
      <c r="Q1" s="226" t="s">
        <v>325</v>
      </c>
      <c r="R1" s="227" t="s">
        <v>326</v>
      </c>
    </row>
    <row r="2" spans="1:20" ht="15" customHeight="1" thickTop="1" thickBot="1" x14ac:dyDescent="0.3">
      <c r="A2" s="593">
        <f>Paramètres!$BJ$2</f>
        <v>1</v>
      </c>
      <c r="B2" s="1267" t="s">
        <v>218</v>
      </c>
      <c r="C2" s="1268"/>
      <c r="D2" s="1264">
        <f>IF(ISERROR(MATCH(1,Paramètres!L$6:L$45,0)),0,MATCH(1,Paramètres!L$6:L$45,0))</f>
        <v>0</v>
      </c>
      <c r="E2" s="1265"/>
      <c r="F2" s="1255">
        <f>IF(ISERROR(MATCH(1,Paramètres!M$6:M$45,0)),0,MATCH(1,Paramètres!M$6:M$45,0))</f>
        <v>0</v>
      </c>
      <c r="G2" s="1256"/>
      <c r="I2" s="270">
        <f>Paramètres!H46</f>
        <v>0</v>
      </c>
      <c r="L2" s="271"/>
      <c r="M2" s="271"/>
      <c r="N2" s="272"/>
      <c r="O2" s="377">
        <f>IF(ISERROR(MATCH(2,Paramètres!H6:H45,0)),0,MATCH(2,Paramètres!H6:H45,0))</f>
        <v>0</v>
      </c>
      <c r="P2" s="379">
        <v>9</v>
      </c>
      <c r="Q2" s="379">
        <v>10</v>
      </c>
      <c r="R2" s="378">
        <v>10</v>
      </c>
    </row>
    <row r="3" spans="1:20" ht="20.100000000000001" customHeight="1" thickTop="1" thickBot="1" x14ac:dyDescent="0.3">
      <c r="A3" s="1093" t="s">
        <v>312</v>
      </c>
      <c r="B3" s="1107"/>
      <c r="C3" s="1107"/>
      <c r="D3" s="1094"/>
      <c r="E3" s="1094"/>
      <c r="F3" s="1094"/>
      <c r="G3" s="1095"/>
      <c r="I3" s="1106" t="s">
        <v>313</v>
      </c>
      <c r="J3" s="1107"/>
      <c r="K3" s="1107"/>
      <c r="L3" s="1107"/>
      <c r="M3" s="1107"/>
      <c r="N3" s="1107"/>
      <c r="O3" s="1107"/>
      <c r="P3" s="1107"/>
      <c r="Q3" s="1107"/>
      <c r="R3" s="1214"/>
    </row>
    <row r="4" spans="1:20" ht="15" customHeight="1" thickBot="1" x14ac:dyDescent="0.3">
      <c r="A4" s="273"/>
      <c r="B4" s="274" t="s">
        <v>39</v>
      </c>
      <c r="C4" s="532" t="s">
        <v>331</v>
      </c>
      <c r="D4" s="532" t="s">
        <v>390</v>
      </c>
      <c r="E4" s="275" t="s">
        <v>258</v>
      </c>
      <c r="F4" s="276" t="s">
        <v>151</v>
      </c>
      <c r="G4" s="345" t="s">
        <v>448</v>
      </c>
      <c r="I4" s="277"/>
      <c r="J4" s="100" t="s">
        <v>39</v>
      </c>
      <c r="K4" s="226" t="s">
        <v>331</v>
      </c>
      <c r="L4" s="226" t="s">
        <v>390</v>
      </c>
      <c r="M4" s="278" t="s">
        <v>258</v>
      </c>
      <c r="N4" s="279" t="s">
        <v>151</v>
      </c>
      <c r="O4" s="225" t="s">
        <v>322</v>
      </c>
      <c r="P4" s="226" t="s">
        <v>358</v>
      </c>
      <c r="Q4" s="226" t="s">
        <v>321</v>
      </c>
      <c r="R4" s="279" t="s">
        <v>320</v>
      </c>
      <c r="S4" s="345" t="s">
        <v>31</v>
      </c>
      <c r="T4" s="133" t="b">
        <f>AND(B$5&lt;&gt;"",$A6&gt;B$5)</f>
        <v>1</v>
      </c>
    </row>
    <row r="5" spans="1:20" ht="15" customHeight="1" thickTop="1" x14ac:dyDescent="0.25">
      <c r="A5" s="281" t="s">
        <v>190</v>
      </c>
      <c r="B5" s="83">
        <f>VLOOKUP($A$2,AVAILABLE_Upgrades_Spells[#All],MATCH($A5,AVAILABLE_Upgrades_Spells[#Headers],0)+1)</f>
        <v>0</v>
      </c>
      <c r="C5" s="282">
        <f>IF(ISERROR(MATCH(1,Paramètres!AG$6:AG$45,0)),0,MATCH(1,Paramètres!AG$6:AG$45,0))</f>
        <v>0</v>
      </c>
      <c r="D5" s="283">
        <f>IF($C5&lt;&gt;0,VLOOKUP($C5,TRAINING_Spell_Lightning[#All],2),0)</f>
        <v>0</v>
      </c>
      <c r="E5" s="382">
        <f>IF($C5&lt;&gt;0,VLOOKUP($C5,TRAINING_Spell_Lightning[#All],3),0)</f>
        <v>0</v>
      </c>
      <c r="F5" s="284">
        <f>IF($C5&lt;&gt;0,VLOOKUP($C5,TRAINING_Spell_Lightning[#All],4),0)</f>
        <v>0</v>
      </c>
      <c r="G5" s="373"/>
      <c r="I5" s="119" t="s">
        <v>195</v>
      </c>
      <c r="J5" s="120">
        <f>VLOOKUP($A$2,AVAILABLE_Upgrades_Normal_Troops[#All],MATCH($I5,AVAILABLE_Upgrades_Normal_Troops[#Headers],0)+1)</f>
        <v>0</v>
      </c>
      <c r="K5" s="285">
        <f>IF(ISERROR(MATCH(1,Paramètres!AO$6:AO$45,0)),0,MATCH(1,Paramètres!AO$6:AO$45,0))</f>
        <v>0</v>
      </c>
      <c r="L5" s="286">
        <f>IF($K5&lt;&gt;0,VLOOKUP($K5,TRAINING_Barbarian[#All],2),0)</f>
        <v>0</v>
      </c>
      <c r="M5" s="95">
        <f>IF($K5&lt;&gt;0,VLOOKUP($K5,TRAINING_Barbarian[#All],3),0)</f>
        <v>0</v>
      </c>
      <c r="N5" s="287">
        <f>IF($K5&lt;&gt;0,VLOOKUP($K5,TRAINING_Barbarian[#All],4),0)</f>
        <v>0</v>
      </c>
      <c r="O5" s="355"/>
      <c r="P5" s="361"/>
      <c r="Q5" s="361"/>
      <c r="R5" s="356"/>
      <c r="S5" s="486">
        <f>SUM(O5:R5)</f>
        <v>0</v>
      </c>
    </row>
    <row r="6" spans="1:20" ht="15" customHeight="1" x14ac:dyDescent="0.25">
      <c r="A6" s="119" t="s">
        <v>191</v>
      </c>
      <c r="B6" s="91">
        <f>VLOOKUP($A$2,AVAILABLE_Upgrades_Spells[#All],MATCH($A6,AVAILABLE_Upgrades_Spells[#Headers],0)+1)</f>
        <v>0</v>
      </c>
      <c r="C6" s="285">
        <f>IF(ISERROR(MATCH(1,Paramètres!AH$6:AH$45,0)),0,MATCH(1,Paramètres!AH$6:AH$45,0))</f>
        <v>0</v>
      </c>
      <c r="D6" s="286">
        <f>IF($C6&lt;&gt;0,VLOOKUP($C6,TRAINING_Spell_Healing[#All],2),0)</f>
        <v>0</v>
      </c>
      <c r="E6" s="382">
        <f>IF($C6&lt;&gt;0,VLOOKUP($C6,TRAINING_Spell_Healing[#All],3),0)</f>
        <v>0</v>
      </c>
      <c r="F6" s="287">
        <f>IF($C6&lt;&gt;0,VLOOKUP($C6,TRAINING_Spell_Healing[#All],4),0)</f>
        <v>0</v>
      </c>
      <c r="G6" s="374"/>
      <c r="I6" s="119" t="s">
        <v>50</v>
      </c>
      <c r="J6" s="120">
        <f>VLOOKUP($A$2,AVAILABLE_Upgrades_Normal_Troops[#All],MATCH($I6,AVAILABLE_Upgrades_Normal_Troops[#Headers],0)+1)</f>
        <v>0</v>
      </c>
      <c r="K6" s="285">
        <f>IF(ISERROR(MATCH(1,Paramètres!AP$6:AP$45,0)),0,MATCH(1,Paramètres!AP$6:AP$45,0))</f>
        <v>0</v>
      </c>
      <c r="L6" s="286">
        <f>IF($K6&lt;&gt;0,VLOOKUP($K6,TRAINING_Archer[#All],2),0)</f>
        <v>0</v>
      </c>
      <c r="M6" s="95">
        <f>IF($K6&lt;&gt;0,VLOOKUP($K6,TRAINING_Archer[#All],3),0)</f>
        <v>0</v>
      </c>
      <c r="N6" s="287">
        <f>IF($K6&lt;&gt;0,VLOOKUP($K6,TRAINING_Archer[#All],4),0)</f>
        <v>0</v>
      </c>
      <c r="O6" s="357"/>
      <c r="P6" s="156"/>
      <c r="Q6" s="156"/>
      <c r="R6" s="358"/>
      <c r="S6" s="486">
        <f t="shared" ref="S6:S14" si="0">SUM(O6:R6)</f>
        <v>0</v>
      </c>
    </row>
    <row r="7" spans="1:20" ht="15" customHeight="1" x14ac:dyDescent="0.25">
      <c r="A7" s="119" t="s">
        <v>192</v>
      </c>
      <c r="B7" s="91">
        <f>VLOOKUP($A$2,AVAILABLE_Upgrades_Spells[#All],MATCH($A7,AVAILABLE_Upgrades_Spells[#Headers],0)+1)</f>
        <v>0</v>
      </c>
      <c r="C7" s="285">
        <f>IF(ISERROR(MATCH(1,Paramètres!AI$6:AI$45,0)),0,MATCH(1,Paramètres!AI$6:AI$45,0))</f>
        <v>0</v>
      </c>
      <c r="D7" s="286">
        <f>IF($C7&lt;&gt;0,VLOOKUP($C7,TRAINING_Spell_Rage[#All],2),0)</f>
        <v>0</v>
      </c>
      <c r="E7" s="382">
        <f>IF($C7&lt;&gt;0,VLOOKUP($C7,TRAINING_Spell_Rage[#All],3),0)</f>
        <v>0</v>
      </c>
      <c r="F7" s="287">
        <f>IF($C7&lt;&gt;0,VLOOKUP($C7,TRAINING_Spell_Rage[#All],4),0)</f>
        <v>0</v>
      </c>
      <c r="G7" s="374"/>
      <c r="I7" s="119" t="s">
        <v>189</v>
      </c>
      <c r="J7" s="120">
        <f>VLOOKUP($A$2,AVAILABLE_Upgrades_Normal_Troops[#All],MATCH($I7,AVAILABLE_Upgrades_Normal_Troops[#Headers],0)+1)</f>
        <v>0</v>
      </c>
      <c r="K7" s="285">
        <f>IF(ISERROR(MATCH(1,Paramètres!AQ$6:AQ$45,0)),0,MATCH(1,Paramètres!AQ$6:AQ$45,0))</f>
        <v>0</v>
      </c>
      <c r="L7" s="286">
        <f>IF($K7&lt;&gt;0,VLOOKUP($K7,TRAINING_Goblin[#All],2),0)</f>
        <v>0</v>
      </c>
      <c r="M7" s="95">
        <f>IF($K7&lt;&gt;0,VLOOKUP($K7,TRAINING_Goblin[#All],3),0)</f>
        <v>0</v>
      </c>
      <c r="N7" s="287">
        <f>IF($K7&lt;&gt;0,VLOOKUP($K7,TRAINING_Goblin[#All],4),0)</f>
        <v>0</v>
      </c>
      <c r="O7" s="357"/>
      <c r="P7" s="156"/>
      <c r="Q7" s="156"/>
      <c r="R7" s="358"/>
      <c r="S7" s="486">
        <f t="shared" si="0"/>
        <v>0</v>
      </c>
    </row>
    <row r="8" spans="1:20" ht="15" customHeight="1" x14ac:dyDescent="0.25">
      <c r="A8" s="119" t="s">
        <v>193</v>
      </c>
      <c r="B8" s="91">
        <f>VLOOKUP($A$2,AVAILABLE_Upgrades_Spells[#All],MATCH($A8,AVAILABLE_Upgrades_Spells[#Headers],0)+1)</f>
        <v>0</v>
      </c>
      <c r="C8" s="285">
        <f>IF(ISERROR(MATCH(1,Paramètres!AJ$6:AJ$45,0)),0,MATCH(1,Paramètres!AJ$6:AJ$45,0))</f>
        <v>0</v>
      </c>
      <c r="D8" s="286">
        <f>IF($C8&lt;&gt;0,VLOOKUP($C8,TRAINING_Spell_Jump[#All],2),0)</f>
        <v>0</v>
      </c>
      <c r="E8" s="382">
        <f>IF($C8&lt;&gt;0,VLOOKUP($C8,TRAINING_Spell_Jump[#All],3),0)</f>
        <v>0</v>
      </c>
      <c r="F8" s="287">
        <f>IF($C8&lt;&gt;0,VLOOKUP($C8,TRAINING_Spell_Jump[#All],4),0)</f>
        <v>0</v>
      </c>
      <c r="G8" s="374"/>
      <c r="I8" s="119" t="s">
        <v>188</v>
      </c>
      <c r="J8" s="120">
        <f>VLOOKUP($A$2,AVAILABLE_Upgrades_Normal_Troops[#All],MATCH($I8,AVAILABLE_Upgrades_Normal_Troops[#Headers],0)+1)</f>
        <v>0</v>
      </c>
      <c r="K8" s="285">
        <f>IF(ISERROR(MATCH(1,Paramètres!AR$6:AR$45,0)),0,MATCH(1,Paramètres!AR$6:AR$45,0))</f>
        <v>0</v>
      </c>
      <c r="L8" s="286">
        <f>IF($K8&lt;&gt;0,VLOOKUP($K8,TRAINING_Giant[#All],2),0)</f>
        <v>0</v>
      </c>
      <c r="M8" s="95">
        <f>IF($K8&lt;&gt;0,VLOOKUP($K8,TRAINING_Giant[#All],3),0)</f>
        <v>0</v>
      </c>
      <c r="N8" s="287">
        <f>IF($K8&lt;&gt;0,VLOOKUP($K8,TRAINING_Giant[#All],4),0)</f>
        <v>0</v>
      </c>
      <c r="O8" s="357"/>
      <c r="P8" s="156"/>
      <c r="Q8" s="156"/>
      <c r="R8" s="358"/>
      <c r="S8" s="486">
        <f t="shared" si="0"/>
        <v>0</v>
      </c>
    </row>
    <row r="9" spans="1:20" ht="15" customHeight="1" thickBot="1" x14ac:dyDescent="0.3">
      <c r="A9" s="289" t="s">
        <v>194</v>
      </c>
      <c r="B9" s="88">
        <f>VLOOKUP($A$2,AVAILABLE_Upgrades_Spells[#All],MATCH($A9,AVAILABLE_Upgrades_Spells[#Headers],0)+1)</f>
        <v>0</v>
      </c>
      <c r="C9" s="218">
        <f>IF(ISERROR(MATCH(1,Paramètres!AK$6:AK$45,0)),0,MATCH(1,Paramètres!AK$6:AK$45,0))</f>
        <v>0</v>
      </c>
      <c r="D9" s="292">
        <f>IF($C9&lt;&gt;0,VLOOKUP($C9,TRAINING_Spell_Freeze[#All],2),0)</f>
        <v>0</v>
      </c>
      <c r="E9" s="382">
        <f>IF($C9&lt;&gt;0,VLOOKUP($C9,TRAINING_Spell_Freeze[#All],3),0)</f>
        <v>0</v>
      </c>
      <c r="F9" s="287">
        <f>IF($C9&lt;&gt;0,VLOOKUP($C9,TRAINING_Spell_Freeze[#All],4),0)</f>
        <v>0</v>
      </c>
      <c r="G9" s="374"/>
      <c r="I9" s="119" t="s">
        <v>187</v>
      </c>
      <c r="J9" s="120">
        <f>VLOOKUP($A$2,AVAILABLE_Upgrades_Normal_Troops[#All],MATCH($I9,AVAILABLE_Upgrades_Normal_Troops[#Headers],0)+1)</f>
        <v>0</v>
      </c>
      <c r="K9" s="285">
        <f>IF(ISERROR(MATCH(1,Paramètres!AS$6:AS$45,0)),0,MATCH(1,Paramètres!AS$6:AS$45,0))</f>
        <v>0</v>
      </c>
      <c r="L9" s="286">
        <f>IF($K9&lt;&gt;0,VLOOKUP($K9,TRAINING_Wall_Breaker[#All],2),0)</f>
        <v>0</v>
      </c>
      <c r="M9" s="95">
        <f>IF($K9&lt;&gt;0,VLOOKUP($K9,TRAINING_Wall_Breaker[#All],3),0)</f>
        <v>0</v>
      </c>
      <c r="N9" s="287">
        <f>IF($K9&lt;&gt;0,VLOOKUP($K9,TRAINING_Wall_Breaker[#All],4),0)</f>
        <v>0</v>
      </c>
      <c r="O9" s="357"/>
      <c r="P9" s="156"/>
      <c r="Q9" s="156"/>
      <c r="R9" s="358"/>
      <c r="S9" s="486">
        <f t="shared" si="0"/>
        <v>0</v>
      </c>
    </row>
    <row r="10" spans="1:20" ht="15" customHeight="1" thickBot="1" x14ac:dyDescent="0.3">
      <c r="A10" s="376" t="s">
        <v>706</v>
      </c>
      <c r="B10" s="461">
        <f>VLOOKUP($A$2,AVAILABLE_Upgrades_Dark_Spells[#All],MATCH($A10,AVAILABLE_Upgrades_Dark_Spells[#Headers],0)+1)</f>
        <v>0</v>
      </c>
      <c r="C10" s="462">
        <f>IF(ISERROR(MATCH(1,Paramètres!AL$6:AL$45,0)),0,MATCH(1,Paramètres!AL$6:AL$45,0))</f>
        <v>0</v>
      </c>
      <c r="D10" s="795">
        <f>IF($C10&lt;&gt;0,VLOOKUP($C10,TRAINING_Spell_Poison[#All],2),0)</f>
        <v>0</v>
      </c>
      <c r="E10" s="797">
        <f>IF($C10&lt;&gt;0,VLOOKUP($C10,TRAINING_Spell_Poison[#All],3),0)</f>
        <v>0</v>
      </c>
      <c r="F10" s="796">
        <f>IF($C10&lt;&gt;0,VLOOKUP($C10,TRAINING_Spell_Poison[#All],4),0)</f>
        <v>0</v>
      </c>
      <c r="G10" s="374"/>
      <c r="I10" s="119" t="s">
        <v>186</v>
      </c>
      <c r="J10" s="120">
        <f>VLOOKUP($A$2,AVAILABLE_Upgrades_Normal_Troops[#All],MATCH($I10,AVAILABLE_Upgrades_Normal_Troops[#Headers],0)+1)</f>
        <v>0</v>
      </c>
      <c r="K10" s="285">
        <f>IF(ISERROR(MATCH(1,Paramètres!AT$6:AT$45,0)),0,MATCH(1,Paramètres!AT$6:AT$45,0))</f>
        <v>0</v>
      </c>
      <c r="L10" s="286">
        <f>IF($K10&lt;&gt;0,VLOOKUP($K10,TRAINING_Balloon[#All],2),0)</f>
        <v>0</v>
      </c>
      <c r="M10" s="95">
        <f>IF($K10&lt;&gt;0,VLOOKUP($K10,TRAINING_Balloon[#All],3),0)</f>
        <v>0</v>
      </c>
      <c r="N10" s="287">
        <f>IF($K10&lt;&gt;0,VLOOKUP($K10,TRAINING_Balloon[#All],4),0)</f>
        <v>0</v>
      </c>
      <c r="O10" s="357"/>
      <c r="P10" s="156"/>
      <c r="Q10" s="156"/>
      <c r="R10" s="358"/>
      <c r="S10" s="486">
        <f t="shared" si="0"/>
        <v>0</v>
      </c>
    </row>
    <row r="11" spans="1:20" ht="15" customHeight="1" thickBot="1" x14ac:dyDescent="0.3">
      <c r="A11" s="376" t="s">
        <v>718</v>
      </c>
      <c r="B11" s="91">
        <f>VLOOKUP($A$2,AVAILABLE_Upgrades_Dark_Spells[#All],MATCH($A11,AVAILABLE_Upgrades_Dark_Spells[#Headers],0)+1)</f>
        <v>0</v>
      </c>
      <c r="C11" s="285">
        <f>IF(ISERROR(MATCH(1,Paramètres!AM$6:AM$45,0)),0,MATCH(1,Paramètres!AM$6:AM$45,0))</f>
        <v>0</v>
      </c>
      <c r="D11" s="286">
        <f>IF($C11&lt;&gt;0,VLOOKUP($C11,TRAINING_Spell_Earthquake[#All],2),0)</f>
        <v>0</v>
      </c>
      <c r="E11" s="798">
        <f>IF($C11&lt;&gt;0,VLOOKUP($C11,TRAINING_Spell_Earthquake[#All],3),0)</f>
        <v>0</v>
      </c>
      <c r="F11" s="287">
        <f>IF($C11&lt;&gt;0,VLOOKUP($C11,TRAINING_Spell_Earthquake[#All],4),0)</f>
        <v>0</v>
      </c>
      <c r="G11" s="374"/>
      <c r="I11" s="119" t="s">
        <v>185</v>
      </c>
      <c r="J11" s="120">
        <f>VLOOKUP($A$2,AVAILABLE_Upgrades_Normal_Troops[#All],MATCH($I11,AVAILABLE_Upgrades_Normal_Troops[#Headers],0)+1)</f>
        <v>0</v>
      </c>
      <c r="K11" s="285">
        <f>IF(ISERROR(MATCH(1,Paramètres!AU$6:AU$45,0)),0,MATCH(1,Paramètres!AU$6:AU$45,0))</f>
        <v>0</v>
      </c>
      <c r="L11" s="286">
        <f>IF($K11&lt;&gt;0,VLOOKUP($K11,TRAINING_Wizard[#All],2),0)</f>
        <v>0</v>
      </c>
      <c r="M11" s="95">
        <f>IF($K11&lt;&gt;0,VLOOKUP($K11,TRAINING_Wizard[#All],3),0)</f>
        <v>0</v>
      </c>
      <c r="N11" s="287">
        <f>IF($K11&lt;&gt;0,VLOOKUP($K11,TRAINING_Wizard[#All],4),0)</f>
        <v>0</v>
      </c>
      <c r="O11" s="357"/>
      <c r="P11" s="156"/>
      <c r="Q11" s="156"/>
      <c r="R11" s="358"/>
      <c r="S11" s="486">
        <f t="shared" si="0"/>
        <v>0</v>
      </c>
    </row>
    <row r="12" spans="1:20" ht="15" customHeight="1" thickBot="1" x14ac:dyDescent="0.3">
      <c r="A12" s="376" t="s">
        <v>707</v>
      </c>
      <c r="B12" s="515">
        <f>VLOOKUP($A$2,AVAILABLE_Upgrades_Dark_Spells[#All],MATCH($A12,AVAILABLE_Upgrades_Dark_Spells[#Headers],0)+1)</f>
        <v>0</v>
      </c>
      <c r="C12" s="218">
        <f>IF(ISERROR(MATCH(1,Paramètres!AN$6:AN$45,0)),0,MATCH(1,Paramètres!AN$6:AN$45,0))</f>
        <v>0</v>
      </c>
      <c r="D12" s="292">
        <f>IF($C12&lt;&gt;0,VLOOKUP($C12,TRAINING_Spell_Haste[#All],2),0)</f>
        <v>0</v>
      </c>
      <c r="E12" s="799">
        <f>IF($C12&lt;&gt;0,VLOOKUP($C12,TRAINING_Spell_Haste[#All],3),0)</f>
        <v>0</v>
      </c>
      <c r="F12" s="293">
        <f>IF($C12&lt;&gt;0,VLOOKUP($C12,TRAINING_Spell_Haste[#All],4),0)</f>
        <v>0</v>
      </c>
      <c r="G12" s="375"/>
      <c r="I12" s="119" t="s">
        <v>184</v>
      </c>
      <c r="J12" s="120">
        <f>VLOOKUP($A$2,AVAILABLE_Upgrades_Normal_Troops[#All],MATCH($I12,AVAILABLE_Upgrades_Normal_Troops[#Headers],0)+1)</f>
        <v>0</v>
      </c>
      <c r="K12" s="285">
        <f>IF(ISERROR(MATCH(1,Paramètres!AV$6:AV$45,0)),0,MATCH(1,Paramètres!AV$6:AV$45,0))</f>
        <v>0</v>
      </c>
      <c r="L12" s="286">
        <f>IF($K12&lt;&gt;0,VLOOKUP($K12,TRAINING_Healer[#All],2),0)</f>
        <v>0</v>
      </c>
      <c r="M12" s="95">
        <f>IF($K12&lt;&gt;0,VLOOKUP($K12,TRAINING_Healer[#All],3),0)</f>
        <v>0</v>
      </c>
      <c r="N12" s="287">
        <f>IF($K12&lt;&gt;0,VLOOKUP($K12,TRAINING_Healer[#All],4),0)</f>
        <v>0</v>
      </c>
      <c r="O12" s="357"/>
      <c r="P12" s="156"/>
      <c r="Q12" s="156"/>
      <c r="R12" s="358"/>
      <c r="S12" s="486">
        <f t="shared" si="0"/>
        <v>0</v>
      </c>
    </row>
    <row r="13" spans="1:20" ht="15" customHeight="1" thickBot="1" x14ac:dyDescent="0.3">
      <c r="B13" s="1257" t="s">
        <v>316</v>
      </c>
      <c r="C13" s="1258"/>
      <c r="D13" s="294"/>
      <c r="E13" s="295"/>
      <c r="F13" s="295"/>
      <c r="G13" s="350">
        <f>VLOOKUP($F$2,TRAINING_Dark_Spell_Factory[#All],2)+VLOOKUP($D$2,TRAINING_Spell_Factory[#All],2)</f>
        <v>0</v>
      </c>
      <c r="I13" s="119" t="s">
        <v>57</v>
      </c>
      <c r="J13" s="120">
        <f>VLOOKUP($A$2,AVAILABLE_Upgrades_Normal_Troops[#All],MATCH($I13,AVAILABLE_Upgrades_Normal_Troops[#Headers],0)+1)</f>
        <v>0</v>
      </c>
      <c r="K13" s="285">
        <f>IF(ISERROR(MATCH(1,Paramètres!AW$6:AW$45,0)),0,MATCH(1,Paramètres!AW$6:AW$45,0))</f>
        <v>0</v>
      </c>
      <c r="L13" s="286">
        <f>IF($K13&lt;&gt;0,VLOOKUP($K13,TRAINING_Dragon[#All],2),0)</f>
        <v>0</v>
      </c>
      <c r="M13" s="95">
        <f>IF($K13&lt;&gt;0,VLOOKUP($K13,TRAINING_Dragon[#All],3),0)</f>
        <v>0</v>
      </c>
      <c r="N13" s="287">
        <f>IF($K13&lt;&gt;0,VLOOKUP($K13,TRAINING_Dragon[#All],4),0)</f>
        <v>0</v>
      </c>
      <c r="O13" s="357"/>
      <c r="P13" s="156"/>
      <c r="Q13" s="156"/>
      <c r="R13" s="358"/>
      <c r="S13" s="486">
        <f t="shared" si="0"/>
        <v>0</v>
      </c>
    </row>
    <row r="14" spans="1:20" ht="15" customHeight="1" thickBot="1" x14ac:dyDescent="0.3">
      <c r="B14" s="1177" t="s">
        <v>317</v>
      </c>
      <c r="C14" s="1178"/>
      <c r="D14" s="297"/>
      <c r="E14" s="298"/>
      <c r="F14" s="298"/>
      <c r="G14" s="302">
        <f>SUMPRODUCT(G$5:G$9,$D$5:$D$9)+SUMPRODUCT(G$10:G$12,$D$10:$D$12)</f>
        <v>0</v>
      </c>
      <c r="I14" s="289" t="s">
        <v>58</v>
      </c>
      <c r="J14" s="155">
        <f>VLOOKUP($A$2,AVAILABLE_Upgrades_Normal_Troops[#All],MATCH($I14,AVAILABLE_Upgrades_Normal_Troops[#Headers],0)+1)</f>
        <v>0</v>
      </c>
      <c r="K14" s="97">
        <f>IF(ISERROR(MATCH(1,Paramètres!AX$6:AX$45,0)),0,MATCH(1,Paramètres!AX$6:AX$45,0))</f>
        <v>0</v>
      </c>
      <c r="L14" s="290">
        <f>IF($K14&lt;&gt;0,VLOOKUP($K14,TRAINING_PEKKA[#All],2),0)</f>
        <v>0</v>
      </c>
      <c r="M14" s="110">
        <f>IF($K14&lt;&gt;0,VLOOKUP($K14,TRAINING_PEKKA[#All],3),0)</f>
        <v>0</v>
      </c>
      <c r="N14" s="313">
        <f>IF($K14&lt;&gt;0,VLOOKUP($K14,TRAINING_PEKKA[#All],4),0)</f>
        <v>0</v>
      </c>
      <c r="O14" s="359"/>
      <c r="P14" s="362"/>
      <c r="Q14" s="362"/>
      <c r="R14" s="360"/>
      <c r="S14" s="487">
        <f t="shared" si="0"/>
        <v>0</v>
      </c>
    </row>
    <row r="15" spans="1:20" ht="15" customHeight="1" thickBot="1" x14ac:dyDescent="0.3">
      <c r="B15" s="1175" t="s">
        <v>232</v>
      </c>
      <c r="C15" s="1176"/>
      <c r="D15" s="303"/>
      <c r="E15" s="304"/>
      <c r="F15" s="304"/>
      <c r="G15" s="382">
        <f>SUMPRODUCT(G$5:G$9,$E$5:$E$9)</f>
        <v>0</v>
      </c>
      <c r="J15" s="1257" t="s">
        <v>316</v>
      </c>
      <c r="K15" s="1258"/>
      <c r="L15" s="294"/>
      <c r="M15" s="295"/>
      <c r="N15" s="295"/>
      <c r="O15" s="349">
        <f>VLOOKUP(O$2,TRAINING_Barrack[#All],2)</f>
        <v>0</v>
      </c>
      <c r="P15" s="349">
        <f>VLOOKUP(P$2,TRAINING_Barrack[#All],2)</f>
        <v>60</v>
      </c>
      <c r="Q15" s="349">
        <f>VLOOKUP(Q$2,TRAINING_Barrack[#All],2)</f>
        <v>75</v>
      </c>
      <c r="R15" s="352">
        <f>VLOOKUP(R$2,TRAINING_Barrack[#All],2)</f>
        <v>75</v>
      </c>
      <c r="S15" s="296">
        <f>SUM(O15:R15)</f>
        <v>210</v>
      </c>
    </row>
    <row r="16" spans="1:20" ht="15" customHeight="1" x14ac:dyDescent="0.25">
      <c r="B16" s="1175" t="s">
        <v>232</v>
      </c>
      <c r="C16" s="1176"/>
      <c r="D16" s="303"/>
      <c r="E16" s="304"/>
      <c r="F16" s="304"/>
      <c r="G16" s="798">
        <f>SUMPRODUCT(G$10:G$12,$E$10:$E$12)</f>
        <v>0</v>
      </c>
      <c r="J16" s="1177" t="s">
        <v>317</v>
      </c>
      <c r="K16" s="1178"/>
      <c r="L16" s="297"/>
      <c r="M16" s="298"/>
      <c r="N16" s="298"/>
      <c r="O16" s="299">
        <f>SUMPRODUCT(O$5:O$14,$L$5:$L$14)</f>
        <v>0</v>
      </c>
      <c r="P16" s="299">
        <f>SUMPRODUCT(P$5:P$14,$L$5:$L$14)</f>
        <v>0</v>
      </c>
      <c r="Q16" s="299">
        <f>SUMPRODUCT(Q$5:Q$14,$L$5:$L$14)</f>
        <v>0</v>
      </c>
      <c r="R16" s="300">
        <f>SUMPRODUCT(R$5:R$14,$L$5:$L$14)</f>
        <v>0</v>
      </c>
      <c r="S16" s="301">
        <f>SUM(O16:R16)</f>
        <v>0</v>
      </c>
    </row>
    <row r="17" spans="1:19" ht="15" customHeight="1" thickBot="1" x14ac:dyDescent="0.3">
      <c r="B17" s="1251" t="s">
        <v>233</v>
      </c>
      <c r="C17" s="1252"/>
      <c r="D17" s="308"/>
      <c r="E17" s="271"/>
      <c r="F17" s="271"/>
      <c r="G17" s="312" t="str">
        <f>IF($B$2='Paramètres - Admin'!$B$2,TEXT(SUMPRODUCT(G$5:G$12,$F$5:$F$12),"# 0")&amp;" " &amp; 'Paramètres - Admin'!$B$2,IF($B$2='Paramètres - Admin'!$B$3,TEXT(SUMPRODUCT(G$5:G$12,$F$5:$F$12)/60,"# 0")&amp;" " &amp; 'Paramètres - Admin'!$B$3,IF($B$2='Paramètres - Admin'!$B$4,TEXT(SUMPRODUCT(G$5:G$12,$F$5:$F$12)/3600,"# 0,00")&amp;" " &amp; 'Paramètres - Admin'!$B$4,IF(SUMPRODUCT(G$5:G$12,$F$5:$F$12)/3600&gt;=1,INT(SUMPRODUCT(G$5:G$12,$F$5:$F$12)/3600) &amp;" " &amp; 'Paramètres - Admin'!$D$3 &amp; " " &amp; MINUTE(SUMPRODUCT(G$5:G$12,$F$5:$F$12)/86400-INT(SUMPRODUCT(G$5:G$12,$F$5:$F$12)/86400))  &amp;" " &amp; 'Paramètres - Admin'!$D$2 &amp; " " &amp; SECOND(SUMPRODUCT(G$5:G$12,$F$5:$F$12)/86400-INT(SUMPRODUCT(G$5:G$12,$F$5:$F$12)/86400)) &amp;" " &amp; 'Paramètres - Admin'!$D$5,MINUTE(SUMPRODUCT(G$5:G$12,$F$5:$F$12)/86400-INT(SUMPRODUCT(G$5:G$12,$F$5:$F$12)/86400)) &amp;" " &amp; 'Paramètres - Admin'!$D$2 &amp; " " &amp; SECOND(SUMPRODUCT(G$5:G$12,$F$5:$F$12)/86400-INT(SUMPRODUCT(G$5:G$12,$F$5:$F$12)/86400)) &amp;" " &amp; 'Paramètres - Admin'!$D$5))))</f>
        <v>0,00 heures</v>
      </c>
      <c r="J17" s="1175" t="s">
        <v>232</v>
      </c>
      <c r="K17" s="1176"/>
      <c r="L17" s="303"/>
      <c r="M17" s="304"/>
      <c r="N17" s="304"/>
      <c r="O17" s="382">
        <f>SUMPRODUCT(O$5:O$14,$M$5:$M$14)</f>
        <v>0</v>
      </c>
      <c r="P17" s="382">
        <f>SUMPRODUCT(P$5:P$14,$M$5:$M$14)</f>
        <v>0</v>
      </c>
      <c r="Q17" s="382">
        <f>SUMPRODUCT(Q$5:Q$14,$M$5:$M$14)</f>
        <v>0</v>
      </c>
      <c r="R17" s="383">
        <f>SUMPRODUCT(R$5:R$14,$M$5:$M$14)</f>
        <v>0</v>
      </c>
      <c r="S17" s="384">
        <f>SUM(O17:R17)</f>
        <v>0</v>
      </c>
    </row>
    <row r="18" spans="1:19" ht="15" customHeight="1" thickBot="1" x14ac:dyDescent="0.3">
      <c r="J18" s="1251" t="s">
        <v>233</v>
      </c>
      <c r="K18" s="1252"/>
      <c r="L18" s="308"/>
      <c r="M18" s="271"/>
      <c r="N18" s="271"/>
      <c r="O18" s="309" t="str">
        <f>IF($B$2='Paramètres - Admin'!$B$2,TEXT(SUMPRODUCT(O$5:O$14,$N$5:$N$14),"# 0")&amp;" " &amp; 'Paramètres - Admin'!$B$2,IF($B$2='Paramètres - Admin'!$B$3,TEXT(SUMPRODUCT(O$5:O$14,$N$5:$N$14)/60,"# 0")&amp;" " &amp; 'Paramètres - Admin'!$B$3,IF($B$2='Paramètres - Admin'!$B$4,TEXT(SUMPRODUCT(O$5:O$14,$N$5:$N$14)/3600,"# 0,00")&amp;" " &amp; 'Paramètres - Admin'!$B$4,IF(SUMPRODUCT(O$5:O$14,$N$5:$N$14)/3600&gt;=1,INT(SUMPRODUCT(O$5:O$14,$N$5:$N$14)/3600) &amp;" " &amp; 'Paramètres - Admin'!$D$3 &amp; " " &amp; MINUTE(SUMPRODUCT(O$5:O$14,$N$5:$N$14)/86400-INT(SUMPRODUCT(O$5:O$14,$N$5:$N$14)/86400))  &amp;" " &amp; 'Paramètres - Admin'!$D$2 &amp; " " &amp; SECOND(SUMPRODUCT(O$5:O$14,$N$5:$N$14)/86400-INT(SUMPRODUCT(O$5:O$14,$N$5:$N$14)/86400)) &amp;" " &amp; 'Paramètres - Admin'!$D$5,MINUTE(SUMPRODUCT(O$5:O$14,$N$5:$N$14)/86400-INT(SUMPRODUCT(O$5:O$14,$N$5:$N$14)/86400)) &amp;" " &amp; 'Paramètres - Admin'!$D$2 &amp; " " &amp; SECOND(SUMPRODUCT(O$5:O$14,$N$5:$N$14)/86400-INT(SUMPRODUCT(O$5:O$14,$N$5:$N$14)/86400)) &amp;" " &amp; 'Paramètres - Admin'!$D$5))))</f>
        <v>0,00 heures</v>
      </c>
      <c r="P18" s="309" t="str">
        <f>IF($B$2='Paramètres - Admin'!$B$2,TEXT(SUMPRODUCT(P$5:P$14,$N$5:$N$14),"# 0")&amp;" " &amp; 'Paramètres - Admin'!$B$2,IF($B$2='Paramètres - Admin'!$B$3,TEXT(SUMPRODUCT(P$5:P$14,$N$5:$N$14)/60,"# 0")&amp;" " &amp; 'Paramètres - Admin'!$B$3,IF($B$2='Paramètres - Admin'!$B$4,TEXT(SUMPRODUCT(P$5:P$14,$N$5:$N$14)/3600,"# 0,00")&amp;" " &amp; 'Paramètres - Admin'!$B$4,IF(SUMPRODUCT(P$5:P$14,$N$5:$N$14)/3600&gt;=1,INT(SUMPRODUCT(P$5:P$14,$N$5:$N$14)/3600) &amp;" " &amp; 'Paramètres - Admin'!$D$3 &amp; " " &amp; MINUTE(SUMPRODUCT(P$5:P$14,$N$5:$N$14)/86400-INT(SUMPRODUCT(P$5:P$14,$N$5:$N$14)/86400))  &amp;" " &amp; 'Paramètres - Admin'!$D$2 &amp; " " &amp; SECOND(SUMPRODUCT(P$5:P$14,$N$5:$N$14)/86400-INT(SUMPRODUCT(P$5:P$14,$N$5:$N$14)/86400)) &amp;" " &amp; 'Paramètres - Admin'!$D$5,MINUTE(SUMPRODUCT(P$5:P$14,$N$5:$N$14)/86400-INT(SUMPRODUCT(P$5:P$14,$N$5:$N$14)/86400)) &amp;" " &amp; 'Paramètres - Admin'!$D$2 &amp; " " &amp; SECOND(SUMPRODUCT(P$5:P$14,$N$5:$N$14)/86400-INT(SUMPRODUCT(P$5:P$14,$N$5:$N$14)/86400)) &amp;" " &amp; 'Paramètres - Admin'!$D$5))))</f>
        <v>0,00 heures</v>
      </c>
      <c r="Q18" s="309" t="str">
        <f>IF($B$2='Paramètres - Admin'!$B$2,TEXT(SUMPRODUCT(Q$5:Q$14,$N$5:$N$14),"# 0")&amp;" " &amp; 'Paramètres - Admin'!$B$2,IF($B$2='Paramètres - Admin'!$B$3,TEXT(SUMPRODUCT(Q$5:Q$14,$N$5:$N$14)/60,"# 0")&amp;" " &amp; 'Paramètres - Admin'!$B$3,IF($B$2='Paramètres - Admin'!$B$4,TEXT(SUMPRODUCT(Q$5:Q$14,$N$5:$N$14)/3600,"# 0,00")&amp;" " &amp; 'Paramètres - Admin'!$B$4,IF(SUMPRODUCT(Q$5:Q$14,$N$5:$N$14)/3600&gt;=1,INT(SUMPRODUCT(Q$5:Q$14,$N$5:$N$14)/3600) &amp;" " &amp; 'Paramètres - Admin'!$D$3 &amp; " " &amp; MINUTE(SUMPRODUCT(Q$5:Q$14,$N$5:$N$14)/86400-INT(SUMPRODUCT(Q$5:Q$14,$N$5:$N$14)/86400))  &amp;" " &amp; 'Paramètres - Admin'!$D$2 &amp; " " &amp; SECOND(SUMPRODUCT(Q$5:Q$14,$N$5:$N$14)/86400-INT(SUMPRODUCT(Q$5:Q$14,$N$5:$N$14)/86400)) &amp;" " &amp; 'Paramètres - Admin'!$D$5,MINUTE(SUMPRODUCT(Q$5:Q$14,$N$5:$N$14)/86400-INT(SUMPRODUCT(Q$5:Q$14,$N$5:$N$14)/86400)) &amp;" " &amp; 'Paramètres - Admin'!$D$2 &amp; " " &amp; SECOND(SUMPRODUCT(Q$5:Q$14,$N$5:$N$14)/86400-INT(SUMPRODUCT(Q$5:Q$14,$N$5:$N$14)/86400)) &amp;" " &amp; 'Paramètres - Admin'!$D$5))))</f>
        <v>0,00 heures</v>
      </c>
      <c r="R18" s="310" t="str">
        <f>IF($B$2='Paramètres - Admin'!$B$2,TEXT(SUMPRODUCT(R$5:R$14,$N$5:$N$14),"# 0")&amp;" " &amp; 'Paramètres - Admin'!$B$2,IF($B$2='Paramètres - Admin'!$B$3,TEXT(SUMPRODUCT(R$5:R$14,$N$5:$N$14)/60,"# 0")&amp;" " &amp; 'Paramètres - Admin'!$B$3,IF($B$2='Paramètres - Admin'!$B$4,TEXT(SUMPRODUCT(R$5:R$14,$N$5:$N$14)/3600,"# 0,00")&amp;" " &amp; 'Paramètres - Admin'!$B$4,IF(SUMPRODUCT(R$5:R$14,$N$5:$N$14)/3600&gt;=1,INT(SUMPRODUCT(R$5:R$14,$N$5:$N$14)/3600) &amp;" " &amp; 'Paramètres - Admin'!$D$3 &amp; " " &amp; MINUTE(SUMPRODUCT(R$5:R$14,$N$5:$N$14)/86400-INT(SUMPRODUCT(R$5:R$14,$N$5:$N$14)/86400))  &amp;" " &amp; 'Paramètres - Admin'!$D$2 &amp; " " &amp; SECOND(SUMPRODUCT(R$5:R$14,$N$5:$N$14)/86400-INT(SUMPRODUCT(R$5:R$14,$N$5:$N$14)/86400)) &amp;" " &amp; 'Paramètres - Admin'!$D$5,MINUTE(SUMPRODUCT(R$5:R$14,$N$5:$N$14)/86400-INT(SUMPRODUCT(R$5:R$14,$N$5:$N$14)/86400)) &amp;" " &amp; 'Paramètres - Admin'!$D$2 &amp; " " &amp; SECOND(SUMPRODUCT(R$5:R$14,$N$5:$N$14)/86400-INT(SUMPRODUCT(R$5:R$14,$N$5:$N$14)/86400)) &amp;" " &amp; 'Paramètres - Admin'!$D$5))))</f>
        <v>0,00 heures</v>
      </c>
      <c r="S18" s="311" t="str">
        <f>IF($B$2='Paramètres - Admin'!$B$2,TEXT((SUMPRODUCT(O$5:O$14,$N$5:$N$14)+SUMPRODUCT(P$5:P$14,$N$5:$N$14)+SUMPRODUCT(Q$5:Q$14,$N$5:$N$14)+SUMPRODUCT(R$5:R$14,$N$5:$N$14)),"# 0")&amp;" " &amp; 'Paramètres - Admin'!$B$2,IF($B$2='Paramètres - Admin'!$B$3,TEXT((SUMPRODUCT(O$5:O$14,$N$5:$N$14)+SUMPRODUCT(P$5:P$14,$N$5:$N$14)+SUMPRODUCT(Q$5:Q$14,$N$5:$N$14)+SUMPRODUCT(R$5:R$14,$N$5:$N$14))/60,"# 0")&amp;" " &amp; 'Paramètres - Admin'!$B$3,IF($B$2='Paramètres - Admin'!$B$4,TEXT((SUMPRODUCT(O$5:O$14,$N$5:$N$14)+SUMPRODUCT(P$5:P$14,$N$5:$N$14)+SUMPRODUCT(Q$5:Q$14,$N$5:$N$14)+SUMPRODUCT(R$5:R$14,$N$5:$N$14))/3600,"# 0,00")&amp;" " &amp; 'Paramètres - Admin'!$B$4,IF((SUMPRODUCT(O$5:O$14,$N$5:$N$14)+SUMPRODUCT(P$5:P$14,$N$5:$N$14)+SUMPRODUCT(Q$5:Q$14,$N$5:$N$14)+SUMPRODUCT(R$5:R$14,$N$5:$N$14))/3600&gt;=1,INT((SUMPRODUCT(O$5:O$14,$N$5:$N$14)+SUMPRODUCT(P$5:P$14,$N$5:$N$14)+SUMPRODUCT(Q$5:Q$14,$N$5:$N$14)+SUMPRODUCT(R$5:R$14,$N$5:$N$14))/3600) &amp;" " &amp; 'Paramètres - Admin'!$D$3 &amp; " " &amp; MINUTE((SUMPRODUCT(O$5:O$14,$N$5:$N$14)+SUMPRODUCT(P$5:P$14,$N$5:$N$14)+SUMPRODUCT(Q$5:Q$14,$N$5:$N$14)+SUMPRODUCT(R$5:R$14,$N$5:$N$14))/86400-INT((SUMPRODUCT(O$5:O$14,$N$5:$N$14)+SUMPRODUCT(P$5:P$14,$N$5:$N$14)+SUMPRODUCT(Q$5:Q$14,$N$5:$N$14)+SUMPRODUCT(R$5:R$14,$N$5:$N$14))/86400))  &amp;" " &amp; 'Paramètres - Admin'!$D$2 &amp; " " &amp; SECOND((SUMPRODUCT(O$5:O$14,$N$5:$N$14)+SUMPRODUCT(P$5:P$14,$N$5:$N$14)+SUMPRODUCT(Q$5:Q$14,$N$5:$N$14)+SUMPRODUCT(R$5:R$14,$N$5:$N$14))/86400-INT((SUMPRODUCT(O$5:O$14,$N$5:$N$14)+SUMPRODUCT(P$5:P$14,$N$5:$N$14)+SUMPRODUCT(Q$5:Q$14,$N$5:$N$14)+SUMPRODUCT(R$5:R$14,$N$5:$N$14))/86400)) &amp;" " &amp; 'Paramètres - Admin'!$D$5,MINUTE((SUMPRODUCT(O$5:O$14,$N$5:$N$14)+SUMPRODUCT(P$5:P$14,$N$5:$N$14)+SUMPRODUCT(Q$5:Q$14,$N$5:$N$14)+SUMPRODUCT(R$5:R$14,$N$5:$N$14))/86400-INT((SUMPRODUCT(O$5:O$14,$N$5:$N$14)+SUMPRODUCT(P$5:P$14,$N$5:$N$14)+SUMPRODUCT(Q$5:Q$14,$N$5:$N$14)+SUMPRODUCT(R$5:R$14,$N$5:$N$14))/86400)) &amp;" " &amp; 'Paramètres - Admin'!$D$2 &amp; " " &amp; SECOND((SUMPRODUCT(O$5:O$14,$N$5:$N$14)+SUMPRODUCT(P$5:P$14,$N$5:$N$14)+SUMPRODUCT(Q$5:Q$14,$N$5:$N$14)+SUMPRODUCT(R$5:R$14,$N$5:$N$14))/86400-INT((SUMPRODUCT(O$5:O$14,$N$5:$N$14)+SUMPRODUCT(P$5:P$14,$N$5:$N$14)+SUMPRODUCT(Q$5:Q$14,$N$5:$N$14)+SUMPRODUCT(R$5:R$14,$N$5:$N$14))/86400)) &amp;" " &amp; 'Paramètres - Admin'!$D$5))))</f>
        <v>0,00 heures</v>
      </c>
    </row>
    <row r="19" spans="1:19" ht="20.100000000000001" customHeight="1" thickBot="1" x14ac:dyDescent="0.3">
      <c r="A19" s="1227" t="s">
        <v>332</v>
      </c>
      <c r="B19" s="1228"/>
      <c r="C19" s="1228"/>
      <c r="D19" s="1229"/>
    </row>
    <row r="20" spans="1:19" ht="15" customHeight="1" thickBot="1" x14ac:dyDescent="0.3">
      <c r="A20" s="1230"/>
      <c r="B20" s="1231"/>
      <c r="C20" s="1231"/>
      <c r="D20" s="1232"/>
      <c r="I20" s="189" t="s">
        <v>319</v>
      </c>
      <c r="O20" s="225" t="s">
        <v>327</v>
      </c>
      <c r="P20" s="227" t="s">
        <v>328</v>
      </c>
    </row>
    <row r="21" spans="1:19" ht="15" customHeight="1" thickTop="1" thickBot="1" x14ac:dyDescent="0.3">
      <c r="B21" s="133"/>
      <c r="I21" s="270">
        <f>Paramètres!I46</f>
        <v>0</v>
      </c>
      <c r="O21" s="377">
        <v>4</v>
      </c>
      <c r="P21" s="378">
        <v>4</v>
      </c>
    </row>
    <row r="22" spans="1:19" ht="15" customHeight="1" thickBot="1" x14ac:dyDescent="0.3">
      <c r="A22" s="1233" t="s">
        <v>334</v>
      </c>
      <c r="B22" s="1234"/>
      <c r="C22" s="1234"/>
      <c r="D22" s="1235"/>
      <c r="I22" s="1106" t="s">
        <v>314</v>
      </c>
      <c r="J22" s="1107"/>
      <c r="K22" s="1107"/>
      <c r="L22" s="1107"/>
      <c r="M22" s="1107"/>
      <c r="N22" s="1107"/>
      <c r="O22" s="1107"/>
      <c r="P22" s="1214"/>
      <c r="Q22" s="132"/>
      <c r="S22" s="838" t="s">
        <v>232</v>
      </c>
    </row>
    <row r="23" spans="1:19" ht="15" customHeight="1" thickBot="1" x14ac:dyDescent="0.3">
      <c r="A23" s="1236"/>
      <c r="B23" s="1237"/>
      <c r="C23" s="1237"/>
      <c r="D23" s="1238"/>
      <c r="I23" s="280"/>
      <c r="J23" s="274" t="s">
        <v>39</v>
      </c>
      <c r="K23" s="532" t="s">
        <v>331</v>
      </c>
      <c r="L23" s="532" t="s">
        <v>390</v>
      </c>
      <c r="M23" s="275" t="s">
        <v>258</v>
      </c>
      <c r="N23" s="276" t="s">
        <v>151</v>
      </c>
      <c r="O23" s="345" t="s">
        <v>329</v>
      </c>
      <c r="P23" s="345" t="s">
        <v>330</v>
      </c>
      <c r="Q23" s="351" t="s">
        <v>31</v>
      </c>
      <c r="S23" s="384">
        <f>S17+G15</f>
        <v>0</v>
      </c>
    </row>
    <row r="24" spans="1:19" ht="15" customHeight="1" thickBot="1" x14ac:dyDescent="0.3">
      <c r="B24" s="133"/>
      <c r="I24" s="281" t="s">
        <v>183</v>
      </c>
      <c r="J24" s="120">
        <f>VLOOKUP($A$2,AVAILABLE_Upgrades_Dark_Troops[#All],MATCH($I24,AVAILABLE_Upgrades_Dark_Troops[#Headers],0)+1)</f>
        <v>0</v>
      </c>
      <c r="K24" s="285">
        <f>IF(ISERROR(MATCH(1,Paramètres!AY$6:AY$45,0)),0,MATCH(1,Paramètres!AY$6:AY$45,0))</f>
        <v>0</v>
      </c>
      <c r="L24" s="286">
        <f>IF($K24&lt;&gt;0,VLOOKUP($K24,TRAINING_Minion[#All],2),0)</f>
        <v>0</v>
      </c>
      <c r="M24" s="121">
        <f>IF($K24&lt;&gt;0,VLOOKUP($K24,TRAINING_Minion[#All],3),0)</f>
        <v>0</v>
      </c>
      <c r="N24" s="288">
        <f>IF($K24&lt;&gt;0,VLOOKUP($K24,TRAINING_Minion[#All],4),0)</f>
        <v>0</v>
      </c>
      <c r="O24" s="555"/>
      <c r="P24" s="555"/>
      <c r="Q24" s="486">
        <f t="shared" ref="Q24:Q32" si="1">SUM(O24:P24)</f>
        <v>0</v>
      </c>
      <c r="S24" s="307">
        <f>G16+Q32</f>
        <v>0</v>
      </c>
    </row>
    <row r="25" spans="1:19" ht="15" customHeight="1" x14ac:dyDescent="0.25">
      <c r="A25" s="1239" t="s">
        <v>336</v>
      </c>
      <c r="B25" s="1240"/>
      <c r="C25" s="1240"/>
      <c r="D25" s="1241"/>
      <c r="F25" s="1259" t="s">
        <v>732</v>
      </c>
      <c r="G25" s="1261">
        <f>SUMPRODUCT(Paramètres!J6:J13,'Coûts de Formation'!AL31:AL38)</f>
        <v>0</v>
      </c>
      <c r="I25" s="119" t="s">
        <v>245</v>
      </c>
      <c r="J25" s="120">
        <f>VLOOKUP($A$2,AVAILABLE_Upgrades_Dark_Troops[#All],MATCH($I25,AVAILABLE_Upgrades_Dark_Troops[#Headers],0)+1)</f>
        <v>0</v>
      </c>
      <c r="K25" s="285">
        <f>IF(ISERROR(MATCH(1,Paramètres!AZ$6:AZ$45,0)),0,MATCH(1,Paramètres!AZ$6:AZ$45,0))</f>
        <v>0</v>
      </c>
      <c r="L25" s="286">
        <f>IF($K25&lt;&gt;0,VLOOKUP($K25,TRAINING_Hog_Rider[#All],2),0)</f>
        <v>0</v>
      </c>
      <c r="M25" s="121">
        <f>IF($K25&lt;&gt;0,VLOOKUP($K25,TRAINING_Hog_Rider[#All],3),0)</f>
        <v>0</v>
      </c>
      <c r="N25" s="288">
        <f>IF($K25&lt;&gt;0,VLOOKUP($K25,TRAINING_Hog_Rider[#All],4),0)</f>
        <v>0</v>
      </c>
      <c r="O25" s="556">
        <v>5</v>
      </c>
      <c r="P25" s="556"/>
      <c r="Q25" s="486">
        <f t="shared" si="1"/>
        <v>5</v>
      </c>
    </row>
    <row r="26" spans="1:19" ht="15" customHeight="1" thickBot="1" x14ac:dyDescent="0.3">
      <c r="A26" s="1242"/>
      <c r="B26" s="1243"/>
      <c r="C26" s="1243"/>
      <c r="D26" s="1244"/>
      <c r="F26" s="1260"/>
      <c r="G26" s="1262"/>
      <c r="I26" s="119" t="s">
        <v>66</v>
      </c>
      <c r="J26" s="120">
        <f>VLOOKUP($A$2,AVAILABLE_Upgrades_Dark_Troops[#All],MATCH($I26,AVAILABLE_Upgrades_Dark_Troops[#Headers],0)+1)</f>
        <v>0</v>
      </c>
      <c r="K26" s="285">
        <f>IF(ISERROR(MATCH(1,Paramètres!BA$6:BA$45,0)),0,MATCH(1,Paramètres!BA$6:BA$45,0))</f>
        <v>0</v>
      </c>
      <c r="L26" s="286">
        <f>IF($K26&lt;&gt;0,VLOOKUP($K26,TRAINING_Valkyrie[#All],2),0)</f>
        <v>0</v>
      </c>
      <c r="M26" s="121">
        <f>IF($K26&lt;&gt;0,VLOOKUP($K26,TRAINING_Valkyrie[#All],3),0)</f>
        <v>0</v>
      </c>
      <c r="N26" s="288">
        <f>IF($K26&lt;&gt;0,VLOOKUP($K26,TRAINING_Valkyrie[#All],4),0)</f>
        <v>0</v>
      </c>
      <c r="O26" s="556"/>
      <c r="P26" s="556"/>
      <c r="Q26" s="486">
        <f t="shared" si="1"/>
        <v>0</v>
      </c>
    </row>
    <row r="27" spans="1:19" ht="15" customHeight="1" thickBot="1" x14ac:dyDescent="0.3">
      <c r="I27" s="119" t="s">
        <v>67</v>
      </c>
      <c r="J27" s="155">
        <f>VLOOKUP($A$2,AVAILABLE_Upgrades_Dark_Troops[#All],MATCH($I27,AVAILABLE_Upgrades_Dark_Troops[#Headers],0)+1)</f>
        <v>0</v>
      </c>
      <c r="K27" s="97">
        <f>IF(ISERROR(MATCH(1,Paramètres!BB$6:BB$45,0)),0,MATCH(1,Paramètres!BB$6:BB$45,0))</f>
        <v>0</v>
      </c>
      <c r="L27" s="290">
        <f>IF($K27&lt;&gt;0,VLOOKUP($K27,TRAINING_Golem[#All],2),0)</f>
        <v>0</v>
      </c>
      <c r="M27" s="122">
        <f>IF($K27&lt;&gt;0,VLOOKUP($K27,TRAINING_Golem[#All],3),0)</f>
        <v>0</v>
      </c>
      <c r="N27" s="291">
        <f>IF($K27&lt;&gt;0,VLOOKUP($K27,TRAINING_Golem[#All],4),0)</f>
        <v>0</v>
      </c>
      <c r="O27" s="556"/>
      <c r="P27" s="556"/>
      <c r="Q27" s="486">
        <f t="shared" si="1"/>
        <v>0</v>
      </c>
    </row>
    <row r="28" spans="1:19" ht="15" customHeight="1" x14ac:dyDescent="0.25">
      <c r="A28" s="1245" t="s">
        <v>341</v>
      </c>
      <c r="B28" s="1246"/>
      <c r="C28" s="1246"/>
      <c r="D28" s="1247"/>
      <c r="I28" s="119" t="s">
        <v>536</v>
      </c>
      <c r="J28" s="155">
        <f>VLOOKUP($A$2,AVAILABLE_Upgrades_Dark_Troops[#All],MATCH($I28,AVAILABLE_Upgrades_Dark_Troops[#Headers],0)+1)</f>
        <v>0</v>
      </c>
      <c r="K28" s="97">
        <f>IF(ISERROR(MATCH(1,Paramètres!BC$6:BC$45,0)),0,MATCH(1,Paramètres!BC$6:BC$45,0))</f>
        <v>0</v>
      </c>
      <c r="L28" s="290">
        <f>IF($K28&lt;&gt;0,VLOOKUP($K28,TRAINING_Witch[#All],2),0)</f>
        <v>0</v>
      </c>
      <c r="M28" s="122">
        <f>IF($K28&lt;&gt;0,VLOOKUP($K28,TRAINING_Witch[#All],3),0)</f>
        <v>0</v>
      </c>
      <c r="N28" s="291">
        <f>IF($K28&lt;&gt;0,VLOOKUP($K28,TRAINING_Witch[#All],4),0)</f>
        <v>0</v>
      </c>
      <c r="O28" s="556"/>
      <c r="P28" s="556"/>
      <c r="Q28" s="487">
        <f t="shared" si="1"/>
        <v>0</v>
      </c>
    </row>
    <row r="29" spans="1:19" ht="15" customHeight="1" thickBot="1" x14ac:dyDescent="0.3">
      <c r="A29" s="1248"/>
      <c r="B29" s="1249"/>
      <c r="C29" s="1249"/>
      <c r="D29" s="1250"/>
      <c r="I29" s="116" t="s">
        <v>573</v>
      </c>
      <c r="J29" s="155">
        <f>VLOOKUP($A$2,AVAILABLE_Upgrades_Dark_Troops[#All],MATCH($I29,AVAILABLE_Upgrades_Dark_Troops[#Headers],0)+1)</f>
        <v>0</v>
      </c>
      <c r="K29" s="519">
        <f>IF(ISERROR(MATCH(1,Paramètres!BD$6:BD$45,0)),0,MATCH(1,Paramètres!BD$6:BD$45,0))</f>
        <v>0</v>
      </c>
      <c r="L29" s="290">
        <f>IF($K29&lt;&gt;0,VLOOKUP($K29,TRAINING_Lava_Hound[#All],2),0)</f>
        <v>0</v>
      </c>
      <c r="M29" s="122">
        <f>IF($K29&lt;&gt;0,VLOOKUP($K29,TRAINING_Lava_Hound[#All],3),0)</f>
        <v>0</v>
      </c>
      <c r="N29" s="291">
        <f>IF($K29&lt;&gt;0,VLOOKUP($K29,TRAINING_Lava_Hound[#All],4),0)</f>
        <v>0</v>
      </c>
      <c r="O29" s="557"/>
      <c r="P29" s="557"/>
      <c r="Q29" s="487">
        <f t="shared" si="1"/>
        <v>0</v>
      </c>
    </row>
    <row r="30" spans="1:19" ht="15" customHeight="1" thickBot="1" x14ac:dyDescent="0.3">
      <c r="J30" s="1257" t="s">
        <v>316</v>
      </c>
      <c r="K30" s="1258"/>
      <c r="L30" s="294"/>
      <c r="M30" s="295"/>
      <c r="N30" s="295"/>
      <c r="O30" s="349">
        <f>VLOOKUP(O$21,TRAINING_Dark_Barrack[#All],2)</f>
        <v>70</v>
      </c>
      <c r="P30" s="352">
        <f>VLOOKUP(P$21,TRAINING_Dark_Barrack[#All],2)</f>
        <v>70</v>
      </c>
      <c r="Q30" s="296">
        <f t="shared" si="1"/>
        <v>140</v>
      </c>
    </row>
    <row r="31" spans="1:19" ht="15" customHeight="1" x14ac:dyDescent="0.25">
      <c r="B31" s="133"/>
      <c r="J31" s="1177" t="s">
        <v>317</v>
      </c>
      <c r="K31" s="1178"/>
      <c r="L31" s="297"/>
      <c r="M31" s="298"/>
      <c r="N31" s="298"/>
      <c r="O31" s="299">
        <f>SUMPRODUCT(O$24:O$29,$L$24:$L$29)</f>
        <v>0</v>
      </c>
      <c r="P31" s="299">
        <f>SUMPRODUCT(P$24:P$29,$L$24:$L$29)</f>
        <v>0</v>
      </c>
      <c r="Q31" s="301">
        <f t="shared" si="1"/>
        <v>0</v>
      </c>
    </row>
    <row r="32" spans="1:19" ht="15" customHeight="1" x14ac:dyDescent="0.25">
      <c r="J32" s="1175" t="s">
        <v>232</v>
      </c>
      <c r="K32" s="1176"/>
      <c r="L32" s="303"/>
      <c r="M32" s="304"/>
      <c r="N32" s="304"/>
      <c r="O32" s="305">
        <f>SUMPRODUCT(O$24:O$29,$M$24:$M$29)</f>
        <v>0</v>
      </c>
      <c r="P32" s="306">
        <f>SUMPRODUCT(P$24:P$29,$M$24:$M$29)</f>
        <v>0</v>
      </c>
      <c r="Q32" s="307">
        <f t="shared" si="1"/>
        <v>0</v>
      </c>
    </row>
    <row r="33" spans="2:17" ht="15" customHeight="1" thickBot="1" x14ac:dyDescent="0.3">
      <c r="J33" s="1251" t="s">
        <v>233</v>
      </c>
      <c r="K33" s="1252"/>
      <c r="L33" s="308"/>
      <c r="M33" s="271"/>
      <c r="N33" s="271"/>
      <c r="O33" s="309" t="str">
        <f>IF($B$2='Paramètres - Admin'!$B$2,TEXT(SUMPRODUCT(O$24:O$29,$N$24:$N$29),"# 0")&amp;" " &amp; 'Paramètres - Admin'!$B$2,IF($B$2='Paramètres - Admin'!$B$3,TEXT(SUMPRODUCT(O$24:O$29,$N$24:$N$29)/60,"# 0")&amp;" " &amp; 'Paramètres - Admin'!$B$3,IF($B$2='Paramètres - Admin'!$B$4,TEXT(SUMPRODUCT(O$24:O$29,$N$24:$N$29)/3600,"# 0,00")&amp;" " &amp; 'Paramètres - Admin'!$B$4,IF(SUMPRODUCT(O$24:O$29,$N$24:$N$29)/3600&gt;=1,INT(SUMPRODUCT(O$24:O$29,$N$24:$N$29)/3600) &amp;" " &amp; 'Paramètres - Admin'!$D$3 &amp; " " &amp; MINUTE(SUMPRODUCT(O$24:O$29,$N$24:$N$29)/86400-INT(SUMPRODUCT(O$24:O$29,$N$24:$N$29)/86400))  &amp;" " &amp; 'Paramètres - Admin'!$D$2 &amp; " " &amp; SECOND(SUMPRODUCT(O$24:O$29,$N$24:$N$29)/86400-INT(SUMPRODUCT(O$24:O$29,$N$24:$N$29)/86400)) &amp;" " &amp; 'Paramètres - Admin'!$D$5,MINUTE(SUMPRODUCT(O$24:O$29,$N$24:$N$29)/86400-INT(SUMPRODUCT(O$24:O$29,$N$24:$N$29)/86400)) &amp;" " &amp; 'Paramètres - Admin'!$D$2 &amp; " " &amp; SECOND(SUMPRODUCT(O$24:O$29,$N$24:$N$29)/86400-INT(SUMPRODUCT(O$24:O$29,$N$24:$N$29)/86400)) &amp;" " &amp; 'Paramètres - Admin'!$D$5))))</f>
        <v>0,00 heures</v>
      </c>
      <c r="P33" s="310" t="str">
        <f>IF($B$2='Paramètres - Admin'!$B$2,TEXT(SUMPRODUCT(P$24:P$29,$N$24:$N$29),"# 0")&amp;" " &amp; 'Paramètres - Admin'!$B$2,IF($B$2='Paramètres - Admin'!$B$3,TEXT(SUMPRODUCT(P$24:P$29,$N$24:$N$29)/60,"# 0")&amp;" " &amp; 'Paramètres - Admin'!$B$3,IF($B$2='Paramètres - Admin'!$B$4,TEXT(SUMPRODUCT(P$24:P$29,$N$24:$N$29)/3600,"# 0,00")&amp;" " &amp; 'Paramètres - Admin'!$B$4,IF(SUMPRODUCT(P$24:P$29,$N$24:$N$29)/3600&gt;=1,INT(SUMPRODUCT(P$24:P$29,$N$24:$N$29)/3600) &amp;" " &amp; 'Paramètres - Admin'!$D$3 &amp; " " &amp; MINUTE(SUMPRODUCT(P$24:P$29,$N$24:$N$29)/86400-INT(SUMPRODUCT(P$24:P$29,$N$24:$N$29)/86400))  &amp;" " &amp; 'Paramètres - Admin'!$D$2 &amp; " " &amp; SECOND(SUMPRODUCT(P$24:P$29,$N$24:$N$29)/86400-INT(SUMPRODUCT(P$24:P$29,$N$24:$N$29)/86400)) &amp;" " &amp; 'Paramètres - Admin'!$D$5,MINUTE(SUMPRODUCT(P$24:P$29,$N$24:$N$29)/86400-INT(SUMPRODUCT(P$24:P$29,$N$24:$N$29)/86400)) &amp;" " &amp; 'Paramètres - Admin'!$D$2 &amp; " " &amp; SECOND(SUMPRODUCT(P$24:P$29,$N$24:$N$29)/86400-INT(SUMPRODUCT(P$24:P$29,$N$24:$N$29)/86400)) &amp;" " &amp; 'Paramètres - Admin'!$D$5))))</f>
        <v>0,00 heures</v>
      </c>
      <c r="Q33" s="311" t="str">
        <f>IF($B$2='Paramètres - Admin'!$B$2,TEXT((SUMPRODUCT(O$24:O$29,$N$24:$N$29)+SUMPRODUCT(P$24:P$29,$N$24:$N$29)),"# 0")&amp;" " &amp; 'Paramètres - Admin'!$B$2,IF($B$2='Paramètres - Admin'!$B$3,TEXT((SUMPRODUCT(O$24:O$29,$N$24:$N$29)+SUMPRODUCT(P$24:P$29,$N$24:$N$29))/60,"# 0")&amp;" " &amp; 'Paramètres - Admin'!$B$3,IF($B$2='Paramètres - Admin'!$B$4,TEXT((SUMPRODUCT(O$24:O$29,$N$24:$N$29)+SUMPRODUCT(P$24:P$29,$N$24:$N$29))/3600,"# 0,00")&amp;" " &amp; 'Paramètres - Admin'!$B$4,IF((SUMPRODUCT(O$24:O$29,$N$24:$N$29)+SUMPRODUCT(P$24:P$29,$N$24:$N$29))/3600&gt;=1,INT((SUMPRODUCT(O$24:O$29,$N$24:$N$29)+SUMPRODUCT(P$24:P$29,$N$24:$N$29))/3600) &amp;" " &amp; 'Paramètres - Admin'!$D$3 &amp; " " &amp; MINUTE((SUMPRODUCT(O$24:O$29,$N$24:$N$29)+SUMPRODUCT(P$24:P$29,$N$24:$N$29))/86400-INT((SUMPRODUCT(O$24:O$29,$N$24:$N$29)+SUMPRODUCT(P$24:P$29,$N$24:$N$29))/86400))  &amp;" " &amp; 'Paramètres - Admin'!$D$2 &amp; " " &amp; SECOND((SUMPRODUCT(O$24:O$29,$N$24:$N$29)+SUMPRODUCT(P$24:P$29,$N$24:$N$29))/86400-INT((SUMPRODUCT(O$24:O$29,$N$24:$N$29)+SUMPRODUCT(P$24:P$29,$N$24:$N$29))/86400)) &amp;" " &amp; 'Paramètres - Admin'!$D$5,MINUTE((SUMPRODUCT(O$24:O$29,$N$24:$N$29)+SUMPRODUCT(P$24:P$29,$N$24:$N$29))/86400-INT((SUMPRODUCT(O$24:O$29,$N$24:$N$29)+SUMPRODUCT(P$24:P$29,$N$24:$N$29))/86400)) &amp;" " &amp; 'Paramètres - Admin'!$D$2 &amp; " " &amp; SECOND((SUMPRODUCT(O$24:O$29,$N$24:$N$29)+SUMPRODUCT(P$24:P$29,$N$24:$N$29))/86400-INT((SUMPRODUCT(O$24:O$29,$N$24:$N$29)+SUMPRODUCT(P$24:P$29,$N$24:$N$29))/86400)) &amp;" " &amp; 'Paramètres - Admin'!$D$5))))</f>
        <v>0,00 heures</v>
      </c>
    </row>
    <row r="39" spans="2:17" ht="15" customHeight="1" x14ac:dyDescent="0.25">
      <c r="B39" s="133"/>
    </row>
    <row r="40" spans="2:17" ht="15" customHeight="1" x14ac:dyDescent="0.25">
      <c r="B40" s="133"/>
    </row>
    <row r="41" spans="2:17" ht="15" customHeight="1" x14ac:dyDescent="0.25">
      <c r="B41" s="133"/>
    </row>
  </sheetData>
  <sheetProtection sheet="1" objects="1" scenarios="1" selectLockedCells="1"/>
  <dataConsolidate/>
  <mergeCells count="28">
    <mergeCell ref="D1:E1"/>
    <mergeCell ref="D2:E2"/>
    <mergeCell ref="B14:C14"/>
    <mergeCell ref="B1:C1"/>
    <mergeCell ref="B2:C2"/>
    <mergeCell ref="B13:C13"/>
    <mergeCell ref="A3:G3"/>
    <mergeCell ref="J31:K31"/>
    <mergeCell ref="J32:K32"/>
    <mergeCell ref="J33:K33"/>
    <mergeCell ref="F1:G1"/>
    <mergeCell ref="F2:G2"/>
    <mergeCell ref="J30:K30"/>
    <mergeCell ref="F25:F26"/>
    <mergeCell ref="G25:G26"/>
    <mergeCell ref="J15:K15"/>
    <mergeCell ref="J16:K16"/>
    <mergeCell ref="J17:K17"/>
    <mergeCell ref="J18:K18"/>
    <mergeCell ref="I22:P22"/>
    <mergeCell ref="A19:D20"/>
    <mergeCell ref="A22:D23"/>
    <mergeCell ref="A25:D26"/>
    <mergeCell ref="A28:D29"/>
    <mergeCell ref="I3:R3"/>
    <mergeCell ref="B15:C15"/>
    <mergeCell ref="B17:C17"/>
    <mergeCell ref="B16:C16"/>
  </mergeCells>
  <conditionalFormatting sqref="O5:R14">
    <cfRule type="expression" dxfId="1693" priority="34">
      <formula>OR($J5=0,$K5=0)</formula>
    </cfRule>
    <cfRule type="expression" dxfId="1692" priority="61">
      <formula>O$16&gt;O$15</formula>
    </cfRule>
    <cfRule type="expression" dxfId="1691" priority="175">
      <formula>O$2&lt;1</formula>
    </cfRule>
  </conditionalFormatting>
  <conditionalFormatting sqref="P5:P14">
    <cfRule type="expression" dxfId="1690" priority="155">
      <formula>$I$2&lt;2</formula>
    </cfRule>
  </conditionalFormatting>
  <conditionalFormatting sqref="Q5:Q14">
    <cfRule type="expression" dxfId="1689" priority="154">
      <formula>$I$2&lt;3</formula>
    </cfRule>
  </conditionalFormatting>
  <conditionalFormatting sqref="R5:R14">
    <cfRule type="expression" dxfId="1688" priority="153">
      <formula>$I$2&lt;4</formula>
    </cfRule>
  </conditionalFormatting>
  <conditionalFormatting sqref="O6:R14">
    <cfRule type="expression" dxfId="1687" priority="177">
      <formula>O$2&lt;2</formula>
    </cfRule>
  </conditionalFormatting>
  <conditionalFormatting sqref="O7:R14">
    <cfRule type="expression" dxfId="1686" priority="178">
      <formula>O$2&lt;3</formula>
    </cfRule>
  </conditionalFormatting>
  <conditionalFormatting sqref="O8:R14">
    <cfRule type="expression" dxfId="1685" priority="179">
      <formula>O$2&lt;4</formula>
    </cfRule>
  </conditionalFormatting>
  <conditionalFormatting sqref="O9:R14">
    <cfRule type="expression" dxfId="1684" priority="180">
      <formula>O$2&lt;5</formula>
    </cfRule>
  </conditionalFormatting>
  <conditionalFormatting sqref="O10:R14">
    <cfRule type="expression" dxfId="1683" priority="181">
      <formula>O$2&lt;6</formula>
    </cfRule>
  </conditionalFormatting>
  <conditionalFormatting sqref="O11:R14">
    <cfRule type="expression" dxfId="1682" priority="182">
      <formula>O$2&lt;7</formula>
    </cfRule>
  </conditionalFormatting>
  <conditionalFormatting sqref="O12:R14">
    <cfRule type="expression" dxfId="1681" priority="183">
      <formula>O$2&lt;8</formula>
    </cfRule>
  </conditionalFormatting>
  <conditionalFormatting sqref="O13:R14">
    <cfRule type="expression" dxfId="1680" priority="184">
      <formula>O$2&lt;9</formula>
    </cfRule>
  </conditionalFormatting>
  <conditionalFormatting sqref="O14:R14">
    <cfRule type="expression" dxfId="1679" priority="185">
      <formula>O$2&lt;10</formula>
    </cfRule>
  </conditionalFormatting>
  <conditionalFormatting sqref="G5:G12">
    <cfRule type="expression" dxfId="1678" priority="1">
      <formula>OR($B5=0,$C5=0)</formula>
    </cfRule>
  </conditionalFormatting>
  <conditionalFormatting sqref="O31:Q31 O16:S16">
    <cfRule type="expression" dxfId="1677" priority="731">
      <formula>$S$16+$Q$31&gt;$G$25</formula>
    </cfRule>
  </conditionalFormatting>
  <conditionalFormatting sqref="G7:G9">
    <cfRule type="expression" dxfId="1676" priority="735">
      <formula>$D$2&lt;3</formula>
    </cfRule>
  </conditionalFormatting>
  <conditionalFormatting sqref="G8:G9">
    <cfRule type="expression" dxfId="1675" priority="736">
      <formula>$D$2&lt;4</formula>
    </cfRule>
  </conditionalFormatting>
  <conditionalFormatting sqref="G9">
    <cfRule type="expression" dxfId="1674" priority="737">
      <formula>$D$2&lt;5</formula>
    </cfRule>
  </conditionalFormatting>
  <conditionalFormatting sqref="G6:G9">
    <cfRule type="expression" dxfId="1673" priority="738">
      <formula>$D$2&lt;2</formula>
    </cfRule>
  </conditionalFormatting>
  <conditionalFormatting sqref="G5:G9">
    <cfRule type="expression" dxfId="1672" priority="739">
      <formula>$D$2&lt;1</formula>
    </cfRule>
    <cfRule type="expression" dxfId="1671" priority="740">
      <formula>$G$14&gt;#REF!</formula>
    </cfRule>
  </conditionalFormatting>
  <conditionalFormatting sqref="G10:G12">
    <cfRule type="expression" dxfId="1670" priority="757">
      <formula>$F$2&lt;1</formula>
    </cfRule>
  </conditionalFormatting>
  <conditionalFormatting sqref="G11:G12">
    <cfRule type="expression" dxfId="1669" priority="758">
      <formula>$F$2&lt;2</formula>
    </cfRule>
  </conditionalFormatting>
  <conditionalFormatting sqref="G12">
    <cfRule type="expression" dxfId="1668" priority="759">
      <formula>$F$2&lt;3</formula>
    </cfRule>
  </conditionalFormatting>
  <conditionalFormatting sqref="P24:P29">
    <cfRule type="expression" dxfId="1667" priority="808">
      <formula>$I$21&lt;2</formula>
    </cfRule>
  </conditionalFormatting>
  <conditionalFormatting sqref="O29">
    <cfRule type="expression" dxfId="1666" priority="809" stopIfTrue="1">
      <formula>$I$21&lt;1</formula>
    </cfRule>
  </conditionalFormatting>
  <conditionalFormatting sqref="O27:P29">
    <cfRule type="expression" dxfId="1665" priority="824">
      <formula>O$21&lt;4</formula>
    </cfRule>
  </conditionalFormatting>
  <conditionalFormatting sqref="O25:P29">
    <cfRule type="expression" dxfId="1664" priority="825">
      <formula>O$21&lt;2</formula>
    </cfRule>
  </conditionalFormatting>
  <conditionalFormatting sqref="O26:P29">
    <cfRule type="expression" dxfId="1663" priority="826">
      <formula>O$21&lt;3</formula>
    </cfRule>
  </conditionalFormatting>
  <conditionalFormatting sqref="O28:P29">
    <cfRule type="expression" dxfId="1662" priority="827">
      <formula>O$21&lt;5</formula>
    </cfRule>
  </conditionalFormatting>
  <conditionalFormatting sqref="O24:P28">
    <cfRule type="expression" dxfId="1661" priority="846">
      <formula>O$31&gt;O$30</formula>
    </cfRule>
  </conditionalFormatting>
  <conditionalFormatting sqref="O29:P29">
    <cfRule type="expression" dxfId="1660" priority="847">
      <formula>O$21&lt;6</formula>
    </cfRule>
    <cfRule type="expression" dxfId="1659" priority="848" stopIfTrue="1">
      <formula>OR($J29=0,$K29=0)</formula>
    </cfRule>
    <cfRule type="expression" dxfId="1658" priority="849" stopIfTrue="1">
      <formula>O$31&gt;O$30</formula>
    </cfRule>
  </conditionalFormatting>
  <conditionalFormatting sqref="O24:P29">
    <cfRule type="expression" dxfId="1657" priority="850">
      <formula>OR($J24=0,$K24=0)</formula>
    </cfRule>
    <cfRule type="expression" dxfId="1656" priority="851">
      <formula>O$21&lt;1</formula>
    </cfRule>
  </conditionalFormatting>
  <dataValidations count="5">
    <dataValidation type="whole" allowBlank="1" showInputMessage="1" showErrorMessage="1" sqref="O24:P29 O5:R14">
      <formula1>0</formula1>
      <formula2>1000</formula2>
    </dataValidation>
    <dataValidation type="list" allowBlank="1" showInputMessage="1" showErrorMessage="1" sqref="O21:P21">
      <formula1>"0,1,2,3,4,5,6"</formula1>
    </dataValidation>
    <dataValidation type="whole" allowBlank="1" showInputMessage="1" showErrorMessage="1" sqref="G5:G11">
      <formula1>0</formula1>
      <formula2>10</formula2>
    </dataValidation>
    <dataValidation type="list" allowBlank="1" showInputMessage="1" showErrorMessage="1" sqref="P2:R2">
      <formula1>"0,1,2,3,4,5,6,7,8,9,10"</formula1>
    </dataValidation>
    <dataValidation type="list" allowBlank="1" showInputMessage="1" showErrorMessage="1" sqref="B2">
      <formula1>TimeDisplay2</formula1>
    </dataValidation>
  </dataValidations>
  <pageMargins left="0.7" right="0.7" top="0.75" bottom="0.75" header="0.3" footer="0.3"/>
  <pageSetup paperSize="9" orientation="portrait" r:id="rId1"/>
  <ignoredErrors>
    <ignoredError sqref="I2 K6:K14 C5:C8"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AW74"/>
  <sheetViews>
    <sheetView showGridLines="0" topLeftCell="A4" zoomScale="85" zoomScaleNormal="85" workbookViewId="0">
      <pane xSplit="1" topLeftCell="C1" activePane="topRight" state="frozen"/>
      <selection activeCell="P319" sqref="P319"/>
      <selection pane="topRight" activeCell="E29" sqref="E29"/>
    </sheetView>
  </sheetViews>
  <sheetFormatPr baseColWidth="10" defaultColWidth="8.85546875" defaultRowHeight="11.25" x14ac:dyDescent="0.25"/>
  <cols>
    <col min="1" max="1" width="4.7109375" style="137" customWidth="1"/>
    <col min="2" max="2" width="12.7109375" style="137" bestFit="1" customWidth="1"/>
    <col min="3" max="3" width="4.7109375" style="137" customWidth="1"/>
    <col min="4" max="4" width="12.140625" style="137" bestFit="1" customWidth="1"/>
    <col min="5" max="5" width="4.7109375" style="137" customWidth="1"/>
    <col min="6" max="6" width="13" style="137" bestFit="1" customWidth="1"/>
    <col min="7" max="7" width="4.7109375" style="137" customWidth="1"/>
    <col min="8" max="8" width="13" style="137" bestFit="1" customWidth="1"/>
    <col min="9" max="9" width="4.7109375" style="137" customWidth="1"/>
    <col min="10" max="10" width="12.42578125" style="137" bestFit="1" customWidth="1"/>
    <col min="11" max="11" width="4.7109375" style="137" customWidth="1"/>
    <col min="12" max="12" width="13" style="137" bestFit="1" customWidth="1"/>
    <col min="13" max="13" width="4.7109375" style="137" customWidth="1"/>
    <col min="14" max="14" width="12.5703125" style="137" bestFit="1" customWidth="1"/>
    <col min="15" max="15" width="4.7109375" style="137" customWidth="1"/>
    <col min="16" max="16" width="12.42578125" style="137" bestFit="1" customWidth="1"/>
    <col min="17" max="17" width="4.7109375" style="137" customWidth="1"/>
    <col min="18" max="18" width="12.140625" style="137" bestFit="1" customWidth="1"/>
    <col min="19" max="19" width="4.7109375" style="137" customWidth="1"/>
    <col min="20" max="20" width="13" style="137" bestFit="1" customWidth="1"/>
    <col min="21" max="21" width="4.7109375" style="137" customWidth="1"/>
    <col min="22" max="22" width="13" style="137" bestFit="1" customWidth="1"/>
    <col min="23" max="23" width="4.7109375" style="137" customWidth="1"/>
    <col min="24" max="24" width="12.5703125" style="137" bestFit="1" customWidth="1"/>
    <col min="25" max="25" width="4.7109375" style="137" customWidth="1"/>
    <col min="26" max="26" width="13" style="137" bestFit="1" customWidth="1"/>
    <col min="27" max="27" width="4.7109375" style="137" customWidth="1"/>
    <col min="28" max="28" width="12.5703125" style="137" bestFit="1" customWidth="1"/>
    <col min="29" max="29" width="4.7109375" style="137" customWidth="1"/>
    <col min="30" max="30" width="12.5703125" style="137" bestFit="1" customWidth="1"/>
    <col min="31" max="31" width="4.7109375" style="137" customWidth="1"/>
    <col min="32" max="32" width="12.5703125" style="137" bestFit="1" customWidth="1"/>
    <col min="33" max="33" width="4.7109375" style="137" customWidth="1"/>
    <col min="34" max="34" width="12.5703125" style="137" bestFit="1" customWidth="1"/>
    <col min="35" max="35" width="4.7109375" style="137" customWidth="1"/>
    <col min="36" max="36" width="8.85546875" style="137"/>
    <col min="37" max="37" width="4.7109375" style="137" customWidth="1"/>
    <col min="38" max="38" width="11" style="137" bestFit="1" customWidth="1"/>
    <col min="39" max="39" width="4.7109375" style="137" customWidth="1"/>
    <col min="40" max="40" width="9.42578125" style="137" bestFit="1" customWidth="1"/>
    <col min="41" max="41" width="4.7109375" style="137" customWidth="1"/>
    <col min="42" max="42" width="11.7109375" style="137" bestFit="1" customWidth="1"/>
    <col min="43" max="43" width="4.7109375" style="137" customWidth="1"/>
    <col min="44" max="44" width="10.5703125" style="137" bestFit="1" customWidth="1"/>
    <col min="45" max="45" width="4.7109375" style="137" customWidth="1"/>
    <col min="46" max="46" width="12.42578125" style="137" bestFit="1" customWidth="1"/>
    <col min="47" max="47" width="4.7109375" style="137" customWidth="1"/>
    <col min="48" max="48" width="10.5703125" style="137" bestFit="1" customWidth="1"/>
    <col min="49" max="49" width="4.7109375" style="137" customWidth="1"/>
    <col min="50" max="50" width="12.42578125" style="137" bestFit="1" customWidth="1"/>
    <col min="51" max="51" width="4.7109375" style="137" customWidth="1"/>
    <col min="52" max="52" width="12.42578125" style="137" bestFit="1" customWidth="1"/>
    <col min="53" max="53" width="4.7109375" style="137" customWidth="1"/>
    <col min="54" max="54" width="8.85546875" style="137"/>
    <col min="55" max="55" width="4.7109375" style="137" customWidth="1"/>
    <col min="56" max="56" width="10.28515625" style="137" bestFit="1" customWidth="1"/>
    <col min="57" max="58" width="4.7109375" style="137" customWidth="1"/>
    <col min="59" max="59" width="10" style="137" bestFit="1" customWidth="1"/>
    <col min="60" max="60" width="4.7109375" style="137" customWidth="1"/>
    <col min="61" max="61" width="10" style="137" bestFit="1" customWidth="1"/>
    <col min="62" max="62" width="4.7109375" style="137" customWidth="1"/>
    <col min="63" max="63" width="10" style="137" bestFit="1" customWidth="1"/>
    <col min="64" max="64" width="4.7109375" style="137" customWidth="1"/>
    <col min="65" max="65" width="11.28515625" style="137" bestFit="1" customWidth="1"/>
    <col min="66" max="66" width="4.7109375" style="137" customWidth="1"/>
    <col min="67" max="67" width="13" style="137" bestFit="1" customWidth="1"/>
    <col min="68" max="68" width="4.7109375" style="137" customWidth="1"/>
    <col min="69" max="69" width="13" style="137" bestFit="1" customWidth="1"/>
    <col min="70" max="70" width="4.7109375" style="137" customWidth="1"/>
    <col min="71" max="16384" width="8.85546875" style="137"/>
  </cols>
  <sheetData>
    <row r="1" spans="1:27" ht="30" customHeight="1" thickBot="1" x14ac:dyDescent="0.3">
      <c r="A1" s="1269" t="s">
        <v>406</v>
      </c>
      <c r="B1" s="1270"/>
      <c r="C1" s="1270"/>
      <c r="D1" s="1270"/>
      <c r="E1" s="1270"/>
      <c r="F1" s="1270"/>
      <c r="G1" s="1270"/>
      <c r="H1" s="1270"/>
      <c r="I1" s="1270"/>
      <c r="J1" s="1270"/>
      <c r="K1" s="1270"/>
      <c r="L1" s="1270"/>
      <c r="M1" s="1271"/>
      <c r="O1" s="1087" t="s">
        <v>362</v>
      </c>
      <c r="P1" s="1088"/>
      <c r="Q1" s="1088"/>
      <c r="R1" s="1088"/>
      <c r="S1" s="1088"/>
      <c r="T1" s="1088"/>
      <c r="U1" s="1088"/>
      <c r="V1" s="1088"/>
      <c r="W1" s="1088"/>
      <c r="X1" s="1088"/>
      <c r="Y1" s="1088"/>
      <c r="Z1" s="1088"/>
      <c r="AA1" s="1088"/>
    </row>
    <row r="2" spans="1:27" ht="23.25" thickBot="1" x14ac:dyDescent="0.3">
      <c r="A2" s="140" t="s">
        <v>291</v>
      </c>
      <c r="B2" s="17" t="s">
        <v>176</v>
      </c>
      <c r="C2" s="17" t="s">
        <v>15</v>
      </c>
      <c r="D2" s="17" t="s">
        <v>210</v>
      </c>
      <c r="E2" s="17" t="s">
        <v>21</v>
      </c>
      <c r="F2" s="17" t="s">
        <v>211</v>
      </c>
      <c r="G2" s="17" t="s">
        <v>22</v>
      </c>
      <c r="H2" s="17" t="s">
        <v>212</v>
      </c>
      <c r="I2" s="17" t="s">
        <v>23</v>
      </c>
      <c r="J2" s="17" t="s">
        <v>452</v>
      </c>
      <c r="K2" s="17" t="s">
        <v>24</v>
      </c>
      <c r="L2" s="17" t="s">
        <v>451</v>
      </c>
      <c r="M2" s="57" t="s">
        <v>25</v>
      </c>
      <c r="O2" s="140" t="s">
        <v>291</v>
      </c>
      <c r="P2" s="643" t="s">
        <v>176</v>
      </c>
      <c r="Q2" s="17" t="s">
        <v>15</v>
      </c>
      <c r="R2" s="17" t="s">
        <v>210</v>
      </c>
      <c r="S2" s="17" t="s">
        <v>21</v>
      </c>
      <c r="T2" s="17" t="s">
        <v>211</v>
      </c>
      <c r="U2" s="17" t="s">
        <v>22</v>
      </c>
      <c r="V2" s="17" t="s">
        <v>212</v>
      </c>
      <c r="W2" s="17" t="s">
        <v>23</v>
      </c>
      <c r="X2" s="17" t="s">
        <v>452</v>
      </c>
      <c r="Y2" s="17" t="s">
        <v>24</v>
      </c>
      <c r="Z2" s="17" t="s">
        <v>451</v>
      </c>
      <c r="AA2" s="57" t="s">
        <v>25</v>
      </c>
    </row>
    <row r="3" spans="1:27" x14ac:dyDescent="0.25">
      <c r="A3" s="7">
        <v>0</v>
      </c>
      <c r="B3" s="2">
        <v>0</v>
      </c>
      <c r="C3" s="6">
        <v>0</v>
      </c>
      <c r="D3" s="4">
        <v>0</v>
      </c>
      <c r="E3" s="34">
        <v>0</v>
      </c>
      <c r="F3" s="2">
        <v>0</v>
      </c>
      <c r="G3" s="6">
        <v>0</v>
      </c>
      <c r="H3" s="4">
        <v>0</v>
      </c>
      <c r="I3" s="34">
        <v>0</v>
      </c>
      <c r="J3" s="2">
        <v>0</v>
      </c>
      <c r="K3" s="6">
        <v>0</v>
      </c>
      <c r="L3" s="4">
        <v>0</v>
      </c>
      <c r="M3" s="655">
        <v>0</v>
      </c>
      <c r="O3" s="7">
        <v>0</v>
      </c>
      <c r="P3" s="644">
        <f t="shared" ref="P3:AA3" si="0">B3</f>
        <v>0</v>
      </c>
      <c r="Q3" s="27">
        <f t="shared" si="0"/>
        <v>0</v>
      </c>
      <c r="R3" s="28">
        <f t="shared" si="0"/>
        <v>0</v>
      </c>
      <c r="S3" s="29">
        <f t="shared" si="0"/>
        <v>0</v>
      </c>
      <c r="T3" s="26">
        <f t="shared" si="0"/>
        <v>0</v>
      </c>
      <c r="U3" s="27">
        <f t="shared" si="0"/>
        <v>0</v>
      </c>
      <c r="V3" s="28">
        <f t="shared" si="0"/>
        <v>0</v>
      </c>
      <c r="W3" s="29">
        <f t="shared" si="0"/>
        <v>0</v>
      </c>
      <c r="X3" s="26">
        <f t="shared" si="0"/>
        <v>0</v>
      </c>
      <c r="Y3" s="27">
        <f t="shared" si="0"/>
        <v>0</v>
      </c>
      <c r="Z3" s="28">
        <f t="shared" si="0"/>
        <v>0</v>
      </c>
      <c r="AA3" s="657">
        <f t="shared" si="0"/>
        <v>0</v>
      </c>
    </row>
    <row r="4" spans="1:27" x14ac:dyDescent="0.25">
      <c r="A4" s="141">
        <v>1</v>
      </c>
      <c r="B4" s="11">
        <v>1</v>
      </c>
      <c r="C4" s="9">
        <v>2</v>
      </c>
      <c r="D4" s="10">
        <v>1</v>
      </c>
      <c r="E4" s="35">
        <v>2</v>
      </c>
      <c r="F4" s="11">
        <v>0</v>
      </c>
      <c r="G4" s="9">
        <v>0</v>
      </c>
      <c r="H4" s="10">
        <v>1</v>
      </c>
      <c r="I4" s="35">
        <v>1</v>
      </c>
      <c r="J4" s="11">
        <v>1</v>
      </c>
      <c r="K4" s="9">
        <v>1</v>
      </c>
      <c r="L4" s="10">
        <v>0</v>
      </c>
      <c r="M4" s="660">
        <v>0</v>
      </c>
      <c r="O4" s="141">
        <v>1</v>
      </c>
      <c r="P4" s="646">
        <f t="shared" ref="P4:P14" si="1">B4-B3</f>
        <v>1</v>
      </c>
      <c r="Q4" s="31">
        <f t="shared" ref="Q4:Q14" si="2">C4-C3</f>
        <v>2</v>
      </c>
      <c r="R4" s="32">
        <f t="shared" ref="R4:R14" si="3">D4-D3</f>
        <v>1</v>
      </c>
      <c r="S4" s="33">
        <f t="shared" ref="S4:S14" si="4">E4-E3</f>
        <v>2</v>
      </c>
      <c r="T4" s="30">
        <f t="shared" ref="T4:T14" si="5">F4-F3</f>
        <v>0</v>
      </c>
      <c r="U4" s="31">
        <f t="shared" ref="U4:U14" si="6">G4-G3</f>
        <v>0</v>
      </c>
      <c r="V4" s="32">
        <f t="shared" ref="V4:V14" si="7">H4-H3</f>
        <v>1</v>
      </c>
      <c r="W4" s="33">
        <f t="shared" ref="W4:W14" si="8">I4-I3</f>
        <v>1</v>
      </c>
      <c r="X4" s="30">
        <f t="shared" ref="X4:X14" si="9">J4-J3</f>
        <v>1</v>
      </c>
      <c r="Y4" s="31">
        <f t="shared" ref="Y4:Y14" si="10">K4-K3</f>
        <v>1</v>
      </c>
      <c r="Z4" s="32">
        <f t="shared" ref="Z4:Z14" si="11">L4-L3</f>
        <v>0</v>
      </c>
      <c r="AA4" s="658">
        <f t="shared" ref="AA4:AA14" si="12">M4-M3</f>
        <v>0</v>
      </c>
    </row>
    <row r="5" spans="1:27" x14ac:dyDescent="0.25">
      <c r="A5" s="7">
        <v>2</v>
      </c>
      <c r="B5" s="2">
        <v>2</v>
      </c>
      <c r="C5" s="6">
        <v>4</v>
      </c>
      <c r="D5" s="4">
        <v>2</v>
      </c>
      <c r="E5" s="34">
        <v>4</v>
      </c>
      <c r="F5" s="2">
        <v>0</v>
      </c>
      <c r="G5" s="6">
        <v>0</v>
      </c>
      <c r="H5" s="4">
        <v>1</v>
      </c>
      <c r="I5" s="34">
        <v>3</v>
      </c>
      <c r="J5" s="2">
        <v>1</v>
      </c>
      <c r="K5" s="6">
        <v>3</v>
      </c>
      <c r="L5" s="4">
        <v>0</v>
      </c>
      <c r="M5" s="655">
        <v>0</v>
      </c>
      <c r="O5" s="7">
        <v>2</v>
      </c>
      <c r="P5" s="646">
        <f t="shared" si="1"/>
        <v>1</v>
      </c>
      <c r="Q5" s="31">
        <f t="shared" si="2"/>
        <v>2</v>
      </c>
      <c r="R5" s="32">
        <f t="shared" si="3"/>
        <v>1</v>
      </c>
      <c r="S5" s="33">
        <f t="shared" si="4"/>
        <v>2</v>
      </c>
      <c r="T5" s="30">
        <f t="shared" si="5"/>
        <v>0</v>
      </c>
      <c r="U5" s="31">
        <f t="shared" si="6"/>
        <v>0</v>
      </c>
      <c r="V5" s="32">
        <f t="shared" si="7"/>
        <v>0</v>
      </c>
      <c r="W5" s="33">
        <f t="shared" si="8"/>
        <v>2</v>
      </c>
      <c r="X5" s="30">
        <f t="shared" si="9"/>
        <v>0</v>
      </c>
      <c r="Y5" s="31">
        <f t="shared" si="10"/>
        <v>2</v>
      </c>
      <c r="Z5" s="32">
        <f t="shared" si="11"/>
        <v>0</v>
      </c>
      <c r="AA5" s="658">
        <f t="shared" si="12"/>
        <v>0</v>
      </c>
    </row>
    <row r="6" spans="1:27" x14ac:dyDescent="0.25">
      <c r="A6" s="7">
        <v>3</v>
      </c>
      <c r="B6" s="1">
        <v>3</v>
      </c>
      <c r="C6" s="5">
        <v>6</v>
      </c>
      <c r="D6" s="3">
        <v>3</v>
      </c>
      <c r="E6" s="36">
        <v>6</v>
      </c>
      <c r="F6" s="1">
        <v>0</v>
      </c>
      <c r="G6" s="5">
        <v>0</v>
      </c>
      <c r="H6" s="3">
        <v>2</v>
      </c>
      <c r="I6" s="36">
        <v>6</v>
      </c>
      <c r="J6" s="1">
        <v>2</v>
      </c>
      <c r="K6" s="5">
        <v>6</v>
      </c>
      <c r="L6" s="3">
        <v>0</v>
      </c>
      <c r="M6" s="654">
        <v>0</v>
      </c>
      <c r="O6" s="7">
        <v>3</v>
      </c>
      <c r="P6" s="646">
        <f t="shared" si="1"/>
        <v>1</v>
      </c>
      <c r="Q6" s="31">
        <f t="shared" si="2"/>
        <v>2</v>
      </c>
      <c r="R6" s="32">
        <f t="shared" si="3"/>
        <v>1</v>
      </c>
      <c r="S6" s="33">
        <f t="shared" si="4"/>
        <v>2</v>
      </c>
      <c r="T6" s="30">
        <f t="shared" si="5"/>
        <v>0</v>
      </c>
      <c r="U6" s="31">
        <f t="shared" si="6"/>
        <v>0</v>
      </c>
      <c r="V6" s="32">
        <f t="shared" si="7"/>
        <v>1</v>
      </c>
      <c r="W6" s="33">
        <f t="shared" si="8"/>
        <v>3</v>
      </c>
      <c r="X6" s="30">
        <f t="shared" si="9"/>
        <v>1</v>
      </c>
      <c r="Y6" s="31">
        <f t="shared" si="10"/>
        <v>3</v>
      </c>
      <c r="Z6" s="32">
        <f t="shared" si="11"/>
        <v>0</v>
      </c>
      <c r="AA6" s="658">
        <f t="shared" si="12"/>
        <v>0</v>
      </c>
    </row>
    <row r="7" spans="1:27" x14ac:dyDescent="0.25">
      <c r="A7" s="7">
        <v>4</v>
      </c>
      <c r="B7" s="2">
        <v>4</v>
      </c>
      <c r="C7" s="6">
        <v>8</v>
      </c>
      <c r="D7" s="4">
        <v>4</v>
      </c>
      <c r="E7" s="34">
        <v>8</v>
      </c>
      <c r="F7" s="2">
        <v>0</v>
      </c>
      <c r="G7" s="6">
        <v>0</v>
      </c>
      <c r="H7" s="4">
        <v>2</v>
      </c>
      <c r="I7" s="34">
        <v>8</v>
      </c>
      <c r="J7" s="2">
        <v>2</v>
      </c>
      <c r="K7" s="6">
        <v>8</v>
      </c>
      <c r="L7" s="4">
        <v>0</v>
      </c>
      <c r="M7" s="655">
        <v>0</v>
      </c>
      <c r="O7" s="7">
        <v>4</v>
      </c>
      <c r="P7" s="646">
        <f t="shared" si="1"/>
        <v>1</v>
      </c>
      <c r="Q7" s="31">
        <f t="shared" si="2"/>
        <v>2</v>
      </c>
      <c r="R7" s="32">
        <f t="shared" si="3"/>
        <v>1</v>
      </c>
      <c r="S7" s="33">
        <f t="shared" si="4"/>
        <v>2</v>
      </c>
      <c r="T7" s="30">
        <f t="shared" si="5"/>
        <v>0</v>
      </c>
      <c r="U7" s="31">
        <f t="shared" si="6"/>
        <v>0</v>
      </c>
      <c r="V7" s="32">
        <f t="shared" si="7"/>
        <v>0</v>
      </c>
      <c r="W7" s="33">
        <f t="shared" si="8"/>
        <v>2</v>
      </c>
      <c r="X7" s="30">
        <f t="shared" si="9"/>
        <v>0</v>
      </c>
      <c r="Y7" s="31">
        <f t="shared" si="10"/>
        <v>2</v>
      </c>
      <c r="Z7" s="32">
        <f t="shared" si="11"/>
        <v>0</v>
      </c>
      <c r="AA7" s="658">
        <f t="shared" si="12"/>
        <v>0</v>
      </c>
    </row>
    <row r="8" spans="1:27" x14ac:dyDescent="0.25">
      <c r="A8" s="7">
        <v>5</v>
      </c>
      <c r="B8" s="1">
        <v>5</v>
      </c>
      <c r="C8" s="5">
        <v>10</v>
      </c>
      <c r="D8" s="3">
        <v>5</v>
      </c>
      <c r="E8" s="36">
        <v>10</v>
      </c>
      <c r="F8" s="1">
        <v>0</v>
      </c>
      <c r="G8" s="5">
        <v>0</v>
      </c>
      <c r="H8" s="3">
        <v>2</v>
      </c>
      <c r="I8" s="36">
        <v>9</v>
      </c>
      <c r="J8" s="1">
        <v>2</v>
      </c>
      <c r="K8" s="5">
        <v>9</v>
      </c>
      <c r="L8" s="3">
        <v>0</v>
      </c>
      <c r="M8" s="654">
        <v>0</v>
      </c>
      <c r="O8" s="7">
        <v>5</v>
      </c>
      <c r="P8" s="646">
        <f t="shared" si="1"/>
        <v>1</v>
      </c>
      <c r="Q8" s="31">
        <f t="shared" si="2"/>
        <v>2</v>
      </c>
      <c r="R8" s="32">
        <f t="shared" si="3"/>
        <v>1</v>
      </c>
      <c r="S8" s="33">
        <f t="shared" si="4"/>
        <v>2</v>
      </c>
      <c r="T8" s="30">
        <f t="shared" si="5"/>
        <v>0</v>
      </c>
      <c r="U8" s="31">
        <f t="shared" si="6"/>
        <v>0</v>
      </c>
      <c r="V8" s="32">
        <f t="shared" si="7"/>
        <v>0</v>
      </c>
      <c r="W8" s="33">
        <f t="shared" si="8"/>
        <v>1</v>
      </c>
      <c r="X8" s="30">
        <f t="shared" si="9"/>
        <v>0</v>
      </c>
      <c r="Y8" s="31">
        <f t="shared" si="10"/>
        <v>1</v>
      </c>
      <c r="Z8" s="32">
        <f t="shared" si="11"/>
        <v>0</v>
      </c>
      <c r="AA8" s="658">
        <f t="shared" si="12"/>
        <v>0</v>
      </c>
    </row>
    <row r="9" spans="1:27" x14ac:dyDescent="0.25">
      <c r="A9" s="7">
        <v>6</v>
      </c>
      <c r="B9" s="2">
        <v>6</v>
      </c>
      <c r="C9" s="6">
        <v>10</v>
      </c>
      <c r="D9" s="4">
        <v>6</v>
      </c>
      <c r="E9" s="34">
        <v>10</v>
      </c>
      <c r="F9" s="2">
        <v>0</v>
      </c>
      <c r="G9" s="6">
        <v>0</v>
      </c>
      <c r="H9" s="4">
        <v>2</v>
      </c>
      <c r="I9" s="34">
        <v>10</v>
      </c>
      <c r="J9" s="2">
        <v>2</v>
      </c>
      <c r="K9" s="6">
        <v>10</v>
      </c>
      <c r="L9" s="4">
        <v>0</v>
      </c>
      <c r="M9" s="655">
        <v>0</v>
      </c>
      <c r="O9" s="7">
        <v>6</v>
      </c>
      <c r="P9" s="646">
        <f t="shared" si="1"/>
        <v>1</v>
      </c>
      <c r="Q9" s="31">
        <f t="shared" si="2"/>
        <v>0</v>
      </c>
      <c r="R9" s="32">
        <f t="shared" si="3"/>
        <v>1</v>
      </c>
      <c r="S9" s="33">
        <f t="shared" si="4"/>
        <v>0</v>
      </c>
      <c r="T9" s="30">
        <f t="shared" si="5"/>
        <v>0</v>
      </c>
      <c r="U9" s="31">
        <f t="shared" si="6"/>
        <v>0</v>
      </c>
      <c r="V9" s="32">
        <f t="shared" si="7"/>
        <v>0</v>
      </c>
      <c r="W9" s="33">
        <f t="shared" si="8"/>
        <v>1</v>
      </c>
      <c r="X9" s="30">
        <f t="shared" si="9"/>
        <v>0</v>
      </c>
      <c r="Y9" s="31">
        <f t="shared" si="10"/>
        <v>1</v>
      </c>
      <c r="Z9" s="32">
        <f t="shared" si="11"/>
        <v>0</v>
      </c>
      <c r="AA9" s="658">
        <f t="shared" si="12"/>
        <v>0</v>
      </c>
    </row>
    <row r="10" spans="1:27" x14ac:dyDescent="0.25">
      <c r="A10" s="7">
        <v>7</v>
      </c>
      <c r="B10" s="1">
        <v>6</v>
      </c>
      <c r="C10" s="5">
        <v>11</v>
      </c>
      <c r="D10" s="3">
        <v>6</v>
      </c>
      <c r="E10" s="36">
        <v>11</v>
      </c>
      <c r="F10" s="1">
        <v>1</v>
      </c>
      <c r="G10" s="5">
        <v>3</v>
      </c>
      <c r="H10" s="3">
        <v>2</v>
      </c>
      <c r="I10" s="36">
        <v>11</v>
      </c>
      <c r="J10" s="1">
        <v>2</v>
      </c>
      <c r="K10" s="5">
        <v>11</v>
      </c>
      <c r="L10" s="3">
        <v>1</v>
      </c>
      <c r="M10" s="654">
        <v>2</v>
      </c>
      <c r="O10" s="7">
        <v>7</v>
      </c>
      <c r="P10" s="646">
        <f t="shared" si="1"/>
        <v>0</v>
      </c>
      <c r="Q10" s="31">
        <f t="shared" si="2"/>
        <v>1</v>
      </c>
      <c r="R10" s="32">
        <f t="shared" si="3"/>
        <v>0</v>
      </c>
      <c r="S10" s="33">
        <f t="shared" si="4"/>
        <v>1</v>
      </c>
      <c r="T10" s="30">
        <f t="shared" si="5"/>
        <v>1</v>
      </c>
      <c r="U10" s="31">
        <f t="shared" si="6"/>
        <v>3</v>
      </c>
      <c r="V10" s="32">
        <f t="shared" si="7"/>
        <v>0</v>
      </c>
      <c r="W10" s="33">
        <f t="shared" si="8"/>
        <v>1</v>
      </c>
      <c r="X10" s="30">
        <f t="shared" si="9"/>
        <v>0</v>
      </c>
      <c r="Y10" s="31">
        <f t="shared" si="10"/>
        <v>1</v>
      </c>
      <c r="Z10" s="32">
        <f t="shared" si="11"/>
        <v>1</v>
      </c>
      <c r="AA10" s="658">
        <f t="shared" si="12"/>
        <v>2</v>
      </c>
    </row>
    <row r="11" spans="1:27" x14ac:dyDescent="0.25">
      <c r="A11" s="7">
        <v>8</v>
      </c>
      <c r="B11" s="2">
        <v>6</v>
      </c>
      <c r="C11" s="6">
        <v>12</v>
      </c>
      <c r="D11" s="4">
        <v>6</v>
      </c>
      <c r="E11" s="34">
        <v>12</v>
      </c>
      <c r="F11" s="2">
        <v>2</v>
      </c>
      <c r="G11" s="6">
        <v>3</v>
      </c>
      <c r="H11" s="4">
        <v>3</v>
      </c>
      <c r="I11" s="34">
        <v>11</v>
      </c>
      <c r="J11" s="2">
        <v>3</v>
      </c>
      <c r="K11" s="6">
        <v>11</v>
      </c>
      <c r="L11" s="4">
        <v>1</v>
      </c>
      <c r="M11" s="655">
        <v>4</v>
      </c>
      <c r="O11" s="7">
        <v>8</v>
      </c>
      <c r="P11" s="646">
        <f t="shared" si="1"/>
        <v>0</v>
      </c>
      <c r="Q11" s="31">
        <f t="shared" si="2"/>
        <v>1</v>
      </c>
      <c r="R11" s="32">
        <f t="shared" si="3"/>
        <v>0</v>
      </c>
      <c r="S11" s="33">
        <f t="shared" si="4"/>
        <v>1</v>
      </c>
      <c r="T11" s="30">
        <f t="shared" si="5"/>
        <v>1</v>
      </c>
      <c r="U11" s="31">
        <f t="shared" si="6"/>
        <v>0</v>
      </c>
      <c r="V11" s="32">
        <f t="shared" si="7"/>
        <v>1</v>
      </c>
      <c r="W11" s="33">
        <f t="shared" si="8"/>
        <v>0</v>
      </c>
      <c r="X11" s="30">
        <f t="shared" si="9"/>
        <v>1</v>
      </c>
      <c r="Y11" s="31">
        <f t="shared" si="10"/>
        <v>0</v>
      </c>
      <c r="Z11" s="32">
        <f t="shared" si="11"/>
        <v>0</v>
      </c>
      <c r="AA11" s="658">
        <f t="shared" si="12"/>
        <v>2</v>
      </c>
    </row>
    <row r="12" spans="1:27" x14ac:dyDescent="0.25">
      <c r="A12" s="7">
        <v>9</v>
      </c>
      <c r="B12" s="1">
        <v>6</v>
      </c>
      <c r="C12" s="5">
        <v>12</v>
      </c>
      <c r="D12" s="3">
        <v>6</v>
      </c>
      <c r="E12" s="36">
        <v>12</v>
      </c>
      <c r="F12" s="1">
        <v>2</v>
      </c>
      <c r="G12" s="5">
        <v>6</v>
      </c>
      <c r="H12" s="3">
        <v>4</v>
      </c>
      <c r="I12" s="36">
        <v>11</v>
      </c>
      <c r="J12" s="1">
        <v>4</v>
      </c>
      <c r="K12" s="5">
        <v>11</v>
      </c>
      <c r="L12" s="3">
        <v>1</v>
      </c>
      <c r="M12" s="654">
        <v>6</v>
      </c>
      <c r="O12" s="7">
        <v>9</v>
      </c>
      <c r="P12" s="646">
        <f t="shared" si="1"/>
        <v>0</v>
      </c>
      <c r="Q12" s="31">
        <f t="shared" si="2"/>
        <v>0</v>
      </c>
      <c r="R12" s="32">
        <f t="shared" si="3"/>
        <v>0</v>
      </c>
      <c r="S12" s="33">
        <f t="shared" si="4"/>
        <v>0</v>
      </c>
      <c r="T12" s="30">
        <f t="shared" si="5"/>
        <v>0</v>
      </c>
      <c r="U12" s="31">
        <f t="shared" si="6"/>
        <v>3</v>
      </c>
      <c r="V12" s="32">
        <f t="shared" si="7"/>
        <v>1</v>
      </c>
      <c r="W12" s="33">
        <f t="shared" si="8"/>
        <v>0</v>
      </c>
      <c r="X12" s="30">
        <f t="shared" si="9"/>
        <v>1</v>
      </c>
      <c r="Y12" s="31">
        <f t="shared" si="10"/>
        <v>0</v>
      </c>
      <c r="Z12" s="32">
        <f t="shared" si="11"/>
        <v>0</v>
      </c>
      <c r="AA12" s="658">
        <f t="shared" si="12"/>
        <v>2</v>
      </c>
    </row>
    <row r="13" spans="1:27" x14ac:dyDescent="0.25">
      <c r="A13" s="7">
        <v>10</v>
      </c>
      <c r="B13" s="1">
        <v>7</v>
      </c>
      <c r="C13" s="5">
        <v>12</v>
      </c>
      <c r="D13" s="3">
        <v>7</v>
      </c>
      <c r="E13" s="36">
        <v>12</v>
      </c>
      <c r="F13" s="1">
        <v>3</v>
      </c>
      <c r="G13" s="5">
        <v>6</v>
      </c>
      <c r="H13" s="3">
        <v>4</v>
      </c>
      <c r="I13" s="36">
        <v>11</v>
      </c>
      <c r="J13" s="1">
        <v>4</v>
      </c>
      <c r="K13" s="5">
        <v>11</v>
      </c>
      <c r="L13" s="3">
        <v>1</v>
      </c>
      <c r="M13" s="654">
        <v>6</v>
      </c>
      <c r="O13" s="7">
        <v>10</v>
      </c>
      <c r="P13" s="646">
        <f t="shared" si="1"/>
        <v>1</v>
      </c>
      <c r="Q13" s="31">
        <f t="shared" si="2"/>
        <v>0</v>
      </c>
      <c r="R13" s="32">
        <f t="shared" si="3"/>
        <v>1</v>
      </c>
      <c r="S13" s="33">
        <f t="shared" si="4"/>
        <v>0</v>
      </c>
      <c r="T13" s="30">
        <f t="shared" si="5"/>
        <v>1</v>
      </c>
      <c r="U13" s="31">
        <f t="shared" si="6"/>
        <v>0</v>
      </c>
      <c r="V13" s="32">
        <f t="shared" si="7"/>
        <v>0</v>
      </c>
      <c r="W13" s="33">
        <f t="shared" si="8"/>
        <v>0</v>
      </c>
      <c r="X13" s="30">
        <f t="shared" si="9"/>
        <v>0</v>
      </c>
      <c r="Y13" s="31">
        <f t="shared" si="10"/>
        <v>0</v>
      </c>
      <c r="Z13" s="32">
        <f t="shared" si="11"/>
        <v>0</v>
      </c>
      <c r="AA13" s="658">
        <f t="shared" si="12"/>
        <v>0</v>
      </c>
    </row>
    <row r="14" spans="1:27" x14ac:dyDescent="0.25">
      <c r="A14" s="184">
        <v>11</v>
      </c>
      <c r="B14" s="22">
        <v>7</v>
      </c>
      <c r="C14" s="20">
        <v>12</v>
      </c>
      <c r="D14" s="21">
        <v>7</v>
      </c>
      <c r="E14" s="37">
        <v>12</v>
      </c>
      <c r="F14" s="22">
        <v>3</v>
      </c>
      <c r="G14" s="20">
        <v>6</v>
      </c>
      <c r="H14" s="21">
        <v>4</v>
      </c>
      <c r="I14" s="37">
        <v>12</v>
      </c>
      <c r="J14" s="22">
        <v>4</v>
      </c>
      <c r="K14" s="20">
        <v>12</v>
      </c>
      <c r="L14" s="21">
        <v>1</v>
      </c>
      <c r="M14" s="863">
        <v>6</v>
      </c>
      <c r="O14" s="184">
        <v>11</v>
      </c>
      <c r="P14" s="864">
        <f t="shared" si="1"/>
        <v>0</v>
      </c>
      <c r="Q14" s="61">
        <f t="shared" si="2"/>
        <v>0</v>
      </c>
      <c r="R14" s="62">
        <f t="shared" si="3"/>
        <v>0</v>
      </c>
      <c r="S14" s="865">
        <f t="shared" si="4"/>
        <v>0</v>
      </c>
      <c r="T14" s="60">
        <f t="shared" si="5"/>
        <v>0</v>
      </c>
      <c r="U14" s="61">
        <f t="shared" si="6"/>
        <v>0</v>
      </c>
      <c r="V14" s="62">
        <f t="shared" si="7"/>
        <v>0</v>
      </c>
      <c r="W14" s="865">
        <f t="shared" si="8"/>
        <v>1</v>
      </c>
      <c r="X14" s="60">
        <f t="shared" si="9"/>
        <v>0</v>
      </c>
      <c r="Y14" s="61">
        <f t="shared" si="10"/>
        <v>1</v>
      </c>
      <c r="Z14" s="62">
        <f t="shared" si="11"/>
        <v>0</v>
      </c>
      <c r="AA14" s="866">
        <f t="shared" si="12"/>
        <v>0</v>
      </c>
    </row>
    <row r="16" spans="1:27" ht="30" customHeight="1" thickBot="1" x14ac:dyDescent="0.3">
      <c r="A16" s="1087" t="s">
        <v>607</v>
      </c>
      <c r="B16" s="1088"/>
      <c r="C16" s="1088"/>
      <c r="D16" s="1088"/>
      <c r="E16" s="1088"/>
      <c r="F16" s="1088"/>
      <c r="G16" s="1088"/>
      <c r="H16" s="1088"/>
      <c r="I16" s="1088"/>
      <c r="J16" s="1088"/>
      <c r="K16" s="1088"/>
      <c r="L16" s="1088"/>
      <c r="M16" s="1088"/>
      <c r="O16" s="1087" t="s">
        <v>608</v>
      </c>
      <c r="P16" s="1088"/>
      <c r="Q16" s="1088"/>
      <c r="R16" s="1088"/>
      <c r="S16" s="1088"/>
      <c r="T16" s="1088"/>
      <c r="U16" s="1088"/>
      <c r="V16" s="1088"/>
      <c r="W16" s="1088"/>
      <c r="X16" s="1088"/>
      <c r="Y16" s="1088"/>
      <c r="Z16" s="1088"/>
      <c r="AA16" s="1088"/>
    </row>
    <row r="17" spans="1:49" ht="23.25" thickBot="1" x14ac:dyDescent="0.3">
      <c r="A17" s="971" t="s">
        <v>291</v>
      </c>
      <c r="B17" s="17" t="s">
        <v>207</v>
      </c>
      <c r="C17" s="17" t="s">
        <v>15</v>
      </c>
      <c r="D17" s="965" t="s">
        <v>343</v>
      </c>
      <c r="E17" s="661" t="s">
        <v>21</v>
      </c>
      <c r="F17" s="17" t="s">
        <v>338</v>
      </c>
      <c r="G17" s="17" t="s">
        <v>22</v>
      </c>
      <c r="H17" s="17" t="s">
        <v>208</v>
      </c>
      <c r="I17" s="17" t="s">
        <v>23</v>
      </c>
      <c r="J17" s="17" t="s">
        <v>209</v>
      </c>
      <c r="K17" s="17" t="s">
        <v>24</v>
      </c>
      <c r="L17" s="17" t="s">
        <v>701</v>
      </c>
      <c r="M17" s="17" t="s">
        <v>26</v>
      </c>
      <c r="O17" s="140" t="s">
        <v>291</v>
      </c>
      <c r="P17" s="643" t="s">
        <v>207</v>
      </c>
      <c r="Q17" s="17" t="s">
        <v>15</v>
      </c>
      <c r="R17" s="965" t="s">
        <v>343</v>
      </c>
      <c r="S17" s="661" t="s">
        <v>21</v>
      </c>
      <c r="T17" s="17" t="s">
        <v>338</v>
      </c>
      <c r="U17" s="17" t="s">
        <v>22</v>
      </c>
      <c r="V17" s="17" t="s">
        <v>208</v>
      </c>
      <c r="W17" s="17" t="s">
        <v>23</v>
      </c>
      <c r="X17" s="17" t="s">
        <v>209</v>
      </c>
      <c r="Y17" s="57" t="s">
        <v>24</v>
      </c>
      <c r="Z17" s="17" t="s">
        <v>701</v>
      </c>
      <c r="AA17" s="17" t="s">
        <v>26</v>
      </c>
    </row>
    <row r="18" spans="1:49" x14ac:dyDescent="0.25">
      <c r="A18" s="13">
        <v>0</v>
      </c>
      <c r="B18" s="2">
        <v>0</v>
      </c>
      <c r="C18" s="6">
        <v>0</v>
      </c>
      <c r="D18" s="4">
        <v>0</v>
      </c>
      <c r="E18" s="34">
        <v>0</v>
      </c>
      <c r="F18" s="2">
        <v>0</v>
      </c>
      <c r="G18" s="6">
        <v>0</v>
      </c>
      <c r="H18" s="4">
        <v>0</v>
      </c>
      <c r="I18" s="34">
        <v>0</v>
      </c>
      <c r="J18" s="2">
        <v>0</v>
      </c>
      <c r="K18" s="6">
        <v>0</v>
      </c>
      <c r="L18" s="4">
        <v>0</v>
      </c>
      <c r="M18" s="34">
        <v>0</v>
      </c>
      <c r="O18" s="7">
        <v>0</v>
      </c>
      <c r="P18" s="644">
        <f t="shared" ref="P18:Y18" si="13">B18</f>
        <v>0</v>
      </c>
      <c r="Q18" s="27">
        <f t="shared" si="13"/>
        <v>0</v>
      </c>
      <c r="R18" s="75">
        <f t="shared" si="13"/>
        <v>0</v>
      </c>
      <c r="S18" s="29">
        <f t="shared" si="13"/>
        <v>0</v>
      </c>
      <c r="T18" s="26">
        <f t="shared" si="13"/>
        <v>0</v>
      </c>
      <c r="U18" s="27">
        <f t="shared" si="13"/>
        <v>0</v>
      </c>
      <c r="V18" s="28">
        <f t="shared" si="13"/>
        <v>0</v>
      </c>
      <c r="W18" s="29">
        <f t="shared" si="13"/>
        <v>0</v>
      </c>
      <c r="X18" s="26">
        <f t="shared" si="13"/>
        <v>0</v>
      </c>
      <c r="Y18" s="645">
        <f t="shared" si="13"/>
        <v>0</v>
      </c>
      <c r="Z18" s="28">
        <f t="shared" ref="Z18" si="14">L18</f>
        <v>0</v>
      </c>
      <c r="AA18" s="29">
        <f t="shared" ref="AA18" si="15">M18</f>
        <v>0</v>
      </c>
    </row>
    <row r="19" spans="1:49" x14ac:dyDescent="0.25">
      <c r="A19" s="12">
        <v>1</v>
      </c>
      <c r="B19" s="11">
        <v>1</v>
      </c>
      <c r="C19" s="9">
        <v>3</v>
      </c>
      <c r="D19" s="76">
        <v>0</v>
      </c>
      <c r="E19" s="77">
        <v>0</v>
      </c>
      <c r="F19" s="11">
        <v>1</v>
      </c>
      <c r="G19" s="9">
        <v>1</v>
      </c>
      <c r="H19" s="10">
        <v>0</v>
      </c>
      <c r="I19" s="35">
        <v>0</v>
      </c>
      <c r="J19" s="11">
        <v>0</v>
      </c>
      <c r="K19" s="9">
        <v>0</v>
      </c>
      <c r="L19" s="10">
        <v>0</v>
      </c>
      <c r="M19" s="35">
        <v>0</v>
      </c>
      <c r="O19" s="141">
        <v>1</v>
      </c>
      <c r="P19" s="646">
        <f t="shared" ref="P19:P28" si="16">B19-B18</f>
        <v>1</v>
      </c>
      <c r="Q19" s="31">
        <f t="shared" ref="Q19:Q28" si="17">C19-C18</f>
        <v>3</v>
      </c>
      <c r="R19" s="78">
        <f t="shared" ref="R19:R28" si="18">D19-D18</f>
        <v>0</v>
      </c>
      <c r="S19" s="79">
        <f t="shared" ref="S19:S28" si="19">E19-E18</f>
        <v>0</v>
      </c>
      <c r="T19" s="30">
        <f t="shared" ref="T19:T28" si="20">F19-F18</f>
        <v>1</v>
      </c>
      <c r="U19" s="31">
        <f t="shared" ref="U19:U28" si="21">G19-G18</f>
        <v>1</v>
      </c>
      <c r="V19" s="32">
        <f t="shared" ref="V19:V28" si="22">H19-H18</f>
        <v>0</v>
      </c>
      <c r="W19" s="33">
        <f t="shared" ref="W19:W28" si="23">I19-I18</f>
        <v>0</v>
      </c>
      <c r="X19" s="30">
        <f t="shared" ref="X19:X28" si="24">J19-J18</f>
        <v>0</v>
      </c>
      <c r="Y19" s="647">
        <f t="shared" ref="Y19:Y28" si="25">K19-K18</f>
        <v>0</v>
      </c>
      <c r="Z19" s="32">
        <f t="shared" ref="Z19:Z28" si="26">L19-L18</f>
        <v>0</v>
      </c>
      <c r="AA19" s="33">
        <f t="shared" ref="AA19:AA28" si="27">M19-M18</f>
        <v>0</v>
      </c>
    </row>
    <row r="20" spans="1:49" x14ac:dyDescent="0.25">
      <c r="A20" s="13">
        <v>2</v>
      </c>
      <c r="B20" s="2">
        <v>2</v>
      </c>
      <c r="C20" s="6">
        <v>4</v>
      </c>
      <c r="D20" s="4">
        <v>0</v>
      </c>
      <c r="E20" s="34">
        <v>0</v>
      </c>
      <c r="F20" s="2">
        <v>1</v>
      </c>
      <c r="G20" s="6">
        <v>2</v>
      </c>
      <c r="H20" s="4">
        <v>0</v>
      </c>
      <c r="I20" s="34">
        <v>0</v>
      </c>
      <c r="J20" s="2">
        <v>0</v>
      </c>
      <c r="K20" s="6">
        <v>0</v>
      </c>
      <c r="L20" s="4">
        <v>0</v>
      </c>
      <c r="M20" s="34">
        <v>0</v>
      </c>
      <c r="O20" s="7">
        <v>2</v>
      </c>
      <c r="P20" s="646">
        <f t="shared" si="16"/>
        <v>1</v>
      </c>
      <c r="Q20" s="31">
        <f t="shared" si="17"/>
        <v>1</v>
      </c>
      <c r="R20" s="78">
        <f t="shared" si="18"/>
        <v>0</v>
      </c>
      <c r="S20" s="79">
        <f t="shared" si="19"/>
        <v>0</v>
      </c>
      <c r="T20" s="30">
        <f t="shared" si="20"/>
        <v>0</v>
      </c>
      <c r="U20" s="31">
        <f t="shared" si="21"/>
        <v>1</v>
      </c>
      <c r="V20" s="32">
        <f t="shared" si="22"/>
        <v>0</v>
      </c>
      <c r="W20" s="33">
        <f t="shared" si="23"/>
        <v>0</v>
      </c>
      <c r="X20" s="30">
        <f t="shared" si="24"/>
        <v>0</v>
      </c>
      <c r="Y20" s="647">
        <f t="shared" si="25"/>
        <v>0</v>
      </c>
      <c r="Z20" s="32">
        <f t="shared" si="26"/>
        <v>0</v>
      </c>
      <c r="AA20" s="33">
        <f t="shared" si="27"/>
        <v>0</v>
      </c>
    </row>
    <row r="21" spans="1:49" x14ac:dyDescent="0.25">
      <c r="A21" s="13">
        <v>3</v>
      </c>
      <c r="B21" s="1">
        <v>2</v>
      </c>
      <c r="C21" s="5">
        <v>5</v>
      </c>
      <c r="D21" s="3">
        <v>0</v>
      </c>
      <c r="E21" s="36">
        <v>0</v>
      </c>
      <c r="F21" s="1">
        <v>2</v>
      </c>
      <c r="G21" s="5">
        <v>3</v>
      </c>
      <c r="H21" s="3">
        <v>1</v>
      </c>
      <c r="I21" s="36">
        <v>1</v>
      </c>
      <c r="J21" s="1">
        <v>0</v>
      </c>
      <c r="K21" s="5">
        <v>0</v>
      </c>
      <c r="L21" s="3">
        <v>0</v>
      </c>
      <c r="M21" s="36">
        <v>0</v>
      </c>
      <c r="O21" s="7">
        <v>3</v>
      </c>
      <c r="P21" s="646">
        <f t="shared" si="16"/>
        <v>0</v>
      </c>
      <c r="Q21" s="31">
        <f t="shared" si="17"/>
        <v>1</v>
      </c>
      <c r="R21" s="78">
        <f t="shared" si="18"/>
        <v>0</v>
      </c>
      <c r="S21" s="79">
        <f t="shared" si="19"/>
        <v>0</v>
      </c>
      <c r="T21" s="30">
        <f t="shared" si="20"/>
        <v>1</v>
      </c>
      <c r="U21" s="31">
        <f t="shared" si="21"/>
        <v>1</v>
      </c>
      <c r="V21" s="32">
        <f t="shared" si="22"/>
        <v>1</v>
      </c>
      <c r="W21" s="33">
        <f t="shared" si="23"/>
        <v>1</v>
      </c>
      <c r="X21" s="30">
        <f t="shared" si="24"/>
        <v>0</v>
      </c>
      <c r="Y21" s="647">
        <f t="shared" si="25"/>
        <v>0</v>
      </c>
      <c r="Z21" s="32">
        <f t="shared" si="26"/>
        <v>0</v>
      </c>
      <c r="AA21" s="33">
        <f t="shared" si="27"/>
        <v>0</v>
      </c>
    </row>
    <row r="22" spans="1:49" x14ac:dyDescent="0.25">
      <c r="A22" s="13">
        <v>4</v>
      </c>
      <c r="B22" s="2">
        <v>3</v>
      </c>
      <c r="C22" s="6">
        <v>6</v>
      </c>
      <c r="D22" s="4">
        <v>0</v>
      </c>
      <c r="E22" s="34">
        <v>0</v>
      </c>
      <c r="F22" s="2">
        <v>2</v>
      </c>
      <c r="G22" s="6">
        <v>4</v>
      </c>
      <c r="H22" s="4">
        <v>1</v>
      </c>
      <c r="I22" s="34">
        <v>2</v>
      </c>
      <c r="J22" s="2">
        <v>0</v>
      </c>
      <c r="K22" s="6">
        <v>0</v>
      </c>
      <c r="L22" s="4">
        <v>0</v>
      </c>
      <c r="M22" s="34">
        <v>0</v>
      </c>
      <c r="O22" s="7">
        <v>4</v>
      </c>
      <c r="P22" s="646">
        <f t="shared" si="16"/>
        <v>1</v>
      </c>
      <c r="Q22" s="31">
        <f t="shared" si="17"/>
        <v>1</v>
      </c>
      <c r="R22" s="78">
        <f t="shared" si="18"/>
        <v>0</v>
      </c>
      <c r="S22" s="79">
        <f t="shared" si="19"/>
        <v>0</v>
      </c>
      <c r="T22" s="30">
        <f t="shared" si="20"/>
        <v>0</v>
      </c>
      <c r="U22" s="31">
        <f t="shared" si="21"/>
        <v>1</v>
      </c>
      <c r="V22" s="32">
        <f t="shared" si="22"/>
        <v>0</v>
      </c>
      <c r="W22" s="33">
        <f t="shared" si="23"/>
        <v>1</v>
      </c>
      <c r="X22" s="30">
        <f t="shared" si="24"/>
        <v>0</v>
      </c>
      <c r="Y22" s="647">
        <f t="shared" si="25"/>
        <v>0</v>
      </c>
      <c r="Z22" s="32">
        <f t="shared" si="26"/>
        <v>0</v>
      </c>
      <c r="AA22" s="33">
        <f t="shared" si="27"/>
        <v>0</v>
      </c>
    </row>
    <row r="23" spans="1:49" x14ac:dyDescent="0.25">
      <c r="A23" s="13">
        <v>5</v>
      </c>
      <c r="B23" s="1">
        <v>3</v>
      </c>
      <c r="C23" s="5">
        <v>7</v>
      </c>
      <c r="D23" s="3">
        <v>0</v>
      </c>
      <c r="E23" s="36">
        <v>0</v>
      </c>
      <c r="F23" s="1">
        <v>3</v>
      </c>
      <c r="G23" s="5">
        <v>5</v>
      </c>
      <c r="H23" s="3">
        <v>1</v>
      </c>
      <c r="I23" s="36">
        <v>3</v>
      </c>
      <c r="J23" s="1">
        <v>1</v>
      </c>
      <c r="K23" s="5">
        <v>1</v>
      </c>
      <c r="L23" s="3">
        <v>0</v>
      </c>
      <c r="M23" s="36">
        <v>0</v>
      </c>
      <c r="O23" s="7">
        <v>5</v>
      </c>
      <c r="P23" s="646">
        <f t="shared" si="16"/>
        <v>0</v>
      </c>
      <c r="Q23" s="31">
        <f t="shared" si="17"/>
        <v>1</v>
      </c>
      <c r="R23" s="78">
        <f t="shared" si="18"/>
        <v>0</v>
      </c>
      <c r="S23" s="79">
        <f t="shared" si="19"/>
        <v>0</v>
      </c>
      <c r="T23" s="30">
        <f t="shared" si="20"/>
        <v>1</v>
      </c>
      <c r="U23" s="31">
        <f t="shared" si="21"/>
        <v>1</v>
      </c>
      <c r="V23" s="32">
        <f t="shared" si="22"/>
        <v>0</v>
      </c>
      <c r="W23" s="33">
        <f t="shared" si="23"/>
        <v>1</v>
      </c>
      <c r="X23" s="30">
        <f t="shared" si="24"/>
        <v>1</v>
      </c>
      <c r="Y23" s="647">
        <f t="shared" si="25"/>
        <v>1</v>
      </c>
      <c r="Z23" s="32">
        <f t="shared" si="26"/>
        <v>0</v>
      </c>
      <c r="AA23" s="33">
        <f t="shared" si="27"/>
        <v>0</v>
      </c>
    </row>
    <row r="24" spans="1:49" x14ac:dyDescent="0.25">
      <c r="A24" s="13">
        <v>6</v>
      </c>
      <c r="B24" s="2">
        <v>3</v>
      </c>
      <c r="C24" s="6">
        <v>8</v>
      </c>
      <c r="D24" s="4">
        <v>0</v>
      </c>
      <c r="E24" s="34">
        <v>0</v>
      </c>
      <c r="F24" s="2">
        <v>3</v>
      </c>
      <c r="G24" s="6">
        <v>6</v>
      </c>
      <c r="H24" s="4">
        <v>1</v>
      </c>
      <c r="I24" s="34">
        <v>4</v>
      </c>
      <c r="J24" s="2">
        <v>1</v>
      </c>
      <c r="K24" s="6">
        <v>2</v>
      </c>
      <c r="L24" s="4">
        <v>0</v>
      </c>
      <c r="M24" s="34">
        <v>0</v>
      </c>
      <c r="O24" s="7">
        <v>6</v>
      </c>
      <c r="P24" s="646">
        <f t="shared" si="16"/>
        <v>0</v>
      </c>
      <c r="Q24" s="31">
        <f t="shared" si="17"/>
        <v>1</v>
      </c>
      <c r="R24" s="78">
        <f t="shared" si="18"/>
        <v>0</v>
      </c>
      <c r="S24" s="79">
        <f t="shared" si="19"/>
        <v>0</v>
      </c>
      <c r="T24" s="30">
        <f t="shared" si="20"/>
        <v>0</v>
      </c>
      <c r="U24" s="31">
        <f t="shared" si="21"/>
        <v>1</v>
      </c>
      <c r="V24" s="32">
        <f t="shared" si="22"/>
        <v>0</v>
      </c>
      <c r="W24" s="33">
        <f t="shared" si="23"/>
        <v>1</v>
      </c>
      <c r="X24" s="30">
        <f t="shared" si="24"/>
        <v>0</v>
      </c>
      <c r="Y24" s="647">
        <f t="shared" si="25"/>
        <v>1</v>
      </c>
      <c r="Z24" s="32">
        <f t="shared" si="26"/>
        <v>0</v>
      </c>
      <c r="AA24" s="33">
        <f t="shared" si="27"/>
        <v>0</v>
      </c>
    </row>
    <row r="25" spans="1:49" x14ac:dyDescent="0.25">
      <c r="A25" s="13">
        <v>7</v>
      </c>
      <c r="B25" s="1">
        <v>4</v>
      </c>
      <c r="C25" s="5">
        <v>9</v>
      </c>
      <c r="D25" s="3">
        <v>1</v>
      </c>
      <c r="E25" s="36">
        <v>2</v>
      </c>
      <c r="F25" s="1">
        <v>4</v>
      </c>
      <c r="G25" s="5">
        <v>6</v>
      </c>
      <c r="H25" s="3">
        <v>1</v>
      </c>
      <c r="I25" s="36">
        <v>5</v>
      </c>
      <c r="J25" s="1">
        <v>1</v>
      </c>
      <c r="K25" s="5">
        <v>3</v>
      </c>
      <c r="L25" s="3">
        <v>0</v>
      </c>
      <c r="M25" s="36">
        <v>0</v>
      </c>
      <c r="O25" s="7">
        <v>7</v>
      </c>
      <c r="P25" s="646">
        <f t="shared" si="16"/>
        <v>1</v>
      </c>
      <c r="Q25" s="31">
        <f t="shared" si="17"/>
        <v>1</v>
      </c>
      <c r="R25" s="78">
        <f t="shared" si="18"/>
        <v>1</v>
      </c>
      <c r="S25" s="79">
        <f t="shared" si="19"/>
        <v>2</v>
      </c>
      <c r="T25" s="30">
        <f t="shared" si="20"/>
        <v>1</v>
      </c>
      <c r="U25" s="31">
        <f t="shared" si="21"/>
        <v>0</v>
      </c>
      <c r="V25" s="32">
        <f t="shared" si="22"/>
        <v>0</v>
      </c>
      <c r="W25" s="33">
        <f t="shared" si="23"/>
        <v>1</v>
      </c>
      <c r="X25" s="30">
        <f t="shared" si="24"/>
        <v>0</v>
      </c>
      <c r="Y25" s="647">
        <f t="shared" si="25"/>
        <v>1</v>
      </c>
      <c r="Z25" s="32">
        <f t="shared" si="26"/>
        <v>0</v>
      </c>
      <c r="AA25" s="33">
        <f t="shared" si="27"/>
        <v>0</v>
      </c>
    </row>
    <row r="26" spans="1:49" x14ac:dyDescent="0.25">
      <c r="A26" s="13">
        <v>8</v>
      </c>
      <c r="B26" s="2">
        <v>4</v>
      </c>
      <c r="C26" s="6">
        <v>10</v>
      </c>
      <c r="D26" s="4">
        <v>2</v>
      </c>
      <c r="E26" s="34">
        <v>4</v>
      </c>
      <c r="F26" s="2">
        <v>4</v>
      </c>
      <c r="G26" s="6">
        <v>6</v>
      </c>
      <c r="H26" s="4">
        <v>1</v>
      </c>
      <c r="I26" s="34">
        <v>6</v>
      </c>
      <c r="J26" s="2">
        <v>1</v>
      </c>
      <c r="K26" s="6">
        <v>3</v>
      </c>
      <c r="L26" s="4">
        <v>1</v>
      </c>
      <c r="M26" s="34">
        <v>2</v>
      </c>
      <c r="O26" s="7">
        <v>8</v>
      </c>
      <c r="P26" s="646">
        <f t="shared" si="16"/>
        <v>0</v>
      </c>
      <c r="Q26" s="31">
        <f t="shared" si="17"/>
        <v>1</v>
      </c>
      <c r="R26" s="78">
        <f t="shared" si="18"/>
        <v>1</v>
      </c>
      <c r="S26" s="79">
        <f t="shared" si="19"/>
        <v>2</v>
      </c>
      <c r="T26" s="30">
        <f t="shared" si="20"/>
        <v>0</v>
      </c>
      <c r="U26" s="31">
        <f t="shared" si="21"/>
        <v>0</v>
      </c>
      <c r="V26" s="32">
        <f t="shared" si="22"/>
        <v>0</v>
      </c>
      <c r="W26" s="33">
        <f t="shared" si="23"/>
        <v>1</v>
      </c>
      <c r="X26" s="30">
        <f t="shared" si="24"/>
        <v>0</v>
      </c>
      <c r="Y26" s="647">
        <f t="shared" si="25"/>
        <v>0</v>
      </c>
      <c r="Z26" s="32">
        <f t="shared" si="26"/>
        <v>1</v>
      </c>
      <c r="AA26" s="33">
        <f t="shared" si="27"/>
        <v>2</v>
      </c>
    </row>
    <row r="27" spans="1:49" x14ac:dyDescent="0.25">
      <c r="A27" s="7">
        <v>9</v>
      </c>
      <c r="B27" s="1">
        <v>4</v>
      </c>
      <c r="C27" s="5">
        <v>10</v>
      </c>
      <c r="D27" s="3">
        <v>2</v>
      </c>
      <c r="E27" s="36">
        <v>6</v>
      </c>
      <c r="F27" s="1">
        <v>4</v>
      </c>
      <c r="G27" s="5">
        <v>7</v>
      </c>
      <c r="H27" s="3">
        <v>1</v>
      </c>
      <c r="I27" s="36">
        <v>7</v>
      </c>
      <c r="J27" s="1">
        <v>1</v>
      </c>
      <c r="K27" s="5">
        <v>4</v>
      </c>
      <c r="L27" s="3">
        <v>1</v>
      </c>
      <c r="M27" s="654">
        <v>3</v>
      </c>
      <c r="O27" s="7">
        <v>9</v>
      </c>
      <c r="P27" s="646">
        <f t="shared" si="16"/>
        <v>0</v>
      </c>
      <c r="Q27" s="31">
        <f t="shared" si="17"/>
        <v>0</v>
      </c>
      <c r="R27" s="78">
        <f t="shared" si="18"/>
        <v>0</v>
      </c>
      <c r="S27" s="79">
        <f t="shared" si="19"/>
        <v>2</v>
      </c>
      <c r="T27" s="30">
        <f t="shared" si="20"/>
        <v>0</v>
      </c>
      <c r="U27" s="31">
        <f t="shared" si="21"/>
        <v>1</v>
      </c>
      <c r="V27" s="32">
        <f t="shared" si="22"/>
        <v>0</v>
      </c>
      <c r="W27" s="33">
        <f t="shared" si="23"/>
        <v>1</v>
      </c>
      <c r="X27" s="30">
        <f t="shared" si="24"/>
        <v>0</v>
      </c>
      <c r="Y27" s="647">
        <f t="shared" si="25"/>
        <v>1</v>
      </c>
      <c r="Z27" s="32">
        <f t="shared" si="26"/>
        <v>0</v>
      </c>
      <c r="AA27" s="33">
        <f t="shared" si="27"/>
        <v>1</v>
      </c>
    </row>
    <row r="28" spans="1:49" x14ac:dyDescent="0.25">
      <c r="A28" s="7">
        <v>10</v>
      </c>
      <c r="B28" s="1">
        <v>4</v>
      </c>
      <c r="C28" s="5">
        <v>10</v>
      </c>
      <c r="D28" s="3">
        <v>2</v>
      </c>
      <c r="E28" s="36">
        <v>7</v>
      </c>
      <c r="F28" s="1">
        <v>4</v>
      </c>
      <c r="G28" s="5">
        <v>8</v>
      </c>
      <c r="H28" s="3">
        <v>1</v>
      </c>
      <c r="I28" s="36">
        <v>8</v>
      </c>
      <c r="J28" s="1">
        <v>1</v>
      </c>
      <c r="K28" s="5">
        <v>5</v>
      </c>
      <c r="L28" s="3">
        <v>1</v>
      </c>
      <c r="M28" s="654">
        <v>3</v>
      </c>
      <c r="O28" s="7">
        <v>10</v>
      </c>
      <c r="P28" s="646">
        <f t="shared" si="16"/>
        <v>0</v>
      </c>
      <c r="Q28" s="31">
        <f t="shared" si="17"/>
        <v>0</v>
      </c>
      <c r="R28" s="78">
        <f t="shared" si="18"/>
        <v>0</v>
      </c>
      <c r="S28" s="79">
        <f t="shared" si="19"/>
        <v>1</v>
      </c>
      <c r="T28" s="30">
        <f t="shared" si="20"/>
        <v>0</v>
      </c>
      <c r="U28" s="31">
        <f t="shared" si="21"/>
        <v>1</v>
      </c>
      <c r="V28" s="32">
        <f t="shared" si="22"/>
        <v>0</v>
      </c>
      <c r="W28" s="33">
        <f t="shared" si="23"/>
        <v>1</v>
      </c>
      <c r="X28" s="30">
        <f t="shared" si="24"/>
        <v>0</v>
      </c>
      <c r="Y28" s="647">
        <f t="shared" si="25"/>
        <v>1</v>
      </c>
      <c r="Z28" s="32">
        <f t="shared" si="26"/>
        <v>0</v>
      </c>
      <c r="AA28" s="33">
        <f t="shared" si="27"/>
        <v>0</v>
      </c>
    </row>
    <row r="29" spans="1:49" x14ac:dyDescent="0.25">
      <c r="A29" s="184">
        <v>11</v>
      </c>
      <c r="B29" s="22">
        <v>4</v>
      </c>
      <c r="C29" s="20">
        <v>10</v>
      </c>
      <c r="D29" s="21">
        <v>2</v>
      </c>
      <c r="E29" s="37">
        <v>7</v>
      </c>
      <c r="F29" s="22">
        <v>4</v>
      </c>
      <c r="G29" s="20">
        <v>8</v>
      </c>
      <c r="H29" s="21">
        <v>1</v>
      </c>
      <c r="I29" s="37">
        <v>9</v>
      </c>
      <c r="J29" s="22">
        <v>1</v>
      </c>
      <c r="K29" s="20">
        <v>5</v>
      </c>
      <c r="L29" s="21">
        <v>1</v>
      </c>
      <c r="M29" s="863">
        <v>3</v>
      </c>
      <c r="O29" s="184">
        <v>11</v>
      </c>
      <c r="P29" s="864">
        <f t="shared" ref="P29" si="28">B29-B28</f>
        <v>0</v>
      </c>
      <c r="Q29" s="61">
        <f t="shared" ref="Q29" si="29">C29-C28</f>
        <v>0</v>
      </c>
      <c r="R29" s="867">
        <f t="shared" ref="R29" si="30">D29-D28</f>
        <v>0</v>
      </c>
      <c r="S29" s="868">
        <f t="shared" ref="S29" si="31">E29-E28</f>
        <v>0</v>
      </c>
      <c r="T29" s="60">
        <f t="shared" ref="T29" si="32">F29-F28</f>
        <v>0</v>
      </c>
      <c r="U29" s="61">
        <f t="shared" ref="U29" si="33">G29-G28</f>
        <v>0</v>
      </c>
      <c r="V29" s="62">
        <f t="shared" ref="V29" si="34">H29-H28</f>
        <v>0</v>
      </c>
      <c r="W29" s="865">
        <f t="shared" ref="W29" si="35">I29-I28</f>
        <v>1</v>
      </c>
      <c r="X29" s="60">
        <f t="shared" ref="X29" si="36">J29-J28</f>
        <v>0</v>
      </c>
      <c r="Y29" s="869">
        <f t="shared" ref="Y29" si="37">K29-K28</f>
        <v>0</v>
      </c>
      <c r="Z29" s="62">
        <f t="shared" ref="Z29" si="38">L29-L28</f>
        <v>0</v>
      </c>
      <c r="AA29" s="865">
        <f t="shared" ref="AA29" si="39">M29-M28</f>
        <v>0</v>
      </c>
    </row>
    <row r="30" spans="1:49" x14ac:dyDescent="0.2">
      <c r="P30" s="138"/>
      <c r="Q30" s="138"/>
      <c r="R30" s="138"/>
    </row>
    <row r="31" spans="1:49" ht="30" customHeight="1" thickBot="1" x14ac:dyDescent="0.3">
      <c r="A31" s="1087" t="s">
        <v>404</v>
      </c>
      <c r="B31" s="1088"/>
      <c r="C31" s="1088"/>
      <c r="D31" s="1088"/>
      <c r="E31" s="1088"/>
      <c r="F31" s="1088"/>
      <c r="G31" s="1088"/>
      <c r="H31" s="1088"/>
      <c r="I31" s="1088"/>
      <c r="J31" s="1088"/>
      <c r="K31" s="1088"/>
      <c r="L31" s="1088"/>
      <c r="M31" s="1088"/>
      <c r="N31" s="1088"/>
      <c r="O31" s="1088"/>
      <c r="P31" s="1088"/>
      <c r="Q31" s="1088"/>
      <c r="R31" s="1088"/>
      <c r="S31" s="1088"/>
      <c r="T31" s="1088"/>
      <c r="U31" s="1088"/>
      <c r="V31" s="1088"/>
      <c r="W31" s="1088"/>
      <c r="X31" s="876"/>
      <c r="Y31" s="876"/>
      <c r="AA31" s="1087" t="s">
        <v>366</v>
      </c>
      <c r="AB31" s="1088"/>
      <c r="AC31" s="1088"/>
      <c r="AD31" s="1088"/>
      <c r="AE31" s="1088"/>
      <c r="AF31" s="1088"/>
      <c r="AG31" s="1088"/>
      <c r="AH31" s="1088"/>
      <c r="AI31" s="1088"/>
      <c r="AJ31" s="1088"/>
      <c r="AK31" s="1088"/>
      <c r="AL31" s="1088"/>
      <c r="AM31" s="1088"/>
      <c r="AN31" s="1088"/>
      <c r="AO31" s="1088"/>
      <c r="AP31" s="1088"/>
      <c r="AQ31" s="1088"/>
      <c r="AR31" s="1088"/>
      <c r="AS31" s="1088"/>
      <c r="AT31" s="1088"/>
      <c r="AU31" s="1088"/>
      <c r="AV31" s="1088"/>
      <c r="AW31" s="1088"/>
    </row>
    <row r="32" spans="1:49" ht="34.5" customHeight="1" thickBot="1" x14ac:dyDescent="0.3">
      <c r="A32" s="969" t="s">
        <v>291</v>
      </c>
      <c r="B32" s="963" t="s">
        <v>206</v>
      </c>
      <c r="C32" s="963" t="s">
        <v>15</v>
      </c>
      <c r="D32" s="963" t="s">
        <v>205</v>
      </c>
      <c r="E32" s="52" t="s">
        <v>21</v>
      </c>
      <c r="F32" s="963" t="s">
        <v>204</v>
      </c>
      <c r="G32" s="52" t="s">
        <v>22</v>
      </c>
      <c r="H32" s="963" t="s">
        <v>203</v>
      </c>
      <c r="I32" s="52" t="s">
        <v>23</v>
      </c>
      <c r="J32" s="963" t="s">
        <v>202</v>
      </c>
      <c r="K32" s="52" t="s">
        <v>24</v>
      </c>
      <c r="L32" s="963" t="s">
        <v>454</v>
      </c>
      <c r="M32" s="52" t="s">
        <v>25</v>
      </c>
      <c r="N32" s="963" t="s">
        <v>643</v>
      </c>
      <c r="O32" s="52" t="s">
        <v>644</v>
      </c>
      <c r="P32" s="963" t="s">
        <v>201</v>
      </c>
      <c r="Q32" s="52" t="s">
        <v>26</v>
      </c>
      <c r="R32" s="963" t="s">
        <v>200</v>
      </c>
      <c r="S32" s="52" t="s">
        <v>27</v>
      </c>
      <c r="T32" s="963" t="s">
        <v>199</v>
      </c>
      <c r="U32" s="52" t="s">
        <v>28</v>
      </c>
      <c r="V32" s="970" t="s">
        <v>745</v>
      </c>
      <c r="W32" s="861" t="s">
        <v>737</v>
      </c>
      <c r="X32" s="876"/>
      <c r="AA32" s="971" t="s">
        <v>291</v>
      </c>
      <c r="AB32" s="972" t="s">
        <v>206</v>
      </c>
      <c r="AC32" s="973" t="s">
        <v>15</v>
      </c>
      <c r="AD32" s="973" t="s">
        <v>205</v>
      </c>
      <c r="AE32" s="667" t="s">
        <v>21</v>
      </c>
      <c r="AF32" s="973" t="s">
        <v>204</v>
      </c>
      <c r="AG32" s="667" t="s">
        <v>22</v>
      </c>
      <c r="AH32" s="973" t="s">
        <v>203</v>
      </c>
      <c r="AI32" s="667" t="s">
        <v>563</v>
      </c>
      <c r="AJ32" s="973" t="s">
        <v>202</v>
      </c>
      <c r="AK32" s="667" t="s">
        <v>566</v>
      </c>
      <c r="AL32" s="973" t="s">
        <v>454</v>
      </c>
      <c r="AM32" s="667" t="s">
        <v>25</v>
      </c>
      <c r="AN32" s="667" t="s">
        <v>645</v>
      </c>
      <c r="AO32" s="667" t="s">
        <v>646</v>
      </c>
      <c r="AP32" s="973" t="s">
        <v>201</v>
      </c>
      <c r="AQ32" s="667" t="s">
        <v>26</v>
      </c>
      <c r="AR32" s="973" t="s">
        <v>200</v>
      </c>
      <c r="AS32" s="667" t="s">
        <v>27</v>
      </c>
      <c r="AT32" s="973" t="s">
        <v>199</v>
      </c>
      <c r="AU32" s="549" t="s">
        <v>23</v>
      </c>
      <c r="AV32" s="549" t="s">
        <v>745</v>
      </c>
      <c r="AW32" s="549" t="s">
        <v>24</v>
      </c>
    </row>
    <row r="33" spans="1:49" ht="12.75" x14ac:dyDescent="0.25">
      <c r="A33" s="51">
        <v>0</v>
      </c>
      <c r="B33" s="47">
        <v>0</v>
      </c>
      <c r="C33" s="38">
        <v>0</v>
      </c>
      <c r="D33" s="39">
        <v>0</v>
      </c>
      <c r="E33" s="40">
        <v>0</v>
      </c>
      <c r="F33" s="47">
        <v>0</v>
      </c>
      <c r="G33" s="38">
        <v>0</v>
      </c>
      <c r="H33" s="39">
        <v>0</v>
      </c>
      <c r="I33" s="40">
        <v>0</v>
      </c>
      <c r="J33" s="47">
        <v>0</v>
      </c>
      <c r="K33" s="38">
        <v>0</v>
      </c>
      <c r="L33" s="39">
        <v>0</v>
      </c>
      <c r="M33" s="40">
        <v>0</v>
      </c>
      <c r="N33" s="47">
        <v>0</v>
      </c>
      <c r="O33" s="38">
        <v>0</v>
      </c>
      <c r="P33" s="39">
        <v>0</v>
      </c>
      <c r="Q33" s="40">
        <v>0</v>
      </c>
      <c r="R33" s="47">
        <v>0</v>
      </c>
      <c r="S33" s="38">
        <v>0</v>
      </c>
      <c r="T33" s="39">
        <v>0</v>
      </c>
      <c r="U33" s="651">
        <v>0</v>
      </c>
      <c r="V33" s="47">
        <v>0</v>
      </c>
      <c r="W33" s="38">
        <v>0</v>
      </c>
      <c r="X33" s="876"/>
      <c r="AA33" s="13">
        <v>0</v>
      </c>
      <c r="AB33" s="644">
        <f t="shared" ref="AB33:AG33" si="40">B33</f>
        <v>0</v>
      </c>
      <c r="AC33" s="27">
        <f t="shared" si="40"/>
        <v>0</v>
      </c>
      <c r="AD33" s="544">
        <f t="shared" si="40"/>
        <v>0</v>
      </c>
      <c r="AE33" s="29">
        <f t="shared" si="40"/>
        <v>0</v>
      </c>
      <c r="AF33" s="545">
        <f t="shared" si="40"/>
        <v>0</v>
      </c>
      <c r="AG33" s="27">
        <f t="shared" si="40"/>
        <v>0</v>
      </c>
      <c r="AH33" s="544">
        <f>P33</f>
        <v>0</v>
      </c>
      <c r="AI33" s="29">
        <f>Q33</f>
        <v>0</v>
      </c>
      <c r="AJ33" s="545">
        <f>R33</f>
        <v>0</v>
      </c>
      <c r="AK33" s="27">
        <f>S33</f>
        <v>0</v>
      </c>
      <c r="AL33" s="544">
        <f t="shared" ref="AL33:AW33" si="41">L33</f>
        <v>0</v>
      </c>
      <c r="AM33" s="29">
        <f t="shared" si="41"/>
        <v>0</v>
      </c>
      <c r="AN33" s="545">
        <f t="shared" si="41"/>
        <v>0</v>
      </c>
      <c r="AO33" s="27">
        <f t="shared" si="41"/>
        <v>0</v>
      </c>
      <c r="AP33" s="544">
        <f t="shared" si="41"/>
        <v>0</v>
      </c>
      <c r="AQ33" s="29">
        <f t="shared" si="41"/>
        <v>0</v>
      </c>
      <c r="AR33" s="545">
        <f t="shared" si="41"/>
        <v>0</v>
      </c>
      <c r="AS33" s="27">
        <f t="shared" si="41"/>
        <v>0</v>
      </c>
      <c r="AT33" s="544">
        <f t="shared" si="41"/>
        <v>0</v>
      </c>
      <c r="AU33" s="29">
        <f t="shared" si="41"/>
        <v>0</v>
      </c>
      <c r="AV33" s="545">
        <f t="shared" si="41"/>
        <v>0</v>
      </c>
      <c r="AW33" s="27">
        <f t="shared" si="41"/>
        <v>0</v>
      </c>
    </row>
    <row r="34" spans="1:49" ht="12.75" x14ac:dyDescent="0.25">
      <c r="A34" s="7">
        <v>1</v>
      </c>
      <c r="B34" s="48">
        <v>0</v>
      </c>
      <c r="C34" s="5">
        <v>0</v>
      </c>
      <c r="D34" s="3">
        <v>2</v>
      </c>
      <c r="E34" s="36">
        <v>2</v>
      </c>
      <c r="F34" s="48">
        <v>0</v>
      </c>
      <c r="G34" s="5">
        <v>0</v>
      </c>
      <c r="H34" s="3">
        <v>0</v>
      </c>
      <c r="I34" s="36">
        <v>0</v>
      </c>
      <c r="J34" s="48">
        <v>0</v>
      </c>
      <c r="K34" s="5">
        <v>0</v>
      </c>
      <c r="L34" s="3">
        <v>0</v>
      </c>
      <c r="M34" s="36">
        <v>0</v>
      </c>
      <c r="N34" s="48">
        <v>0</v>
      </c>
      <c r="O34" s="5">
        <v>0</v>
      </c>
      <c r="P34" s="3">
        <v>0</v>
      </c>
      <c r="Q34" s="36">
        <v>0</v>
      </c>
      <c r="R34" s="48">
        <v>0</v>
      </c>
      <c r="S34" s="5">
        <v>0</v>
      </c>
      <c r="T34" s="3">
        <v>0</v>
      </c>
      <c r="U34" s="16">
        <v>0</v>
      </c>
      <c r="V34" s="48">
        <v>0</v>
      </c>
      <c r="W34" s="5">
        <v>0</v>
      </c>
      <c r="X34" s="876"/>
      <c r="AA34" s="12">
        <v>1</v>
      </c>
      <c r="AB34" s="67">
        <f t="shared" ref="AB34:AB44" si="42">B34-B33</f>
        <v>0</v>
      </c>
      <c r="AC34" s="64">
        <f t="shared" ref="AC34:AC44" si="43">C34-C33</f>
        <v>0</v>
      </c>
      <c r="AD34" s="65">
        <f t="shared" ref="AD34:AD44" si="44">D34-D33</f>
        <v>2</v>
      </c>
      <c r="AE34" s="66">
        <f t="shared" ref="AE34:AE44" si="45">E34-E33</f>
        <v>2</v>
      </c>
      <c r="AF34" s="63">
        <f t="shared" ref="AF34:AF44" si="46">F34-F33</f>
        <v>0</v>
      </c>
      <c r="AG34" s="64">
        <f t="shared" ref="AG34:AG44" si="47">G34-G33</f>
        <v>0</v>
      </c>
      <c r="AH34" s="65">
        <f t="shared" ref="AH34:AH44" si="48">P34-P33</f>
        <v>0</v>
      </c>
      <c r="AI34" s="66">
        <f t="shared" ref="AI34:AI44" si="49">Q34-Q33</f>
        <v>0</v>
      </c>
      <c r="AJ34" s="63">
        <f t="shared" ref="AJ34:AJ44" si="50">R34-R33</f>
        <v>0</v>
      </c>
      <c r="AK34" s="64">
        <f t="shared" ref="AK34:AK44" si="51">S34-S33</f>
        <v>0</v>
      </c>
      <c r="AL34" s="65">
        <f t="shared" ref="AL34:AL44" si="52">L34-L33</f>
        <v>0</v>
      </c>
      <c r="AM34" s="66">
        <f t="shared" ref="AM34:AM44" si="53">M34-M33</f>
        <v>0</v>
      </c>
      <c r="AN34" s="63">
        <f t="shared" ref="AN34:AN44" si="54">N34-N33</f>
        <v>0</v>
      </c>
      <c r="AO34" s="64">
        <f t="shared" ref="AO34:AO44" si="55">O34-O33</f>
        <v>0</v>
      </c>
      <c r="AP34" s="65">
        <f t="shared" ref="AP34:AP44" si="56">P34-P33</f>
        <v>0</v>
      </c>
      <c r="AQ34" s="66">
        <f t="shared" ref="AQ34:AQ44" si="57">Q34-Q33</f>
        <v>0</v>
      </c>
      <c r="AR34" s="63">
        <f t="shared" ref="AR34:AR44" si="58">R34-R33</f>
        <v>0</v>
      </c>
      <c r="AS34" s="64">
        <f t="shared" ref="AS34:AS44" si="59">S34-S33</f>
        <v>0</v>
      </c>
      <c r="AT34" s="65">
        <f t="shared" ref="AT34:AT44" si="60">T34-T33</f>
        <v>0</v>
      </c>
      <c r="AU34" s="65">
        <f t="shared" ref="AU34:AU44" si="61">U34-U33</f>
        <v>0</v>
      </c>
      <c r="AV34" s="63">
        <f t="shared" ref="AV34:AV44" si="62">V34-V33</f>
        <v>0</v>
      </c>
      <c r="AW34" s="64">
        <f t="shared" ref="AW34:AW44" si="63">W34-W33</f>
        <v>0</v>
      </c>
    </row>
    <row r="35" spans="1:49" ht="12.75" x14ac:dyDescent="0.25">
      <c r="A35" s="7">
        <v>2</v>
      </c>
      <c r="B35" s="49">
        <v>25</v>
      </c>
      <c r="C35" s="6">
        <v>2</v>
      </c>
      <c r="D35" s="4">
        <v>2</v>
      </c>
      <c r="E35" s="34">
        <v>3</v>
      </c>
      <c r="F35" s="49">
        <v>1</v>
      </c>
      <c r="G35" s="6">
        <v>2</v>
      </c>
      <c r="H35" s="4">
        <v>0</v>
      </c>
      <c r="I35" s="34">
        <v>0</v>
      </c>
      <c r="J35" s="49">
        <v>0</v>
      </c>
      <c r="K35" s="6">
        <v>0</v>
      </c>
      <c r="L35" s="4">
        <v>0</v>
      </c>
      <c r="M35" s="34">
        <v>0</v>
      </c>
      <c r="N35" s="49">
        <v>0</v>
      </c>
      <c r="O35" s="6">
        <v>0</v>
      </c>
      <c r="P35" s="4">
        <v>0</v>
      </c>
      <c r="Q35" s="34">
        <v>0</v>
      </c>
      <c r="R35" s="49">
        <v>0</v>
      </c>
      <c r="S35" s="6">
        <v>0</v>
      </c>
      <c r="T35" s="4">
        <v>0</v>
      </c>
      <c r="U35" s="15">
        <v>0</v>
      </c>
      <c r="V35" s="49">
        <v>0</v>
      </c>
      <c r="W35" s="6">
        <v>0</v>
      </c>
      <c r="X35" s="876"/>
      <c r="AA35" s="13">
        <v>2</v>
      </c>
      <c r="AB35" s="67">
        <f t="shared" si="42"/>
        <v>25</v>
      </c>
      <c r="AC35" s="64">
        <f t="shared" si="43"/>
        <v>2</v>
      </c>
      <c r="AD35" s="65">
        <f t="shared" si="44"/>
        <v>0</v>
      </c>
      <c r="AE35" s="66">
        <f t="shared" si="45"/>
        <v>1</v>
      </c>
      <c r="AF35" s="63">
        <f t="shared" si="46"/>
        <v>1</v>
      </c>
      <c r="AG35" s="64">
        <f t="shared" si="47"/>
        <v>2</v>
      </c>
      <c r="AH35" s="65">
        <f t="shared" si="48"/>
        <v>0</v>
      </c>
      <c r="AI35" s="66">
        <f t="shared" si="49"/>
        <v>0</v>
      </c>
      <c r="AJ35" s="63">
        <f t="shared" si="50"/>
        <v>0</v>
      </c>
      <c r="AK35" s="64">
        <f t="shared" si="51"/>
        <v>0</v>
      </c>
      <c r="AL35" s="65">
        <f t="shared" si="52"/>
        <v>0</v>
      </c>
      <c r="AM35" s="66">
        <f t="shared" si="53"/>
        <v>0</v>
      </c>
      <c r="AN35" s="63">
        <f t="shared" si="54"/>
        <v>0</v>
      </c>
      <c r="AO35" s="64">
        <f t="shared" si="55"/>
        <v>0</v>
      </c>
      <c r="AP35" s="65">
        <f t="shared" si="56"/>
        <v>0</v>
      </c>
      <c r="AQ35" s="66">
        <f t="shared" si="57"/>
        <v>0</v>
      </c>
      <c r="AR35" s="63">
        <f t="shared" si="58"/>
        <v>0</v>
      </c>
      <c r="AS35" s="64">
        <f t="shared" si="59"/>
        <v>0</v>
      </c>
      <c r="AT35" s="65">
        <f t="shared" si="60"/>
        <v>0</v>
      </c>
      <c r="AU35" s="66">
        <f t="shared" si="61"/>
        <v>0</v>
      </c>
      <c r="AV35" s="63">
        <f t="shared" si="62"/>
        <v>0</v>
      </c>
      <c r="AW35" s="64">
        <f t="shared" si="63"/>
        <v>0</v>
      </c>
    </row>
    <row r="36" spans="1:49" ht="12.75" x14ac:dyDescent="0.25">
      <c r="A36" s="7">
        <v>3</v>
      </c>
      <c r="B36" s="48">
        <v>50</v>
      </c>
      <c r="C36" s="5">
        <v>3</v>
      </c>
      <c r="D36" s="3">
        <v>2</v>
      </c>
      <c r="E36" s="36">
        <v>4</v>
      </c>
      <c r="F36" s="48">
        <v>1</v>
      </c>
      <c r="G36" s="5">
        <v>3</v>
      </c>
      <c r="H36" s="3">
        <v>1</v>
      </c>
      <c r="I36" s="36">
        <v>1</v>
      </c>
      <c r="J36" s="48">
        <v>0</v>
      </c>
      <c r="K36" s="5">
        <v>0</v>
      </c>
      <c r="L36" s="3">
        <v>0</v>
      </c>
      <c r="M36" s="36">
        <v>0</v>
      </c>
      <c r="N36" s="48">
        <v>0</v>
      </c>
      <c r="O36" s="5">
        <v>0</v>
      </c>
      <c r="P36" s="3">
        <v>0</v>
      </c>
      <c r="Q36" s="36">
        <v>0</v>
      </c>
      <c r="R36" s="48">
        <v>0</v>
      </c>
      <c r="S36" s="5">
        <v>0</v>
      </c>
      <c r="T36" s="3">
        <v>0</v>
      </c>
      <c r="U36" s="16">
        <v>0</v>
      </c>
      <c r="V36" s="48">
        <v>0</v>
      </c>
      <c r="W36" s="5">
        <v>0</v>
      </c>
      <c r="X36" s="876"/>
      <c r="AA36" s="13">
        <v>3</v>
      </c>
      <c r="AB36" s="67">
        <f t="shared" si="42"/>
        <v>25</v>
      </c>
      <c r="AC36" s="64">
        <f t="shared" si="43"/>
        <v>1</v>
      </c>
      <c r="AD36" s="65">
        <f t="shared" si="44"/>
        <v>0</v>
      </c>
      <c r="AE36" s="66">
        <f t="shared" si="45"/>
        <v>1</v>
      </c>
      <c r="AF36" s="63">
        <f t="shared" si="46"/>
        <v>0</v>
      </c>
      <c r="AG36" s="64">
        <f t="shared" si="47"/>
        <v>1</v>
      </c>
      <c r="AH36" s="65">
        <f t="shared" si="48"/>
        <v>0</v>
      </c>
      <c r="AI36" s="66">
        <f t="shared" si="49"/>
        <v>0</v>
      </c>
      <c r="AJ36" s="63">
        <f t="shared" si="50"/>
        <v>0</v>
      </c>
      <c r="AK36" s="64">
        <f t="shared" si="51"/>
        <v>0</v>
      </c>
      <c r="AL36" s="65">
        <f t="shared" si="52"/>
        <v>0</v>
      </c>
      <c r="AM36" s="66">
        <f t="shared" si="53"/>
        <v>0</v>
      </c>
      <c r="AN36" s="63">
        <f t="shared" si="54"/>
        <v>0</v>
      </c>
      <c r="AO36" s="64">
        <f t="shared" si="55"/>
        <v>0</v>
      </c>
      <c r="AP36" s="65">
        <f t="shared" si="56"/>
        <v>0</v>
      </c>
      <c r="AQ36" s="66">
        <f t="shared" si="57"/>
        <v>0</v>
      </c>
      <c r="AR36" s="63">
        <f t="shared" si="58"/>
        <v>0</v>
      </c>
      <c r="AS36" s="64">
        <f t="shared" si="59"/>
        <v>0</v>
      </c>
      <c r="AT36" s="65">
        <f t="shared" si="60"/>
        <v>0</v>
      </c>
      <c r="AU36" s="66">
        <f t="shared" si="61"/>
        <v>0</v>
      </c>
      <c r="AV36" s="63">
        <f t="shared" si="62"/>
        <v>0</v>
      </c>
      <c r="AW36" s="64">
        <f t="shared" si="63"/>
        <v>0</v>
      </c>
    </row>
    <row r="37" spans="1:49" ht="12.75" x14ac:dyDescent="0.25">
      <c r="A37" s="7">
        <v>4</v>
      </c>
      <c r="B37" s="49">
        <v>75</v>
      </c>
      <c r="C37" s="6">
        <v>4</v>
      </c>
      <c r="D37" s="4">
        <v>2</v>
      </c>
      <c r="E37" s="34">
        <v>5</v>
      </c>
      <c r="F37" s="49">
        <v>2</v>
      </c>
      <c r="G37" s="6">
        <v>4</v>
      </c>
      <c r="H37" s="4">
        <v>1</v>
      </c>
      <c r="I37" s="34">
        <v>2</v>
      </c>
      <c r="J37" s="49">
        <v>1</v>
      </c>
      <c r="K37" s="6">
        <v>2</v>
      </c>
      <c r="L37" s="4">
        <v>0</v>
      </c>
      <c r="M37" s="34">
        <v>0</v>
      </c>
      <c r="N37" s="49">
        <v>0</v>
      </c>
      <c r="O37" s="6">
        <v>0</v>
      </c>
      <c r="P37" s="4">
        <v>0</v>
      </c>
      <c r="Q37" s="34">
        <v>0</v>
      </c>
      <c r="R37" s="49">
        <v>0</v>
      </c>
      <c r="S37" s="6">
        <v>0</v>
      </c>
      <c r="T37" s="4">
        <v>0</v>
      </c>
      <c r="U37" s="15">
        <v>0</v>
      </c>
      <c r="V37" s="49">
        <v>0</v>
      </c>
      <c r="W37" s="6">
        <v>0</v>
      </c>
      <c r="X37" s="876"/>
      <c r="AA37" s="13">
        <v>4</v>
      </c>
      <c r="AB37" s="67">
        <f t="shared" si="42"/>
        <v>25</v>
      </c>
      <c r="AC37" s="64">
        <f t="shared" si="43"/>
        <v>1</v>
      </c>
      <c r="AD37" s="65">
        <f t="shared" si="44"/>
        <v>0</v>
      </c>
      <c r="AE37" s="66">
        <f t="shared" si="45"/>
        <v>1</v>
      </c>
      <c r="AF37" s="63">
        <f t="shared" si="46"/>
        <v>1</v>
      </c>
      <c r="AG37" s="64">
        <f t="shared" si="47"/>
        <v>1</v>
      </c>
      <c r="AH37" s="65">
        <f t="shared" si="48"/>
        <v>0</v>
      </c>
      <c r="AI37" s="66">
        <f t="shared" si="49"/>
        <v>0</v>
      </c>
      <c r="AJ37" s="63">
        <f t="shared" si="50"/>
        <v>0</v>
      </c>
      <c r="AK37" s="64">
        <f t="shared" si="51"/>
        <v>0</v>
      </c>
      <c r="AL37" s="65">
        <f t="shared" si="52"/>
        <v>0</v>
      </c>
      <c r="AM37" s="66">
        <f t="shared" si="53"/>
        <v>0</v>
      </c>
      <c r="AN37" s="63">
        <f t="shared" si="54"/>
        <v>0</v>
      </c>
      <c r="AO37" s="64">
        <f t="shared" si="55"/>
        <v>0</v>
      </c>
      <c r="AP37" s="65">
        <f t="shared" si="56"/>
        <v>0</v>
      </c>
      <c r="AQ37" s="66">
        <f t="shared" si="57"/>
        <v>0</v>
      </c>
      <c r="AR37" s="63">
        <f t="shared" si="58"/>
        <v>0</v>
      </c>
      <c r="AS37" s="64">
        <f t="shared" si="59"/>
        <v>0</v>
      </c>
      <c r="AT37" s="65">
        <f t="shared" si="60"/>
        <v>0</v>
      </c>
      <c r="AU37" s="66">
        <f t="shared" si="61"/>
        <v>0</v>
      </c>
      <c r="AV37" s="63">
        <f t="shared" si="62"/>
        <v>0</v>
      </c>
      <c r="AW37" s="64">
        <f t="shared" si="63"/>
        <v>0</v>
      </c>
    </row>
    <row r="38" spans="1:49" ht="12.75" x14ac:dyDescent="0.25">
      <c r="A38" s="7">
        <v>5</v>
      </c>
      <c r="B38" s="48">
        <v>100</v>
      </c>
      <c r="C38" s="5">
        <v>5</v>
      </c>
      <c r="D38" s="3">
        <v>3</v>
      </c>
      <c r="E38" s="36">
        <v>6</v>
      </c>
      <c r="F38" s="48">
        <v>3</v>
      </c>
      <c r="G38" s="5">
        <v>6</v>
      </c>
      <c r="H38" s="3">
        <v>1</v>
      </c>
      <c r="I38" s="36">
        <v>3</v>
      </c>
      <c r="J38" s="48">
        <v>1</v>
      </c>
      <c r="K38" s="5">
        <v>3</v>
      </c>
      <c r="L38" s="3">
        <v>1</v>
      </c>
      <c r="M38" s="36">
        <v>2</v>
      </c>
      <c r="N38" s="48">
        <v>0</v>
      </c>
      <c r="O38" s="5">
        <v>0</v>
      </c>
      <c r="P38" s="3">
        <v>0</v>
      </c>
      <c r="Q38" s="36">
        <v>0</v>
      </c>
      <c r="R38" s="48">
        <v>0</v>
      </c>
      <c r="S38" s="5">
        <v>0</v>
      </c>
      <c r="T38" s="3">
        <v>0</v>
      </c>
      <c r="U38" s="16">
        <v>0</v>
      </c>
      <c r="V38" s="48">
        <v>0</v>
      </c>
      <c r="W38" s="5">
        <v>0</v>
      </c>
      <c r="X38" s="876"/>
      <c r="AA38" s="13">
        <v>5</v>
      </c>
      <c r="AB38" s="67">
        <f t="shared" si="42"/>
        <v>25</v>
      </c>
      <c r="AC38" s="64">
        <f t="shared" si="43"/>
        <v>1</v>
      </c>
      <c r="AD38" s="65">
        <f t="shared" si="44"/>
        <v>1</v>
      </c>
      <c r="AE38" s="66">
        <f t="shared" si="45"/>
        <v>1</v>
      </c>
      <c r="AF38" s="63">
        <f t="shared" si="46"/>
        <v>1</v>
      </c>
      <c r="AG38" s="64">
        <f t="shared" si="47"/>
        <v>2</v>
      </c>
      <c r="AH38" s="65">
        <f t="shared" si="48"/>
        <v>0</v>
      </c>
      <c r="AI38" s="66">
        <f t="shared" si="49"/>
        <v>0</v>
      </c>
      <c r="AJ38" s="63">
        <f t="shared" si="50"/>
        <v>0</v>
      </c>
      <c r="AK38" s="64">
        <f t="shared" si="51"/>
        <v>0</v>
      </c>
      <c r="AL38" s="65">
        <f t="shared" si="52"/>
        <v>1</v>
      </c>
      <c r="AM38" s="66">
        <f t="shared" si="53"/>
        <v>2</v>
      </c>
      <c r="AN38" s="63">
        <f t="shared" si="54"/>
        <v>0</v>
      </c>
      <c r="AO38" s="64">
        <f t="shared" si="55"/>
        <v>0</v>
      </c>
      <c r="AP38" s="65">
        <f t="shared" si="56"/>
        <v>0</v>
      </c>
      <c r="AQ38" s="66">
        <f t="shared" si="57"/>
        <v>0</v>
      </c>
      <c r="AR38" s="63">
        <f t="shared" si="58"/>
        <v>0</v>
      </c>
      <c r="AS38" s="64">
        <f t="shared" si="59"/>
        <v>0</v>
      </c>
      <c r="AT38" s="65">
        <f t="shared" si="60"/>
        <v>0</v>
      </c>
      <c r="AU38" s="66">
        <f t="shared" si="61"/>
        <v>0</v>
      </c>
      <c r="AV38" s="63">
        <f t="shared" si="62"/>
        <v>0</v>
      </c>
      <c r="AW38" s="64">
        <f t="shared" si="63"/>
        <v>0</v>
      </c>
    </row>
    <row r="39" spans="1:49" ht="12.75" x14ac:dyDescent="0.25">
      <c r="A39" s="7">
        <v>6</v>
      </c>
      <c r="B39" s="49">
        <v>125</v>
      </c>
      <c r="C39" s="6">
        <v>6</v>
      </c>
      <c r="D39" s="4">
        <v>3</v>
      </c>
      <c r="E39" s="34">
        <v>7</v>
      </c>
      <c r="F39" s="49">
        <v>3</v>
      </c>
      <c r="G39" s="6">
        <v>7</v>
      </c>
      <c r="H39" s="4">
        <v>2</v>
      </c>
      <c r="I39" s="34">
        <v>4</v>
      </c>
      <c r="J39" s="49">
        <v>2</v>
      </c>
      <c r="K39" s="6">
        <v>4</v>
      </c>
      <c r="L39" s="4">
        <v>2</v>
      </c>
      <c r="M39" s="34">
        <v>3</v>
      </c>
      <c r="N39" s="49">
        <v>1</v>
      </c>
      <c r="O39" s="6">
        <v>2</v>
      </c>
      <c r="P39" s="4">
        <v>0</v>
      </c>
      <c r="Q39" s="34">
        <v>0</v>
      </c>
      <c r="R39" s="49">
        <v>0</v>
      </c>
      <c r="S39" s="6">
        <v>0</v>
      </c>
      <c r="T39" s="4">
        <v>0</v>
      </c>
      <c r="U39" s="15">
        <v>0</v>
      </c>
      <c r="V39" s="49">
        <v>0</v>
      </c>
      <c r="W39" s="6">
        <v>0</v>
      </c>
      <c r="X39" s="876"/>
      <c r="AA39" s="13">
        <v>6</v>
      </c>
      <c r="AB39" s="67">
        <f t="shared" si="42"/>
        <v>25</v>
      </c>
      <c r="AC39" s="64">
        <f t="shared" si="43"/>
        <v>1</v>
      </c>
      <c r="AD39" s="65">
        <f t="shared" si="44"/>
        <v>0</v>
      </c>
      <c r="AE39" s="66">
        <f t="shared" si="45"/>
        <v>1</v>
      </c>
      <c r="AF39" s="63">
        <f t="shared" si="46"/>
        <v>0</v>
      </c>
      <c r="AG39" s="64">
        <f t="shared" si="47"/>
        <v>1</v>
      </c>
      <c r="AH39" s="65">
        <f t="shared" si="48"/>
        <v>0</v>
      </c>
      <c r="AI39" s="66">
        <f t="shared" si="49"/>
        <v>0</v>
      </c>
      <c r="AJ39" s="63">
        <f t="shared" si="50"/>
        <v>0</v>
      </c>
      <c r="AK39" s="64">
        <f t="shared" si="51"/>
        <v>0</v>
      </c>
      <c r="AL39" s="65">
        <f t="shared" si="52"/>
        <v>1</v>
      </c>
      <c r="AM39" s="66">
        <f t="shared" si="53"/>
        <v>1</v>
      </c>
      <c r="AN39" s="63">
        <f t="shared" si="54"/>
        <v>1</v>
      </c>
      <c r="AO39" s="64">
        <f t="shared" si="55"/>
        <v>2</v>
      </c>
      <c r="AP39" s="65">
        <f t="shared" si="56"/>
        <v>0</v>
      </c>
      <c r="AQ39" s="66">
        <f t="shared" si="57"/>
        <v>0</v>
      </c>
      <c r="AR39" s="63">
        <f t="shared" si="58"/>
        <v>0</v>
      </c>
      <c r="AS39" s="64">
        <f t="shared" si="59"/>
        <v>0</v>
      </c>
      <c r="AT39" s="65">
        <f t="shared" si="60"/>
        <v>0</v>
      </c>
      <c r="AU39" s="66">
        <f t="shared" si="61"/>
        <v>0</v>
      </c>
      <c r="AV39" s="63">
        <f t="shared" si="62"/>
        <v>0</v>
      </c>
      <c r="AW39" s="64">
        <f t="shared" si="63"/>
        <v>0</v>
      </c>
    </row>
    <row r="40" spans="1:49" ht="12.75" x14ac:dyDescent="0.25">
      <c r="A40" s="7">
        <v>7</v>
      </c>
      <c r="B40" s="48">
        <v>175</v>
      </c>
      <c r="C40" s="5">
        <v>7</v>
      </c>
      <c r="D40" s="3">
        <v>5</v>
      </c>
      <c r="E40" s="36">
        <v>8</v>
      </c>
      <c r="F40" s="48">
        <v>4</v>
      </c>
      <c r="G40" s="5">
        <v>8</v>
      </c>
      <c r="H40" s="3">
        <v>3</v>
      </c>
      <c r="I40" s="36">
        <v>5</v>
      </c>
      <c r="J40" s="48">
        <v>3</v>
      </c>
      <c r="K40" s="5">
        <v>5</v>
      </c>
      <c r="L40" s="3">
        <v>2</v>
      </c>
      <c r="M40" s="36">
        <v>4</v>
      </c>
      <c r="N40" s="48">
        <v>1</v>
      </c>
      <c r="O40" s="5">
        <v>3</v>
      </c>
      <c r="P40" s="3">
        <v>2</v>
      </c>
      <c r="Q40" s="36">
        <v>3</v>
      </c>
      <c r="R40" s="48">
        <v>0</v>
      </c>
      <c r="S40" s="5">
        <v>0</v>
      </c>
      <c r="T40" s="3">
        <v>0</v>
      </c>
      <c r="U40" s="16">
        <v>0</v>
      </c>
      <c r="V40" s="48">
        <v>0</v>
      </c>
      <c r="W40" s="5">
        <v>0</v>
      </c>
      <c r="X40" s="876"/>
      <c r="AA40" s="13">
        <v>7</v>
      </c>
      <c r="AB40" s="67">
        <f t="shared" si="42"/>
        <v>50</v>
      </c>
      <c r="AC40" s="64">
        <f t="shared" si="43"/>
        <v>1</v>
      </c>
      <c r="AD40" s="65">
        <f t="shared" si="44"/>
        <v>2</v>
      </c>
      <c r="AE40" s="66">
        <f t="shared" si="45"/>
        <v>1</v>
      </c>
      <c r="AF40" s="63">
        <f t="shared" si="46"/>
        <v>1</v>
      </c>
      <c r="AG40" s="64">
        <f t="shared" si="47"/>
        <v>1</v>
      </c>
      <c r="AH40" s="65">
        <f t="shared" si="48"/>
        <v>2</v>
      </c>
      <c r="AI40" s="66">
        <f t="shared" si="49"/>
        <v>3</v>
      </c>
      <c r="AJ40" s="63">
        <f t="shared" si="50"/>
        <v>0</v>
      </c>
      <c r="AK40" s="64">
        <f t="shared" si="51"/>
        <v>0</v>
      </c>
      <c r="AL40" s="65">
        <f t="shared" si="52"/>
        <v>0</v>
      </c>
      <c r="AM40" s="66">
        <f t="shared" si="53"/>
        <v>1</v>
      </c>
      <c r="AN40" s="63">
        <f t="shared" si="54"/>
        <v>0</v>
      </c>
      <c r="AO40" s="64">
        <f t="shared" si="55"/>
        <v>1</v>
      </c>
      <c r="AP40" s="65">
        <f t="shared" si="56"/>
        <v>2</v>
      </c>
      <c r="AQ40" s="66">
        <f t="shared" si="57"/>
        <v>3</v>
      </c>
      <c r="AR40" s="63">
        <f t="shared" si="58"/>
        <v>0</v>
      </c>
      <c r="AS40" s="64">
        <f t="shared" si="59"/>
        <v>0</v>
      </c>
      <c r="AT40" s="65">
        <f t="shared" si="60"/>
        <v>0</v>
      </c>
      <c r="AU40" s="66">
        <f t="shared" si="61"/>
        <v>0</v>
      </c>
      <c r="AV40" s="63">
        <f t="shared" si="62"/>
        <v>0</v>
      </c>
      <c r="AW40" s="64">
        <f t="shared" si="63"/>
        <v>0</v>
      </c>
    </row>
    <row r="41" spans="1:49" ht="12.75" x14ac:dyDescent="0.25">
      <c r="A41" s="7">
        <v>8</v>
      </c>
      <c r="B41" s="49">
        <v>225</v>
      </c>
      <c r="C41" s="6">
        <v>8</v>
      </c>
      <c r="D41" s="4">
        <v>5</v>
      </c>
      <c r="E41" s="34">
        <v>10</v>
      </c>
      <c r="F41" s="49">
        <v>5</v>
      </c>
      <c r="G41" s="6">
        <v>10</v>
      </c>
      <c r="H41" s="4">
        <v>4</v>
      </c>
      <c r="I41" s="34">
        <v>6</v>
      </c>
      <c r="J41" s="49">
        <v>3</v>
      </c>
      <c r="K41" s="6">
        <v>6</v>
      </c>
      <c r="L41" s="4">
        <v>3</v>
      </c>
      <c r="M41" s="34">
        <v>6</v>
      </c>
      <c r="N41" s="49">
        <v>1</v>
      </c>
      <c r="O41" s="6">
        <v>4</v>
      </c>
      <c r="P41" s="4">
        <v>3</v>
      </c>
      <c r="Q41" s="34">
        <v>6</v>
      </c>
      <c r="R41" s="49">
        <v>0</v>
      </c>
      <c r="S41" s="6">
        <v>0</v>
      </c>
      <c r="T41" s="4">
        <v>0</v>
      </c>
      <c r="U41" s="15">
        <v>0</v>
      </c>
      <c r="V41" s="49">
        <v>0</v>
      </c>
      <c r="W41" s="6">
        <v>0</v>
      </c>
      <c r="X41" s="876"/>
      <c r="AA41" s="13">
        <v>8</v>
      </c>
      <c r="AB41" s="67">
        <f t="shared" si="42"/>
        <v>50</v>
      </c>
      <c r="AC41" s="64">
        <f t="shared" si="43"/>
        <v>1</v>
      </c>
      <c r="AD41" s="65">
        <f t="shared" si="44"/>
        <v>0</v>
      </c>
      <c r="AE41" s="66">
        <f t="shared" si="45"/>
        <v>2</v>
      </c>
      <c r="AF41" s="63">
        <f t="shared" si="46"/>
        <v>1</v>
      </c>
      <c r="AG41" s="64">
        <f t="shared" si="47"/>
        <v>2</v>
      </c>
      <c r="AH41" s="65">
        <f t="shared" si="48"/>
        <v>1</v>
      </c>
      <c r="AI41" s="66">
        <f t="shared" si="49"/>
        <v>3</v>
      </c>
      <c r="AJ41" s="63">
        <f t="shared" si="50"/>
        <v>0</v>
      </c>
      <c r="AK41" s="64">
        <f t="shared" si="51"/>
        <v>0</v>
      </c>
      <c r="AL41" s="65">
        <f t="shared" si="52"/>
        <v>1</v>
      </c>
      <c r="AM41" s="66">
        <f t="shared" si="53"/>
        <v>2</v>
      </c>
      <c r="AN41" s="63">
        <f t="shared" si="54"/>
        <v>0</v>
      </c>
      <c r="AO41" s="64">
        <f t="shared" si="55"/>
        <v>1</v>
      </c>
      <c r="AP41" s="65">
        <f t="shared" si="56"/>
        <v>1</v>
      </c>
      <c r="AQ41" s="66">
        <f t="shared" si="57"/>
        <v>3</v>
      </c>
      <c r="AR41" s="63">
        <f t="shared" si="58"/>
        <v>0</v>
      </c>
      <c r="AS41" s="64">
        <f t="shared" si="59"/>
        <v>0</v>
      </c>
      <c r="AT41" s="65">
        <f t="shared" si="60"/>
        <v>0</v>
      </c>
      <c r="AU41" s="66">
        <f t="shared" si="61"/>
        <v>0</v>
      </c>
      <c r="AV41" s="63">
        <f t="shared" si="62"/>
        <v>0</v>
      </c>
      <c r="AW41" s="64">
        <f t="shared" si="63"/>
        <v>0</v>
      </c>
    </row>
    <row r="42" spans="1:49" ht="12.75" x14ac:dyDescent="0.25">
      <c r="A42" s="7">
        <v>9</v>
      </c>
      <c r="B42" s="48">
        <v>250</v>
      </c>
      <c r="C42" s="5">
        <v>10</v>
      </c>
      <c r="D42" s="3">
        <v>5</v>
      </c>
      <c r="E42" s="36">
        <v>11</v>
      </c>
      <c r="F42" s="48">
        <v>6</v>
      </c>
      <c r="G42" s="5">
        <v>11</v>
      </c>
      <c r="H42" s="3">
        <v>4</v>
      </c>
      <c r="I42" s="36">
        <v>7</v>
      </c>
      <c r="J42" s="48">
        <v>4</v>
      </c>
      <c r="K42" s="5">
        <v>7</v>
      </c>
      <c r="L42" s="3">
        <v>4</v>
      </c>
      <c r="M42" s="36">
        <v>7</v>
      </c>
      <c r="N42" s="48">
        <v>2</v>
      </c>
      <c r="O42" s="5">
        <v>5</v>
      </c>
      <c r="P42" s="3">
        <v>4</v>
      </c>
      <c r="Q42" s="36">
        <v>7</v>
      </c>
      <c r="R42" s="48">
        <v>2</v>
      </c>
      <c r="S42" s="5">
        <v>3</v>
      </c>
      <c r="T42" s="3">
        <v>0</v>
      </c>
      <c r="U42" s="16">
        <v>0</v>
      </c>
      <c r="V42" s="48">
        <v>0</v>
      </c>
      <c r="W42" s="5">
        <v>0</v>
      </c>
      <c r="X42" s="876"/>
      <c r="AA42" s="13">
        <v>9</v>
      </c>
      <c r="AB42" s="67">
        <f t="shared" si="42"/>
        <v>25</v>
      </c>
      <c r="AC42" s="64">
        <f t="shared" si="43"/>
        <v>2</v>
      </c>
      <c r="AD42" s="65">
        <f t="shared" si="44"/>
        <v>0</v>
      </c>
      <c r="AE42" s="66">
        <f t="shared" si="45"/>
        <v>1</v>
      </c>
      <c r="AF42" s="63">
        <f t="shared" si="46"/>
        <v>1</v>
      </c>
      <c r="AG42" s="64">
        <f t="shared" si="47"/>
        <v>1</v>
      </c>
      <c r="AH42" s="65">
        <f t="shared" si="48"/>
        <v>1</v>
      </c>
      <c r="AI42" s="66">
        <f t="shared" si="49"/>
        <v>1</v>
      </c>
      <c r="AJ42" s="63">
        <f t="shared" si="50"/>
        <v>2</v>
      </c>
      <c r="AK42" s="64">
        <f t="shared" si="51"/>
        <v>3</v>
      </c>
      <c r="AL42" s="65">
        <f t="shared" si="52"/>
        <v>1</v>
      </c>
      <c r="AM42" s="66">
        <f t="shared" si="53"/>
        <v>1</v>
      </c>
      <c r="AN42" s="63">
        <f t="shared" si="54"/>
        <v>1</v>
      </c>
      <c r="AO42" s="64">
        <f t="shared" si="55"/>
        <v>1</v>
      </c>
      <c r="AP42" s="65">
        <f t="shared" si="56"/>
        <v>1</v>
      </c>
      <c r="AQ42" s="66">
        <f t="shared" si="57"/>
        <v>1</v>
      </c>
      <c r="AR42" s="63">
        <f t="shared" si="58"/>
        <v>2</v>
      </c>
      <c r="AS42" s="64">
        <f t="shared" si="59"/>
        <v>3</v>
      </c>
      <c r="AT42" s="65">
        <f t="shared" si="60"/>
        <v>0</v>
      </c>
      <c r="AU42" s="66">
        <f t="shared" si="61"/>
        <v>0</v>
      </c>
      <c r="AV42" s="63">
        <f t="shared" si="62"/>
        <v>0</v>
      </c>
      <c r="AW42" s="64">
        <f t="shared" si="63"/>
        <v>0</v>
      </c>
    </row>
    <row r="43" spans="1:49" ht="12.75" x14ac:dyDescent="0.25">
      <c r="A43" s="7">
        <v>10</v>
      </c>
      <c r="B43" s="49">
        <v>275</v>
      </c>
      <c r="C43" s="6">
        <v>11</v>
      </c>
      <c r="D43" s="4">
        <v>6</v>
      </c>
      <c r="E43" s="34">
        <v>13</v>
      </c>
      <c r="F43" s="49">
        <v>7</v>
      </c>
      <c r="G43" s="6">
        <v>13</v>
      </c>
      <c r="H43" s="4">
        <v>4</v>
      </c>
      <c r="I43" s="34">
        <v>8</v>
      </c>
      <c r="J43" s="49">
        <v>4</v>
      </c>
      <c r="K43" s="6">
        <v>8</v>
      </c>
      <c r="L43" s="4">
        <v>4</v>
      </c>
      <c r="M43" s="34">
        <v>8</v>
      </c>
      <c r="N43" s="49">
        <v>2</v>
      </c>
      <c r="O43" s="6">
        <v>6</v>
      </c>
      <c r="P43" s="4">
        <v>4</v>
      </c>
      <c r="Q43" s="34">
        <v>8</v>
      </c>
      <c r="R43" s="49">
        <v>3</v>
      </c>
      <c r="S43" s="6">
        <v>4</v>
      </c>
      <c r="T43" s="4">
        <v>2</v>
      </c>
      <c r="U43" s="15">
        <v>3</v>
      </c>
      <c r="V43" s="49">
        <v>0</v>
      </c>
      <c r="W43" s="6">
        <v>0</v>
      </c>
      <c r="X43" s="876"/>
      <c r="AA43" s="13">
        <v>10</v>
      </c>
      <c r="AB43" s="67">
        <f t="shared" si="42"/>
        <v>25</v>
      </c>
      <c r="AC43" s="64">
        <f t="shared" si="43"/>
        <v>1</v>
      </c>
      <c r="AD43" s="65">
        <f t="shared" si="44"/>
        <v>1</v>
      </c>
      <c r="AE43" s="66">
        <f t="shared" si="45"/>
        <v>2</v>
      </c>
      <c r="AF43" s="63">
        <f t="shared" si="46"/>
        <v>1</v>
      </c>
      <c r="AG43" s="64">
        <f t="shared" si="47"/>
        <v>2</v>
      </c>
      <c r="AH43" s="65">
        <f t="shared" si="48"/>
        <v>0</v>
      </c>
      <c r="AI43" s="66">
        <f t="shared" si="49"/>
        <v>1</v>
      </c>
      <c r="AJ43" s="63">
        <f t="shared" si="50"/>
        <v>1</v>
      </c>
      <c r="AK43" s="64">
        <f t="shared" si="51"/>
        <v>1</v>
      </c>
      <c r="AL43" s="65">
        <f t="shared" si="52"/>
        <v>0</v>
      </c>
      <c r="AM43" s="66">
        <f t="shared" si="53"/>
        <v>1</v>
      </c>
      <c r="AN43" s="63">
        <f t="shared" si="54"/>
        <v>0</v>
      </c>
      <c r="AO43" s="64">
        <f t="shared" si="55"/>
        <v>1</v>
      </c>
      <c r="AP43" s="65">
        <f t="shared" si="56"/>
        <v>0</v>
      </c>
      <c r="AQ43" s="66">
        <f t="shared" si="57"/>
        <v>1</v>
      </c>
      <c r="AR43" s="63">
        <f t="shared" si="58"/>
        <v>1</v>
      </c>
      <c r="AS43" s="64">
        <f t="shared" si="59"/>
        <v>1</v>
      </c>
      <c r="AT43" s="65">
        <f t="shared" si="60"/>
        <v>2</v>
      </c>
      <c r="AU43" s="66">
        <f t="shared" si="61"/>
        <v>3</v>
      </c>
      <c r="AV43" s="63">
        <f t="shared" si="62"/>
        <v>0</v>
      </c>
      <c r="AW43" s="64">
        <f t="shared" si="63"/>
        <v>0</v>
      </c>
    </row>
    <row r="44" spans="1:49" ht="12.75" x14ac:dyDescent="0.25">
      <c r="A44" s="184">
        <v>11</v>
      </c>
      <c r="B44" s="870">
        <v>275</v>
      </c>
      <c r="C44" s="20">
        <v>11</v>
      </c>
      <c r="D44" s="21">
        <v>7</v>
      </c>
      <c r="E44" s="37">
        <v>13</v>
      </c>
      <c r="F44" s="870">
        <v>8</v>
      </c>
      <c r="G44" s="20">
        <v>13</v>
      </c>
      <c r="H44" s="21">
        <v>4</v>
      </c>
      <c r="I44" s="37">
        <v>9</v>
      </c>
      <c r="J44" s="870">
        <v>4</v>
      </c>
      <c r="K44" s="20">
        <v>8</v>
      </c>
      <c r="L44" s="21">
        <v>5</v>
      </c>
      <c r="M44" s="37">
        <v>9</v>
      </c>
      <c r="N44" s="870">
        <v>2</v>
      </c>
      <c r="O44" s="20">
        <v>6</v>
      </c>
      <c r="P44" s="21">
        <v>4</v>
      </c>
      <c r="Q44" s="37">
        <v>8</v>
      </c>
      <c r="R44" s="870">
        <v>4</v>
      </c>
      <c r="S44" s="20">
        <v>4</v>
      </c>
      <c r="T44" s="21">
        <v>2</v>
      </c>
      <c r="U44" s="23">
        <v>4</v>
      </c>
      <c r="V44" s="870">
        <v>1</v>
      </c>
      <c r="W44" s="20">
        <v>2</v>
      </c>
      <c r="X44" s="876"/>
      <c r="AA44" s="19">
        <v>11</v>
      </c>
      <c r="AB44" s="871">
        <f t="shared" si="42"/>
        <v>0</v>
      </c>
      <c r="AC44" s="872">
        <f t="shared" si="43"/>
        <v>0</v>
      </c>
      <c r="AD44" s="873">
        <f t="shared" si="44"/>
        <v>1</v>
      </c>
      <c r="AE44" s="874">
        <f t="shared" si="45"/>
        <v>0</v>
      </c>
      <c r="AF44" s="875">
        <f t="shared" si="46"/>
        <v>1</v>
      </c>
      <c r="AG44" s="872">
        <f t="shared" si="47"/>
        <v>0</v>
      </c>
      <c r="AH44" s="873">
        <f t="shared" si="48"/>
        <v>0</v>
      </c>
      <c r="AI44" s="874">
        <f t="shared" si="49"/>
        <v>0</v>
      </c>
      <c r="AJ44" s="875">
        <f t="shared" si="50"/>
        <v>1</v>
      </c>
      <c r="AK44" s="872">
        <f t="shared" si="51"/>
        <v>0</v>
      </c>
      <c r="AL44" s="873">
        <f t="shared" si="52"/>
        <v>1</v>
      </c>
      <c r="AM44" s="874">
        <f t="shared" si="53"/>
        <v>1</v>
      </c>
      <c r="AN44" s="875">
        <f t="shared" si="54"/>
        <v>0</v>
      </c>
      <c r="AO44" s="872">
        <f t="shared" si="55"/>
        <v>0</v>
      </c>
      <c r="AP44" s="873">
        <f t="shared" si="56"/>
        <v>0</v>
      </c>
      <c r="AQ44" s="874">
        <f t="shared" si="57"/>
        <v>0</v>
      </c>
      <c r="AR44" s="875">
        <f t="shared" si="58"/>
        <v>1</v>
      </c>
      <c r="AS44" s="872">
        <f t="shared" si="59"/>
        <v>0</v>
      </c>
      <c r="AT44" s="65">
        <f t="shared" si="60"/>
        <v>0</v>
      </c>
      <c r="AU44" s="66">
        <f t="shared" si="61"/>
        <v>1</v>
      </c>
      <c r="AV44" s="63">
        <f t="shared" si="62"/>
        <v>1</v>
      </c>
      <c r="AW44" s="64">
        <f t="shared" si="63"/>
        <v>2</v>
      </c>
    </row>
    <row r="45" spans="1:49" x14ac:dyDescent="0.2">
      <c r="P45" s="138"/>
      <c r="Q45" s="138"/>
      <c r="R45" s="138"/>
      <c r="AF45" s="551"/>
      <c r="AG45" s="551"/>
    </row>
    <row r="46" spans="1:49" ht="19.5" thickBot="1" x14ac:dyDescent="0.3">
      <c r="A46" s="1090" t="s">
        <v>365</v>
      </c>
      <c r="B46" s="1091"/>
      <c r="C46" s="1091"/>
      <c r="D46" s="1091"/>
      <c r="E46" s="1091"/>
      <c r="F46" s="1091"/>
      <c r="G46" s="1091"/>
      <c r="H46" s="1091"/>
      <c r="I46" s="1091"/>
      <c r="J46" s="1091"/>
      <c r="K46" s="1091"/>
      <c r="L46" s="1091"/>
      <c r="M46" s="1091"/>
      <c r="O46" s="1087" t="s">
        <v>367</v>
      </c>
      <c r="P46" s="1088"/>
      <c r="Q46" s="1088"/>
      <c r="R46" s="1088"/>
      <c r="S46" s="1088"/>
      <c r="T46" s="1088"/>
      <c r="U46" s="1088"/>
      <c r="V46" s="1088"/>
      <c r="W46" s="1088"/>
      <c r="X46" s="1088"/>
      <c r="Y46" s="1088"/>
      <c r="Z46" s="1088"/>
      <c r="AA46" s="1088"/>
    </row>
    <row r="47" spans="1:49" ht="34.5" thickBot="1" x14ac:dyDescent="0.3">
      <c r="A47" s="969" t="s">
        <v>291</v>
      </c>
      <c r="B47" s="964" t="s">
        <v>561</v>
      </c>
      <c r="C47" s="661" t="s">
        <v>553</v>
      </c>
      <c r="D47" s="965" t="s">
        <v>559</v>
      </c>
      <c r="E47" s="661" t="s">
        <v>554</v>
      </c>
      <c r="F47" s="965" t="s">
        <v>558</v>
      </c>
      <c r="G47" s="661" t="s">
        <v>555</v>
      </c>
      <c r="H47" s="965" t="s">
        <v>560</v>
      </c>
      <c r="I47" s="661" t="s">
        <v>556</v>
      </c>
      <c r="J47" s="965" t="s">
        <v>562</v>
      </c>
      <c r="K47" s="661" t="s">
        <v>557</v>
      </c>
      <c r="L47" s="965" t="s">
        <v>564</v>
      </c>
      <c r="M47" s="665" t="s">
        <v>563</v>
      </c>
      <c r="O47" s="969" t="s">
        <v>291</v>
      </c>
      <c r="P47" s="474" t="s">
        <v>561</v>
      </c>
      <c r="Q47" s="550" t="s">
        <v>15</v>
      </c>
      <c r="R47" s="547" t="s">
        <v>559</v>
      </c>
      <c r="S47" s="550" t="s">
        <v>21</v>
      </c>
      <c r="T47" s="547" t="s">
        <v>558</v>
      </c>
      <c r="U47" s="550" t="s">
        <v>22</v>
      </c>
      <c r="V47" s="970" t="s">
        <v>560</v>
      </c>
      <c r="W47" s="548" t="s">
        <v>593</v>
      </c>
      <c r="X47" s="547" t="s">
        <v>562</v>
      </c>
      <c r="Y47" s="550" t="s">
        <v>23</v>
      </c>
      <c r="Z47" s="547" t="s">
        <v>564</v>
      </c>
      <c r="AA47" s="550" t="s">
        <v>24</v>
      </c>
    </row>
    <row r="48" spans="1:49" x14ac:dyDescent="0.25">
      <c r="A48" s="51">
        <v>0</v>
      </c>
      <c r="B48" s="652">
        <v>0</v>
      </c>
      <c r="C48" s="38">
        <v>0</v>
      </c>
      <c r="D48" s="39">
        <v>0</v>
      </c>
      <c r="E48" s="40">
        <v>0</v>
      </c>
      <c r="F48" s="47">
        <v>0</v>
      </c>
      <c r="G48" s="38">
        <v>0</v>
      </c>
      <c r="H48" s="39">
        <v>0</v>
      </c>
      <c r="I48" s="40">
        <v>0</v>
      </c>
      <c r="J48" s="47">
        <v>0</v>
      </c>
      <c r="K48" s="38">
        <v>0</v>
      </c>
      <c r="L48" s="39">
        <v>0</v>
      </c>
      <c r="M48" s="653">
        <v>0</v>
      </c>
      <c r="O48" s="51">
        <v>0</v>
      </c>
      <c r="P48" s="644">
        <f t="shared" ref="P48:AA48" si="64">B48</f>
        <v>0</v>
      </c>
      <c r="Q48" s="27">
        <f t="shared" si="64"/>
        <v>0</v>
      </c>
      <c r="R48" s="544">
        <f t="shared" si="64"/>
        <v>0</v>
      </c>
      <c r="S48" s="29">
        <f t="shared" si="64"/>
        <v>0</v>
      </c>
      <c r="T48" s="545">
        <f t="shared" si="64"/>
        <v>0</v>
      </c>
      <c r="U48" s="27">
        <f t="shared" si="64"/>
        <v>0</v>
      </c>
      <c r="V48" s="544">
        <f t="shared" si="64"/>
        <v>0</v>
      </c>
      <c r="W48" s="29">
        <f t="shared" si="64"/>
        <v>0</v>
      </c>
      <c r="X48" s="545">
        <f t="shared" si="64"/>
        <v>0</v>
      </c>
      <c r="Y48" s="27">
        <f t="shared" si="64"/>
        <v>0</v>
      </c>
      <c r="Z48" s="544">
        <f t="shared" si="64"/>
        <v>0</v>
      </c>
      <c r="AA48" s="657">
        <f t="shared" si="64"/>
        <v>0</v>
      </c>
    </row>
    <row r="49" spans="1:33" x14ac:dyDescent="0.25">
      <c r="A49" s="7">
        <v>1</v>
      </c>
      <c r="B49" s="445">
        <v>0</v>
      </c>
      <c r="C49" s="5">
        <v>0</v>
      </c>
      <c r="D49" s="3">
        <v>0</v>
      </c>
      <c r="E49" s="36">
        <v>0</v>
      </c>
      <c r="F49" s="48">
        <v>0</v>
      </c>
      <c r="G49" s="5">
        <v>0</v>
      </c>
      <c r="H49" s="3">
        <v>0</v>
      </c>
      <c r="I49" s="36">
        <v>0</v>
      </c>
      <c r="J49" s="48">
        <v>0</v>
      </c>
      <c r="K49" s="5">
        <v>0</v>
      </c>
      <c r="L49" s="3">
        <v>0</v>
      </c>
      <c r="M49" s="654">
        <v>0</v>
      </c>
      <c r="O49" s="7">
        <v>1</v>
      </c>
      <c r="P49" s="67">
        <f t="shared" ref="P49:P58" si="65">B49-B48</f>
        <v>0</v>
      </c>
      <c r="Q49" s="64">
        <f t="shared" ref="Q49:Q58" si="66">C49-C48</f>
        <v>0</v>
      </c>
      <c r="R49" s="65">
        <f t="shared" ref="R49:R58" si="67">D49-D48</f>
        <v>0</v>
      </c>
      <c r="S49" s="66">
        <f t="shared" ref="S49:S58" si="68">E49-E48</f>
        <v>0</v>
      </c>
      <c r="T49" s="63">
        <f t="shared" ref="T49:T58" si="69">F49-F48</f>
        <v>0</v>
      </c>
      <c r="U49" s="64">
        <f t="shared" ref="U49:U58" si="70">G49-G48</f>
        <v>0</v>
      </c>
      <c r="V49" s="65">
        <f t="shared" ref="V49:V58" si="71">H49-H48</f>
        <v>0</v>
      </c>
      <c r="W49" s="66">
        <f t="shared" ref="W49:W58" si="72">I49-I48</f>
        <v>0</v>
      </c>
      <c r="X49" s="63">
        <f t="shared" ref="X49:X58" si="73">J49-J48</f>
        <v>0</v>
      </c>
      <c r="Y49" s="64">
        <f t="shared" ref="Y49:Y58" si="74">K49-K48</f>
        <v>0</v>
      </c>
      <c r="Z49" s="65">
        <f t="shared" ref="Z49:Z58" si="75">L49-L48</f>
        <v>0</v>
      </c>
      <c r="AA49" s="68">
        <f t="shared" ref="AA49:AA58" si="76">M49-M48</f>
        <v>0</v>
      </c>
    </row>
    <row r="50" spans="1:33" x14ac:dyDescent="0.25">
      <c r="A50" s="7">
        <v>2</v>
      </c>
      <c r="B50" s="444">
        <v>0</v>
      </c>
      <c r="C50" s="6">
        <v>0</v>
      </c>
      <c r="D50" s="4">
        <v>0</v>
      </c>
      <c r="E50" s="34">
        <v>0</v>
      </c>
      <c r="F50" s="49">
        <v>0</v>
      </c>
      <c r="G50" s="6">
        <v>0</v>
      </c>
      <c r="H50" s="4">
        <v>0</v>
      </c>
      <c r="I50" s="34">
        <v>0</v>
      </c>
      <c r="J50" s="49">
        <v>0</v>
      </c>
      <c r="K50" s="6">
        <v>0</v>
      </c>
      <c r="L50" s="4">
        <v>0</v>
      </c>
      <c r="M50" s="655">
        <v>0</v>
      </c>
      <c r="O50" s="7">
        <v>2</v>
      </c>
      <c r="P50" s="67">
        <f t="shared" si="65"/>
        <v>0</v>
      </c>
      <c r="Q50" s="64">
        <f t="shared" si="66"/>
        <v>0</v>
      </c>
      <c r="R50" s="65">
        <f t="shared" si="67"/>
        <v>0</v>
      </c>
      <c r="S50" s="66">
        <f t="shared" si="68"/>
        <v>0</v>
      </c>
      <c r="T50" s="63">
        <f t="shared" si="69"/>
        <v>0</v>
      </c>
      <c r="U50" s="64">
        <f t="shared" si="70"/>
        <v>0</v>
      </c>
      <c r="V50" s="65">
        <f t="shared" si="71"/>
        <v>0</v>
      </c>
      <c r="W50" s="66">
        <f t="shared" si="72"/>
        <v>0</v>
      </c>
      <c r="X50" s="63">
        <f t="shared" si="73"/>
        <v>0</v>
      </c>
      <c r="Y50" s="64">
        <f t="shared" si="74"/>
        <v>0</v>
      </c>
      <c r="Z50" s="65">
        <f t="shared" si="75"/>
        <v>0</v>
      </c>
      <c r="AA50" s="68">
        <f t="shared" si="76"/>
        <v>0</v>
      </c>
    </row>
    <row r="51" spans="1:33" x14ac:dyDescent="0.25">
      <c r="A51" s="7">
        <v>3</v>
      </c>
      <c r="B51" s="445">
        <v>2</v>
      </c>
      <c r="C51" s="5">
        <v>2</v>
      </c>
      <c r="D51" s="3">
        <v>0</v>
      </c>
      <c r="E51" s="36">
        <v>0</v>
      </c>
      <c r="F51" s="48">
        <v>0</v>
      </c>
      <c r="G51" s="5">
        <v>0</v>
      </c>
      <c r="H51" s="3">
        <v>0</v>
      </c>
      <c r="I51" s="36">
        <v>0</v>
      </c>
      <c r="J51" s="48">
        <v>0</v>
      </c>
      <c r="K51" s="5">
        <v>0</v>
      </c>
      <c r="L51" s="3">
        <v>0</v>
      </c>
      <c r="M51" s="654">
        <v>0</v>
      </c>
      <c r="O51" s="7">
        <v>3</v>
      </c>
      <c r="P51" s="67">
        <f t="shared" si="65"/>
        <v>2</v>
      </c>
      <c r="Q51" s="64">
        <f t="shared" si="66"/>
        <v>2</v>
      </c>
      <c r="R51" s="65">
        <f t="shared" si="67"/>
        <v>0</v>
      </c>
      <c r="S51" s="66">
        <f t="shared" si="68"/>
        <v>0</v>
      </c>
      <c r="T51" s="63">
        <f t="shared" si="69"/>
        <v>0</v>
      </c>
      <c r="U51" s="64">
        <f t="shared" si="70"/>
        <v>0</v>
      </c>
      <c r="V51" s="65">
        <f t="shared" si="71"/>
        <v>0</v>
      </c>
      <c r="W51" s="66">
        <f t="shared" si="72"/>
        <v>0</v>
      </c>
      <c r="X51" s="63">
        <f t="shared" si="73"/>
        <v>0</v>
      </c>
      <c r="Y51" s="64">
        <f t="shared" si="74"/>
        <v>0</v>
      </c>
      <c r="Z51" s="65">
        <f t="shared" si="75"/>
        <v>0</v>
      </c>
      <c r="AA51" s="68">
        <f t="shared" si="76"/>
        <v>0</v>
      </c>
    </row>
    <row r="52" spans="1:33" x14ac:dyDescent="0.25">
      <c r="A52" s="7">
        <v>4</v>
      </c>
      <c r="B52" s="444">
        <v>2</v>
      </c>
      <c r="C52" s="6">
        <v>2</v>
      </c>
      <c r="D52" s="4">
        <v>2</v>
      </c>
      <c r="E52" s="34">
        <v>1</v>
      </c>
      <c r="F52" s="49">
        <v>0</v>
      </c>
      <c r="G52" s="6">
        <v>0</v>
      </c>
      <c r="H52" s="4">
        <v>0</v>
      </c>
      <c r="I52" s="34">
        <v>0</v>
      </c>
      <c r="J52" s="49">
        <v>0</v>
      </c>
      <c r="K52" s="6">
        <v>0</v>
      </c>
      <c r="L52" s="4">
        <v>0</v>
      </c>
      <c r="M52" s="655">
        <v>0</v>
      </c>
      <c r="O52" s="7">
        <v>4</v>
      </c>
      <c r="P52" s="67">
        <f t="shared" si="65"/>
        <v>0</v>
      </c>
      <c r="Q52" s="64">
        <f t="shared" si="66"/>
        <v>0</v>
      </c>
      <c r="R52" s="65">
        <f t="shared" si="67"/>
        <v>2</v>
      </c>
      <c r="S52" s="66">
        <f t="shared" si="68"/>
        <v>1</v>
      </c>
      <c r="T52" s="63">
        <f t="shared" si="69"/>
        <v>0</v>
      </c>
      <c r="U52" s="64">
        <f t="shared" si="70"/>
        <v>0</v>
      </c>
      <c r="V52" s="65">
        <f t="shared" si="71"/>
        <v>0</v>
      </c>
      <c r="W52" s="66">
        <f t="shared" si="72"/>
        <v>0</v>
      </c>
      <c r="X52" s="63">
        <f t="shared" si="73"/>
        <v>0</v>
      </c>
      <c r="Y52" s="64">
        <f t="shared" si="74"/>
        <v>0</v>
      </c>
      <c r="Z52" s="65">
        <f t="shared" si="75"/>
        <v>0</v>
      </c>
      <c r="AA52" s="68">
        <f t="shared" si="76"/>
        <v>0</v>
      </c>
    </row>
    <row r="53" spans="1:33" x14ac:dyDescent="0.25">
      <c r="A53" s="7">
        <v>5</v>
      </c>
      <c r="B53" s="445">
        <v>4</v>
      </c>
      <c r="C53" s="5">
        <v>3</v>
      </c>
      <c r="D53" s="3">
        <v>2</v>
      </c>
      <c r="E53" s="36">
        <v>1</v>
      </c>
      <c r="F53" s="48">
        <v>0</v>
      </c>
      <c r="G53" s="5">
        <v>0</v>
      </c>
      <c r="H53" s="3">
        <v>2</v>
      </c>
      <c r="I53" s="36">
        <v>2</v>
      </c>
      <c r="J53" s="48">
        <v>0</v>
      </c>
      <c r="K53" s="5">
        <v>0</v>
      </c>
      <c r="L53" s="3">
        <v>0</v>
      </c>
      <c r="M53" s="654">
        <v>0</v>
      </c>
      <c r="O53" s="7">
        <v>5</v>
      </c>
      <c r="P53" s="67">
        <f t="shared" si="65"/>
        <v>2</v>
      </c>
      <c r="Q53" s="64">
        <f t="shared" si="66"/>
        <v>1</v>
      </c>
      <c r="R53" s="65">
        <f t="shared" si="67"/>
        <v>0</v>
      </c>
      <c r="S53" s="66">
        <f t="shared" si="68"/>
        <v>0</v>
      </c>
      <c r="T53" s="63">
        <f t="shared" si="69"/>
        <v>0</v>
      </c>
      <c r="U53" s="64">
        <f t="shared" si="70"/>
        <v>0</v>
      </c>
      <c r="V53" s="65">
        <f t="shared" si="71"/>
        <v>2</v>
      </c>
      <c r="W53" s="66">
        <f t="shared" si="72"/>
        <v>2</v>
      </c>
      <c r="X53" s="63">
        <f t="shared" si="73"/>
        <v>0</v>
      </c>
      <c r="Y53" s="64">
        <f t="shared" si="74"/>
        <v>0</v>
      </c>
      <c r="Z53" s="65">
        <f t="shared" si="75"/>
        <v>0</v>
      </c>
      <c r="AA53" s="68">
        <f t="shared" si="76"/>
        <v>0</v>
      </c>
    </row>
    <row r="54" spans="1:33" x14ac:dyDescent="0.25">
      <c r="A54" s="7">
        <v>6</v>
      </c>
      <c r="B54" s="444">
        <v>4</v>
      </c>
      <c r="C54" s="6">
        <v>3</v>
      </c>
      <c r="D54" s="4">
        <v>4</v>
      </c>
      <c r="E54" s="34">
        <v>1</v>
      </c>
      <c r="F54" s="49">
        <v>1</v>
      </c>
      <c r="G54" s="6">
        <v>2</v>
      </c>
      <c r="H54" s="4">
        <v>2</v>
      </c>
      <c r="I54" s="34">
        <v>2</v>
      </c>
      <c r="J54" s="49">
        <v>0</v>
      </c>
      <c r="K54" s="6">
        <v>0</v>
      </c>
      <c r="L54" s="4">
        <v>0</v>
      </c>
      <c r="M54" s="655">
        <v>0</v>
      </c>
      <c r="O54" s="7">
        <v>6</v>
      </c>
      <c r="P54" s="67">
        <f t="shared" si="65"/>
        <v>0</v>
      </c>
      <c r="Q54" s="64">
        <f t="shared" si="66"/>
        <v>0</v>
      </c>
      <c r="R54" s="65">
        <f t="shared" si="67"/>
        <v>2</v>
      </c>
      <c r="S54" s="66">
        <f t="shared" si="68"/>
        <v>0</v>
      </c>
      <c r="T54" s="63">
        <f t="shared" si="69"/>
        <v>1</v>
      </c>
      <c r="U54" s="64">
        <f t="shared" si="70"/>
        <v>2</v>
      </c>
      <c r="V54" s="65">
        <f t="shared" si="71"/>
        <v>0</v>
      </c>
      <c r="W54" s="66">
        <f t="shared" si="72"/>
        <v>0</v>
      </c>
      <c r="X54" s="63">
        <f t="shared" si="73"/>
        <v>0</v>
      </c>
      <c r="Y54" s="64">
        <f t="shared" si="74"/>
        <v>0</v>
      </c>
      <c r="Z54" s="65">
        <f t="shared" si="75"/>
        <v>0</v>
      </c>
      <c r="AA54" s="68">
        <f t="shared" si="76"/>
        <v>0</v>
      </c>
    </row>
    <row r="55" spans="1:33" x14ac:dyDescent="0.25">
      <c r="A55" s="7">
        <v>7</v>
      </c>
      <c r="B55" s="445">
        <v>6</v>
      </c>
      <c r="C55" s="5">
        <v>4</v>
      </c>
      <c r="D55" s="3">
        <v>4</v>
      </c>
      <c r="E55" s="36">
        <v>1</v>
      </c>
      <c r="F55" s="48">
        <v>2</v>
      </c>
      <c r="G55" s="5">
        <v>2</v>
      </c>
      <c r="H55" s="3">
        <v>2</v>
      </c>
      <c r="I55" s="36">
        <v>3</v>
      </c>
      <c r="J55" s="48">
        <v>1</v>
      </c>
      <c r="K55" s="5">
        <v>1</v>
      </c>
      <c r="L55" s="3">
        <v>0</v>
      </c>
      <c r="M55" s="654">
        <v>0</v>
      </c>
      <c r="O55" s="7">
        <v>7</v>
      </c>
      <c r="P55" s="67">
        <f t="shared" si="65"/>
        <v>2</v>
      </c>
      <c r="Q55" s="64">
        <f t="shared" si="66"/>
        <v>1</v>
      </c>
      <c r="R55" s="65">
        <f t="shared" si="67"/>
        <v>0</v>
      </c>
      <c r="S55" s="66">
        <f t="shared" si="68"/>
        <v>0</v>
      </c>
      <c r="T55" s="63">
        <f t="shared" si="69"/>
        <v>1</v>
      </c>
      <c r="U55" s="64">
        <f t="shared" si="70"/>
        <v>0</v>
      </c>
      <c r="V55" s="65">
        <f t="shared" si="71"/>
        <v>0</v>
      </c>
      <c r="W55" s="66">
        <f t="shared" si="72"/>
        <v>1</v>
      </c>
      <c r="X55" s="63">
        <f t="shared" si="73"/>
        <v>1</v>
      </c>
      <c r="Y55" s="64">
        <f t="shared" si="74"/>
        <v>1</v>
      </c>
      <c r="Z55" s="65">
        <f t="shared" si="75"/>
        <v>0</v>
      </c>
      <c r="AA55" s="68">
        <f t="shared" si="76"/>
        <v>0</v>
      </c>
    </row>
    <row r="56" spans="1:33" x14ac:dyDescent="0.25">
      <c r="A56" s="7">
        <v>8</v>
      </c>
      <c r="B56" s="444">
        <v>6</v>
      </c>
      <c r="C56" s="6">
        <v>5</v>
      </c>
      <c r="D56" s="4">
        <v>6</v>
      </c>
      <c r="E56" s="34">
        <v>1</v>
      </c>
      <c r="F56" s="49">
        <v>3</v>
      </c>
      <c r="G56" s="6">
        <v>3</v>
      </c>
      <c r="H56" s="4">
        <v>4</v>
      </c>
      <c r="I56" s="34">
        <v>3</v>
      </c>
      <c r="J56" s="49">
        <v>2</v>
      </c>
      <c r="K56" s="6">
        <v>1</v>
      </c>
      <c r="L56" s="4">
        <v>2</v>
      </c>
      <c r="M56" s="655">
        <v>2</v>
      </c>
      <c r="O56" s="7">
        <v>8</v>
      </c>
      <c r="P56" s="67">
        <f t="shared" si="65"/>
        <v>0</v>
      </c>
      <c r="Q56" s="64">
        <f t="shared" si="66"/>
        <v>1</v>
      </c>
      <c r="R56" s="65">
        <f t="shared" si="67"/>
        <v>2</v>
      </c>
      <c r="S56" s="66">
        <f t="shared" si="68"/>
        <v>0</v>
      </c>
      <c r="T56" s="63">
        <f t="shared" si="69"/>
        <v>1</v>
      </c>
      <c r="U56" s="64">
        <f t="shared" si="70"/>
        <v>1</v>
      </c>
      <c r="V56" s="65">
        <f t="shared" si="71"/>
        <v>2</v>
      </c>
      <c r="W56" s="66">
        <f t="shared" si="72"/>
        <v>0</v>
      </c>
      <c r="X56" s="63">
        <f t="shared" si="73"/>
        <v>1</v>
      </c>
      <c r="Y56" s="64">
        <f t="shared" si="74"/>
        <v>0</v>
      </c>
      <c r="Z56" s="65">
        <f t="shared" si="75"/>
        <v>2</v>
      </c>
      <c r="AA56" s="68">
        <f t="shared" si="76"/>
        <v>2</v>
      </c>
    </row>
    <row r="57" spans="1:33" x14ac:dyDescent="0.25">
      <c r="A57" s="7">
        <v>9</v>
      </c>
      <c r="B57" s="445">
        <v>6</v>
      </c>
      <c r="C57" s="5">
        <v>6</v>
      </c>
      <c r="D57" s="3">
        <v>6</v>
      </c>
      <c r="E57" s="36">
        <v>1</v>
      </c>
      <c r="F57" s="48">
        <v>4</v>
      </c>
      <c r="G57" s="5">
        <v>3</v>
      </c>
      <c r="H57" s="3">
        <v>4</v>
      </c>
      <c r="I57" s="36">
        <v>4</v>
      </c>
      <c r="J57" s="48">
        <v>4</v>
      </c>
      <c r="K57" s="5">
        <v>2</v>
      </c>
      <c r="L57" s="3">
        <v>2</v>
      </c>
      <c r="M57" s="654">
        <v>3</v>
      </c>
      <c r="O57" s="7">
        <v>9</v>
      </c>
      <c r="P57" s="67">
        <f t="shared" si="65"/>
        <v>0</v>
      </c>
      <c r="Q57" s="64">
        <f t="shared" si="66"/>
        <v>1</v>
      </c>
      <c r="R57" s="65">
        <f t="shared" si="67"/>
        <v>0</v>
      </c>
      <c r="S57" s="66">
        <f t="shared" si="68"/>
        <v>0</v>
      </c>
      <c r="T57" s="63">
        <f t="shared" si="69"/>
        <v>1</v>
      </c>
      <c r="U57" s="64">
        <f t="shared" si="70"/>
        <v>0</v>
      </c>
      <c r="V57" s="65">
        <f t="shared" si="71"/>
        <v>0</v>
      </c>
      <c r="W57" s="66">
        <f t="shared" si="72"/>
        <v>1</v>
      </c>
      <c r="X57" s="63">
        <f t="shared" si="73"/>
        <v>2</v>
      </c>
      <c r="Y57" s="64">
        <f t="shared" si="74"/>
        <v>1</v>
      </c>
      <c r="Z57" s="65">
        <f t="shared" si="75"/>
        <v>0</v>
      </c>
      <c r="AA57" s="68">
        <f t="shared" si="76"/>
        <v>1</v>
      </c>
    </row>
    <row r="58" spans="1:33" ht="12" thickBot="1" x14ac:dyDescent="0.3">
      <c r="A58" s="8">
        <v>10</v>
      </c>
      <c r="B58" s="446">
        <v>6</v>
      </c>
      <c r="C58" s="42">
        <v>6</v>
      </c>
      <c r="D58" s="43">
        <v>6</v>
      </c>
      <c r="E58" s="44">
        <v>1</v>
      </c>
      <c r="F58" s="50">
        <v>5</v>
      </c>
      <c r="G58" s="42">
        <v>4</v>
      </c>
      <c r="H58" s="43">
        <v>5</v>
      </c>
      <c r="I58" s="44">
        <v>4</v>
      </c>
      <c r="J58" s="50">
        <v>5</v>
      </c>
      <c r="K58" s="42">
        <v>3</v>
      </c>
      <c r="L58" s="43">
        <v>3</v>
      </c>
      <c r="M58" s="656">
        <v>3</v>
      </c>
      <c r="O58" s="8">
        <v>10</v>
      </c>
      <c r="P58" s="69">
        <f t="shared" si="65"/>
        <v>0</v>
      </c>
      <c r="Q58" s="70">
        <f t="shared" si="66"/>
        <v>0</v>
      </c>
      <c r="R58" s="71">
        <f t="shared" si="67"/>
        <v>0</v>
      </c>
      <c r="S58" s="72">
        <f t="shared" si="68"/>
        <v>0</v>
      </c>
      <c r="T58" s="73">
        <f t="shared" si="69"/>
        <v>1</v>
      </c>
      <c r="U58" s="70">
        <f t="shared" si="70"/>
        <v>1</v>
      </c>
      <c r="V58" s="71">
        <f t="shared" si="71"/>
        <v>1</v>
      </c>
      <c r="W58" s="72">
        <f t="shared" si="72"/>
        <v>0</v>
      </c>
      <c r="X58" s="73">
        <f t="shared" si="73"/>
        <v>1</v>
      </c>
      <c r="Y58" s="70">
        <f t="shared" si="74"/>
        <v>1</v>
      </c>
      <c r="Z58" s="71">
        <f t="shared" si="75"/>
        <v>1</v>
      </c>
      <c r="AA58" s="74">
        <f t="shared" si="76"/>
        <v>0</v>
      </c>
    </row>
    <row r="59" spans="1:33" ht="12" thickBot="1" x14ac:dyDescent="0.3">
      <c r="A59" s="8">
        <v>11</v>
      </c>
      <c r="B59" s="446">
        <v>6</v>
      </c>
      <c r="C59" s="42">
        <v>6</v>
      </c>
      <c r="D59" s="43">
        <v>6</v>
      </c>
      <c r="E59" s="44">
        <v>1</v>
      </c>
      <c r="F59" s="50">
        <v>5</v>
      </c>
      <c r="G59" s="42">
        <v>4</v>
      </c>
      <c r="H59" s="43">
        <v>5</v>
      </c>
      <c r="I59" s="44">
        <v>4</v>
      </c>
      <c r="J59" s="50">
        <v>5</v>
      </c>
      <c r="K59" s="42">
        <v>3</v>
      </c>
      <c r="L59" s="43">
        <v>3</v>
      </c>
      <c r="M59" s="656">
        <v>3</v>
      </c>
      <c r="O59" s="8">
        <v>11</v>
      </c>
      <c r="P59" s="69">
        <f t="shared" ref="P59" si="77">B59-B58</f>
        <v>0</v>
      </c>
      <c r="Q59" s="70">
        <f t="shared" ref="Q59" si="78">C59-C58</f>
        <v>0</v>
      </c>
      <c r="R59" s="71">
        <f t="shared" ref="R59" si="79">D59-D58</f>
        <v>0</v>
      </c>
      <c r="S59" s="72">
        <f t="shared" ref="S59" si="80">E59-E58</f>
        <v>0</v>
      </c>
      <c r="T59" s="73">
        <f t="shared" ref="T59" si="81">F59-F58</f>
        <v>0</v>
      </c>
      <c r="U59" s="70">
        <f t="shared" ref="U59" si="82">G59-G58</f>
        <v>0</v>
      </c>
      <c r="V59" s="71">
        <f t="shared" ref="V59" si="83">H59-H58</f>
        <v>0</v>
      </c>
      <c r="W59" s="72">
        <f t="shared" ref="W59" si="84">I59-I58</f>
        <v>0</v>
      </c>
      <c r="X59" s="73">
        <f t="shared" ref="X59" si="85">J59-J58</f>
        <v>0</v>
      </c>
      <c r="Y59" s="70">
        <f t="shared" ref="Y59" si="86">K59-K58</f>
        <v>0</v>
      </c>
      <c r="Z59" s="71">
        <f t="shared" ref="Z59" si="87">L59-L58</f>
        <v>0</v>
      </c>
      <c r="AA59" s="74">
        <f t="shared" ref="AA59" si="88">M59-M58</f>
        <v>0</v>
      </c>
      <c r="AF59" s="551"/>
      <c r="AG59" s="551"/>
    </row>
    <row r="60" spans="1:33" ht="12" thickBot="1" x14ac:dyDescent="0.25">
      <c r="P60" s="138"/>
      <c r="Q60" s="138"/>
      <c r="R60" s="138"/>
      <c r="AF60" s="551"/>
      <c r="AG60" s="551"/>
    </row>
    <row r="61" spans="1:33" ht="30" customHeight="1" thickBot="1" x14ac:dyDescent="0.3">
      <c r="A61" s="1272" t="s">
        <v>405</v>
      </c>
      <c r="B61" s="1043"/>
      <c r="C61" s="1043"/>
      <c r="D61" s="1043"/>
      <c r="E61" s="1044"/>
      <c r="G61" s="1273" t="s">
        <v>368</v>
      </c>
      <c r="H61" s="1274"/>
      <c r="I61" s="1274"/>
      <c r="J61" s="1274"/>
      <c r="K61" s="1274"/>
    </row>
    <row r="62" spans="1:33" ht="23.25" thickBot="1" x14ac:dyDescent="0.3">
      <c r="A62" s="971" t="s">
        <v>291</v>
      </c>
      <c r="B62" s="17" t="s">
        <v>198</v>
      </c>
      <c r="C62" s="18" t="s">
        <v>15</v>
      </c>
      <c r="D62" s="17" t="s">
        <v>197</v>
      </c>
      <c r="E62" s="17" t="s">
        <v>21</v>
      </c>
      <c r="G62" s="971" t="s">
        <v>291</v>
      </c>
      <c r="H62" s="643" t="s">
        <v>198</v>
      </c>
      <c r="I62" s="18" t="s">
        <v>15</v>
      </c>
      <c r="J62" s="17" t="s">
        <v>197</v>
      </c>
      <c r="K62" s="57" t="s">
        <v>21</v>
      </c>
    </row>
    <row r="63" spans="1:33" x14ac:dyDescent="0.25">
      <c r="A63" s="13">
        <v>0</v>
      </c>
      <c r="B63" s="2">
        <v>0</v>
      </c>
      <c r="C63" s="46">
        <v>0</v>
      </c>
      <c r="D63" s="4">
        <v>0</v>
      </c>
      <c r="E63" s="15">
        <v>0</v>
      </c>
      <c r="G63" s="13">
        <v>0</v>
      </c>
      <c r="H63" s="644">
        <f>B63</f>
        <v>0</v>
      </c>
      <c r="I63" s="27">
        <f>C63</f>
        <v>0</v>
      </c>
      <c r="J63" s="28">
        <f>D63</f>
        <v>0</v>
      </c>
      <c r="K63" s="657">
        <f>E63</f>
        <v>0</v>
      </c>
    </row>
    <row r="64" spans="1:33" x14ac:dyDescent="0.25">
      <c r="A64" s="12">
        <v>1</v>
      </c>
      <c r="B64" s="11">
        <v>0</v>
      </c>
      <c r="C64" s="58">
        <v>0</v>
      </c>
      <c r="D64" s="10">
        <v>1</v>
      </c>
      <c r="E64" s="14">
        <v>2</v>
      </c>
      <c r="G64" s="12">
        <v>1</v>
      </c>
      <c r="H64" s="646">
        <f t="shared" ref="H64:H73" si="89">B64-B63</f>
        <v>0</v>
      </c>
      <c r="I64" s="31">
        <f t="shared" ref="I64:I73" si="90">C64-C63</f>
        <v>0</v>
      </c>
      <c r="J64" s="32">
        <f t="shared" ref="J64:J73" si="91">D64-D63</f>
        <v>1</v>
      </c>
      <c r="K64" s="658">
        <f t="shared" ref="K64:K73" si="92">E64-E63</f>
        <v>2</v>
      </c>
    </row>
    <row r="65" spans="1:11" x14ac:dyDescent="0.25">
      <c r="A65" s="13">
        <v>2</v>
      </c>
      <c r="B65" s="2">
        <v>0</v>
      </c>
      <c r="C65" s="46">
        <v>0</v>
      </c>
      <c r="D65" s="4">
        <v>1</v>
      </c>
      <c r="E65" s="15">
        <v>3</v>
      </c>
      <c r="G65" s="13">
        <v>2</v>
      </c>
      <c r="H65" s="646">
        <f t="shared" si="89"/>
        <v>0</v>
      </c>
      <c r="I65" s="31">
        <f t="shared" si="90"/>
        <v>0</v>
      </c>
      <c r="J65" s="32">
        <f t="shared" si="91"/>
        <v>0</v>
      </c>
      <c r="K65" s="658">
        <f t="shared" si="92"/>
        <v>1</v>
      </c>
    </row>
    <row r="66" spans="1:11" x14ac:dyDescent="0.25">
      <c r="A66" s="13">
        <v>3</v>
      </c>
      <c r="B66" s="1">
        <v>1</v>
      </c>
      <c r="C66" s="45">
        <v>1</v>
      </c>
      <c r="D66" s="3">
        <v>1</v>
      </c>
      <c r="E66" s="14">
        <v>4</v>
      </c>
      <c r="G66" s="13">
        <v>3</v>
      </c>
      <c r="H66" s="646">
        <f t="shared" si="89"/>
        <v>1</v>
      </c>
      <c r="I66" s="31">
        <f t="shared" si="90"/>
        <v>1</v>
      </c>
      <c r="J66" s="32">
        <f t="shared" si="91"/>
        <v>0</v>
      </c>
      <c r="K66" s="658">
        <f t="shared" si="92"/>
        <v>1</v>
      </c>
    </row>
    <row r="67" spans="1:11" x14ac:dyDescent="0.25">
      <c r="A67" s="13">
        <v>4</v>
      </c>
      <c r="B67" s="2">
        <v>1</v>
      </c>
      <c r="C67" s="46">
        <v>2</v>
      </c>
      <c r="D67" s="4">
        <v>1</v>
      </c>
      <c r="E67" s="15">
        <v>5</v>
      </c>
      <c r="G67" s="13">
        <v>4</v>
      </c>
      <c r="H67" s="646">
        <f t="shared" si="89"/>
        <v>0</v>
      </c>
      <c r="I67" s="31">
        <f t="shared" si="90"/>
        <v>1</v>
      </c>
      <c r="J67" s="32">
        <f t="shared" si="91"/>
        <v>0</v>
      </c>
      <c r="K67" s="658">
        <f t="shared" si="92"/>
        <v>1</v>
      </c>
    </row>
    <row r="68" spans="1:11" x14ac:dyDescent="0.25">
      <c r="A68" s="13">
        <v>5</v>
      </c>
      <c r="B68" s="1">
        <v>1</v>
      </c>
      <c r="C68" s="45">
        <v>2</v>
      </c>
      <c r="D68" s="3">
        <v>1</v>
      </c>
      <c r="E68" s="14">
        <v>6</v>
      </c>
      <c r="G68" s="13">
        <v>5</v>
      </c>
      <c r="H68" s="646">
        <f t="shared" si="89"/>
        <v>0</v>
      </c>
      <c r="I68" s="31">
        <f t="shared" si="90"/>
        <v>0</v>
      </c>
      <c r="J68" s="32">
        <f t="shared" si="91"/>
        <v>0</v>
      </c>
      <c r="K68" s="658">
        <f t="shared" si="92"/>
        <v>1</v>
      </c>
    </row>
    <row r="69" spans="1:11" x14ac:dyDescent="0.25">
      <c r="A69" s="13">
        <v>6</v>
      </c>
      <c r="B69" s="2">
        <v>1</v>
      </c>
      <c r="C69" s="46">
        <v>3</v>
      </c>
      <c r="D69" s="4">
        <v>1</v>
      </c>
      <c r="E69" s="15">
        <v>7</v>
      </c>
      <c r="G69" s="13">
        <v>6</v>
      </c>
      <c r="H69" s="646">
        <f t="shared" si="89"/>
        <v>0</v>
      </c>
      <c r="I69" s="31">
        <f t="shared" si="90"/>
        <v>1</v>
      </c>
      <c r="J69" s="32">
        <f t="shared" si="91"/>
        <v>0</v>
      </c>
      <c r="K69" s="658">
        <f t="shared" si="92"/>
        <v>1</v>
      </c>
    </row>
    <row r="70" spans="1:11" x14ac:dyDescent="0.25">
      <c r="A70" s="13">
        <v>7</v>
      </c>
      <c r="B70" s="1">
        <v>1</v>
      </c>
      <c r="C70" s="45">
        <v>3</v>
      </c>
      <c r="D70" s="3">
        <v>1</v>
      </c>
      <c r="E70" s="14">
        <v>8</v>
      </c>
      <c r="G70" s="13">
        <v>7</v>
      </c>
      <c r="H70" s="646">
        <f t="shared" si="89"/>
        <v>0</v>
      </c>
      <c r="I70" s="31">
        <f t="shared" si="90"/>
        <v>0</v>
      </c>
      <c r="J70" s="32">
        <f t="shared" si="91"/>
        <v>0</v>
      </c>
      <c r="K70" s="658">
        <f t="shared" si="92"/>
        <v>1</v>
      </c>
    </row>
    <row r="71" spans="1:11" x14ac:dyDescent="0.25">
      <c r="A71" s="13">
        <v>8</v>
      </c>
      <c r="B71" s="2">
        <v>1</v>
      </c>
      <c r="C71" s="46">
        <v>4</v>
      </c>
      <c r="D71" s="4">
        <v>1</v>
      </c>
      <c r="E71" s="15">
        <v>9</v>
      </c>
      <c r="G71" s="13">
        <v>8</v>
      </c>
      <c r="H71" s="646">
        <f t="shared" si="89"/>
        <v>0</v>
      </c>
      <c r="I71" s="31">
        <f t="shared" si="90"/>
        <v>1</v>
      </c>
      <c r="J71" s="32">
        <f t="shared" si="91"/>
        <v>0</v>
      </c>
      <c r="K71" s="658">
        <f t="shared" si="92"/>
        <v>1</v>
      </c>
    </row>
    <row r="72" spans="1:11" x14ac:dyDescent="0.25">
      <c r="A72" s="13">
        <v>9</v>
      </c>
      <c r="B72" s="1">
        <v>1</v>
      </c>
      <c r="C72" s="45">
        <v>5</v>
      </c>
      <c r="D72" s="3">
        <v>1</v>
      </c>
      <c r="E72" s="14">
        <v>10</v>
      </c>
      <c r="G72" s="13">
        <v>9</v>
      </c>
      <c r="H72" s="646">
        <f t="shared" si="89"/>
        <v>0</v>
      </c>
      <c r="I72" s="31">
        <f t="shared" si="90"/>
        <v>1</v>
      </c>
      <c r="J72" s="32">
        <f t="shared" si="91"/>
        <v>0</v>
      </c>
      <c r="K72" s="658">
        <f t="shared" si="92"/>
        <v>1</v>
      </c>
    </row>
    <row r="73" spans="1:11" ht="12" thickBot="1" x14ac:dyDescent="0.3">
      <c r="A73" s="19">
        <v>10</v>
      </c>
      <c r="B73" s="22">
        <v>1</v>
      </c>
      <c r="C73" s="59">
        <v>6</v>
      </c>
      <c r="D73" s="21">
        <v>1</v>
      </c>
      <c r="E73" s="23">
        <v>11</v>
      </c>
      <c r="G73" s="19">
        <v>10</v>
      </c>
      <c r="H73" s="648">
        <f t="shared" si="89"/>
        <v>0</v>
      </c>
      <c r="I73" s="649">
        <f t="shared" si="90"/>
        <v>1</v>
      </c>
      <c r="J73" s="650">
        <f t="shared" si="91"/>
        <v>0</v>
      </c>
      <c r="K73" s="659">
        <f t="shared" si="92"/>
        <v>1</v>
      </c>
    </row>
    <row r="74" spans="1:11" ht="12" thickBot="1" x14ac:dyDescent="0.3">
      <c r="A74" s="19">
        <v>11</v>
      </c>
      <c r="B74" s="22">
        <v>1</v>
      </c>
      <c r="C74" s="59">
        <v>6</v>
      </c>
      <c r="D74" s="21">
        <v>1</v>
      </c>
      <c r="E74" s="23">
        <v>11</v>
      </c>
      <c r="G74" s="19">
        <v>11</v>
      </c>
      <c r="H74" s="648">
        <f t="shared" ref="H74" si="93">B74-B73</f>
        <v>0</v>
      </c>
      <c r="I74" s="649">
        <f t="shared" ref="I74" si="94">C74-C73</f>
        <v>0</v>
      </c>
      <c r="J74" s="650">
        <f t="shared" ref="J74" si="95">D74-D73</f>
        <v>0</v>
      </c>
      <c r="K74" s="659">
        <f t="shared" ref="K74" si="96">E74-E73</f>
        <v>0</v>
      </c>
    </row>
  </sheetData>
  <sheetProtection selectLockedCells="1"/>
  <mergeCells count="10">
    <mergeCell ref="O46:AA46"/>
    <mergeCell ref="A1:M1"/>
    <mergeCell ref="A61:E61"/>
    <mergeCell ref="O1:AA1"/>
    <mergeCell ref="A46:M46"/>
    <mergeCell ref="G61:K61"/>
    <mergeCell ref="A16:M16"/>
    <mergeCell ref="O16:AA16"/>
    <mergeCell ref="A31:W31"/>
    <mergeCell ref="AA31:AW31"/>
  </mergeCells>
  <pageMargins left="0.7" right="0.7" top="0.75" bottom="0.75" header="0.3" footer="0.3"/>
  <pageSetup paperSize="9" orientation="portrait" r:id="rId1"/>
  <tableParts count="10">
    <tablePart r:id="rId2"/>
    <tablePart r:id="rId3"/>
    <tablePart r:id="rId4"/>
    <tablePart r:id="rId5"/>
    <tablePart r:id="rId6"/>
    <tablePart r:id="rId7"/>
    <tablePart r:id="rId8"/>
    <tablePart r:id="rId9"/>
    <tablePart r:id="rId10"/>
    <tablePart r:id="rId1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BO59"/>
  <sheetViews>
    <sheetView showGridLines="0" topLeftCell="A11" zoomScaleNormal="100" workbookViewId="0">
      <selection activeCell="N62" sqref="N62"/>
    </sheetView>
  </sheetViews>
  <sheetFormatPr baseColWidth="10" defaultColWidth="11.42578125" defaultRowHeight="11.25" x14ac:dyDescent="0.2"/>
  <cols>
    <col min="1" max="1" width="4.7109375" style="139" customWidth="1"/>
    <col min="2" max="2" width="8.7109375" style="139" customWidth="1"/>
    <col min="3" max="3" width="4.7109375" style="139" customWidth="1"/>
    <col min="4" max="4" width="8.7109375" style="139" customWidth="1"/>
    <col min="5" max="5" width="4.7109375" style="139" customWidth="1"/>
    <col min="6" max="6" width="8.7109375" style="139" customWidth="1"/>
    <col min="7" max="7" width="4.7109375" style="139" customWidth="1"/>
    <col min="8" max="8" width="8.7109375" style="139" customWidth="1"/>
    <col min="9" max="9" width="4.7109375" style="139" customWidth="1"/>
    <col min="10" max="10" width="8.7109375" style="139" customWidth="1"/>
    <col min="11" max="11" width="4.7109375" style="139" customWidth="1"/>
    <col min="12" max="12" width="8.7109375" style="139" customWidth="1"/>
    <col min="13" max="13" width="4.7109375" style="139" customWidth="1"/>
    <col min="14" max="14" width="8.7109375" style="139" customWidth="1"/>
    <col min="15" max="15" width="4.7109375" style="139" customWidth="1"/>
    <col min="16" max="16" width="8.7109375" style="139" customWidth="1"/>
    <col min="17" max="17" width="4.7109375" style="139" customWidth="1"/>
    <col min="18" max="18" width="8.7109375" style="139" customWidth="1"/>
    <col min="19" max="19" width="4.7109375" style="139" customWidth="1"/>
    <col min="20" max="20" width="8.7109375" style="139" customWidth="1"/>
    <col min="21" max="21" width="4.7109375" style="139" customWidth="1"/>
    <col min="22" max="22" width="8.7109375" style="139" customWidth="1"/>
    <col min="23" max="23" width="4.7109375" style="139" customWidth="1"/>
    <col min="24" max="24" width="8.7109375" style="139" customWidth="1"/>
    <col min="25" max="25" width="4.7109375" style="139" customWidth="1"/>
    <col min="26" max="26" width="8.7109375" style="139" customWidth="1"/>
    <col min="27" max="27" width="4.7109375" style="139" customWidth="1"/>
    <col min="28" max="28" width="8.7109375" style="139" customWidth="1"/>
    <col min="29" max="29" width="4.7109375" style="139" customWidth="1"/>
    <col min="30" max="30" width="8.7109375" style="139" customWidth="1"/>
    <col min="31" max="31" width="4.7109375" style="139" customWidth="1"/>
    <col min="32" max="32" width="8.7109375" style="139" customWidth="1"/>
    <col min="33" max="33" width="4.7109375" style="139" customWidth="1"/>
    <col min="34" max="34" width="8.7109375" style="139" customWidth="1"/>
    <col min="35" max="35" width="4.7109375" style="139" customWidth="1"/>
    <col min="36" max="36" width="8.7109375" style="139" customWidth="1"/>
    <col min="37" max="37" width="4.7109375" style="139" customWidth="1"/>
    <col min="38" max="38" width="8.7109375" style="139" customWidth="1"/>
    <col min="39" max="39" width="4.7109375" style="139" customWidth="1"/>
    <col min="40" max="40" width="8.7109375" style="139" customWidth="1"/>
    <col min="41" max="41" width="4.7109375" style="139" customWidth="1"/>
    <col min="42" max="42" width="8.7109375" style="139" customWidth="1"/>
    <col min="43" max="43" width="4.7109375" style="139" customWidth="1"/>
    <col min="44" max="67" width="6.7109375" style="139" customWidth="1"/>
    <col min="68" max="16384" width="11.42578125" style="139"/>
  </cols>
  <sheetData>
    <row r="1" spans="1:37" ht="30" customHeight="1" thickBot="1" x14ac:dyDescent="0.25">
      <c r="A1" s="1269" t="s">
        <v>402</v>
      </c>
      <c r="B1" s="1270"/>
      <c r="C1" s="1270"/>
      <c r="D1" s="1270"/>
      <c r="E1" s="1270"/>
      <c r="F1" s="1270"/>
      <c r="G1" s="1270"/>
      <c r="H1" s="1270"/>
      <c r="I1" s="1270"/>
      <c r="J1" s="1270"/>
      <c r="K1" s="1271"/>
      <c r="M1" s="1269" t="s">
        <v>369</v>
      </c>
      <c r="N1" s="1270"/>
      <c r="O1" s="1270"/>
      <c r="P1" s="1270"/>
      <c r="Q1" s="1270"/>
      <c r="R1" s="1270"/>
      <c r="S1" s="1270"/>
      <c r="T1" s="1270"/>
      <c r="U1" s="1270"/>
      <c r="V1" s="1270"/>
      <c r="W1" s="1271"/>
      <c r="Y1" s="1269" t="s">
        <v>209</v>
      </c>
      <c r="Z1" s="1270"/>
      <c r="AA1" s="1270"/>
      <c r="AB1" s="1270"/>
      <c r="AC1" s="1270"/>
      <c r="AD1" s="1271"/>
      <c r="AF1" s="1269" t="s">
        <v>208</v>
      </c>
      <c r="AG1" s="1275"/>
      <c r="AH1" s="1275"/>
      <c r="AI1" s="1275"/>
      <c r="AJ1" s="1275"/>
      <c r="AK1" s="1278"/>
    </row>
    <row r="2" spans="1:37" ht="45.75" thickBot="1" x14ac:dyDescent="0.25">
      <c r="A2" s="140" t="s">
        <v>17</v>
      </c>
      <c r="B2" s="17" t="s">
        <v>190</v>
      </c>
      <c r="C2" s="17" t="s">
        <v>15</v>
      </c>
      <c r="D2" s="17" t="s">
        <v>191</v>
      </c>
      <c r="E2" s="17" t="s">
        <v>21</v>
      </c>
      <c r="F2" s="17" t="s">
        <v>192</v>
      </c>
      <c r="G2" s="17" t="s">
        <v>22</v>
      </c>
      <c r="H2" s="17" t="s">
        <v>193</v>
      </c>
      <c r="I2" s="17" t="s">
        <v>23</v>
      </c>
      <c r="J2" s="17" t="s">
        <v>194</v>
      </c>
      <c r="K2" s="57" t="s">
        <v>24</v>
      </c>
      <c r="M2" s="140" t="s">
        <v>17</v>
      </c>
      <c r="N2" s="17" t="s">
        <v>190</v>
      </c>
      <c r="O2" s="17" t="s">
        <v>15</v>
      </c>
      <c r="P2" s="17" t="s">
        <v>191</v>
      </c>
      <c r="Q2" s="17" t="s">
        <v>21</v>
      </c>
      <c r="R2" s="17" t="s">
        <v>192</v>
      </c>
      <c r="S2" s="17" t="s">
        <v>22</v>
      </c>
      <c r="T2" s="17" t="s">
        <v>193</v>
      </c>
      <c r="U2" s="17" t="s">
        <v>23</v>
      </c>
      <c r="V2" s="17" t="s">
        <v>194</v>
      </c>
      <c r="W2" s="57" t="s">
        <v>24</v>
      </c>
      <c r="Y2" s="12" t="s">
        <v>639</v>
      </c>
      <c r="Z2" s="546" t="s">
        <v>190</v>
      </c>
      <c r="AA2" s="547" t="s">
        <v>191</v>
      </c>
      <c r="AB2" s="547" t="s">
        <v>192</v>
      </c>
      <c r="AC2" s="547" t="s">
        <v>193</v>
      </c>
      <c r="AD2" s="548" t="s">
        <v>194</v>
      </c>
      <c r="AF2" s="12" t="s">
        <v>640</v>
      </c>
      <c r="AG2" s="546" t="s">
        <v>190</v>
      </c>
      <c r="AH2" s="547" t="s">
        <v>191</v>
      </c>
      <c r="AI2" s="547" t="s">
        <v>192</v>
      </c>
      <c r="AJ2" s="547" t="s">
        <v>193</v>
      </c>
      <c r="AK2" s="548" t="s">
        <v>194</v>
      </c>
    </row>
    <row r="3" spans="1:37" x14ac:dyDescent="0.2">
      <c r="A3" s="51">
        <v>0</v>
      </c>
      <c r="B3" s="142">
        <f>IF(Paramètres!$L$46=0,0,VLOOKUP(Paramètres!$L$47,SPELLFACTORY_Spells[#All],2))</f>
        <v>0</v>
      </c>
      <c r="C3" s="9">
        <f>IF($B3=0,0,IF(SUM(Paramètres!$K$6:$K$45)&lt;&gt;Paramètres!$K$3,0,VLOOKUP(MATCH(1,Paramètres!$K$6:$K$45,0),LABO_Spells[#All],2)))</f>
        <v>0</v>
      </c>
      <c r="D3" s="147">
        <f>IF(Paramètres!$L$46=0,0,VLOOKUP(Paramètres!$L$47,SPELLFACTORY_Spells[#All],3))</f>
        <v>0</v>
      </c>
      <c r="E3" s="35">
        <f>IF($D3=0,0,IF(SUM(Paramètres!$K$6:$K$45)&lt;&gt;Paramètres!$K$3,0,VLOOKUP(MATCH(1,Paramètres!$K$6:$K$45,0),LABO_Spells[#All],3)))</f>
        <v>0</v>
      </c>
      <c r="F3" s="142">
        <f>IF(Paramètres!$L$46=0,0,VLOOKUP(Paramètres!$L$47,SPELLFACTORY_Spells[#All],4))</f>
        <v>0</v>
      </c>
      <c r="G3" s="9">
        <f>IF($F3=0,0,IF(SUM(Paramètres!$K$6:$K$45)&lt;&gt;Paramètres!$K$3,0,VLOOKUP(MATCH(1,Paramètres!$K$6:$K$45,0),LABO_Spells[#All],4)))</f>
        <v>0</v>
      </c>
      <c r="H3" s="147">
        <f>IF(Paramètres!$L$46=0,0,VLOOKUP(Paramètres!$L$47,SPELLFACTORY_Spells[#All],5))</f>
        <v>0</v>
      </c>
      <c r="I3" s="35">
        <f>IF($H3=0,0,IF(SUM(Paramètres!$K$6:$K$45)&lt;&gt;Paramètres!$K$3,0,VLOOKUP(MATCH(1,Paramètres!$K$6:$K$45,0),LABO_Spells[#All],5)))</f>
        <v>0</v>
      </c>
      <c r="J3" s="142">
        <f>IF(Paramètres!$L$46=0,0,VLOOKUP(Paramètres!$L$47,SPELLFACTORY_Spells[#All],6))</f>
        <v>0</v>
      </c>
      <c r="K3" s="9">
        <f>IF($J3=0,0,IF(SUM(Paramètres!$K$6:$K$45)&lt;&gt;Paramètres!$K$3,0,VLOOKUP(MATCH(1,Paramètres!$K$6:$K$45,0),LABO_Spells[#All],6)))</f>
        <v>0</v>
      </c>
      <c r="M3" s="51">
        <v>0</v>
      </c>
      <c r="N3" s="144">
        <f t="shared" ref="N3:W3" si="0">B3</f>
        <v>0</v>
      </c>
      <c r="O3" s="145">
        <f t="shared" si="0"/>
        <v>0</v>
      </c>
      <c r="P3" s="149">
        <f>D3</f>
        <v>0</v>
      </c>
      <c r="Q3" s="150">
        <f t="shared" si="0"/>
        <v>0</v>
      </c>
      <c r="R3" s="146">
        <f t="shared" si="0"/>
        <v>0</v>
      </c>
      <c r="S3" s="145">
        <f t="shared" si="0"/>
        <v>0</v>
      </c>
      <c r="T3" s="149">
        <f t="shared" si="0"/>
        <v>0</v>
      </c>
      <c r="U3" s="150">
        <f t="shared" si="0"/>
        <v>0</v>
      </c>
      <c r="V3" s="146">
        <f t="shared" si="0"/>
        <v>0</v>
      </c>
      <c r="W3" s="145">
        <f t="shared" si="0"/>
        <v>0</v>
      </c>
      <c r="Y3" s="13">
        <v>0</v>
      </c>
      <c r="Z3" s="633">
        <v>0</v>
      </c>
      <c r="AA3" s="34">
        <v>0</v>
      </c>
      <c r="AB3" s="6">
        <v>0</v>
      </c>
      <c r="AC3" s="34">
        <v>0</v>
      </c>
      <c r="AD3" s="46">
        <v>0</v>
      </c>
      <c r="AF3" s="13">
        <v>0</v>
      </c>
      <c r="AG3" s="633">
        <v>0</v>
      </c>
      <c r="AH3" s="34">
        <v>0</v>
      </c>
      <c r="AI3" s="6">
        <v>0</v>
      </c>
      <c r="AJ3" s="34">
        <v>0</v>
      </c>
      <c r="AK3" s="46">
        <v>0</v>
      </c>
    </row>
    <row r="4" spans="1:37" x14ac:dyDescent="0.2">
      <c r="A4" s="141">
        <v>1</v>
      </c>
      <c r="B4" s="142">
        <f>IF(Paramètres!$L$46=0,0,VLOOKUP(Paramètres!$L$47,SPELLFACTORY_Spells[#All],2))</f>
        <v>0</v>
      </c>
      <c r="C4" s="143">
        <f>IF($B4=0,0,IF(SUM(Paramètres!$K$6:$K$45)&lt;&gt;Paramètres!$K$3,0,VLOOKUP(MATCH(1,Paramètres!$K$6:$K$45,0),LABO_Spells[#All],2)))</f>
        <v>0</v>
      </c>
      <c r="D4" s="10">
        <f>IF(Paramètres!$L$46=0,0,VLOOKUP(Paramètres!$L$47,SPELLFACTORY_Spells[#All],3))</f>
        <v>0</v>
      </c>
      <c r="E4" s="148">
        <f>IF($D4=0,0,IF(SUM(Paramètres!$K$6:$K$45)&lt;&gt;Paramètres!$K$3,0,VLOOKUP(MATCH(1,Paramètres!$K$6:$K$45,0),LABO_Spells[#All],3)))</f>
        <v>0</v>
      </c>
      <c r="F4" s="11">
        <f>IF(Paramètres!$L$46=0,0,VLOOKUP(Paramètres!$L$47,SPELLFACTORY_Spells[#All],4))</f>
        <v>0</v>
      </c>
      <c r="G4" s="143">
        <f>IF($F4=0,0,IF(SUM(Paramètres!$K$6:$K$45)&lt;&gt;Paramètres!$K$3,0,VLOOKUP(MATCH(1,Paramètres!$K$6:$K$45,0),LABO_Spells[#All],4)))</f>
        <v>0</v>
      </c>
      <c r="H4" s="10">
        <f>IF(Paramètres!$L$46=0,0,VLOOKUP(Paramètres!$L$47,SPELLFACTORY_Spells[#All],5))</f>
        <v>0</v>
      </c>
      <c r="I4" s="148">
        <f>IF($H4=0,0,IF(SUM(Paramètres!$K$6:$K$45)&lt;&gt;Paramètres!$K$3,0,VLOOKUP(MATCH(1,Paramètres!$K$6:$K$45,0),LABO_Spells[#All],5)))</f>
        <v>0</v>
      </c>
      <c r="J4" s="142">
        <f>IF(Paramètres!$L$46=0,0,VLOOKUP(Paramètres!$L$47,SPELLFACTORY_Spells[#All],6))</f>
        <v>0</v>
      </c>
      <c r="K4" s="143">
        <f>IF($J4=0,0,IF(SUM(Paramètres!$K$6:$K$45)&lt;&gt;Paramètres!$K$3,0,VLOOKUP(MATCH(1,Paramètres!$K$6:$K$45,0),LABO_Spells[#All],6)))</f>
        <v>0</v>
      </c>
      <c r="M4" s="141">
        <v>1</v>
      </c>
      <c r="N4" s="67">
        <f t="shared" ref="N4:W4" si="1">B4-B3</f>
        <v>0</v>
      </c>
      <c r="O4" s="64">
        <f t="shared" si="1"/>
        <v>0</v>
      </c>
      <c r="P4" s="65">
        <f t="shared" si="1"/>
        <v>0</v>
      </c>
      <c r="Q4" s="66">
        <f t="shared" si="1"/>
        <v>0</v>
      </c>
      <c r="R4" s="63">
        <f t="shared" si="1"/>
        <v>0</v>
      </c>
      <c r="S4" s="64">
        <f t="shared" si="1"/>
        <v>0</v>
      </c>
      <c r="T4" s="65">
        <f t="shared" si="1"/>
        <v>0</v>
      </c>
      <c r="U4" s="66">
        <f t="shared" si="1"/>
        <v>0</v>
      </c>
      <c r="V4" s="63">
        <f t="shared" si="1"/>
        <v>0</v>
      </c>
      <c r="W4" s="64">
        <f t="shared" si="1"/>
        <v>0</v>
      </c>
      <c r="Y4" s="13">
        <v>1</v>
      </c>
      <c r="Z4" s="634">
        <v>1</v>
      </c>
      <c r="AA4" s="36">
        <v>0</v>
      </c>
      <c r="AB4" s="5">
        <v>0</v>
      </c>
      <c r="AC4" s="36">
        <v>0</v>
      </c>
      <c r="AD4" s="45">
        <v>0</v>
      </c>
      <c r="AF4" s="13">
        <v>1</v>
      </c>
      <c r="AG4" s="634">
        <v>2</v>
      </c>
      <c r="AH4" s="36">
        <v>1</v>
      </c>
      <c r="AI4" s="5">
        <v>1</v>
      </c>
      <c r="AJ4" s="36">
        <v>1</v>
      </c>
      <c r="AK4" s="45">
        <v>1</v>
      </c>
    </row>
    <row r="5" spans="1:37" x14ac:dyDescent="0.2">
      <c r="A5" s="7">
        <v>2</v>
      </c>
      <c r="B5" s="142">
        <f>IF(Paramètres!$L$46=0,0,VLOOKUP(Paramètres!$L$47,SPELLFACTORY_Spells[#All],2))</f>
        <v>0</v>
      </c>
      <c r="C5" s="143">
        <f>IF($B5=0,0,IF(SUM(Paramètres!$K$6:$K$45)&lt;&gt;Paramètres!$K$3,0,VLOOKUP(MATCH(1,Paramètres!$K$6:$K$45,0),LABO_Spells[#All],2)))</f>
        <v>0</v>
      </c>
      <c r="D5" s="4">
        <f>IF(Paramètres!$L$46=0,0,VLOOKUP(Paramètres!$L$47,SPELLFACTORY_Spells[#All],3))</f>
        <v>0</v>
      </c>
      <c r="E5" s="148">
        <f>IF($D5=0,0,IF(SUM(Paramètres!$K$6:$K$45)&lt;&gt;Paramètres!$K$3,0,VLOOKUP(MATCH(1,Paramètres!$K$6:$K$45,0),LABO_Spells[#All],3)))</f>
        <v>0</v>
      </c>
      <c r="F5" s="2">
        <f>IF(Paramètres!$L$46=0,0,VLOOKUP(Paramètres!$L$47,SPELLFACTORY_Spells[#All],4))</f>
        <v>0</v>
      </c>
      <c r="G5" s="143">
        <f>IF($F5=0,0,IF(SUM(Paramètres!$K$6:$K$45)&lt;&gt;Paramètres!$K$3,0,VLOOKUP(MATCH(1,Paramètres!$K$6:$K$45,0),LABO_Spells[#All],4)))</f>
        <v>0</v>
      </c>
      <c r="H5" s="4">
        <f>IF(Paramètres!$L$46=0,0,VLOOKUP(Paramètres!$L$47,SPELLFACTORY_Spells[#All],5))</f>
        <v>0</v>
      </c>
      <c r="I5" s="148">
        <f>IF($H5=0,0,IF(SUM(Paramètres!$K$6:$K$45)&lt;&gt;Paramètres!$K$3,0,VLOOKUP(MATCH(1,Paramètres!$K$6:$K$45,0),LABO_Spells[#All],5)))</f>
        <v>0</v>
      </c>
      <c r="J5" s="142">
        <f>IF(Paramètres!$L$46=0,0,VLOOKUP(Paramètres!$L$47,SPELLFACTORY_Spells[#All],6))</f>
        <v>0</v>
      </c>
      <c r="K5" s="143">
        <f>IF($J5=0,0,IF(SUM(Paramètres!$K$6:$K$45)&lt;&gt;Paramètres!$K$3,0,VLOOKUP(MATCH(1,Paramètres!$K$6:$K$45,0),LABO_Spells[#All],6)))</f>
        <v>0</v>
      </c>
      <c r="M5" s="7">
        <v>2</v>
      </c>
      <c r="N5" s="67">
        <f t="shared" ref="N5:N13" si="2">B5-B4</f>
        <v>0</v>
      </c>
      <c r="O5" s="64">
        <f t="shared" ref="O5:O13" si="3">C5-C4</f>
        <v>0</v>
      </c>
      <c r="P5" s="65">
        <f t="shared" ref="P5:P13" si="4">D5-D4</f>
        <v>0</v>
      </c>
      <c r="Q5" s="66">
        <f t="shared" ref="Q5:Q13" si="5">E5-E4</f>
        <v>0</v>
      </c>
      <c r="R5" s="63">
        <f t="shared" ref="R5:R13" si="6">F5-F4</f>
        <v>0</v>
      </c>
      <c r="S5" s="64">
        <f t="shared" ref="S5:S13" si="7">G5-G4</f>
        <v>0</v>
      </c>
      <c r="T5" s="65">
        <f t="shared" ref="T5:T13" si="8">H5-H4</f>
        <v>0</v>
      </c>
      <c r="U5" s="66">
        <f t="shared" ref="U5:U13" si="9">I5-I4</f>
        <v>0</v>
      </c>
      <c r="V5" s="63">
        <f t="shared" ref="V5:V13" si="10">J5-J4</f>
        <v>0</v>
      </c>
      <c r="W5" s="64">
        <f t="shared" ref="W5:W13" si="11">K5-K4</f>
        <v>0</v>
      </c>
      <c r="Y5" s="13">
        <v>2</v>
      </c>
      <c r="Z5" s="633">
        <v>1</v>
      </c>
      <c r="AA5" s="34">
        <v>1</v>
      </c>
      <c r="AB5" s="6">
        <v>0</v>
      </c>
      <c r="AC5" s="34">
        <v>0</v>
      </c>
      <c r="AD5" s="46">
        <v>0</v>
      </c>
      <c r="AF5" s="13">
        <v>2</v>
      </c>
      <c r="AG5" s="633">
        <v>3</v>
      </c>
      <c r="AH5" s="34">
        <v>2</v>
      </c>
      <c r="AI5" s="6">
        <v>1</v>
      </c>
      <c r="AJ5" s="34">
        <v>1</v>
      </c>
      <c r="AK5" s="46">
        <v>1</v>
      </c>
    </row>
    <row r="6" spans="1:37" x14ac:dyDescent="0.2">
      <c r="A6" s="7">
        <v>3</v>
      </c>
      <c r="B6" s="142">
        <f>IF(Paramètres!$L$46=0,0,VLOOKUP(Paramètres!$L$47,SPELLFACTORY_Spells[#All],2))</f>
        <v>0</v>
      </c>
      <c r="C6" s="143">
        <f>IF($B6=0,0,IF(SUM(Paramètres!$K$6:$K$45)&lt;&gt;Paramètres!$K$3,0,VLOOKUP(MATCH(1,Paramètres!$K$6:$K$45,0),LABO_Spells[#All],2)))</f>
        <v>0</v>
      </c>
      <c r="D6" s="3">
        <f>IF(Paramètres!$L$46=0,0,VLOOKUP(Paramètres!$L$47,SPELLFACTORY_Spells[#All],3))</f>
        <v>0</v>
      </c>
      <c r="E6" s="148">
        <f>IF($D6=0,0,IF(SUM(Paramètres!$K$6:$K$45)&lt;&gt;Paramètres!$K$3,0,VLOOKUP(MATCH(1,Paramètres!$K$6:$K$45,0),LABO_Spells[#All],3)))</f>
        <v>0</v>
      </c>
      <c r="F6" s="1">
        <f>IF(Paramètres!$L$46=0,0,VLOOKUP(Paramètres!$L$47,SPELLFACTORY_Spells[#All],4))</f>
        <v>0</v>
      </c>
      <c r="G6" s="143">
        <f>IF($F6=0,0,IF(SUM(Paramètres!$K$6:$K$45)&lt;&gt;Paramètres!$K$3,0,VLOOKUP(MATCH(1,Paramètres!$K$6:$K$45,0),LABO_Spells[#All],4)))</f>
        <v>0</v>
      </c>
      <c r="H6" s="3">
        <f>IF(Paramètres!$L$46=0,0,VLOOKUP(Paramètres!$L$47,SPELLFACTORY_Spells[#All],5))</f>
        <v>0</v>
      </c>
      <c r="I6" s="148">
        <f>IF($H6=0,0,IF(SUM(Paramètres!$K$6:$K$45)&lt;&gt;Paramètres!$K$3,0,VLOOKUP(MATCH(1,Paramètres!$K$6:$K$45,0),LABO_Spells[#All],5)))</f>
        <v>0</v>
      </c>
      <c r="J6" s="142">
        <f>IF(Paramètres!$L$46=0,0,VLOOKUP(Paramètres!$L$47,SPELLFACTORY_Spells[#All],6))</f>
        <v>0</v>
      </c>
      <c r="K6" s="143">
        <f>IF($J6=0,0,IF(SUM(Paramètres!$K$6:$K$45)&lt;&gt;Paramètres!$K$3,0,VLOOKUP(MATCH(1,Paramètres!$K$6:$K$45,0),LABO_Spells[#All],6)))</f>
        <v>0</v>
      </c>
      <c r="M6" s="7">
        <v>3</v>
      </c>
      <c r="N6" s="67">
        <f t="shared" si="2"/>
        <v>0</v>
      </c>
      <c r="O6" s="64">
        <f t="shared" si="3"/>
        <v>0</v>
      </c>
      <c r="P6" s="65">
        <f t="shared" si="4"/>
        <v>0</v>
      </c>
      <c r="Q6" s="66">
        <f t="shared" si="5"/>
        <v>0</v>
      </c>
      <c r="R6" s="63">
        <f t="shared" si="6"/>
        <v>0</v>
      </c>
      <c r="S6" s="64">
        <f t="shared" si="7"/>
        <v>0</v>
      </c>
      <c r="T6" s="65">
        <f t="shared" si="8"/>
        <v>0</v>
      </c>
      <c r="U6" s="66">
        <f t="shared" si="9"/>
        <v>0</v>
      </c>
      <c r="V6" s="63">
        <f t="shared" si="10"/>
        <v>0</v>
      </c>
      <c r="W6" s="64">
        <f t="shared" si="11"/>
        <v>0</v>
      </c>
      <c r="Y6" s="13">
        <v>3</v>
      </c>
      <c r="Z6" s="634">
        <v>1</v>
      </c>
      <c r="AA6" s="36">
        <v>1</v>
      </c>
      <c r="AB6" s="5">
        <v>1</v>
      </c>
      <c r="AC6" s="36">
        <v>0</v>
      </c>
      <c r="AD6" s="45">
        <v>0</v>
      </c>
      <c r="AF6" s="13">
        <v>3</v>
      </c>
      <c r="AG6" s="634">
        <v>4</v>
      </c>
      <c r="AH6" s="36">
        <v>3</v>
      </c>
      <c r="AI6" s="5">
        <v>2</v>
      </c>
      <c r="AJ6" s="36">
        <v>1</v>
      </c>
      <c r="AK6" s="45">
        <v>1</v>
      </c>
    </row>
    <row r="7" spans="1:37" x14ac:dyDescent="0.2">
      <c r="A7" s="7">
        <v>4</v>
      </c>
      <c r="B7" s="142">
        <f>IF(Paramètres!$L$46=0,0,VLOOKUP(Paramètres!$L$47,SPELLFACTORY_Spells[#All],2))</f>
        <v>0</v>
      </c>
      <c r="C7" s="143">
        <f>IF($B7=0,0,IF(SUM(Paramètres!$K$6:$K$45)&lt;&gt;Paramètres!$K$3,0,VLOOKUP(MATCH(1,Paramètres!$K$6:$K$45,0),LABO_Spells[#All],2)))</f>
        <v>0</v>
      </c>
      <c r="D7" s="3">
        <f>IF(Paramètres!$L$46=0,0,VLOOKUP(Paramètres!$L$47,SPELLFACTORY_Spells[#All],3))</f>
        <v>0</v>
      </c>
      <c r="E7" s="148">
        <f>IF($D7=0,0,IF(SUM(Paramètres!$K$6:$K$45)&lt;&gt;Paramètres!$K$3,0,VLOOKUP(MATCH(1,Paramètres!$K$6:$K$45,0),LABO_Spells[#All],3)))</f>
        <v>0</v>
      </c>
      <c r="F7" s="2">
        <f>IF(Paramètres!$L$46=0,0,VLOOKUP(Paramètres!$L$47,SPELLFACTORY_Spells[#All],4))</f>
        <v>0</v>
      </c>
      <c r="G7" s="143">
        <f>IF($F7=0,0,IF(SUM(Paramètres!$K$6:$K$45)&lt;&gt;Paramètres!$K$3,0,VLOOKUP(MATCH(1,Paramètres!$K$6:$K$45,0),LABO_Spells[#All],4)))</f>
        <v>0</v>
      </c>
      <c r="H7" s="4">
        <f>IF(Paramètres!$L$46=0,0,VLOOKUP(Paramètres!$L$47,SPELLFACTORY_Spells[#All],5))</f>
        <v>0</v>
      </c>
      <c r="I7" s="148">
        <f>IF($H7=0,0,IF(SUM(Paramètres!$K$6:$K$45)&lt;&gt;Paramètres!$K$3,0,VLOOKUP(MATCH(1,Paramètres!$K$6:$K$45,0),LABO_Spells[#All],5)))</f>
        <v>0</v>
      </c>
      <c r="J7" s="142">
        <f>IF(Paramètres!$L$46=0,0,VLOOKUP(Paramètres!$L$47,SPELLFACTORY_Spells[#All],6))</f>
        <v>0</v>
      </c>
      <c r="K7" s="143">
        <f>IF($J7=0,0,IF(SUM(Paramètres!$K$6:$K$45)&lt;&gt;Paramètres!$K$3,0,VLOOKUP(MATCH(1,Paramètres!$K$6:$K$45,0),LABO_Spells[#All],6)))</f>
        <v>0</v>
      </c>
      <c r="M7" s="7">
        <v>4</v>
      </c>
      <c r="N7" s="67">
        <f t="shared" si="2"/>
        <v>0</v>
      </c>
      <c r="O7" s="64">
        <f t="shared" si="3"/>
        <v>0</v>
      </c>
      <c r="P7" s="65">
        <f t="shared" si="4"/>
        <v>0</v>
      </c>
      <c r="Q7" s="66">
        <f t="shared" si="5"/>
        <v>0</v>
      </c>
      <c r="R7" s="63">
        <f t="shared" si="6"/>
        <v>0</v>
      </c>
      <c r="S7" s="64">
        <f t="shared" si="7"/>
        <v>0</v>
      </c>
      <c r="T7" s="65">
        <f t="shared" si="8"/>
        <v>0</v>
      </c>
      <c r="U7" s="66">
        <f t="shared" si="9"/>
        <v>0</v>
      </c>
      <c r="V7" s="63">
        <f t="shared" si="10"/>
        <v>0</v>
      </c>
      <c r="W7" s="64">
        <f t="shared" si="11"/>
        <v>0</v>
      </c>
      <c r="Y7" s="13">
        <v>4</v>
      </c>
      <c r="Z7" s="633">
        <v>1</v>
      </c>
      <c r="AA7" s="34">
        <v>1</v>
      </c>
      <c r="AB7" s="6">
        <v>1</v>
      </c>
      <c r="AC7" s="34">
        <v>1</v>
      </c>
      <c r="AD7" s="46">
        <v>1</v>
      </c>
      <c r="AF7" s="13">
        <v>4</v>
      </c>
      <c r="AG7" s="633">
        <v>4</v>
      </c>
      <c r="AH7" s="34">
        <v>3</v>
      </c>
      <c r="AI7" s="6">
        <v>3</v>
      </c>
      <c r="AJ7" s="34">
        <v>1</v>
      </c>
      <c r="AK7" s="46">
        <v>1</v>
      </c>
    </row>
    <row r="8" spans="1:37" x14ac:dyDescent="0.2">
      <c r="A8" s="7">
        <v>5</v>
      </c>
      <c r="B8" s="142">
        <f>IF(Paramètres!$L$46=0,0,VLOOKUP(Paramètres!$L$47,SPELLFACTORY_Spells[#All],2))</f>
        <v>0</v>
      </c>
      <c r="C8" s="143">
        <f>IF($B8=0,0,IF(SUM(Paramètres!$K$6:$K$45)&lt;&gt;Paramètres!$K$3,0,VLOOKUP(MATCH(1,Paramètres!$K$6:$K$45,0),LABO_Spells[#All],2)))</f>
        <v>0</v>
      </c>
      <c r="D8" s="3">
        <f>IF(Paramètres!$L$46=0,0,VLOOKUP(Paramètres!$L$47,SPELLFACTORY_Spells[#All],3))</f>
        <v>0</v>
      </c>
      <c r="E8" s="148">
        <f>IF($D8=0,0,IF(SUM(Paramètres!$K$6:$K$45)&lt;&gt;Paramètres!$K$3,0,VLOOKUP(MATCH(1,Paramètres!$K$6:$K$45,0),LABO_Spells[#All],3)))</f>
        <v>0</v>
      </c>
      <c r="F8" s="1">
        <f>IF(Paramètres!$L$46=0,0,VLOOKUP(Paramètres!$L$47,SPELLFACTORY_Spells[#All],4))</f>
        <v>0</v>
      </c>
      <c r="G8" s="143">
        <f>IF($F8=0,0,IF(SUM(Paramètres!$K$6:$K$45)&lt;&gt;Paramètres!$K$3,0,VLOOKUP(MATCH(1,Paramètres!$K$6:$K$45,0),LABO_Spells[#All],4)))</f>
        <v>0</v>
      </c>
      <c r="H8" s="3">
        <f>IF(Paramètres!$L$46=0,0,VLOOKUP(Paramètres!$L$47,SPELLFACTORY_Spells[#All],5))</f>
        <v>0</v>
      </c>
      <c r="I8" s="148">
        <f>IF($H8=0,0,IF(SUM(Paramètres!$K$6:$K$45)&lt;&gt;Paramètres!$K$3,0,VLOOKUP(MATCH(1,Paramètres!$K$6:$K$45,0),LABO_Spells[#All],5)))</f>
        <v>0</v>
      </c>
      <c r="J8" s="142">
        <f>IF(Paramètres!$L$46=0,0,VLOOKUP(Paramètres!$L$47,SPELLFACTORY_Spells[#All],6))</f>
        <v>0</v>
      </c>
      <c r="K8" s="143">
        <f>IF($J8=0,0,IF(SUM(Paramètres!$K$6:$K$45)&lt;&gt;Paramètres!$K$3,0,VLOOKUP(MATCH(1,Paramètres!$K$6:$K$45,0),LABO_Spells[#All],6)))</f>
        <v>0</v>
      </c>
      <c r="M8" s="7">
        <v>5</v>
      </c>
      <c r="N8" s="67">
        <f t="shared" si="2"/>
        <v>0</v>
      </c>
      <c r="O8" s="64">
        <f t="shared" si="3"/>
        <v>0</v>
      </c>
      <c r="P8" s="65">
        <f t="shared" si="4"/>
        <v>0</v>
      </c>
      <c r="Q8" s="66">
        <f t="shared" si="5"/>
        <v>0</v>
      </c>
      <c r="R8" s="63">
        <f t="shared" si="6"/>
        <v>0</v>
      </c>
      <c r="S8" s="64">
        <f t="shared" si="7"/>
        <v>0</v>
      </c>
      <c r="T8" s="65">
        <f t="shared" si="8"/>
        <v>0</v>
      </c>
      <c r="U8" s="66">
        <f t="shared" si="9"/>
        <v>0</v>
      </c>
      <c r="V8" s="63">
        <f t="shared" si="10"/>
        <v>0</v>
      </c>
      <c r="W8" s="64">
        <f t="shared" si="11"/>
        <v>0</v>
      </c>
      <c r="Y8" s="13">
        <v>5</v>
      </c>
      <c r="Z8" s="634">
        <v>1</v>
      </c>
      <c r="AA8" s="36">
        <v>1</v>
      </c>
      <c r="AB8" s="5">
        <v>1</v>
      </c>
      <c r="AC8" s="36">
        <v>1</v>
      </c>
      <c r="AD8" s="45">
        <v>1</v>
      </c>
      <c r="AF8" s="13">
        <v>5</v>
      </c>
      <c r="AG8" s="634">
        <v>4</v>
      </c>
      <c r="AH8" s="36">
        <v>4</v>
      </c>
      <c r="AI8" s="5">
        <v>4</v>
      </c>
      <c r="AJ8" s="36">
        <v>1</v>
      </c>
      <c r="AK8" s="45">
        <v>1</v>
      </c>
    </row>
    <row r="9" spans="1:37" x14ac:dyDescent="0.2">
      <c r="A9" s="7">
        <v>6</v>
      </c>
      <c r="B9" s="142">
        <f>IF(Paramètres!$L$46=0,0,VLOOKUP(Paramètres!$L$47,SPELLFACTORY_Spells[#All],2))</f>
        <v>0</v>
      </c>
      <c r="C9" s="143">
        <f>IF($B9=0,0,IF(SUM(Paramètres!$K$6:$K$45)&lt;&gt;Paramètres!$K$3,0,VLOOKUP(MATCH(1,Paramètres!$K$6:$K$45,0),LABO_Spells[#All],2)))</f>
        <v>0</v>
      </c>
      <c r="D9" s="147">
        <f>IF(Paramètres!$L$46=0,0,VLOOKUP(Paramètres!$L$47,SPELLFACTORY_Spells[#All],3))</f>
        <v>0</v>
      </c>
      <c r="E9" s="148">
        <f>IF($D9=0,0,IF(SUM(Paramètres!$K$6:$K$45)&lt;&gt;Paramètres!$K$3,0,VLOOKUP(MATCH(1,Paramètres!$K$6:$K$45,0),LABO_Spells[#All],3)))</f>
        <v>0</v>
      </c>
      <c r="F9" s="2">
        <f>IF(Paramètres!$L$46=0,0,VLOOKUP(Paramètres!$L$47,SPELLFACTORY_Spells[#All],4))</f>
        <v>0</v>
      </c>
      <c r="G9" s="143">
        <f>IF($F9=0,0,IF(SUM(Paramètres!$K$6:$K$45)&lt;&gt;Paramètres!$K$3,0,VLOOKUP(MATCH(1,Paramètres!$K$6:$K$45,0),LABO_Spells[#All],4)))</f>
        <v>0</v>
      </c>
      <c r="H9" s="147">
        <f>IF(Paramètres!$L$46=0,0,VLOOKUP(Paramètres!$L$47,SPELLFACTORY_Spells[#All],5))</f>
        <v>0</v>
      </c>
      <c r="I9" s="148">
        <f>IF($H9=0,0,IF(SUM(Paramètres!$K$6:$K$45)&lt;&gt;Paramètres!$K$3,0,VLOOKUP(MATCH(1,Paramètres!$K$6:$K$45,0),LABO_Spells[#All],5)))</f>
        <v>0</v>
      </c>
      <c r="J9" s="142">
        <f>IF(Paramètres!$L$46=0,0,VLOOKUP(Paramètres!$L$47,SPELLFACTORY_Spells[#All],6))</f>
        <v>0</v>
      </c>
      <c r="K9" s="143">
        <f>IF($J9=0,0,IF(SUM(Paramètres!$K$6:$K$45)&lt;&gt;Paramètres!$K$3,0,VLOOKUP(MATCH(1,Paramètres!$K$6:$K$45,0),LABO_Spells[#All],6)))</f>
        <v>0</v>
      </c>
      <c r="M9" s="7">
        <v>6</v>
      </c>
      <c r="N9" s="67">
        <f t="shared" si="2"/>
        <v>0</v>
      </c>
      <c r="O9" s="64">
        <f t="shared" si="3"/>
        <v>0</v>
      </c>
      <c r="P9" s="65">
        <f t="shared" si="4"/>
        <v>0</v>
      </c>
      <c r="Q9" s="66">
        <f t="shared" si="5"/>
        <v>0</v>
      </c>
      <c r="R9" s="63">
        <f t="shared" si="6"/>
        <v>0</v>
      </c>
      <c r="S9" s="64">
        <f t="shared" si="7"/>
        <v>0</v>
      </c>
      <c r="T9" s="65">
        <f t="shared" si="8"/>
        <v>0</v>
      </c>
      <c r="U9" s="66">
        <f t="shared" si="9"/>
        <v>0</v>
      </c>
      <c r="V9" s="63">
        <f t="shared" si="10"/>
        <v>0</v>
      </c>
      <c r="W9" s="64">
        <f t="shared" si="11"/>
        <v>0</v>
      </c>
      <c r="Y9" s="13">
        <v>6</v>
      </c>
      <c r="Z9" s="633">
        <v>1</v>
      </c>
      <c r="AA9" s="34">
        <v>1</v>
      </c>
      <c r="AB9" s="6">
        <v>1</v>
      </c>
      <c r="AC9" s="34">
        <v>1</v>
      </c>
      <c r="AD9" s="46">
        <v>1</v>
      </c>
      <c r="AF9" s="13">
        <v>6</v>
      </c>
      <c r="AG9" s="633">
        <v>5</v>
      </c>
      <c r="AH9" s="34">
        <v>5</v>
      </c>
      <c r="AI9" s="6">
        <v>5</v>
      </c>
      <c r="AJ9" s="34">
        <v>2</v>
      </c>
      <c r="AK9" s="46">
        <v>1</v>
      </c>
    </row>
    <row r="10" spans="1:37" x14ac:dyDescent="0.2">
      <c r="A10" s="7">
        <v>7</v>
      </c>
      <c r="B10" s="142">
        <f>IF(Paramètres!$L$46=0,0,VLOOKUP(Paramètres!$L$47,SPELLFACTORY_Spells[#All],2))</f>
        <v>0</v>
      </c>
      <c r="C10" s="143">
        <f>IF($B10=0,0,IF(SUM(Paramètres!$K$6:$K$45)&lt;&gt;Paramètres!$K$3,0,VLOOKUP(MATCH(1,Paramètres!$K$6:$K$45,0),LABO_Spells[#All],2)))</f>
        <v>0</v>
      </c>
      <c r="D10" s="3">
        <f>IF(Paramètres!$L$46=0,0,VLOOKUP(Paramètres!$L$47,SPELLFACTORY_Spells[#All],3))</f>
        <v>0</v>
      </c>
      <c r="E10" s="148">
        <f>IF($D10=0,0,IF(SUM(Paramètres!$K$6:$K$45)&lt;&gt;Paramètres!$K$3,0,VLOOKUP(MATCH(1,Paramètres!$K$6:$K$45,0),LABO_Spells[#All],3)))</f>
        <v>0</v>
      </c>
      <c r="F10" s="1">
        <f>IF(Paramètres!$L$46=0,0,VLOOKUP(Paramètres!$L$47,SPELLFACTORY_Spells[#All],4))</f>
        <v>0</v>
      </c>
      <c r="G10" s="143">
        <f>IF($F10=0,0,IF(SUM(Paramètres!$K$6:$K$45)&lt;&gt;Paramètres!$K$3,0,VLOOKUP(MATCH(1,Paramètres!$K$6:$K$45,0),LABO_Spells[#All],4)))</f>
        <v>0</v>
      </c>
      <c r="H10" s="3">
        <f>IF(Paramètres!$L$46=0,0,VLOOKUP(Paramètres!$L$47,SPELLFACTORY_Spells[#All],5))</f>
        <v>0</v>
      </c>
      <c r="I10" s="148">
        <f>IF($H10=0,0,IF(SUM(Paramètres!$K$6:$K$45)&lt;&gt;Paramètres!$K$3,0,VLOOKUP(MATCH(1,Paramètres!$K$6:$K$45,0),LABO_Spells[#All],5)))</f>
        <v>0</v>
      </c>
      <c r="J10" s="142">
        <f>IF(Paramètres!$L$46=0,0,VLOOKUP(Paramètres!$L$47,SPELLFACTORY_Spells[#All],6))</f>
        <v>0</v>
      </c>
      <c r="K10" s="143">
        <f>IF($J10=0,0,IF(SUM(Paramètres!$K$6:$K$45)&lt;&gt;Paramètres!$K$3,0,VLOOKUP(MATCH(1,Paramètres!$K$6:$K$45,0),LABO_Spells[#All],6)))</f>
        <v>0</v>
      </c>
      <c r="M10" s="7">
        <v>7</v>
      </c>
      <c r="N10" s="67">
        <f t="shared" si="2"/>
        <v>0</v>
      </c>
      <c r="O10" s="64">
        <f t="shared" si="3"/>
        <v>0</v>
      </c>
      <c r="P10" s="65">
        <f t="shared" si="4"/>
        <v>0</v>
      </c>
      <c r="Q10" s="66">
        <f t="shared" si="5"/>
        <v>0</v>
      </c>
      <c r="R10" s="63">
        <f t="shared" si="6"/>
        <v>0</v>
      </c>
      <c r="S10" s="64">
        <f t="shared" si="7"/>
        <v>0</v>
      </c>
      <c r="T10" s="65">
        <f t="shared" si="8"/>
        <v>0</v>
      </c>
      <c r="U10" s="66">
        <f t="shared" si="9"/>
        <v>0</v>
      </c>
      <c r="V10" s="63">
        <f t="shared" si="10"/>
        <v>0</v>
      </c>
      <c r="W10" s="64">
        <f t="shared" si="11"/>
        <v>0</v>
      </c>
      <c r="Y10" s="19">
        <v>7</v>
      </c>
      <c r="Z10" s="635">
        <v>1</v>
      </c>
      <c r="AA10" s="37">
        <v>1</v>
      </c>
      <c r="AB10" s="20">
        <v>1</v>
      </c>
      <c r="AC10" s="37">
        <v>1</v>
      </c>
      <c r="AD10" s="59">
        <v>1</v>
      </c>
      <c r="AF10" s="13">
        <v>7</v>
      </c>
      <c r="AG10" s="634">
        <v>6</v>
      </c>
      <c r="AH10" s="36">
        <v>6</v>
      </c>
      <c r="AI10" s="5">
        <v>5</v>
      </c>
      <c r="AJ10" s="36">
        <v>2</v>
      </c>
      <c r="AK10" s="45">
        <v>1</v>
      </c>
    </row>
    <row r="11" spans="1:37" x14ac:dyDescent="0.2">
      <c r="A11" s="7">
        <v>8</v>
      </c>
      <c r="B11" s="142">
        <f>IF(Paramètres!$L$46=0,0,VLOOKUP(Paramètres!$L$47,SPELLFACTORY_Spells[#All],2))</f>
        <v>0</v>
      </c>
      <c r="C11" s="143">
        <f>IF($B11=0,0,IF(SUM(Paramètres!$K$6:$K$45)&lt;&gt;Paramètres!$K$3,0,VLOOKUP(MATCH(1,Paramètres!$K$6:$K$45,0),LABO_Spells[#All],2)))</f>
        <v>0</v>
      </c>
      <c r="D11" s="4">
        <f>IF(Paramètres!$L$46=0,0,VLOOKUP(Paramètres!$L$47,SPELLFACTORY_Spells[#All],3))</f>
        <v>0</v>
      </c>
      <c r="E11" s="148">
        <f>IF($D11=0,0,IF(SUM(Paramètres!$K$6:$K$45)&lt;&gt;Paramètres!$K$3,0,VLOOKUP(MATCH(1,Paramètres!$K$6:$K$45,0),LABO_Spells[#All],3)))</f>
        <v>0</v>
      </c>
      <c r="F11" s="2">
        <f>IF(Paramètres!$L$46=0,0,VLOOKUP(Paramètres!$L$47,SPELLFACTORY_Spells[#All],4))</f>
        <v>0</v>
      </c>
      <c r="G11" s="143">
        <f>IF($F11=0,0,IF(SUM(Paramètres!$K$6:$K$45)&lt;&gt;Paramètres!$K$3,0,VLOOKUP(MATCH(1,Paramètres!$K$6:$K$45,0),LABO_Spells[#All],4)))</f>
        <v>0</v>
      </c>
      <c r="H11" s="4">
        <f>IF(Paramètres!$L$46=0,0,VLOOKUP(Paramètres!$L$47,SPELLFACTORY_Spells[#All],5))</f>
        <v>0</v>
      </c>
      <c r="I11" s="148">
        <f>IF($H11=0,0,IF(SUM(Paramètres!$K$6:$K$45)&lt;&gt;Paramètres!$K$3,0,VLOOKUP(MATCH(1,Paramètres!$K$6:$K$45,0),LABO_Spells[#All],5)))</f>
        <v>0</v>
      </c>
      <c r="J11" s="142">
        <f>IF(Paramètres!$L$46=0,0,VLOOKUP(Paramètres!$L$47,SPELLFACTORY_Spells[#All],6))</f>
        <v>0</v>
      </c>
      <c r="K11" s="143">
        <f>IF($J11=0,0,IF(SUM(Paramètres!$K$6:$K$45)&lt;&gt;Paramètres!$K$3,0,VLOOKUP(MATCH(1,Paramètres!$K$6:$K$45,0),LABO_Spells[#All],6)))</f>
        <v>0</v>
      </c>
      <c r="M11" s="7">
        <v>8</v>
      </c>
      <c r="N11" s="67">
        <f t="shared" si="2"/>
        <v>0</v>
      </c>
      <c r="O11" s="64">
        <f t="shared" si="3"/>
        <v>0</v>
      </c>
      <c r="P11" s="65">
        <f t="shared" si="4"/>
        <v>0</v>
      </c>
      <c r="Q11" s="66">
        <f t="shared" si="5"/>
        <v>0</v>
      </c>
      <c r="R11" s="63">
        <f t="shared" si="6"/>
        <v>0</v>
      </c>
      <c r="S11" s="64">
        <f t="shared" si="7"/>
        <v>0</v>
      </c>
      <c r="T11" s="65">
        <f t="shared" si="8"/>
        <v>0</v>
      </c>
      <c r="U11" s="66">
        <f t="shared" si="9"/>
        <v>0</v>
      </c>
      <c r="V11" s="63">
        <f t="shared" si="10"/>
        <v>0</v>
      </c>
      <c r="W11" s="64">
        <f t="shared" si="11"/>
        <v>0</v>
      </c>
      <c r="AF11" s="13">
        <v>8</v>
      </c>
      <c r="AG11" s="633">
        <v>7</v>
      </c>
      <c r="AH11" s="34">
        <v>6</v>
      </c>
      <c r="AI11" s="6">
        <v>5</v>
      </c>
      <c r="AJ11" s="34">
        <v>3</v>
      </c>
      <c r="AK11" s="46">
        <v>5</v>
      </c>
    </row>
    <row r="12" spans="1:37" x14ac:dyDescent="0.2">
      <c r="A12" s="7">
        <v>9</v>
      </c>
      <c r="B12" s="1">
        <f>IF(Paramètres!$L$46=0,0,VLOOKUP(Paramètres!$L$47,SPELLFACTORY_Spells[#All],2))</f>
        <v>0</v>
      </c>
      <c r="C12" s="143">
        <f>IF($B12=0,0,IF(SUM(Paramètres!$K$6:$K$45)&lt;&gt;Paramètres!$K$3,0,VLOOKUP(MATCH(1,Paramètres!$K$6:$K$45,0),LABO_Spells[#All],2)))</f>
        <v>0</v>
      </c>
      <c r="D12" s="3">
        <f>IF(Paramètres!$L$46=0,0,VLOOKUP(Paramètres!$L$47,SPELLFACTORY_Spells[#All],3))</f>
        <v>0</v>
      </c>
      <c r="E12" s="148">
        <f>IF($D12=0,0,IF(SUM(Paramètres!$K$6:$K$45)&lt;&gt;Paramètres!$K$3,0,VLOOKUP(MATCH(1,Paramètres!$K$6:$K$45,0),LABO_Spells[#All],3)))</f>
        <v>0</v>
      </c>
      <c r="F12" s="1">
        <f>IF(Paramètres!$L$46=0,0,VLOOKUP(Paramètres!$L$47,SPELLFACTORY_Spells[#All],4))</f>
        <v>0</v>
      </c>
      <c r="G12" s="5">
        <f>IF($F12=0,0,IF(SUM(Paramètres!$K$6:$K$45)&lt;&gt;Paramètres!$K$3,0,VLOOKUP(MATCH(1,Paramètres!$K$6:$K$45,0),LABO_Spells[#All],4)))</f>
        <v>0</v>
      </c>
      <c r="H12" s="3">
        <f>IF(Paramètres!$L$46=0,0,VLOOKUP(Paramètres!$L$47,SPELLFACTORY_Spells[#All],5))</f>
        <v>0</v>
      </c>
      <c r="I12" s="36">
        <f>IF($H12=0,0,IF(SUM(Paramètres!$K$6:$K$45)&lt;&gt;Paramètres!$K$3,0,VLOOKUP(MATCH(1,Paramètres!$K$6:$K$45,0),LABO_Spells[#All],5)))</f>
        <v>0</v>
      </c>
      <c r="J12" s="142">
        <f>IF(Paramètres!$L$46=0,0,VLOOKUP(Paramètres!$L$47,SPELLFACTORY_Spells[#All],6))</f>
        <v>0</v>
      </c>
      <c r="K12" s="143">
        <f>IF($J12=0,0,IF(SUM(Paramètres!$K$6:$K$45)&lt;&gt;Paramètres!$K$3,0,VLOOKUP(MATCH(1,Paramètres!$K$6:$K$45,0),LABO_Spells[#All],6)))</f>
        <v>0</v>
      </c>
      <c r="M12" s="7">
        <v>9</v>
      </c>
      <c r="N12" s="67">
        <f t="shared" si="2"/>
        <v>0</v>
      </c>
      <c r="O12" s="64">
        <f t="shared" si="3"/>
        <v>0</v>
      </c>
      <c r="P12" s="65">
        <f t="shared" si="4"/>
        <v>0</v>
      </c>
      <c r="Q12" s="66">
        <f t="shared" si="5"/>
        <v>0</v>
      </c>
      <c r="R12" s="63">
        <f t="shared" si="6"/>
        <v>0</v>
      </c>
      <c r="S12" s="64">
        <f t="shared" si="7"/>
        <v>0</v>
      </c>
      <c r="T12" s="65">
        <f t="shared" si="8"/>
        <v>0</v>
      </c>
      <c r="U12" s="66">
        <f t="shared" si="9"/>
        <v>0</v>
      </c>
      <c r="V12" s="63">
        <f t="shared" si="10"/>
        <v>0</v>
      </c>
      <c r="W12" s="64">
        <f t="shared" si="11"/>
        <v>0</v>
      </c>
      <c r="AF12" s="19">
        <v>9</v>
      </c>
      <c r="AG12" s="635">
        <v>7</v>
      </c>
      <c r="AH12" s="37">
        <v>6</v>
      </c>
      <c r="AI12" s="20">
        <v>5</v>
      </c>
      <c r="AJ12" s="37">
        <v>3</v>
      </c>
      <c r="AK12" s="59">
        <v>5</v>
      </c>
    </row>
    <row r="13" spans="1:37" ht="12" thickBot="1" x14ac:dyDescent="0.25">
      <c r="A13" s="8">
        <v>10</v>
      </c>
      <c r="B13" s="22">
        <f>IF(Paramètres!$L$46=0,0,VLOOKUP(Paramètres!$L$47,SPELLFACTORY_Spells[#All],2))</f>
        <v>0</v>
      </c>
      <c r="C13" s="143">
        <f>IF($B13=0,0,IF(SUM(Paramètres!$K$6:$K$45)&lt;&gt;Paramètres!$K$3,0,VLOOKUP(MATCH(1,Paramètres!$K$6:$K$45,0),LABO_Spells[#All],2)))</f>
        <v>0</v>
      </c>
      <c r="D13" s="21">
        <f>IF(Paramètres!$L$46=0,0,VLOOKUP(Paramètres!$L$47,SPELLFACTORY_Spells[#All],3))</f>
        <v>0</v>
      </c>
      <c r="E13" s="148">
        <f>IF($D13=0,0,IF(SUM(Paramètres!$K$6:$K$45)&lt;&gt;Paramètres!$K$3,0,VLOOKUP(MATCH(1,Paramètres!$K$6:$K$45,0),LABO_Spells[#All],3)))</f>
        <v>0</v>
      </c>
      <c r="F13" s="22">
        <f>IF(Paramètres!$L$46=0,0,VLOOKUP(Paramètres!$L$47,SPELLFACTORY_Spells[#All],4))</f>
        <v>0</v>
      </c>
      <c r="G13" s="20">
        <f>IF($F13=0,0,IF(SUM(Paramètres!$K$6:$K$45)&lt;&gt;Paramètres!$K$3,0,VLOOKUP(MATCH(1,Paramètres!$K$6:$K$45,0),LABO_Spells[#All],4)))</f>
        <v>0</v>
      </c>
      <c r="H13" s="21">
        <f>IF(Paramètres!$L$46=0,0,VLOOKUP(Paramètres!$L$47,SPELLFACTORY_Spells[#All],5))</f>
        <v>0</v>
      </c>
      <c r="I13" s="37">
        <f>IF($H13=0,0,IF(SUM(Paramètres!$K$6:$K$45)&lt;&gt;Paramètres!$K$3,0,VLOOKUP(MATCH(1,Paramètres!$K$6:$K$45,0),LABO_Spells[#All],5)))</f>
        <v>0</v>
      </c>
      <c r="J13" s="142">
        <f>IF(Paramètres!$L$46=0,0,VLOOKUP(Paramètres!$L$47,SPELLFACTORY_Spells[#All],6))</f>
        <v>0</v>
      </c>
      <c r="K13" s="143">
        <f>IF($J13=0,0,IF(SUM(Paramètres!$K$6:$K$45)&lt;&gt;Paramètres!$K$3,0,VLOOKUP(MATCH(1,Paramètres!$K$6:$K$45,0),LABO_Spells[#All],6)))</f>
        <v>0</v>
      </c>
      <c r="M13" s="8">
        <v>10</v>
      </c>
      <c r="N13" s="67">
        <f t="shared" si="2"/>
        <v>0</v>
      </c>
      <c r="O13" s="64">
        <f t="shared" si="3"/>
        <v>0</v>
      </c>
      <c r="P13" s="65">
        <f t="shared" si="4"/>
        <v>0</v>
      </c>
      <c r="Q13" s="66">
        <f t="shared" si="5"/>
        <v>0</v>
      </c>
      <c r="R13" s="63">
        <f t="shared" si="6"/>
        <v>0</v>
      </c>
      <c r="S13" s="64">
        <f t="shared" si="7"/>
        <v>0</v>
      </c>
      <c r="T13" s="65">
        <f t="shared" si="8"/>
        <v>0</v>
      </c>
      <c r="U13" s="66">
        <f t="shared" si="9"/>
        <v>0</v>
      </c>
      <c r="V13" s="63">
        <f t="shared" si="10"/>
        <v>0</v>
      </c>
      <c r="W13" s="64">
        <f t="shared" si="11"/>
        <v>0</v>
      </c>
    </row>
    <row r="14" spans="1:37" x14ac:dyDescent="0.2">
      <c r="A14" s="184">
        <v>11</v>
      </c>
      <c r="B14" s="22">
        <f>IF(Paramètres!$L$46=0,0,VLOOKUP(Paramètres!$L$47,SPELLFACTORY_Spells[#All],2))</f>
        <v>0</v>
      </c>
      <c r="C14" s="143">
        <f>IF($B14=0,0,IF(SUM(Paramètres!$K$6:$K$45)&lt;&gt;Paramètres!$K$3,0,VLOOKUP(MATCH(1,Paramètres!$K$6:$K$45,0),LABO_Spells[#All],2)))</f>
        <v>0</v>
      </c>
      <c r="D14" s="21">
        <f>IF(Paramètres!$L$46=0,0,VLOOKUP(Paramètres!$L$47,SPELLFACTORY_Spells[#All],3))</f>
        <v>0</v>
      </c>
      <c r="E14" s="148">
        <f>IF($D14=0,0,IF(SUM(Paramètres!$K$6:$K$45)&lt;&gt;Paramètres!$K$3,0,VLOOKUP(MATCH(1,Paramètres!$K$6:$K$45,0),LABO_Spells[#All],3)))</f>
        <v>0</v>
      </c>
      <c r="F14" s="22">
        <f>IF(Paramètres!$L$46=0,0,VLOOKUP(Paramètres!$L$47,SPELLFACTORY_Spells[#All],4))</f>
        <v>0</v>
      </c>
      <c r="G14" s="20">
        <f>IF($F14=0,0,IF(SUM(Paramètres!$K$6:$K$45)&lt;&gt;Paramètres!$K$3,0,VLOOKUP(MATCH(1,Paramètres!$K$6:$K$45,0),LABO_Spells[#All],4)))</f>
        <v>0</v>
      </c>
      <c r="H14" s="21">
        <f>IF(Paramètres!$L$46=0,0,VLOOKUP(Paramètres!$L$47,SPELLFACTORY_Spells[#All],5))</f>
        <v>0</v>
      </c>
      <c r="I14" s="37">
        <f>IF($H14=0,0,IF(SUM(Paramètres!$K$6:$K$45)&lt;&gt;Paramètres!$K$3,0,VLOOKUP(MATCH(1,Paramètres!$K$6:$K$45,0),LABO_Spells[#All],5)))</f>
        <v>0</v>
      </c>
      <c r="J14" s="142">
        <f>IF(Paramètres!$L$46=0,0,VLOOKUP(Paramètres!$L$47,SPELLFACTORY_Spells[#All],6))</f>
        <v>0</v>
      </c>
      <c r="K14" s="143">
        <f>IF($J14=0,0,IF(SUM(Paramètres!$K$6:$K$45)&lt;&gt;Paramètres!$K$3,0,VLOOKUP(MATCH(1,Paramètres!$K$6:$K$45,0),LABO_Spells[#All],6)))</f>
        <v>0</v>
      </c>
      <c r="M14" s="184">
        <v>11</v>
      </c>
      <c r="N14" s="871">
        <f t="shared" ref="N14" si="12">B14-B13</f>
        <v>0</v>
      </c>
      <c r="O14" s="872">
        <f t="shared" ref="O14" si="13">C14-C13</f>
        <v>0</v>
      </c>
      <c r="P14" s="873">
        <f t="shared" ref="P14" si="14">D14-D13</f>
        <v>0</v>
      </c>
      <c r="Q14" s="874">
        <f t="shared" ref="Q14" si="15">E14-E13</f>
        <v>0</v>
      </c>
      <c r="R14" s="875">
        <f t="shared" ref="R14" si="16">F14-F13</f>
        <v>0</v>
      </c>
      <c r="S14" s="872">
        <f t="shared" ref="S14" si="17">G14-G13</f>
        <v>0</v>
      </c>
      <c r="T14" s="873">
        <f t="shared" ref="T14" si="18">H14-H13</f>
        <v>0</v>
      </c>
      <c r="U14" s="874">
        <f t="shared" ref="U14" si="19">I14-I13</f>
        <v>0</v>
      </c>
      <c r="V14" s="875">
        <f t="shared" ref="V14" si="20">J14-J13</f>
        <v>0</v>
      </c>
      <c r="W14" s="872">
        <f t="shared" ref="W14" si="21">K14-K13</f>
        <v>0</v>
      </c>
    </row>
    <row r="15" spans="1:37" ht="12" thickBot="1" x14ac:dyDescent="0.25"/>
    <row r="16" spans="1:37" ht="19.5" customHeight="1" thickBot="1" x14ac:dyDescent="0.25">
      <c r="A16" s="1269" t="s">
        <v>705</v>
      </c>
      <c r="B16" s="1270"/>
      <c r="C16" s="1270"/>
      <c r="D16" s="1270"/>
      <c r="E16" s="1270"/>
      <c r="F16" s="1270"/>
      <c r="G16" s="1271"/>
      <c r="I16" s="1269" t="s">
        <v>704</v>
      </c>
      <c r="J16" s="1270"/>
      <c r="K16" s="1270"/>
      <c r="L16" s="1270"/>
      <c r="M16" s="1270"/>
      <c r="N16" s="1270"/>
      <c r="O16" s="1271"/>
      <c r="Q16" s="1269" t="s">
        <v>701</v>
      </c>
      <c r="R16" s="1270"/>
      <c r="S16" s="1270"/>
      <c r="T16" s="1271"/>
      <c r="V16" s="1269" t="s">
        <v>208</v>
      </c>
      <c r="W16" s="1270"/>
      <c r="X16" s="1270"/>
      <c r="Y16" s="1271"/>
    </row>
    <row r="17" spans="1:67" ht="57" thickBot="1" x14ac:dyDescent="0.25">
      <c r="A17" s="140" t="s">
        <v>17</v>
      </c>
      <c r="B17" s="17" t="s">
        <v>706</v>
      </c>
      <c r="C17" s="17" t="s">
        <v>15</v>
      </c>
      <c r="D17" s="17" t="s">
        <v>718</v>
      </c>
      <c r="E17" s="17" t="s">
        <v>21</v>
      </c>
      <c r="F17" s="17" t="s">
        <v>707</v>
      </c>
      <c r="G17" s="17" t="s">
        <v>22</v>
      </c>
      <c r="I17" s="140" t="s">
        <v>17</v>
      </c>
      <c r="J17" s="17" t="s">
        <v>706</v>
      </c>
      <c r="K17" s="17" t="s">
        <v>15</v>
      </c>
      <c r="L17" s="17" t="s">
        <v>718</v>
      </c>
      <c r="M17" s="17" t="s">
        <v>21</v>
      </c>
      <c r="N17" s="17" t="s">
        <v>707</v>
      </c>
      <c r="O17" s="17" t="s">
        <v>22</v>
      </c>
      <c r="Q17" s="12" t="s">
        <v>703</v>
      </c>
      <c r="R17" s="546" t="s">
        <v>706</v>
      </c>
      <c r="S17" s="547" t="s">
        <v>718</v>
      </c>
      <c r="T17" s="547" t="s">
        <v>707</v>
      </c>
      <c r="V17" s="12" t="s">
        <v>640</v>
      </c>
      <c r="W17" s="546" t="s">
        <v>706</v>
      </c>
      <c r="X17" s="547" t="s">
        <v>718</v>
      </c>
      <c r="Y17" s="547" t="s">
        <v>707</v>
      </c>
    </row>
    <row r="18" spans="1:67" x14ac:dyDescent="0.2">
      <c r="A18" s="51">
        <v>0</v>
      </c>
      <c r="B18" s="776">
        <f>IF(Paramètres!$M$46=0,0,VLOOKUP(Paramètres!$M$47,SPELLFACTORY_DarkSpells[#All],2))</f>
        <v>0</v>
      </c>
      <c r="C18" s="777">
        <f>IF($B18=0,0,IF(SUM(Paramètres!$K$6:$K$45)&lt;&gt;Paramètres!$K$3,0,VLOOKUP(MATCH(1,Paramètres!$K$6:$K$45,0),LABO_Dark_Spells[#All],2)))</f>
        <v>0</v>
      </c>
      <c r="D18" s="778">
        <f>IF(Paramètres!$M$46=0,0,VLOOKUP(Paramètres!$M$47,SPELLFACTORY_DarkSpells[#All],3))</f>
        <v>0</v>
      </c>
      <c r="E18" s="779">
        <f>IF($D18=0,0,IF(SUM(Paramètres!$K$6:$K$45)&lt;&gt;Paramètres!$K$3,0,VLOOKUP(MATCH(1,Paramètres!$K$6:$K$45,0),LABO_Dark_Spells[#All],3)))</f>
        <v>0</v>
      </c>
      <c r="F18" s="776">
        <f>IF(Paramètres!$M$46=0,0,VLOOKUP(Paramètres!$M$47,SPELLFACTORY_DarkSpells[#All],4))</f>
        <v>0</v>
      </c>
      <c r="G18" s="777">
        <f>IF($F18=0,0,IF(SUM(Paramètres!$K$6:$K$45)&lt;&gt;Paramètres!$K$3,0,VLOOKUP(MATCH(1,Paramètres!$K$6:$K$45,0),LABO_Dark_Spells[#All],4)))</f>
        <v>0</v>
      </c>
      <c r="I18" s="51">
        <v>0</v>
      </c>
      <c r="J18" s="144">
        <f t="shared" ref="J18" si="22">B18</f>
        <v>0</v>
      </c>
      <c r="K18" s="145">
        <f t="shared" ref="K18" si="23">C18</f>
        <v>0</v>
      </c>
      <c r="L18" s="149">
        <f>D18</f>
        <v>0</v>
      </c>
      <c r="M18" s="150">
        <f t="shared" ref="M18" si="24">E18</f>
        <v>0</v>
      </c>
      <c r="N18" s="146">
        <f t="shared" ref="N18" si="25">F18</f>
        <v>0</v>
      </c>
      <c r="O18" s="145">
        <f t="shared" ref="O18" si="26">G18</f>
        <v>0</v>
      </c>
      <c r="Q18" s="13">
        <v>0</v>
      </c>
      <c r="R18" s="633">
        <v>0</v>
      </c>
      <c r="S18" s="34">
        <v>0</v>
      </c>
      <c r="T18" s="6">
        <v>0</v>
      </c>
      <c r="V18" s="13">
        <v>0</v>
      </c>
      <c r="W18" s="633">
        <v>0</v>
      </c>
      <c r="X18" s="34">
        <v>0</v>
      </c>
      <c r="Y18" s="6">
        <v>0</v>
      </c>
    </row>
    <row r="19" spans="1:67" x14ac:dyDescent="0.2">
      <c r="A19" s="141">
        <v>1</v>
      </c>
      <c r="B19" s="776">
        <f>IF(Paramètres!$M$46=0,0,VLOOKUP(Paramètres!$M$47,SPELLFACTORY_DarkSpells[#All],2))</f>
        <v>0</v>
      </c>
      <c r="C19" s="777">
        <f>IF($B19=0,0,IF(SUM(Paramètres!$K$6:$K$45)&lt;&gt;Paramètres!$K$3,0,VLOOKUP(MATCH(1,Paramètres!$K$6:$K$45,0),LABO_Dark_Spells[#All],2)))</f>
        <v>0</v>
      </c>
      <c r="D19" s="778">
        <f>IF(Paramètres!$M$46=0,0,VLOOKUP(Paramètres!$M$47,SPELLFACTORY_DarkSpells[#All],3))</f>
        <v>0</v>
      </c>
      <c r="E19" s="779">
        <f>IF($D19=0,0,IF(SUM(Paramètres!$K$6:$K$45)&lt;&gt;Paramètres!$K$3,0,VLOOKUP(MATCH(1,Paramètres!$K$6:$K$45,0),LABO_Dark_Spells[#All],3)))</f>
        <v>0</v>
      </c>
      <c r="F19" s="776">
        <f>IF(Paramètres!$M$46=0,0,VLOOKUP(Paramètres!$M$47,SPELLFACTORY_DarkSpells[#All],4))</f>
        <v>0</v>
      </c>
      <c r="G19" s="777">
        <f>IF($F19=0,0,IF(SUM(Paramètres!$K$6:$K$45)&lt;&gt;Paramètres!$K$3,0,VLOOKUP(MATCH(1,Paramètres!$K$6:$K$45,0),LABO_Dark_Spells[#All],4)))</f>
        <v>0</v>
      </c>
      <c r="I19" s="141">
        <v>1</v>
      </c>
      <c r="J19" s="67">
        <f t="shared" ref="J19:J28" si="27">B19-B18</f>
        <v>0</v>
      </c>
      <c r="K19" s="64">
        <f t="shared" ref="K19:K28" si="28">C19-C18</f>
        <v>0</v>
      </c>
      <c r="L19" s="65">
        <f t="shared" ref="L19:L28" si="29">D19-D18</f>
        <v>0</v>
      </c>
      <c r="M19" s="66">
        <f t="shared" ref="M19:M28" si="30">E19-E18</f>
        <v>0</v>
      </c>
      <c r="N19" s="63">
        <f t="shared" ref="N19:N28" si="31">F19-F18</f>
        <v>0</v>
      </c>
      <c r="O19" s="64">
        <f t="shared" ref="O19:O28" si="32">G19-G18</f>
        <v>0</v>
      </c>
      <c r="Q19" s="13">
        <v>1</v>
      </c>
      <c r="R19" s="634">
        <v>1</v>
      </c>
      <c r="S19" s="36">
        <v>0</v>
      </c>
      <c r="T19" s="5">
        <v>0</v>
      </c>
      <c r="V19" s="13">
        <v>1</v>
      </c>
      <c r="W19" s="634">
        <v>0</v>
      </c>
      <c r="X19" s="36">
        <v>0</v>
      </c>
      <c r="Y19" s="5">
        <v>0</v>
      </c>
    </row>
    <row r="20" spans="1:67" x14ac:dyDescent="0.2">
      <c r="A20" s="7">
        <v>2</v>
      </c>
      <c r="B20" s="776">
        <f>IF(Paramètres!$M$46=0,0,VLOOKUP(Paramètres!$M$47,SPELLFACTORY_DarkSpells[#All],2))</f>
        <v>0</v>
      </c>
      <c r="C20" s="777">
        <f>IF($B20=0,0,IF(SUM(Paramètres!$K$6:$K$45)&lt;&gt;Paramètres!$K$3,0,VLOOKUP(MATCH(1,Paramètres!$K$6:$K$45,0),LABO_Dark_Spells[#All],2)))</f>
        <v>0</v>
      </c>
      <c r="D20" s="778">
        <f>IF(Paramètres!$M$46=0,0,VLOOKUP(Paramètres!$M$47,SPELLFACTORY_DarkSpells[#All],3))</f>
        <v>0</v>
      </c>
      <c r="E20" s="779">
        <f>IF($D20=0,0,IF(SUM(Paramètres!$K$6:$K$45)&lt;&gt;Paramètres!$K$3,0,VLOOKUP(MATCH(1,Paramètres!$K$6:$K$45,0),LABO_Dark_Spells[#All],3)))</f>
        <v>0</v>
      </c>
      <c r="F20" s="776">
        <f>IF(Paramètres!$M$46=0,0,VLOOKUP(Paramètres!$M$47,SPELLFACTORY_DarkSpells[#All],4))</f>
        <v>0</v>
      </c>
      <c r="G20" s="777">
        <f>IF($F20=0,0,IF(SUM(Paramètres!$K$6:$K$45)&lt;&gt;Paramètres!$K$3,0,VLOOKUP(MATCH(1,Paramètres!$K$6:$K$45,0),LABO_Dark_Spells[#All],4)))</f>
        <v>0</v>
      </c>
      <c r="I20" s="7">
        <v>2</v>
      </c>
      <c r="J20" s="67">
        <f t="shared" si="27"/>
        <v>0</v>
      </c>
      <c r="K20" s="64">
        <f t="shared" si="28"/>
        <v>0</v>
      </c>
      <c r="L20" s="65">
        <f t="shared" si="29"/>
        <v>0</v>
      </c>
      <c r="M20" s="66">
        <f t="shared" si="30"/>
        <v>0</v>
      </c>
      <c r="N20" s="63">
        <f t="shared" si="31"/>
        <v>0</v>
      </c>
      <c r="O20" s="64">
        <f t="shared" si="32"/>
        <v>0</v>
      </c>
      <c r="Q20" s="13">
        <v>2</v>
      </c>
      <c r="R20" s="633">
        <v>1</v>
      </c>
      <c r="S20" s="34">
        <v>1</v>
      </c>
      <c r="T20" s="6">
        <v>0</v>
      </c>
      <c r="V20" s="13">
        <v>2</v>
      </c>
      <c r="W20" s="633">
        <v>0</v>
      </c>
      <c r="X20" s="34">
        <v>0</v>
      </c>
      <c r="Y20" s="6">
        <v>0</v>
      </c>
    </row>
    <row r="21" spans="1:67" x14ac:dyDescent="0.2">
      <c r="A21" s="7">
        <v>3</v>
      </c>
      <c r="B21" s="776">
        <f>IF(Paramètres!$M$46=0,0,VLOOKUP(Paramètres!$M$47,SPELLFACTORY_DarkSpells[#All],2))</f>
        <v>0</v>
      </c>
      <c r="C21" s="777">
        <f>IF($B21=0,0,IF(SUM(Paramètres!$K$6:$K$45)&lt;&gt;Paramètres!$K$3,0,VLOOKUP(MATCH(1,Paramètres!$K$6:$K$45,0),LABO_Dark_Spells[#All],2)))</f>
        <v>0</v>
      </c>
      <c r="D21" s="778">
        <f>IF(Paramètres!$M$46=0,0,VLOOKUP(Paramètres!$M$47,SPELLFACTORY_DarkSpells[#All],3))</f>
        <v>0</v>
      </c>
      <c r="E21" s="779">
        <f>IF($D21=0,0,IF(SUM(Paramètres!$K$6:$K$45)&lt;&gt;Paramètres!$K$3,0,VLOOKUP(MATCH(1,Paramètres!$K$6:$K$45,0),LABO_Dark_Spells[#All],3)))</f>
        <v>0</v>
      </c>
      <c r="F21" s="776">
        <f>IF(Paramètres!$M$46=0,0,VLOOKUP(Paramètres!$M$47,SPELLFACTORY_DarkSpells[#All],4))</f>
        <v>0</v>
      </c>
      <c r="G21" s="777">
        <f>IF($F21=0,0,IF(SUM(Paramètres!$K$6:$K$45)&lt;&gt;Paramètres!$K$3,0,VLOOKUP(MATCH(1,Paramètres!$K$6:$K$45,0),LABO_Dark_Spells[#All],4)))</f>
        <v>0</v>
      </c>
      <c r="I21" s="7">
        <v>3</v>
      </c>
      <c r="J21" s="67">
        <f t="shared" si="27"/>
        <v>0</v>
      </c>
      <c r="K21" s="64">
        <f t="shared" si="28"/>
        <v>0</v>
      </c>
      <c r="L21" s="65">
        <f t="shared" si="29"/>
        <v>0</v>
      </c>
      <c r="M21" s="66">
        <f t="shared" si="30"/>
        <v>0</v>
      </c>
      <c r="N21" s="63">
        <f t="shared" si="31"/>
        <v>0</v>
      </c>
      <c r="O21" s="64">
        <f t="shared" si="32"/>
        <v>0</v>
      </c>
      <c r="Q21" s="13">
        <v>3</v>
      </c>
      <c r="R21" s="634">
        <v>1</v>
      </c>
      <c r="S21" s="36">
        <v>1</v>
      </c>
      <c r="T21" s="5">
        <v>1</v>
      </c>
      <c r="V21" s="13">
        <v>3</v>
      </c>
      <c r="W21" s="634">
        <v>0</v>
      </c>
      <c r="X21" s="36">
        <v>0</v>
      </c>
      <c r="Y21" s="5">
        <v>0</v>
      </c>
    </row>
    <row r="22" spans="1:67" x14ac:dyDescent="0.2">
      <c r="A22" s="7">
        <v>4</v>
      </c>
      <c r="B22" s="776">
        <f>IF(Paramètres!$M$46=0,0,VLOOKUP(Paramètres!$M$47,SPELLFACTORY_DarkSpells[#All],2))</f>
        <v>0</v>
      </c>
      <c r="C22" s="777">
        <f>IF($B22=0,0,IF(SUM(Paramètres!$K$6:$K$45)&lt;&gt;Paramètres!$K$3,0,VLOOKUP(MATCH(1,Paramètres!$K$6:$K$45,0),LABO_Dark_Spells[#All],2)))</f>
        <v>0</v>
      </c>
      <c r="D22" s="778">
        <f>IF(Paramètres!$M$46=0,0,VLOOKUP(Paramètres!$M$47,SPELLFACTORY_DarkSpells[#All],3))</f>
        <v>0</v>
      </c>
      <c r="E22" s="779">
        <f>IF($D22=0,0,IF(SUM(Paramètres!$K$6:$K$45)&lt;&gt;Paramètres!$K$3,0,VLOOKUP(MATCH(1,Paramètres!$K$6:$K$45,0),LABO_Dark_Spells[#All],3)))</f>
        <v>0</v>
      </c>
      <c r="F22" s="776">
        <f>IF(Paramètres!$M$46=0,0,VLOOKUP(Paramètres!$M$47,SPELLFACTORY_DarkSpells[#All],4))</f>
        <v>0</v>
      </c>
      <c r="G22" s="777">
        <f>IF($F22=0,0,IF(SUM(Paramètres!$K$6:$K$45)&lt;&gt;Paramètres!$K$3,0,VLOOKUP(MATCH(1,Paramètres!$K$6:$K$45,0),LABO_Dark_Spells[#All],4)))</f>
        <v>0</v>
      </c>
      <c r="I22" s="7">
        <v>4</v>
      </c>
      <c r="J22" s="67">
        <f t="shared" si="27"/>
        <v>0</v>
      </c>
      <c r="K22" s="64">
        <f t="shared" si="28"/>
        <v>0</v>
      </c>
      <c r="L22" s="65">
        <f t="shared" si="29"/>
        <v>0</v>
      </c>
      <c r="M22" s="66">
        <f t="shared" si="30"/>
        <v>0</v>
      </c>
      <c r="N22" s="63">
        <f t="shared" si="31"/>
        <v>0</v>
      </c>
      <c r="O22" s="64">
        <f t="shared" si="32"/>
        <v>0</v>
      </c>
      <c r="Q22" s="13">
        <v>4</v>
      </c>
      <c r="R22" s="633">
        <v>1</v>
      </c>
      <c r="S22" s="34">
        <v>1</v>
      </c>
      <c r="T22" s="6">
        <v>1</v>
      </c>
      <c r="V22" s="13">
        <v>4</v>
      </c>
      <c r="W22" s="633">
        <v>0</v>
      </c>
      <c r="X22" s="34">
        <v>0</v>
      </c>
      <c r="Y22" s="6">
        <v>0</v>
      </c>
    </row>
    <row r="23" spans="1:67" x14ac:dyDescent="0.2">
      <c r="A23" s="7">
        <v>5</v>
      </c>
      <c r="B23" s="776">
        <f>IF(Paramètres!$M$46=0,0,VLOOKUP(Paramètres!$M$47,SPELLFACTORY_DarkSpells[#All],2))</f>
        <v>0</v>
      </c>
      <c r="C23" s="777">
        <f>IF($B23=0,0,IF(SUM(Paramètres!$K$6:$K$45)&lt;&gt;Paramètres!$K$3,0,VLOOKUP(MATCH(1,Paramètres!$K$6:$K$45,0),LABO_Dark_Spells[#All],2)))</f>
        <v>0</v>
      </c>
      <c r="D23" s="778">
        <f>IF(Paramètres!$M$46=0,0,VLOOKUP(Paramètres!$M$47,SPELLFACTORY_DarkSpells[#All],3))</f>
        <v>0</v>
      </c>
      <c r="E23" s="779">
        <f>IF($D23=0,0,IF(SUM(Paramètres!$K$6:$K$45)&lt;&gt;Paramètres!$K$3,0,VLOOKUP(MATCH(1,Paramètres!$K$6:$K$45,0),LABO_Dark_Spells[#All],3)))</f>
        <v>0</v>
      </c>
      <c r="F23" s="776">
        <f>IF(Paramètres!$M$46=0,0,VLOOKUP(Paramètres!$M$47,SPELLFACTORY_DarkSpells[#All],4))</f>
        <v>0</v>
      </c>
      <c r="G23" s="777">
        <f>IF($F23=0,0,IF(SUM(Paramètres!$K$6:$K$45)&lt;&gt;Paramètres!$K$3,0,VLOOKUP(MATCH(1,Paramètres!$K$6:$K$45,0),LABO_Dark_Spells[#All],4)))</f>
        <v>0</v>
      </c>
      <c r="I23" s="7">
        <v>5</v>
      </c>
      <c r="J23" s="67">
        <f t="shared" si="27"/>
        <v>0</v>
      </c>
      <c r="K23" s="64">
        <f t="shared" si="28"/>
        <v>0</v>
      </c>
      <c r="L23" s="65">
        <f t="shared" si="29"/>
        <v>0</v>
      </c>
      <c r="M23" s="66">
        <f t="shared" si="30"/>
        <v>0</v>
      </c>
      <c r="N23" s="63">
        <f t="shared" si="31"/>
        <v>0</v>
      </c>
      <c r="O23" s="64">
        <f t="shared" si="32"/>
        <v>0</v>
      </c>
      <c r="Q23" s="13">
        <v>5</v>
      </c>
      <c r="R23" s="634">
        <v>1</v>
      </c>
      <c r="S23" s="36">
        <v>1</v>
      </c>
      <c r="T23" s="5">
        <v>1</v>
      </c>
      <c r="V23" s="13">
        <v>5</v>
      </c>
      <c r="W23" s="634">
        <v>0</v>
      </c>
      <c r="X23" s="36">
        <v>0</v>
      </c>
      <c r="Y23" s="5">
        <v>0</v>
      </c>
    </row>
    <row r="24" spans="1:67" x14ac:dyDescent="0.2">
      <c r="A24" s="7">
        <v>6</v>
      </c>
      <c r="B24" s="776">
        <f>IF(Paramètres!$M$46=0,0,VLOOKUP(Paramètres!$M$47,SPELLFACTORY_DarkSpells[#All],2))</f>
        <v>0</v>
      </c>
      <c r="C24" s="777">
        <f>IF($B24=0,0,IF(SUM(Paramètres!$K$6:$K$45)&lt;&gt;Paramètres!$K$3,0,VLOOKUP(MATCH(1,Paramètres!$K$6:$K$45,0),LABO_Dark_Spells[#All],2)))</f>
        <v>0</v>
      </c>
      <c r="D24" s="778">
        <f>IF(Paramètres!$M$46=0,0,VLOOKUP(Paramètres!$M$47,SPELLFACTORY_DarkSpells[#All],3))</f>
        <v>0</v>
      </c>
      <c r="E24" s="779">
        <f>IF($D24=0,0,IF(SUM(Paramètres!$K$6:$K$45)&lt;&gt;Paramètres!$K$3,0,VLOOKUP(MATCH(1,Paramètres!$K$6:$K$45,0),LABO_Dark_Spells[#All],3)))</f>
        <v>0</v>
      </c>
      <c r="F24" s="776">
        <f>IF(Paramètres!$M$46=0,0,VLOOKUP(Paramètres!$M$47,SPELLFACTORY_DarkSpells[#All],4))</f>
        <v>0</v>
      </c>
      <c r="G24" s="777">
        <f>IF($F24=0,0,IF(SUM(Paramètres!$K$6:$K$45)&lt;&gt;Paramètres!$K$3,0,VLOOKUP(MATCH(1,Paramètres!$K$6:$K$45,0),LABO_Dark_Spells[#All],4)))</f>
        <v>0</v>
      </c>
      <c r="I24" s="7">
        <v>6</v>
      </c>
      <c r="J24" s="67">
        <f t="shared" si="27"/>
        <v>0</v>
      </c>
      <c r="K24" s="64">
        <f t="shared" si="28"/>
        <v>0</v>
      </c>
      <c r="L24" s="65">
        <f t="shared" si="29"/>
        <v>0</v>
      </c>
      <c r="M24" s="66">
        <f t="shared" si="30"/>
        <v>0</v>
      </c>
      <c r="N24" s="63">
        <f t="shared" si="31"/>
        <v>0</v>
      </c>
      <c r="O24" s="64">
        <f t="shared" si="32"/>
        <v>0</v>
      </c>
      <c r="Q24" s="13">
        <v>6</v>
      </c>
      <c r="R24" s="633">
        <v>1</v>
      </c>
      <c r="S24" s="34">
        <v>1</v>
      </c>
      <c r="T24" s="6">
        <v>1</v>
      </c>
      <c r="V24" s="13">
        <v>6</v>
      </c>
      <c r="W24" s="633">
        <v>2</v>
      </c>
      <c r="X24" s="34">
        <v>2</v>
      </c>
      <c r="Y24" s="6">
        <v>0</v>
      </c>
    </row>
    <row r="25" spans="1:67" x14ac:dyDescent="0.2">
      <c r="A25" s="7">
        <v>7</v>
      </c>
      <c r="B25" s="776">
        <f>IF(Paramètres!$M$46=0,0,VLOOKUP(Paramètres!$M$47,SPELLFACTORY_DarkSpells[#All],2))</f>
        <v>0</v>
      </c>
      <c r="C25" s="777">
        <f>IF($B25=0,0,IF(SUM(Paramètres!$K$6:$K$45)&lt;&gt;Paramètres!$K$3,0,VLOOKUP(MATCH(1,Paramètres!$K$6:$K$45,0),LABO_Dark_Spells[#All],2)))</f>
        <v>0</v>
      </c>
      <c r="D25" s="778">
        <f>IF(Paramètres!$M$46=0,0,VLOOKUP(Paramètres!$M$47,SPELLFACTORY_DarkSpells[#All],3))</f>
        <v>0</v>
      </c>
      <c r="E25" s="779">
        <f>IF($D25=0,0,IF(SUM(Paramètres!$K$6:$K$45)&lt;&gt;Paramètres!$K$3,0,VLOOKUP(MATCH(1,Paramètres!$K$6:$K$45,0),LABO_Dark_Spells[#All],3)))</f>
        <v>0</v>
      </c>
      <c r="F25" s="776">
        <f>IF(Paramètres!$M$46=0,0,VLOOKUP(Paramètres!$M$47,SPELLFACTORY_DarkSpells[#All],4))</f>
        <v>0</v>
      </c>
      <c r="G25" s="777">
        <f>IF($F25=0,0,IF(SUM(Paramètres!$K$6:$K$45)&lt;&gt;Paramètres!$K$3,0,VLOOKUP(MATCH(1,Paramètres!$K$6:$K$45,0),LABO_Dark_Spells[#All],4)))</f>
        <v>0</v>
      </c>
      <c r="I25" s="7">
        <v>7</v>
      </c>
      <c r="J25" s="67">
        <f t="shared" si="27"/>
        <v>0</v>
      </c>
      <c r="K25" s="64">
        <f t="shared" si="28"/>
        <v>0</v>
      </c>
      <c r="L25" s="65">
        <f t="shared" si="29"/>
        <v>0</v>
      </c>
      <c r="M25" s="66">
        <f t="shared" si="30"/>
        <v>0</v>
      </c>
      <c r="N25" s="63">
        <f t="shared" si="31"/>
        <v>0</v>
      </c>
      <c r="O25" s="64">
        <f t="shared" si="32"/>
        <v>0</v>
      </c>
      <c r="V25" s="13">
        <v>7</v>
      </c>
      <c r="W25" s="634">
        <v>3</v>
      </c>
      <c r="X25" s="36">
        <v>3</v>
      </c>
      <c r="Y25" s="5">
        <v>2</v>
      </c>
    </row>
    <row r="26" spans="1:67" x14ac:dyDescent="0.2">
      <c r="A26" s="7">
        <v>8</v>
      </c>
      <c r="B26" s="776">
        <f>IF(Paramètres!$M$46=0,0,VLOOKUP(Paramètres!$M$47,SPELLFACTORY_DarkSpells[#All],2))</f>
        <v>0</v>
      </c>
      <c r="C26" s="777">
        <f>IF($B26=0,0,IF(SUM(Paramètres!$K$6:$K$45)&lt;&gt;Paramètres!$K$3,0,VLOOKUP(MATCH(1,Paramètres!$K$6:$K$45,0),LABO_Dark_Spells[#All],2)))</f>
        <v>0</v>
      </c>
      <c r="D26" s="778">
        <f>IF(Paramètres!$M$46=0,0,VLOOKUP(Paramètres!$M$47,SPELLFACTORY_DarkSpells[#All],3))</f>
        <v>0</v>
      </c>
      <c r="E26" s="779">
        <f>IF($D26=0,0,IF(SUM(Paramètres!$K$6:$K$45)&lt;&gt;Paramètres!$K$3,0,VLOOKUP(MATCH(1,Paramètres!$K$6:$K$45,0),LABO_Dark_Spells[#All],3)))</f>
        <v>0</v>
      </c>
      <c r="F26" s="776">
        <f>IF(Paramètres!$M$46=0,0,VLOOKUP(Paramètres!$M$47,SPELLFACTORY_DarkSpells[#All],4))</f>
        <v>0</v>
      </c>
      <c r="G26" s="777">
        <f>IF($F26=0,0,IF(SUM(Paramètres!$K$6:$K$45)&lt;&gt;Paramètres!$K$3,0,VLOOKUP(MATCH(1,Paramètres!$K$6:$K$45,0),LABO_Dark_Spells[#All],4)))</f>
        <v>0</v>
      </c>
      <c r="I26" s="7">
        <v>8</v>
      </c>
      <c r="J26" s="67">
        <f t="shared" si="27"/>
        <v>0</v>
      </c>
      <c r="K26" s="64">
        <f t="shared" si="28"/>
        <v>0</v>
      </c>
      <c r="L26" s="65">
        <f t="shared" si="29"/>
        <v>0</v>
      </c>
      <c r="M26" s="66">
        <f t="shared" si="30"/>
        <v>0</v>
      </c>
      <c r="N26" s="63">
        <f t="shared" si="31"/>
        <v>0</v>
      </c>
      <c r="O26" s="64">
        <f t="shared" si="32"/>
        <v>0</v>
      </c>
      <c r="V26" s="13">
        <v>8</v>
      </c>
      <c r="W26" s="633">
        <v>4</v>
      </c>
      <c r="X26" s="34">
        <v>4</v>
      </c>
      <c r="Y26" s="6">
        <v>4</v>
      </c>
    </row>
    <row r="27" spans="1:67" x14ac:dyDescent="0.2">
      <c r="A27" s="7">
        <v>9</v>
      </c>
      <c r="B27" s="776">
        <f>IF(Paramètres!$M$46=0,0,VLOOKUP(Paramètres!$M$47,SPELLFACTORY_DarkSpells[#All],2))</f>
        <v>0</v>
      </c>
      <c r="C27" s="777">
        <f>IF($B27=0,0,IF(SUM(Paramètres!$K$6:$K$45)&lt;&gt;Paramètres!$K$3,0,VLOOKUP(MATCH(1,Paramètres!$K$6:$K$45,0),LABO_Dark_Spells[#All],2)))</f>
        <v>0</v>
      </c>
      <c r="D27" s="778">
        <f>IF(Paramètres!$M$46=0,0,VLOOKUP(Paramètres!$M$47,SPELLFACTORY_DarkSpells[#All],3))</f>
        <v>0</v>
      </c>
      <c r="E27" s="779">
        <f>IF($D27=0,0,IF(SUM(Paramètres!$K$6:$K$45)&lt;&gt;Paramètres!$K$3,0,VLOOKUP(MATCH(1,Paramètres!$K$6:$K$45,0),LABO_Dark_Spells[#All],3)))</f>
        <v>0</v>
      </c>
      <c r="F27" s="776">
        <f>IF(Paramètres!$M$46=0,0,VLOOKUP(Paramètres!$M$47,SPELLFACTORY_DarkSpells[#All],4))</f>
        <v>0</v>
      </c>
      <c r="G27" s="777">
        <f>IF($F27=0,0,IF(SUM(Paramètres!$K$6:$K$45)&lt;&gt;Paramètres!$K$3,0,VLOOKUP(MATCH(1,Paramètres!$K$6:$K$45,0),LABO_Dark_Spells[#All],4)))</f>
        <v>0</v>
      </c>
      <c r="I27" s="7">
        <v>9</v>
      </c>
      <c r="J27" s="67">
        <f t="shared" si="27"/>
        <v>0</v>
      </c>
      <c r="K27" s="64">
        <f t="shared" si="28"/>
        <v>0</v>
      </c>
      <c r="L27" s="65">
        <f t="shared" si="29"/>
        <v>0</v>
      </c>
      <c r="M27" s="66">
        <f t="shared" si="30"/>
        <v>0</v>
      </c>
      <c r="N27" s="63">
        <f t="shared" si="31"/>
        <v>0</v>
      </c>
      <c r="O27" s="64">
        <f t="shared" si="32"/>
        <v>0</v>
      </c>
      <c r="V27" s="19">
        <v>9</v>
      </c>
      <c r="W27" s="635">
        <v>4</v>
      </c>
      <c r="X27" s="37">
        <v>4</v>
      </c>
      <c r="Y27" s="20">
        <v>4</v>
      </c>
    </row>
    <row r="28" spans="1:67" ht="12" thickBot="1" x14ac:dyDescent="0.25">
      <c r="A28" s="8">
        <v>10</v>
      </c>
      <c r="B28" s="776">
        <f>IF(Paramètres!$M$46=0,0,VLOOKUP(Paramètres!$M$47,SPELLFACTORY_DarkSpells[#All],2))</f>
        <v>0</v>
      </c>
      <c r="C28" s="777">
        <f>IF($B28=0,0,IF(SUM(Paramètres!$K$6:$K$45)&lt;&gt;Paramètres!$K$3,0,VLOOKUP(MATCH(1,Paramètres!$K$6:$K$45,0),LABO_Dark_Spells[#All],2)))</f>
        <v>0</v>
      </c>
      <c r="D28" s="778">
        <f>IF(Paramètres!$M$46=0,0,VLOOKUP(Paramètres!$M$47,SPELLFACTORY_DarkSpells[#All],3))</f>
        <v>0</v>
      </c>
      <c r="E28" s="779">
        <f>IF($D28=0,0,IF(SUM(Paramètres!$K$6:$K$45)&lt;&gt;Paramètres!$K$3,0,VLOOKUP(MATCH(1,Paramètres!$K$6:$K$45,0),LABO_Dark_Spells[#All],3)))</f>
        <v>0</v>
      </c>
      <c r="F28" s="776">
        <f>IF(Paramètres!$M$46=0,0,VLOOKUP(Paramètres!$M$47,SPELLFACTORY_DarkSpells[#All],4))</f>
        <v>0</v>
      </c>
      <c r="G28" s="777">
        <f>IF($F28=0,0,IF(SUM(Paramètres!$K$6:$K$45)&lt;&gt;Paramètres!$K$3,0,VLOOKUP(MATCH(1,Paramètres!$K$6:$K$45,0),LABO_Dark_Spells[#All],4)))</f>
        <v>0</v>
      </c>
      <c r="I28" s="8">
        <v>10</v>
      </c>
      <c r="J28" s="67">
        <f t="shared" si="27"/>
        <v>0</v>
      </c>
      <c r="K28" s="64">
        <f t="shared" si="28"/>
        <v>0</v>
      </c>
      <c r="L28" s="65">
        <f t="shared" si="29"/>
        <v>0</v>
      </c>
      <c r="M28" s="66">
        <f t="shared" si="30"/>
        <v>0</v>
      </c>
      <c r="N28" s="63">
        <f t="shared" si="31"/>
        <v>0</v>
      </c>
      <c r="O28" s="64">
        <f t="shared" si="32"/>
        <v>0</v>
      </c>
    </row>
    <row r="29" spans="1:67" x14ac:dyDescent="0.2">
      <c r="A29" s="184">
        <v>11</v>
      </c>
      <c r="B29" s="877">
        <f>IF(Paramètres!$M$46=0,0,VLOOKUP(Paramètres!$M$47,SPELLFACTORY_DarkSpells[#All],2))</f>
        <v>0</v>
      </c>
      <c r="C29" s="878">
        <f>IF($B29=0,0,IF(SUM(Paramètres!$K$6:$K$45)&lt;&gt;Paramètres!$K$3,0,VLOOKUP(MATCH(1,Paramètres!$K$6:$K$45,0),LABO_Dark_Spells[#All],2)))</f>
        <v>0</v>
      </c>
      <c r="D29" s="879">
        <f>IF(Paramètres!$M$46=0,0,VLOOKUP(Paramètres!$M$47,SPELLFACTORY_DarkSpells[#All],3))</f>
        <v>0</v>
      </c>
      <c r="E29" s="880">
        <f>IF($D29=0,0,IF(SUM(Paramètres!$K$6:$K$45)&lt;&gt;Paramètres!$K$3,0,VLOOKUP(MATCH(1,Paramètres!$K$6:$K$45,0),LABO_Dark_Spells[#All],3)))</f>
        <v>0</v>
      </c>
      <c r="F29" s="877">
        <f>IF(Paramètres!$M$46=0,0,VLOOKUP(Paramètres!$M$47,SPELLFACTORY_DarkSpells[#All],4))</f>
        <v>0</v>
      </c>
      <c r="G29" s="878">
        <f>IF($F29=0,0,IF(SUM(Paramètres!$K$6:$K$45)&lt;&gt;Paramètres!$K$3,0,VLOOKUP(MATCH(1,Paramètres!$K$6:$K$45,0),LABO_Dark_Spells[#All],4)))</f>
        <v>0</v>
      </c>
      <c r="I29" s="184">
        <v>11</v>
      </c>
      <c r="J29" s="871">
        <f t="shared" ref="J29" si="33">B29-B28</f>
        <v>0</v>
      </c>
      <c r="K29" s="872">
        <f t="shared" ref="K29" si="34">C29-C28</f>
        <v>0</v>
      </c>
      <c r="L29" s="873">
        <f t="shared" ref="L29" si="35">D29-D28</f>
        <v>0</v>
      </c>
      <c r="M29" s="874">
        <f t="shared" ref="M29" si="36">E29-E28</f>
        <v>0</v>
      </c>
      <c r="N29" s="875">
        <f t="shared" ref="N29" si="37">F29-F28</f>
        <v>0</v>
      </c>
      <c r="O29" s="872">
        <f t="shared" ref="O29" si="38">G29-G28</f>
        <v>0</v>
      </c>
    </row>
    <row r="30" spans="1:67" ht="12" thickBot="1" x14ac:dyDescent="0.25"/>
    <row r="31" spans="1:67" ht="30" customHeight="1" thickBot="1" x14ac:dyDescent="0.3">
      <c r="A31" s="1269" t="s">
        <v>401</v>
      </c>
      <c r="B31" s="1270"/>
      <c r="C31" s="1270"/>
      <c r="D31" s="1270"/>
      <c r="E31" s="1270"/>
      <c r="F31" s="1270"/>
      <c r="G31" s="1270"/>
      <c r="H31" s="1270"/>
      <c r="I31" s="1270"/>
      <c r="J31" s="1270"/>
      <c r="K31" s="1270"/>
      <c r="L31" s="1270"/>
      <c r="M31" s="1270"/>
      <c r="N31" s="1270"/>
      <c r="O31" s="1270"/>
      <c r="P31" s="1270"/>
      <c r="Q31" s="1270"/>
      <c r="R31" s="1270"/>
      <c r="S31" s="1270"/>
      <c r="T31" s="1270"/>
      <c r="U31" s="1271"/>
      <c r="W31" s="1269" t="s">
        <v>370</v>
      </c>
      <c r="X31" s="1270"/>
      <c r="Y31" s="1270"/>
      <c r="Z31" s="1270"/>
      <c r="AA31" s="1270"/>
      <c r="AB31" s="1270"/>
      <c r="AC31" s="1270"/>
      <c r="AD31" s="1270"/>
      <c r="AE31" s="1270"/>
      <c r="AF31" s="1270"/>
      <c r="AG31" s="1270"/>
      <c r="AH31" s="1270"/>
      <c r="AI31" s="1270"/>
      <c r="AJ31" s="1270"/>
      <c r="AK31" s="1270"/>
      <c r="AL31" s="1270"/>
      <c r="AM31" s="1270"/>
      <c r="AN31" s="1270"/>
      <c r="AO31" s="1270"/>
      <c r="AP31" s="1270"/>
      <c r="AQ31" s="1271"/>
      <c r="AS31" s="1269" t="s">
        <v>207</v>
      </c>
      <c r="AT31" s="1275"/>
      <c r="AU31" s="1275"/>
      <c r="AV31" s="1275"/>
      <c r="AW31" s="1275"/>
      <c r="AX31" s="1275"/>
      <c r="AY31" s="1276"/>
      <c r="AZ31" s="1276"/>
      <c r="BA31" s="1276"/>
      <c r="BB31" s="1276"/>
      <c r="BC31" s="1277"/>
      <c r="BE31" s="1269" t="s">
        <v>208</v>
      </c>
      <c r="BF31" s="1275"/>
      <c r="BG31" s="1275"/>
      <c r="BH31" s="1275"/>
      <c r="BI31" s="1275"/>
      <c r="BJ31" s="1275"/>
      <c r="BK31" s="1276"/>
      <c r="BL31" s="1276"/>
      <c r="BM31" s="1276"/>
      <c r="BN31" s="1276"/>
      <c r="BO31" s="1277"/>
    </row>
    <row r="32" spans="1:67" ht="34.5" thickBot="1" x14ac:dyDescent="0.25">
      <c r="A32" s="140" t="s">
        <v>291</v>
      </c>
      <c r="B32" s="17" t="s">
        <v>195</v>
      </c>
      <c r="C32" s="17" t="s">
        <v>15</v>
      </c>
      <c r="D32" s="17" t="s">
        <v>50</v>
      </c>
      <c r="E32" s="17" t="s">
        <v>21</v>
      </c>
      <c r="F32" s="17" t="s">
        <v>188</v>
      </c>
      <c r="G32" s="17" t="s">
        <v>22</v>
      </c>
      <c r="H32" s="17" t="s">
        <v>189</v>
      </c>
      <c r="I32" s="17" t="s">
        <v>23</v>
      </c>
      <c r="J32" s="17" t="s">
        <v>187</v>
      </c>
      <c r="K32" s="17" t="s">
        <v>24</v>
      </c>
      <c r="L32" s="17" t="s">
        <v>186</v>
      </c>
      <c r="M32" s="17" t="s">
        <v>25</v>
      </c>
      <c r="N32" s="17" t="s">
        <v>185</v>
      </c>
      <c r="O32" s="17" t="s">
        <v>26</v>
      </c>
      <c r="P32" s="17" t="s">
        <v>184</v>
      </c>
      <c r="Q32" s="17" t="s">
        <v>27</v>
      </c>
      <c r="R32" s="17" t="s">
        <v>57</v>
      </c>
      <c r="S32" s="17" t="s">
        <v>28</v>
      </c>
      <c r="T32" s="17" t="s">
        <v>58</v>
      </c>
      <c r="U32" s="57" t="s">
        <v>77</v>
      </c>
      <c r="W32" s="140" t="s">
        <v>291</v>
      </c>
      <c r="X32" s="17" t="s">
        <v>195</v>
      </c>
      <c r="Y32" s="17" t="s">
        <v>15</v>
      </c>
      <c r="Z32" s="17" t="s">
        <v>50</v>
      </c>
      <c r="AA32" s="17" t="s">
        <v>21</v>
      </c>
      <c r="AB32" s="17" t="s">
        <v>188</v>
      </c>
      <c r="AC32" s="17" t="s">
        <v>22</v>
      </c>
      <c r="AD32" s="17" t="s">
        <v>189</v>
      </c>
      <c r="AE32" s="17" t="s">
        <v>23</v>
      </c>
      <c r="AF32" s="17" t="s">
        <v>187</v>
      </c>
      <c r="AG32" s="17" t="s">
        <v>24</v>
      </c>
      <c r="AH32" s="17" t="s">
        <v>186</v>
      </c>
      <c r="AI32" s="17" t="s">
        <v>25</v>
      </c>
      <c r="AJ32" s="17" t="s">
        <v>185</v>
      </c>
      <c r="AK32" s="17" t="s">
        <v>26</v>
      </c>
      <c r="AL32" s="17" t="s">
        <v>184</v>
      </c>
      <c r="AM32" s="17" t="s">
        <v>27</v>
      </c>
      <c r="AN32" s="17" t="s">
        <v>57</v>
      </c>
      <c r="AO32" s="17" t="s">
        <v>28</v>
      </c>
      <c r="AP32" s="17" t="s">
        <v>58</v>
      </c>
      <c r="AQ32" s="57" t="s">
        <v>77</v>
      </c>
      <c r="AS32" s="12" t="s">
        <v>641</v>
      </c>
      <c r="AT32" s="17" t="s">
        <v>195</v>
      </c>
      <c r="AU32" s="17" t="s">
        <v>50</v>
      </c>
      <c r="AV32" s="17" t="s">
        <v>188</v>
      </c>
      <c r="AW32" s="17" t="s">
        <v>189</v>
      </c>
      <c r="AX32" s="17" t="s">
        <v>187</v>
      </c>
      <c r="AY32" s="547" t="s">
        <v>186</v>
      </c>
      <c r="AZ32" s="547" t="s">
        <v>185</v>
      </c>
      <c r="BA32" s="547" t="s">
        <v>184</v>
      </c>
      <c r="BB32" s="547" t="s">
        <v>57</v>
      </c>
      <c r="BC32" s="547" t="s">
        <v>58</v>
      </c>
      <c r="BE32" s="12" t="s">
        <v>613</v>
      </c>
      <c r="BF32" s="17" t="s">
        <v>195</v>
      </c>
      <c r="BG32" s="17" t="s">
        <v>50</v>
      </c>
      <c r="BH32" s="17" t="s">
        <v>188</v>
      </c>
      <c r="BI32" s="17" t="s">
        <v>189</v>
      </c>
      <c r="BJ32" s="17" t="s">
        <v>187</v>
      </c>
      <c r="BK32" s="547" t="s">
        <v>186</v>
      </c>
      <c r="BL32" s="547" t="s">
        <v>185</v>
      </c>
      <c r="BM32" s="547" t="s">
        <v>184</v>
      </c>
      <c r="BN32" s="547" t="s">
        <v>57</v>
      </c>
      <c r="BO32" s="547" t="s">
        <v>58</v>
      </c>
    </row>
    <row r="33" spans="1:67" x14ac:dyDescent="0.2">
      <c r="A33" s="51">
        <v>0</v>
      </c>
      <c r="B33" s="142">
        <f>IF(Paramètres!$H$46=0,0,VLOOKUP(Paramètres!$H$47,BARRACK_Normal_Troops[#All],2))</f>
        <v>0</v>
      </c>
      <c r="C33" s="9">
        <f>IF($B33=0,0,IF($A33&lt;3,1,IF(SUM(Paramètres!$K$6:$K$45)&lt;&gt;Paramètres!$K$3,0,VLOOKUP(MATCH(1,Paramètres!$K$6:$K$45,0),LABO_Normal_Troops[#All],2))))</f>
        <v>0</v>
      </c>
      <c r="D33" s="147">
        <f>IF(Paramètres!$H$46=0,0,VLOOKUP(Paramètres!$H$47,BARRACK_Normal_Troops[#All],3))</f>
        <v>0</v>
      </c>
      <c r="E33" s="35">
        <f>IF($D33=0,0,IF($A33&lt;3,1,IF(SUM(Paramètres!$K$6:$K$45)&lt;&gt;Paramètres!$K$3,0,VLOOKUP(MATCH(1,Paramètres!$K$6:$K$45,0),LABO_Normal_Troops[#All],3))))</f>
        <v>0</v>
      </c>
      <c r="F33" s="142">
        <f>IF(Paramètres!$H$46=0,0,VLOOKUP(Paramètres!$H$47,BARRACK_Normal_Troops[#All],4))</f>
        <v>0</v>
      </c>
      <c r="G33" s="9">
        <f>IF($F33=0,0,IF($A33&lt;3,1,IF(SUM(Paramètres!$K$6:$K$45)&lt;&gt;Paramètres!$K$3,0,VLOOKUP(MATCH(1,Paramètres!$K$6:$K$45,0),LABO_Normal_Troops[#All],4))))</f>
        <v>0</v>
      </c>
      <c r="H33" s="147">
        <f>IF(Paramètres!$H$46=0,0,VLOOKUP(Paramètres!$H$47,BARRACK_Normal_Troops[#All],5))</f>
        <v>0</v>
      </c>
      <c r="I33" s="35">
        <f>IF($H33=0,0,IF($A33&lt;3,1,IF(SUM(Paramètres!$K$6:$K$45)&lt;&gt;Paramètres!$K$3,0,VLOOKUP(MATCH(1,Paramètres!$K$6:$K$45,0),LABO_Normal_Troops[#All],5))))</f>
        <v>0</v>
      </c>
      <c r="J33" s="142">
        <f>IF(Paramètres!$H$46=0,0,VLOOKUP(Paramètres!$H$47,BARRACK_Normal_Troops[#All],6))</f>
        <v>0</v>
      </c>
      <c r="K33" s="9">
        <f>IF($J33=0,0,IF(SUM(Paramètres!$K$6:$K$45)&lt;&gt;Paramètres!$K$3,0,VLOOKUP(MATCH(1,Paramètres!$K$6:$K$45,0),LABO_Normal_Troops[#All],6)))</f>
        <v>0</v>
      </c>
      <c r="L33" s="147">
        <f>IF(Paramètres!$H$46=0,0,VLOOKUP(Paramètres!$H$47,BARRACK_Normal_Troops[#All],7))</f>
        <v>0</v>
      </c>
      <c r="M33" s="35">
        <f>IF($L33=0,0,IF(SUM(Paramètres!$K$6:$K$45)&lt;&gt;Paramètres!$K$3,0,VLOOKUP(MATCH(1,Paramètres!$K$6:$K$45,0),LABO_Normal_Troops[#All],7)))</f>
        <v>0</v>
      </c>
      <c r="N33" s="142">
        <f>IF(Paramètres!$H$46=0,0,VLOOKUP(Paramètres!$H$47,BARRACK_Normal_Troops[#All],8))</f>
        <v>0</v>
      </c>
      <c r="O33" s="9">
        <f>IF($N33=0,0,IF(SUM(Paramètres!$K$6:$K$45)&lt;&gt;Paramètres!$K$3,0,VLOOKUP(MATCH(1,Paramètres!$K$6:$K$45,0),LABO_Normal_Troops[#All],8)))</f>
        <v>0</v>
      </c>
      <c r="P33" s="147">
        <f>IF(Paramètres!$H$46=0,0,VLOOKUP(Paramètres!$H$47,BARRACK_Normal_Troops[#All],9))</f>
        <v>0</v>
      </c>
      <c r="Q33" s="35">
        <f>IF($P33=0,0,IF(SUM(Paramètres!$K$6:$K$45)&lt;&gt;Paramètres!$K$3,0,VLOOKUP(MATCH(1,Paramètres!$K$6:$K$45,0),LABO_Normal_Troops[#All],9)))</f>
        <v>0</v>
      </c>
      <c r="R33" s="142">
        <f>IF(Paramètres!$H$46=0,0,VLOOKUP(Paramètres!$H$47,BARRACK_Normal_Troops[#All],10))</f>
        <v>0</v>
      </c>
      <c r="S33" s="9">
        <f>IF($R33=0,0,IF(SUM(Paramètres!$K$6:$K$45)&lt;&gt;Paramètres!$K$3,0,VLOOKUP(MATCH(1,Paramètres!$K$6:$K$45,0),LABO_Normal_Troops[#All],10)))</f>
        <v>0</v>
      </c>
      <c r="T33" s="147">
        <f>IF(Paramètres!$H$46=0,0,VLOOKUP(Paramètres!$H$47,BARRACK_Normal_Troops[#All],11))</f>
        <v>0</v>
      </c>
      <c r="U33" s="35">
        <f>IF($T33=0,0,IF(SUM(Paramètres!$K$6:$K$45)&lt;&gt;Paramètres!$K$3,0,VLOOKUP(MATCH(1,Paramètres!$K$6:$K$45,0),LABO_Normal_Troops[#All],11)))</f>
        <v>0</v>
      </c>
      <c r="W33" s="51">
        <v>0</v>
      </c>
      <c r="X33" s="144">
        <f>'Améliorations - Sorts &amp; Troupes'!B33</f>
        <v>0</v>
      </c>
      <c r="Y33" s="145">
        <f>'Améliorations - Sorts &amp; Troupes'!C33</f>
        <v>0</v>
      </c>
      <c r="Z33" s="149">
        <f>'Améliorations - Sorts &amp; Troupes'!D33</f>
        <v>0</v>
      </c>
      <c r="AA33" s="150">
        <f>'Améliorations - Sorts &amp; Troupes'!E33</f>
        <v>0</v>
      </c>
      <c r="AB33" s="146">
        <f>'Améliorations - Sorts &amp; Troupes'!F33</f>
        <v>0</v>
      </c>
      <c r="AC33" s="145">
        <f>'Améliorations - Sorts &amp; Troupes'!G33</f>
        <v>0</v>
      </c>
      <c r="AD33" s="149">
        <f>'Améliorations - Sorts &amp; Troupes'!H33</f>
        <v>0</v>
      </c>
      <c r="AE33" s="150">
        <f>'Améliorations - Sorts &amp; Troupes'!I33</f>
        <v>0</v>
      </c>
      <c r="AF33" s="146">
        <f>'Améliorations - Sorts &amp; Troupes'!J33</f>
        <v>0</v>
      </c>
      <c r="AG33" s="145">
        <f>'Améliorations - Sorts &amp; Troupes'!K33</f>
        <v>0</v>
      </c>
      <c r="AH33" s="149">
        <f>'Améliorations - Sorts &amp; Troupes'!L33</f>
        <v>0</v>
      </c>
      <c r="AI33" s="150">
        <f>'Améliorations - Sorts &amp; Troupes'!M33</f>
        <v>0</v>
      </c>
      <c r="AJ33" s="146">
        <f>'Améliorations - Sorts &amp; Troupes'!N33</f>
        <v>0</v>
      </c>
      <c r="AK33" s="145">
        <f>'Améliorations - Sorts &amp; Troupes'!O33</f>
        <v>0</v>
      </c>
      <c r="AL33" s="149">
        <f>'Améliorations - Sorts &amp; Troupes'!P33</f>
        <v>0</v>
      </c>
      <c r="AM33" s="150">
        <f>'Améliorations - Sorts &amp; Troupes'!Q34</f>
        <v>0</v>
      </c>
      <c r="AN33" s="146">
        <f>'Améliorations - Sorts &amp; Troupes'!R33</f>
        <v>0</v>
      </c>
      <c r="AO33" s="145">
        <f>'Améliorations - Sorts &amp; Troupes'!S33</f>
        <v>0</v>
      </c>
      <c r="AP33" s="149">
        <f>'Améliorations - Sorts &amp; Troupes'!T33</f>
        <v>0</v>
      </c>
      <c r="AQ33" s="151">
        <f>'Améliorations - Sorts &amp; Troupes'!U33</f>
        <v>0</v>
      </c>
      <c r="AS33" s="13">
        <v>0</v>
      </c>
      <c r="AT33" s="633">
        <v>0</v>
      </c>
      <c r="AU33" s="34">
        <v>0</v>
      </c>
      <c r="AV33" s="6">
        <v>0</v>
      </c>
      <c r="AW33" s="36">
        <v>0</v>
      </c>
      <c r="AX33" s="46">
        <v>0</v>
      </c>
      <c r="AY33" s="34">
        <v>0</v>
      </c>
      <c r="AZ33" s="6">
        <v>0</v>
      </c>
      <c r="BA33" s="34">
        <v>0</v>
      </c>
      <c r="BB33" s="6">
        <v>0</v>
      </c>
      <c r="BC33" s="34">
        <v>0</v>
      </c>
      <c r="BE33" s="13">
        <v>0</v>
      </c>
      <c r="BF33" s="633">
        <v>0</v>
      </c>
      <c r="BG33" s="34">
        <v>0</v>
      </c>
      <c r="BH33" s="6">
        <v>0</v>
      </c>
      <c r="BI33" s="34">
        <v>0</v>
      </c>
      <c r="BJ33" s="46">
        <v>0</v>
      </c>
      <c r="BK33" s="148">
        <v>0</v>
      </c>
      <c r="BL33" s="143">
        <v>0</v>
      </c>
      <c r="BM33" s="148">
        <v>0</v>
      </c>
      <c r="BN33" s="143">
        <v>0</v>
      </c>
      <c r="BO33" s="148">
        <v>0</v>
      </c>
    </row>
    <row r="34" spans="1:67" x14ac:dyDescent="0.2">
      <c r="A34" s="141">
        <v>1</v>
      </c>
      <c r="B34" s="11">
        <f>IF(Paramètres!$H$46=0,0,VLOOKUP(Paramètres!$H$47,BARRACK_Normal_Troops[#All],2))</f>
        <v>0</v>
      </c>
      <c r="C34" s="9">
        <f>IF($B34=0,0,IF($A34&lt;3,1,IF(SUM(Paramètres!$K$6:$K$45)&lt;&gt;Paramètres!$K$3,0,VLOOKUP(MATCH(1,Paramètres!$K$6:$K$45,0),LABO_Normal_Troops[#All],2))))</f>
        <v>0</v>
      </c>
      <c r="D34" s="10">
        <f>IF(Paramètres!$H$46=0,0,VLOOKUP(Paramètres!$H$47,BARRACK_Normal_Troops[#All],3))</f>
        <v>0</v>
      </c>
      <c r="E34" s="35">
        <f>IF($D34=0,0,IF($A34&lt;3,1,IF(SUM(Paramètres!$K$6:$K$45)&lt;&gt;Paramètres!$K$3,0,VLOOKUP(MATCH(1,Paramètres!$K$6:$K$45,0),LABO_Normal_Troops[#All],3))))</f>
        <v>0</v>
      </c>
      <c r="F34" s="11">
        <f>IF(Paramètres!$H$46=0,0,VLOOKUP(Paramètres!$H$47,BARRACK_Normal_Troops[#All],4))</f>
        <v>0</v>
      </c>
      <c r="G34" s="9">
        <f>IF($F34=0,0,IF($A34&lt;3,1,IF(SUM(Paramètres!$K$6:$K$45)&lt;&gt;Paramètres!$K$3,0,VLOOKUP(MATCH(1,Paramètres!$K$6:$K$45,0),LABO_Normal_Troops[#All],4))))</f>
        <v>0</v>
      </c>
      <c r="H34" s="10">
        <f>IF(Paramètres!$H$46=0,0,VLOOKUP(Paramètres!$H$47,BARRACK_Normal_Troops[#All],5))</f>
        <v>0</v>
      </c>
      <c r="I34" s="148">
        <f>IF($H34=0,0,IF($A34&lt;3,1,IF(SUM(Paramètres!$K$6:$K$45)&lt;&gt;Paramètres!$K$3,0,VLOOKUP(MATCH(1,Paramètres!$K$6:$K$45,0),LABO_Normal_Troops[#All],5))))</f>
        <v>0</v>
      </c>
      <c r="J34" s="11">
        <f>IF(Paramètres!$H$46=0,0,VLOOKUP(Paramètres!$H$47,BARRACK_Normal_Troops[#All],6))</f>
        <v>0</v>
      </c>
      <c r="K34" s="143">
        <f>IF($J34=0,0,IF(SUM(Paramètres!$K$6:$K$45)&lt;&gt;Paramètres!$K$3,0,VLOOKUP(MATCH(1,Paramètres!$K$6:$K$45,0),LABO_Normal_Troops[#All],6)))</f>
        <v>0</v>
      </c>
      <c r="L34" s="10">
        <f>IF(Paramètres!$H$46=0,0,VLOOKUP(Paramètres!$H$47,BARRACK_Normal_Troops[#All],7))</f>
        <v>0</v>
      </c>
      <c r="M34" s="148">
        <f>IF($L34=0,0,IF(SUM(Paramètres!$K$6:$K$45)&lt;&gt;Paramètres!$K$3,0,VLOOKUP(MATCH(1,Paramètres!$K$6:$K$45,0),LABO_Normal_Troops[#All],7)))</f>
        <v>0</v>
      </c>
      <c r="N34" s="11">
        <f>IF(Paramètres!$H$46=0,0,VLOOKUP(Paramètres!$H$47,BARRACK_Normal_Troops[#All],8))</f>
        <v>0</v>
      </c>
      <c r="O34" s="143">
        <f>IF($N34=0,0,IF(SUM(Paramètres!$K$6:$K$45)&lt;&gt;Paramètres!$K$3,0,VLOOKUP(MATCH(1,Paramètres!$K$6:$K$45,0),LABO_Normal_Troops[#All],8)))</f>
        <v>0</v>
      </c>
      <c r="P34" s="10">
        <f>IF(Paramètres!$H$46=0,0,VLOOKUP(Paramètres!$H$47,BARRACK_Normal_Troops[#All],9))</f>
        <v>0</v>
      </c>
      <c r="Q34" s="148">
        <f>IF($P34=0,0,IF(SUM(Paramètres!$K$6:$K$45)&lt;&gt;Paramètres!$K$3,0,VLOOKUP(MATCH(1,Paramètres!$K$6:$K$45,0),LABO_Normal_Troops[#All],9)))</f>
        <v>0</v>
      </c>
      <c r="R34" s="11">
        <f>IF(Paramètres!$H$46=0,0,VLOOKUP(Paramètres!$H$47,BARRACK_Normal_Troops[#All],10))</f>
        <v>0</v>
      </c>
      <c r="S34" s="9">
        <f>IF($R34=0,0,IF(SUM(Paramètres!$K$6:$K$45)&lt;&gt;Paramètres!$K$3,0,VLOOKUP(MATCH(1,Paramètres!$K$6:$K$45,0),LABO_Normal_Troops[#All],10)))</f>
        <v>0</v>
      </c>
      <c r="T34" s="147">
        <f>IF(Paramètres!$H$46=0,0,VLOOKUP(Paramètres!$H$47,BARRACK_Normal_Troops[#All],11))</f>
        <v>0</v>
      </c>
      <c r="U34" s="148">
        <f>IF($T34=0,0,IF(SUM(Paramètres!$K$6:$K$45)&lt;&gt;Paramètres!$K$3,0,VLOOKUP(MATCH(1,Paramètres!$K$6:$K$45,0),LABO_Normal_Troops[#All],11)))</f>
        <v>0</v>
      </c>
      <c r="W34" s="141">
        <v>1</v>
      </c>
      <c r="X34" s="144">
        <f>B34-B33</f>
        <v>0</v>
      </c>
      <c r="Y34" s="145">
        <f>C34-C33</f>
        <v>0</v>
      </c>
      <c r="Z34" s="149">
        <f t="shared" ref="Z34:AQ43" si="39">D34-D33</f>
        <v>0</v>
      </c>
      <c r="AA34" s="150">
        <f t="shared" si="39"/>
        <v>0</v>
      </c>
      <c r="AB34" s="146">
        <f t="shared" si="39"/>
        <v>0</v>
      </c>
      <c r="AC34" s="145">
        <f t="shared" si="39"/>
        <v>0</v>
      </c>
      <c r="AD34" s="149">
        <f t="shared" si="39"/>
        <v>0</v>
      </c>
      <c r="AE34" s="150">
        <f t="shared" si="39"/>
        <v>0</v>
      </c>
      <c r="AF34" s="146">
        <f t="shared" si="39"/>
        <v>0</v>
      </c>
      <c r="AG34" s="145">
        <f t="shared" si="39"/>
        <v>0</v>
      </c>
      <c r="AH34" s="149">
        <f t="shared" si="39"/>
        <v>0</v>
      </c>
      <c r="AI34" s="150">
        <f t="shared" si="39"/>
        <v>0</v>
      </c>
      <c r="AJ34" s="146">
        <f t="shared" si="39"/>
        <v>0</v>
      </c>
      <c r="AK34" s="145">
        <f t="shared" si="39"/>
        <v>0</v>
      </c>
      <c r="AL34" s="149">
        <f t="shared" si="39"/>
        <v>0</v>
      </c>
      <c r="AM34" s="150">
        <f t="shared" si="39"/>
        <v>0</v>
      </c>
      <c r="AN34" s="146">
        <f t="shared" si="39"/>
        <v>0</v>
      </c>
      <c r="AO34" s="145">
        <f t="shared" si="39"/>
        <v>0</v>
      </c>
      <c r="AP34" s="149">
        <f t="shared" si="39"/>
        <v>0</v>
      </c>
      <c r="AQ34" s="151">
        <f t="shared" si="39"/>
        <v>0</v>
      </c>
      <c r="AS34" s="13">
        <v>1</v>
      </c>
      <c r="AT34" s="634">
        <v>1</v>
      </c>
      <c r="AU34" s="36">
        <v>0</v>
      </c>
      <c r="AV34" s="6">
        <v>0</v>
      </c>
      <c r="AW34" s="36">
        <v>0</v>
      </c>
      <c r="AX34" s="46">
        <v>0</v>
      </c>
      <c r="AY34" s="34">
        <v>0</v>
      </c>
      <c r="AZ34" s="6">
        <v>0</v>
      </c>
      <c r="BA34" s="34">
        <v>0</v>
      </c>
      <c r="BB34" s="6">
        <v>0</v>
      </c>
      <c r="BC34" s="34">
        <v>0</v>
      </c>
      <c r="BE34" s="13">
        <v>1</v>
      </c>
      <c r="BF34" s="634">
        <v>2</v>
      </c>
      <c r="BG34" s="36">
        <v>2</v>
      </c>
      <c r="BH34" s="5">
        <v>1</v>
      </c>
      <c r="BI34" s="36">
        <v>2</v>
      </c>
      <c r="BJ34" s="45">
        <v>1</v>
      </c>
      <c r="BK34" s="34">
        <v>1</v>
      </c>
      <c r="BL34" s="6">
        <v>1</v>
      </c>
      <c r="BM34" s="34">
        <v>1</v>
      </c>
      <c r="BN34" s="6">
        <v>1</v>
      </c>
      <c r="BO34" s="34">
        <v>1</v>
      </c>
    </row>
    <row r="35" spans="1:67" x14ac:dyDescent="0.2">
      <c r="A35" s="7">
        <v>2</v>
      </c>
      <c r="B35" s="2">
        <f>IF(Paramètres!$H$46=0,0,VLOOKUP(Paramètres!$H$47,BARRACK_Normal_Troops[#All],2))</f>
        <v>0</v>
      </c>
      <c r="C35" s="9">
        <f>IF($B35=0,0,IF($A35&lt;3,1,IF(SUM(Paramètres!$K$6:$K$45)&lt;&gt;Paramètres!$K$3,0,VLOOKUP(MATCH(1,Paramètres!$K$6:$K$45,0),LABO_Normal_Troops[#All],2))))</f>
        <v>0</v>
      </c>
      <c r="D35" s="4">
        <f>IF(Paramètres!$H$46=0,0,VLOOKUP(Paramètres!$H$47,BARRACK_Normal_Troops[#All],3))</f>
        <v>0</v>
      </c>
      <c r="E35" s="35">
        <f>IF($D35=0,0,IF($A35&lt;3,1,IF(SUM(Paramètres!$K$6:$K$45)&lt;&gt;Paramètres!$K$3,0,VLOOKUP(MATCH(1,Paramètres!$K$6:$K$45,0),LABO_Normal_Troops[#All],3))))</f>
        <v>0</v>
      </c>
      <c r="F35" s="2">
        <f>IF(Paramètres!$H$46=0,0,VLOOKUP(Paramètres!$H$47,BARRACK_Normal_Troops[#All],4))</f>
        <v>0</v>
      </c>
      <c r="G35" s="9">
        <f>IF($F35=0,0,IF($A35&lt;3,1,IF(SUM(Paramètres!$K$6:$K$45)&lt;&gt;Paramètres!$K$3,0,VLOOKUP(MATCH(1,Paramètres!$K$6:$K$45,0),LABO_Normal_Troops[#All],4))))</f>
        <v>0</v>
      </c>
      <c r="H35" s="4">
        <f>IF(Paramètres!$H$46=0,0,VLOOKUP(Paramètres!$H$47,BARRACK_Normal_Troops[#All],5))</f>
        <v>0</v>
      </c>
      <c r="I35" s="35">
        <f>IF($H35=0,0,IF($A35&lt;3,1,IF(SUM(Paramètres!$K$6:$K$45)&lt;&gt;Paramètres!$K$3,0,VLOOKUP(MATCH(1,Paramètres!$K$6:$K$45,0),LABO_Normal_Troops[#All],5))))</f>
        <v>0</v>
      </c>
      <c r="J35" s="2">
        <f>IF(Paramètres!$H$46=0,0,VLOOKUP(Paramètres!$H$47,BARRACK_Normal_Troops[#All],6))</f>
        <v>0</v>
      </c>
      <c r="K35" s="9">
        <f>IF($J35=0,0,IF(SUM(Paramètres!$K$6:$K$45)&lt;&gt;Paramètres!$K$3,0,VLOOKUP(MATCH(1,Paramètres!$K$6:$K$45,0),LABO_Normal_Troops[#All],6)))</f>
        <v>0</v>
      </c>
      <c r="L35" s="4">
        <f>IF(Paramètres!$H$46=0,0,VLOOKUP(Paramètres!$H$47,BARRACK_Normal_Troops[#All],7))</f>
        <v>0</v>
      </c>
      <c r="M35" s="35">
        <f>IF($L35=0,0,IF(SUM(Paramètres!$K$6:$K$45)&lt;&gt;Paramètres!$K$3,0,VLOOKUP(MATCH(1,Paramètres!$K$6:$K$45,0),LABO_Normal_Troops[#All],7)))</f>
        <v>0</v>
      </c>
      <c r="N35" s="2">
        <f>IF(Paramètres!$H$46=0,0,VLOOKUP(Paramètres!$H$47,BARRACK_Normal_Troops[#All],8))</f>
        <v>0</v>
      </c>
      <c r="O35" s="143">
        <f>IF($N35=0,0,IF(SUM(Paramètres!$K$6:$K$45)&lt;&gt;Paramètres!$K$3,0,VLOOKUP(MATCH(1,Paramètres!$K$6:$K$45,0),LABO_Normal_Troops[#All],8)))</f>
        <v>0</v>
      </c>
      <c r="P35" s="4">
        <f>IF(Paramètres!$H$46=0,0,VLOOKUP(Paramètres!$H$47,BARRACK_Normal_Troops[#All],9))</f>
        <v>0</v>
      </c>
      <c r="Q35" s="35">
        <f>IF($P35=0,0,IF(SUM(Paramètres!$K$6:$K$45)&lt;&gt;Paramètres!$K$3,0,VLOOKUP(MATCH(1,Paramètres!$K$6:$K$45,0),LABO_Normal_Troops[#All],9)))</f>
        <v>0</v>
      </c>
      <c r="R35" s="2">
        <f>IF(Paramètres!$H$46=0,0,VLOOKUP(Paramètres!$H$47,BARRACK_Normal_Troops[#All],10))</f>
        <v>0</v>
      </c>
      <c r="S35" s="6">
        <f>IF($R35=0,0,IF(SUM(Paramètres!$K$6:$K$45)&lt;&gt;Paramètres!$K$3,0,VLOOKUP(MATCH(1,Paramètres!$K$6:$K$45,0),LABO_Normal_Troops[#All],10)))</f>
        <v>0</v>
      </c>
      <c r="T35" s="147">
        <f>IF(Paramètres!$H$46=0,0,VLOOKUP(Paramètres!$H$47,BARRACK_Normal_Troops[#All],11))</f>
        <v>0</v>
      </c>
      <c r="U35" s="148">
        <f>IF($T35=0,0,IF(SUM(Paramètres!$K$6:$K$45)&lt;&gt;Paramètres!$K$3,0,VLOOKUP(MATCH(1,Paramètres!$K$6:$K$45,0),LABO_Normal_Troops[#All],11)))</f>
        <v>0</v>
      </c>
      <c r="W35" s="7">
        <v>2</v>
      </c>
      <c r="X35" s="144">
        <f t="shared" ref="X35:Y43" si="40">B35-B34</f>
        <v>0</v>
      </c>
      <c r="Y35" s="145">
        <f t="shared" si="40"/>
        <v>0</v>
      </c>
      <c r="Z35" s="149">
        <f t="shared" si="39"/>
        <v>0</v>
      </c>
      <c r="AA35" s="150">
        <f t="shared" si="39"/>
        <v>0</v>
      </c>
      <c r="AB35" s="146">
        <f t="shared" si="39"/>
        <v>0</v>
      </c>
      <c r="AC35" s="145">
        <f t="shared" si="39"/>
        <v>0</v>
      </c>
      <c r="AD35" s="149">
        <f t="shared" si="39"/>
        <v>0</v>
      </c>
      <c r="AE35" s="150">
        <f t="shared" si="39"/>
        <v>0</v>
      </c>
      <c r="AF35" s="146">
        <f t="shared" si="39"/>
        <v>0</v>
      </c>
      <c r="AG35" s="145">
        <f t="shared" si="39"/>
        <v>0</v>
      </c>
      <c r="AH35" s="149">
        <f t="shared" si="39"/>
        <v>0</v>
      </c>
      <c r="AI35" s="150">
        <f t="shared" si="39"/>
        <v>0</v>
      </c>
      <c r="AJ35" s="146">
        <f t="shared" si="39"/>
        <v>0</v>
      </c>
      <c r="AK35" s="145">
        <f t="shared" si="39"/>
        <v>0</v>
      </c>
      <c r="AL35" s="149">
        <f t="shared" si="39"/>
        <v>0</v>
      </c>
      <c r="AM35" s="150">
        <f t="shared" si="39"/>
        <v>0</v>
      </c>
      <c r="AN35" s="146">
        <f t="shared" si="39"/>
        <v>0</v>
      </c>
      <c r="AO35" s="145">
        <f t="shared" si="39"/>
        <v>0</v>
      </c>
      <c r="AP35" s="149">
        <f t="shared" si="39"/>
        <v>0</v>
      </c>
      <c r="AQ35" s="151">
        <f t="shared" si="39"/>
        <v>0</v>
      </c>
      <c r="AS35" s="13">
        <v>2</v>
      </c>
      <c r="AT35" s="633">
        <v>1</v>
      </c>
      <c r="AU35" s="34">
        <v>1</v>
      </c>
      <c r="AV35" s="6">
        <v>0</v>
      </c>
      <c r="AW35" s="36">
        <v>0</v>
      </c>
      <c r="AX35" s="46">
        <v>0</v>
      </c>
      <c r="AY35" s="34">
        <v>0</v>
      </c>
      <c r="AZ35" s="6">
        <v>0</v>
      </c>
      <c r="BA35" s="34">
        <v>0</v>
      </c>
      <c r="BB35" s="6">
        <v>0</v>
      </c>
      <c r="BC35" s="34">
        <v>0</v>
      </c>
      <c r="BE35" s="13">
        <v>2</v>
      </c>
      <c r="BF35" s="633">
        <v>2</v>
      </c>
      <c r="BG35" s="34">
        <v>2</v>
      </c>
      <c r="BH35" s="6">
        <v>2</v>
      </c>
      <c r="BI35" s="34">
        <v>2</v>
      </c>
      <c r="BJ35" s="46">
        <v>2</v>
      </c>
      <c r="BK35" s="34">
        <v>2</v>
      </c>
      <c r="BL35" s="6">
        <v>1</v>
      </c>
      <c r="BM35" s="34">
        <v>1</v>
      </c>
      <c r="BN35" s="6">
        <v>1</v>
      </c>
      <c r="BO35" s="34">
        <v>1</v>
      </c>
    </row>
    <row r="36" spans="1:67" x14ac:dyDescent="0.2">
      <c r="A36" s="7">
        <v>3</v>
      </c>
      <c r="B36" s="1">
        <f>IF(Paramètres!$H$46=0,0,VLOOKUP(Paramètres!$H$47,BARRACK_Normal_Troops[#All],2))</f>
        <v>0</v>
      </c>
      <c r="C36" s="9">
        <f>IF($B36=0,0,IF($A36&lt;3,1,IF(SUM(Paramètres!$K$6:$K$45)&lt;&gt;Paramètres!$K$3,0,VLOOKUP(MATCH(1,Paramètres!$K$6:$K$45,0),LABO_Normal_Troops[#All],2))))</f>
        <v>0</v>
      </c>
      <c r="D36" s="3">
        <f>IF(Paramètres!$H$46=0,0,VLOOKUP(Paramètres!$H$47,BARRACK_Normal_Troops[#All],3))</f>
        <v>0</v>
      </c>
      <c r="E36" s="35">
        <f>IF($D36=0,0,IF($A36&lt;3,1,IF(SUM(Paramètres!$K$6:$K$45)&lt;&gt;Paramètres!$K$3,0,VLOOKUP(MATCH(1,Paramètres!$K$6:$K$45,0),LABO_Normal_Troops[#All],3))))</f>
        <v>0</v>
      </c>
      <c r="F36" s="1">
        <f>IF(Paramètres!$H$46=0,0,VLOOKUP(Paramètres!$H$47,BARRACK_Normal_Troops[#All],4))</f>
        <v>0</v>
      </c>
      <c r="G36" s="9">
        <f>IF($F36=0,0,IF($A36&lt;3,1,IF(SUM(Paramètres!$K$6:$K$45)&lt;&gt;Paramètres!$K$3,0,VLOOKUP(MATCH(1,Paramètres!$K$6:$K$45,0),LABO_Normal_Troops[#All],4))))</f>
        <v>0</v>
      </c>
      <c r="H36" s="3">
        <f>IF(Paramètres!$H$46=0,0,VLOOKUP(Paramètres!$H$47,BARRACK_Normal_Troops[#All],5))</f>
        <v>0</v>
      </c>
      <c r="I36" s="35">
        <f>IF($H36=0,0,IF($A36&lt;3,1,IF(SUM(Paramètres!$K$6:$K$45)&lt;&gt;Paramètres!$K$3,0,VLOOKUP(MATCH(1,Paramètres!$K$6:$K$45,0),LABO_Normal_Troops[#All],5))))</f>
        <v>0</v>
      </c>
      <c r="J36" s="1">
        <f>IF(Paramètres!$H$46=0,0,VLOOKUP(Paramètres!$H$47,BARRACK_Normal_Troops[#All],6))</f>
        <v>0</v>
      </c>
      <c r="K36" s="9">
        <f>IF($J36=0,0,IF(SUM(Paramètres!$K$6:$K$45)&lt;&gt;Paramètres!$K$3,0,VLOOKUP(MATCH(1,Paramètres!$K$6:$K$45,0),LABO_Normal_Troops[#All],6)))</f>
        <v>0</v>
      </c>
      <c r="L36" s="3">
        <f>IF(Paramètres!$H$46=0,0,VLOOKUP(Paramètres!$H$47,BARRACK_Normal_Troops[#All],7))</f>
        <v>0</v>
      </c>
      <c r="M36" s="35">
        <f>IF($L36=0,0,IF(SUM(Paramètres!$K$6:$K$45)&lt;&gt;Paramètres!$K$3,0,VLOOKUP(MATCH(1,Paramètres!$K$6:$K$45,0),LABO_Normal_Troops[#All],7)))</f>
        <v>0</v>
      </c>
      <c r="N36" s="1">
        <f>IF(Paramètres!$H$46=0,0,VLOOKUP(Paramètres!$H$47,BARRACK_Normal_Troops[#All],8))</f>
        <v>0</v>
      </c>
      <c r="O36" s="9">
        <f>IF($N36=0,0,IF(SUM(Paramètres!$K$6:$K$45)&lt;&gt;Paramètres!$K$3,0,VLOOKUP(MATCH(1,Paramètres!$K$6:$K$45,0),LABO_Normal_Troops[#All],8)))</f>
        <v>0</v>
      </c>
      <c r="P36" s="3">
        <f>IF(Paramètres!$H$46=0,0,VLOOKUP(Paramètres!$H$47,BARRACK_Normal_Troops[#All],9))</f>
        <v>0</v>
      </c>
      <c r="Q36" s="34">
        <f>IF($P36=0,0,IF(SUM(Paramètres!$K$6:$K$45)&lt;&gt;Paramètres!$K$3,0,VLOOKUP(MATCH(1,Paramètres!$K$6:$K$45,0),LABO_Normal_Troops[#All],9)))</f>
        <v>0</v>
      </c>
      <c r="R36" s="1">
        <f>IF(Paramètres!$H$46=0,0,VLOOKUP(Paramètres!$H$47,BARRACK_Normal_Troops[#All],10))</f>
        <v>0</v>
      </c>
      <c r="S36" s="5">
        <f>IF($R36=0,0,IF(SUM(Paramètres!$K$6:$K$45)&lt;&gt;Paramètres!$K$3,0,VLOOKUP(MATCH(1,Paramètres!$K$6:$K$45,0),LABO_Normal_Troops[#All],10)))</f>
        <v>0</v>
      </c>
      <c r="T36" s="147">
        <f>IF(Paramètres!$H$46=0,0,VLOOKUP(Paramètres!$H$47,BARRACK_Normal_Troops[#All],11))</f>
        <v>0</v>
      </c>
      <c r="U36" s="148">
        <f>IF($T36=0,0,IF(SUM(Paramètres!$K$6:$K$45)&lt;&gt;Paramètres!$K$3,0,VLOOKUP(MATCH(1,Paramètres!$K$6:$K$45,0),LABO_Normal_Troops[#All],11)))</f>
        <v>0</v>
      </c>
      <c r="W36" s="7">
        <v>3</v>
      </c>
      <c r="X36" s="144">
        <f t="shared" si="40"/>
        <v>0</v>
      </c>
      <c r="Y36" s="145">
        <f t="shared" si="40"/>
        <v>0</v>
      </c>
      <c r="Z36" s="149">
        <f t="shared" si="39"/>
        <v>0</v>
      </c>
      <c r="AA36" s="150">
        <f t="shared" si="39"/>
        <v>0</v>
      </c>
      <c r="AB36" s="146">
        <f t="shared" si="39"/>
        <v>0</v>
      </c>
      <c r="AC36" s="145">
        <f t="shared" si="39"/>
        <v>0</v>
      </c>
      <c r="AD36" s="149">
        <f t="shared" si="39"/>
        <v>0</v>
      </c>
      <c r="AE36" s="150">
        <f t="shared" si="39"/>
        <v>0</v>
      </c>
      <c r="AF36" s="146">
        <f t="shared" si="39"/>
        <v>0</v>
      </c>
      <c r="AG36" s="145">
        <f t="shared" si="39"/>
        <v>0</v>
      </c>
      <c r="AH36" s="149">
        <f t="shared" si="39"/>
        <v>0</v>
      </c>
      <c r="AI36" s="150">
        <f t="shared" si="39"/>
        <v>0</v>
      </c>
      <c r="AJ36" s="146">
        <f t="shared" si="39"/>
        <v>0</v>
      </c>
      <c r="AK36" s="145">
        <f t="shared" si="39"/>
        <v>0</v>
      </c>
      <c r="AL36" s="149">
        <f t="shared" si="39"/>
        <v>0</v>
      </c>
      <c r="AM36" s="150">
        <f t="shared" si="39"/>
        <v>0</v>
      </c>
      <c r="AN36" s="146">
        <f t="shared" si="39"/>
        <v>0</v>
      </c>
      <c r="AO36" s="145">
        <f t="shared" si="39"/>
        <v>0</v>
      </c>
      <c r="AP36" s="149">
        <f t="shared" si="39"/>
        <v>0</v>
      </c>
      <c r="AQ36" s="151">
        <f t="shared" si="39"/>
        <v>0</v>
      </c>
      <c r="AS36" s="13">
        <v>3</v>
      </c>
      <c r="AT36" s="634">
        <v>1</v>
      </c>
      <c r="AU36" s="36">
        <v>1</v>
      </c>
      <c r="AV36" s="5">
        <v>1</v>
      </c>
      <c r="AW36" s="36">
        <v>0</v>
      </c>
      <c r="AX36" s="46">
        <v>0</v>
      </c>
      <c r="AY36" s="34">
        <v>0</v>
      </c>
      <c r="AZ36" s="6">
        <v>0</v>
      </c>
      <c r="BA36" s="34">
        <v>0</v>
      </c>
      <c r="BB36" s="6">
        <v>0</v>
      </c>
      <c r="BC36" s="34">
        <v>0</v>
      </c>
      <c r="BE36" s="13">
        <v>3</v>
      </c>
      <c r="BF36" s="634">
        <v>3</v>
      </c>
      <c r="BG36" s="36">
        <v>3</v>
      </c>
      <c r="BH36" s="5">
        <v>2</v>
      </c>
      <c r="BI36" s="36">
        <v>3</v>
      </c>
      <c r="BJ36" s="45">
        <v>2</v>
      </c>
      <c r="BK36" s="34">
        <v>2</v>
      </c>
      <c r="BL36" s="6">
        <v>2</v>
      </c>
      <c r="BM36" s="34">
        <v>1</v>
      </c>
      <c r="BN36" s="6">
        <v>1</v>
      </c>
      <c r="BO36" s="34">
        <v>1</v>
      </c>
    </row>
    <row r="37" spans="1:67" x14ac:dyDescent="0.2">
      <c r="A37" s="7">
        <v>4</v>
      </c>
      <c r="B37" s="2">
        <f>IF(Paramètres!$H$46=0,0,VLOOKUP(Paramètres!$H$47,BARRACK_Normal_Troops[#All],2))</f>
        <v>0</v>
      </c>
      <c r="C37" s="9">
        <f>IF($B37=0,0,IF($A37&lt;3,1,IF(SUM(Paramètres!$K$6:$K$45)&lt;&gt;Paramètres!$K$3,0,VLOOKUP(MATCH(1,Paramètres!$K$6:$K$45,0),LABO_Normal_Troops[#All],2))))</f>
        <v>0</v>
      </c>
      <c r="D37" s="4">
        <f>IF(Paramètres!$H$46=0,0,VLOOKUP(Paramètres!$H$47,BARRACK_Normal_Troops[#All],3))</f>
        <v>0</v>
      </c>
      <c r="E37" s="35">
        <f>IF($D37=0,0,IF($A37&lt;3,1,IF(SUM(Paramètres!$K$6:$K$45)&lt;&gt;Paramètres!$K$3,0,VLOOKUP(MATCH(1,Paramètres!$K$6:$K$45,0),LABO_Normal_Troops[#All],3))))</f>
        <v>0</v>
      </c>
      <c r="F37" s="2">
        <f>IF(Paramètres!$H$46=0,0,VLOOKUP(Paramètres!$H$47,BARRACK_Normal_Troops[#All],4))</f>
        <v>0</v>
      </c>
      <c r="G37" s="9">
        <f>IF($F37=0,0,IF($A37&lt;3,1,IF(SUM(Paramètres!$K$6:$K$45)&lt;&gt;Paramètres!$K$3,0,VLOOKUP(MATCH(1,Paramètres!$K$6:$K$45,0),LABO_Normal_Troops[#All],4))))</f>
        <v>0</v>
      </c>
      <c r="H37" s="4">
        <f>IF(Paramètres!$H$46=0,0,VLOOKUP(Paramètres!$H$47,BARRACK_Normal_Troops[#All],5))</f>
        <v>0</v>
      </c>
      <c r="I37" s="35">
        <f>IF($H37=0,0,IF($A37&lt;3,1,IF(SUM(Paramètres!$K$6:$K$45)&lt;&gt;Paramètres!$K$3,0,VLOOKUP(MATCH(1,Paramètres!$K$6:$K$45,0),LABO_Normal_Troops[#All],5))))</f>
        <v>0</v>
      </c>
      <c r="J37" s="2">
        <f>IF(Paramètres!$H$46=0,0,VLOOKUP(Paramètres!$H$47,BARRACK_Normal_Troops[#All],6))</f>
        <v>0</v>
      </c>
      <c r="K37" s="9">
        <f>IF($J37=0,0,IF(SUM(Paramètres!$K$6:$K$45)&lt;&gt;Paramètres!$K$3,0,VLOOKUP(MATCH(1,Paramètres!$K$6:$K$45,0),LABO_Normal_Troops[#All],6)))</f>
        <v>0</v>
      </c>
      <c r="L37" s="4">
        <f>IF(Paramètres!$H$46=0,0,VLOOKUP(Paramètres!$H$47,BARRACK_Normal_Troops[#All],7))</f>
        <v>0</v>
      </c>
      <c r="M37" s="35">
        <f>IF($L37=0,0,IF(SUM(Paramètres!$K$6:$K$45)&lt;&gt;Paramètres!$K$3,0,VLOOKUP(MATCH(1,Paramètres!$K$6:$K$45,0),LABO_Normal_Troops[#All],7)))</f>
        <v>0</v>
      </c>
      <c r="N37" s="2">
        <f>IF(Paramètres!$H$46=0,0,VLOOKUP(Paramètres!$H$47,BARRACK_Normal_Troops[#All],8))</f>
        <v>0</v>
      </c>
      <c r="O37" s="9">
        <f>IF($N37=0,0,IF(SUM(Paramètres!$K$6:$K$45)&lt;&gt;Paramètres!$K$3,0,VLOOKUP(MATCH(1,Paramètres!$K$6:$K$45,0),LABO_Normal_Troops[#All],8)))</f>
        <v>0</v>
      </c>
      <c r="P37" s="4">
        <f>IF(Paramètres!$H$46=0,0,VLOOKUP(Paramètres!$H$47,BARRACK_Normal_Troops[#All],9))</f>
        <v>0</v>
      </c>
      <c r="Q37" s="148">
        <f>IF($P37=0,0,IF(SUM(Paramètres!$K$6:$K$45)&lt;&gt;Paramètres!$K$3,0,VLOOKUP(MATCH(1,Paramètres!$K$6:$K$45,0),LABO_Normal_Troops[#All],9)))</f>
        <v>0</v>
      </c>
      <c r="R37" s="2">
        <f>IF(Paramètres!$H$46=0,0,VLOOKUP(Paramètres!$H$47,BARRACK_Normal_Troops[#All],10))</f>
        <v>0</v>
      </c>
      <c r="S37" s="143">
        <f>IF($R37=0,0,IF(SUM(Paramètres!$K$6:$K$45)&lt;&gt;Paramètres!$K$3,0,VLOOKUP(MATCH(1,Paramètres!$K$6:$K$45,0),LABO_Normal_Troops[#All],10)))</f>
        <v>0</v>
      </c>
      <c r="T37" s="147">
        <f>IF(Paramètres!$H$46=0,0,VLOOKUP(Paramètres!$H$47,BARRACK_Normal_Troops[#All],11))</f>
        <v>0</v>
      </c>
      <c r="U37" s="148">
        <f>IF($T37=0,0,IF(SUM(Paramètres!$K$6:$K$45)&lt;&gt;Paramètres!$K$3,0,VLOOKUP(MATCH(1,Paramètres!$K$6:$K$45,0),LABO_Normal_Troops[#All],11)))</f>
        <v>0</v>
      </c>
      <c r="W37" s="7">
        <v>4</v>
      </c>
      <c r="X37" s="144">
        <f t="shared" si="40"/>
        <v>0</v>
      </c>
      <c r="Y37" s="145">
        <f t="shared" si="40"/>
        <v>0</v>
      </c>
      <c r="Z37" s="149">
        <f t="shared" si="39"/>
        <v>0</v>
      </c>
      <c r="AA37" s="150">
        <f t="shared" si="39"/>
        <v>0</v>
      </c>
      <c r="AB37" s="146">
        <f t="shared" si="39"/>
        <v>0</v>
      </c>
      <c r="AC37" s="145">
        <f t="shared" si="39"/>
        <v>0</v>
      </c>
      <c r="AD37" s="149">
        <f t="shared" si="39"/>
        <v>0</v>
      </c>
      <c r="AE37" s="150">
        <f t="shared" si="39"/>
        <v>0</v>
      </c>
      <c r="AF37" s="146">
        <f t="shared" si="39"/>
        <v>0</v>
      </c>
      <c r="AG37" s="145">
        <f t="shared" si="39"/>
        <v>0</v>
      </c>
      <c r="AH37" s="149">
        <f t="shared" si="39"/>
        <v>0</v>
      </c>
      <c r="AI37" s="150">
        <f t="shared" si="39"/>
        <v>0</v>
      </c>
      <c r="AJ37" s="146">
        <f t="shared" si="39"/>
        <v>0</v>
      </c>
      <c r="AK37" s="145">
        <f t="shared" si="39"/>
        <v>0</v>
      </c>
      <c r="AL37" s="149">
        <f t="shared" si="39"/>
        <v>0</v>
      </c>
      <c r="AM37" s="150">
        <f t="shared" si="39"/>
        <v>0</v>
      </c>
      <c r="AN37" s="146">
        <f t="shared" si="39"/>
        <v>0</v>
      </c>
      <c r="AO37" s="145">
        <f t="shared" si="39"/>
        <v>0</v>
      </c>
      <c r="AP37" s="149">
        <f t="shared" si="39"/>
        <v>0</v>
      </c>
      <c r="AQ37" s="151">
        <f t="shared" si="39"/>
        <v>0</v>
      </c>
      <c r="AS37" s="13">
        <v>4</v>
      </c>
      <c r="AT37" s="633">
        <v>1</v>
      </c>
      <c r="AU37" s="34">
        <v>1</v>
      </c>
      <c r="AV37" s="6">
        <v>1</v>
      </c>
      <c r="AW37" s="34">
        <v>1</v>
      </c>
      <c r="AX37" s="46">
        <v>0</v>
      </c>
      <c r="AY37" s="34">
        <v>0</v>
      </c>
      <c r="AZ37" s="6">
        <v>0</v>
      </c>
      <c r="BA37" s="34">
        <v>0</v>
      </c>
      <c r="BB37" s="6">
        <v>0</v>
      </c>
      <c r="BC37" s="34">
        <v>0</v>
      </c>
      <c r="BE37" s="13">
        <v>4</v>
      </c>
      <c r="BF37" s="633">
        <v>3</v>
      </c>
      <c r="BG37" s="34">
        <v>3</v>
      </c>
      <c r="BH37" s="6">
        <v>3</v>
      </c>
      <c r="BI37" s="34">
        <v>3</v>
      </c>
      <c r="BJ37" s="46">
        <v>3</v>
      </c>
      <c r="BK37" s="34">
        <v>3</v>
      </c>
      <c r="BL37" s="6">
        <v>3</v>
      </c>
      <c r="BM37" s="34">
        <v>1</v>
      </c>
      <c r="BN37" s="6">
        <v>1</v>
      </c>
      <c r="BO37" s="34">
        <v>1</v>
      </c>
    </row>
    <row r="38" spans="1:67" x14ac:dyDescent="0.2">
      <c r="A38" s="7">
        <v>5</v>
      </c>
      <c r="B38" s="1">
        <f>IF(Paramètres!$H$46=0,0,VLOOKUP(Paramètres!$H$47,BARRACK_Normal_Troops[#All],2))</f>
        <v>0</v>
      </c>
      <c r="C38" s="9">
        <f>IF($B38=0,0,IF($A38&lt;3,1,IF(SUM(Paramètres!$K$6:$K$45)&lt;&gt;Paramètres!$K$3,0,VLOOKUP(MATCH(1,Paramètres!$K$6:$K$45,0),LABO_Normal_Troops[#All],2))))</f>
        <v>0</v>
      </c>
      <c r="D38" s="3">
        <f>IF(Paramètres!$H$46=0,0,VLOOKUP(Paramètres!$H$47,BARRACK_Normal_Troops[#All],3))</f>
        <v>0</v>
      </c>
      <c r="E38" s="35">
        <f>IF($D38=0,0,IF($A38&lt;3,1,IF(SUM(Paramètres!$K$6:$K$45)&lt;&gt;Paramètres!$K$3,0,VLOOKUP(MATCH(1,Paramètres!$K$6:$K$45,0),LABO_Normal_Troops[#All],3))))</f>
        <v>0</v>
      </c>
      <c r="F38" s="1">
        <f>IF(Paramètres!$H$46=0,0,VLOOKUP(Paramètres!$H$47,BARRACK_Normal_Troops[#All],4))</f>
        <v>0</v>
      </c>
      <c r="G38" s="9">
        <f>IF($F38=0,0,IF($A38&lt;3,1,IF(SUM(Paramètres!$K$6:$K$45)&lt;&gt;Paramètres!$K$3,0,VLOOKUP(MATCH(1,Paramètres!$K$6:$K$45,0),LABO_Normal_Troops[#All],4))))</f>
        <v>0</v>
      </c>
      <c r="H38" s="3">
        <f>IF(Paramètres!$H$46=0,0,VLOOKUP(Paramètres!$H$47,BARRACK_Normal_Troops[#All],5))</f>
        <v>0</v>
      </c>
      <c r="I38" s="35">
        <f>IF($H38=0,0,IF($A38&lt;3,1,IF(SUM(Paramètres!$K$6:$K$45)&lt;&gt;Paramètres!$K$3,0,VLOOKUP(MATCH(1,Paramètres!$K$6:$K$45,0),LABO_Normal_Troops[#All],5))))</f>
        <v>0</v>
      </c>
      <c r="J38" s="1">
        <f>IF(Paramètres!$H$46=0,0,VLOOKUP(Paramètres!$H$47,BARRACK_Normal_Troops[#All],6))</f>
        <v>0</v>
      </c>
      <c r="K38" s="9">
        <f>IF($J38=0,0,IF(SUM(Paramètres!$K$6:$K$45)&lt;&gt;Paramètres!$K$3,0,VLOOKUP(MATCH(1,Paramètres!$K$6:$K$45,0),LABO_Normal_Troops[#All],6)))</f>
        <v>0</v>
      </c>
      <c r="L38" s="3">
        <f>IF(Paramètres!$H$46=0,0,VLOOKUP(Paramètres!$H$47,BARRACK_Normal_Troops[#All],7))</f>
        <v>0</v>
      </c>
      <c r="M38" s="35">
        <f>IF($L38=0,0,IF(SUM(Paramètres!$K$6:$K$45)&lt;&gt;Paramètres!$K$3,0,VLOOKUP(MATCH(1,Paramètres!$K$6:$K$45,0),LABO_Normal_Troops[#All],7)))</f>
        <v>0</v>
      </c>
      <c r="N38" s="1">
        <f>IF(Paramètres!$H$46=0,0,VLOOKUP(Paramètres!$H$47,BARRACK_Normal_Troops[#All],8))</f>
        <v>0</v>
      </c>
      <c r="O38" s="9">
        <f>IF($N38=0,0,IF(SUM(Paramètres!$K$6:$K$45)&lt;&gt;Paramètres!$K$3,0,VLOOKUP(MATCH(1,Paramètres!$K$6:$K$45,0),LABO_Normal_Troops[#All],8)))</f>
        <v>0</v>
      </c>
      <c r="P38" s="3">
        <f>IF(Paramètres!$H$46=0,0,VLOOKUP(Paramètres!$H$47,BARRACK_Normal_Troops[#All],9))</f>
        <v>0</v>
      </c>
      <c r="Q38" s="35">
        <f>IF($P38=0,0,IF(SUM(Paramètres!$K$6:$K$45)&lt;&gt;Paramètres!$K$3,0,VLOOKUP(MATCH(1,Paramètres!$K$6:$K$45,0),LABO_Normal_Troops[#All],9)))</f>
        <v>0</v>
      </c>
      <c r="R38" s="1">
        <f>IF(Paramètres!$H$46=0,0,VLOOKUP(Paramètres!$H$47,BARRACK_Normal_Troops[#All],10))</f>
        <v>0</v>
      </c>
      <c r="S38" s="9">
        <f>IF($R38=0,0,IF(SUM(Paramètres!$K$6:$K$45)&lt;&gt;Paramètres!$K$3,0,VLOOKUP(MATCH(1,Paramètres!$K$6:$K$45,0),LABO_Normal_Troops[#All],10)))</f>
        <v>0</v>
      </c>
      <c r="T38" s="147">
        <f>IF(Paramètres!$H$46=0,0,VLOOKUP(Paramètres!$H$47,BARRACK_Normal_Troops[#All],11))</f>
        <v>0</v>
      </c>
      <c r="U38" s="148">
        <f>IF($T38=0,0,IF(SUM(Paramètres!$K$6:$K$45)&lt;&gt;Paramètres!$K$3,0,VLOOKUP(MATCH(1,Paramètres!$K$6:$K$45,0),LABO_Normal_Troops[#All],11)))</f>
        <v>0</v>
      </c>
      <c r="W38" s="7">
        <v>5</v>
      </c>
      <c r="X38" s="144">
        <f t="shared" si="40"/>
        <v>0</v>
      </c>
      <c r="Y38" s="145">
        <f t="shared" si="40"/>
        <v>0</v>
      </c>
      <c r="Z38" s="149">
        <f t="shared" si="39"/>
        <v>0</v>
      </c>
      <c r="AA38" s="150">
        <f t="shared" si="39"/>
        <v>0</v>
      </c>
      <c r="AB38" s="146">
        <f t="shared" si="39"/>
        <v>0</v>
      </c>
      <c r="AC38" s="145">
        <f t="shared" si="39"/>
        <v>0</v>
      </c>
      <c r="AD38" s="149">
        <f t="shared" si="39"/>
        <v>0</v>
      </c>
      <c r="AE38" s="150">
        <f t="shared" si="39"/>
        <v>0</v>
      </c>
      <c r="AF38" s="146">
        <f t="shared" si="39"/>
        <v>0</v>
      </c>
      <c r="AG38" s="145">
        <f t="shared" si="39"/>
        <v>0</v>
      </c>
      <c r="AH38" s="149">
        <f t="shared" si="39"/>
        <v>0</v>
      </c>
      <c r="AI38" s="150">
        <f t="shared" si="39"/>
        <v>0</v>
      </c>
      <c r="AJ38" s="146">
        <f t="shared" si="39"/>
        <v>0</v>
      </c>
      <c r="AK38" s="145">
        <f t="shared" si="39"/>
        <v>0</v>
      </c>
      <c r="AL38" s="149">
        <f t="shared" si="39"/>
        <v>0</v>
      </c>
      <c r="AM38" s="150">
        <f t="shared" si="39"/>
        <v>0</v>
      </c>
      <c r="AN38" s="146">
        <f t="shared" si="39"/>
        <v>0</v>
      </c>
      <c r="AO38" s="145">
        <f t="shared" si="39"/>
        <v>0</v>
      </c>
      <c r="AP38" s="149">
        <f t="shared" si="39"/>
        <v>0</v>
      </c>
      <c r="AQ38" s="151">
        <f t="shared" si="39"/>
        <v>0</v>
      </c>
      <c r="AS38" s="13">
        <v>5</v>
      </c>
      <c r="AT38" s="634">
        <v>1</v>
      </c>
      <c r="AU38" s="36">
        <v>1</v>
      </c>
      <c r="AV38" s="5">
        <v>1</v>
      </c>
      <c r="AW38" s="36">
        <v>1</v>
      </c>
      <c r="AX38" s="45">
        <v>1</v>
      </c>
      <c r="AY38" s="34">
        <v>0</v>
      </c>
      <c r="AZ38" s="6">
        <v>0</v>
      </c>
      <c r="BA38" s="34">
        <v>0</v>
      </c>
      <c r="BB38" s="6">
        <v>0</v>
      </c>
      <c r="BC38" s="34">
        <v>0</v>
      </c>
      <c r="BE38" s="13">
        <v>5</v>
      </c>
      <c r="BF38" s="634">
        <v>4</v>
      </c>
      <c r="BG38" s="36">
        <v>4</v>
      </c>
      <c r="BH38" s="5">
        <v>4</v>
      </c>
      <c r="BI38" s="36">
        <v>4</v>
      </c>
      <c r="BJ38" s="45">
        <v>4</v>
      </c>
      <c r="BK38" s="34">
        <v>4</v>
      </c>
      <c r="BL38" s="6">
        <v>4</v>
      </c>
      <c r="BM38" s="34">
        <v>2</v>
      </c>
      <c r="BN38" s="6">
        <v>2</v>
      </c>
      <c r="BO38" s="34">
        <v>1</v>
      </c>
    </row>
    <row r="39" spans="1:67" x14ac:dyDescent="0.2">
      <c r="A39" s="7">
        <v>6</v>
      </c>
      <c r="B39" s="2">
        <f>IF(Paramètres!$H$46=0,0,VLOOKUP(Paramètres!$H$47,BARRACK_Normal_Troops[#All],2))</f>
        <v>0</v>
      </c>
      <c r="C39" s="9">
        <f>IF($B39=0,0,IF($A39&lt;3,1,IF(SUM(Paramètres!$K$6:$K$45)&lt;&gt;Paramètres!$K$3,0,VLOOKUP(MATCH(1,Paramètres!$K$6:$K$45,0),LABO_Normal_Troops[#All],2))))</f>
        <v>0</v>
      </c>
      <c r="D39" s="4">
        <f>IF(Paramètres!$H$46=0,0,VLOOKUP(Paramètres!$H$47,BARRACK_Normal_Troops[#All],3))</f>
        <v>0</v>
      </c>
      <c r="E39" s="35">
        <f>IF($D39=0,0,IF($A39&lt;3,1,IF(SUM(Paramètres!$K$6:$K$45)&lt;&gt;Paramètres!$K$3,0,VLOOKUP(MATCH(1,Paramètres!$K$6:$K$45,0),LABO_Normal_Troops[#All],3))))</f>
        <v>0</v>
      </c>
      <c r="F39" s="2">
        <f>IF(Paramètres!$H$46=0,0,VLOOKUP(Paramètres!$H$47,BARRACK_Normal_Troops[#All],4))</f>
        <v>0</v>
      </c>
      <c r="G39" s="9">
        <f>IF($F39=0,0,IF($A39&lt;3,1,IF(SUM(Paramètres!$K$6:$K$45)&lt;&gt;Paramètres!$K$3,0,VLOOKUP(MATCH(1,Paramètres!$K$6:$K$45,0),LABO_Normal_Troops[#All],4))))</f>
        <v>0</v>
      </c>
      <c r="H39" s="4">
        <f>IF(Paramètres!$H$46=0,0,VLOOKUP(Paramètres!$H$47,BARRACK_Normal_Troops[#All],5))</f>
        <v>0</v>
      </c>
      <c r="I39" s="35">
        <f>IF($H39=0,0,IF($A39&lt;3,1,IF(SUM(Paramètres!$K$6:$K$45)&lt;&gt;Paramètres!$K$3,0,VLOOKUP(MATCH(1,Paramètres!$K$6:$K$45,0),LABO_Normal_Troops[#All],5))))</f>
        <v>0</v>
      </c>
      <c r="J39" s="2">
        <f>IF(Paramètres!$H$46=0,0,VLOOKUP(Paramètres!$H$47,BARRACK_Normal_Troops[#All],6))</f>
        <v>0</v>
      </c>
      <c r="K39" s="9">
        <f>IF($J39=0,0,IF(SUM(Paramètres!$K$6:$K$45)&lt;&gt;Paramètres!$K$3,0,VLOOKUP(MATCH(1,Paramètres!$K$6:$K$45,0),LABO_Normal_Troops[#All],6)))</f>
        <v>0</v>
      </c>
      <c r="L39" s="4">
        <f>IF(Paramètres!$H$46=0,0,VLOOKUP(Paramètres!$H$47,BARRACK_Normal_Troops[#All],7))</f>
        <v>0</v>
      </c>
      <c r="M39" s="35">
        <f>IF($L39=0,0,IF(SUM(Paramètres!$K$6:$K$45)&lt;&gt;Paramètres!$K$3,0,VLOOKUP(MATCH(1,Paramètres!$K$6:$K$45,0),LABO_Normal_Troops[#All],7)))</f>
        <v>0</v>
      </c>
      <c r="N39" s="2">
        <f>IF(Paramètres!$H$46=0,0,VLOOKUP(Paramètres!$H$47,BARRACK_Normal_Troops[#All],8))</f>
        <v>0</v>
      </c>
      <c r="O39" s="9">
        <f>IF($N39=0,0,IF(SUM(Paramètres!$K$6:$K$45)&lt;&gt;Paramètres!$K$3,0,VLOOKUP(MATCH(1,Paramètres!$K$6:$K$45,0),LABO_Normal_Troops[#All],8)))</f>
        <v>0</v>
      </c>
      <c r="P39" s="4">
        <f>IF(Paramètres!$H$46=0,0,VLOOKUP(Paramètres!$H$47,BARRACK_Normal_Troops[#All],9))</f>
        <v>0</v>
      </c>
      <c r="Q39" s="35">
        <f>IF($P39=0,0,IF(SUM(Paramètres!$K$6:$K$45)&lt;&gt;Paramètres!$K$3,0,VLOOKUP(MATCH(1,Paramètres!$K$6:$K$45,0),LABO_Normal_Troops[#All],9)))</f>
        <v>0</v>
      </c>
      <c r="R39" s="2">
        <f>IF(Paramètres!$H$46=0,0,VLOOKUP(Paramètres!$H$47,BARRACK_Normal_Troops[#All],10))</f>
        <v>0</v>
      </c>
      <c r="S39" s="9">
        <f>IF($R39=0,0,IF(SUM(Paramètres!$K$6:$K$45)&lt;&gt;Paramètres!$K$3,0,VLOOKUP(MATCH(1,Paramètres!$K$6:$K$45,0),LABO_Normal_Troops[#All],10)))</f>
        <v>0</v>
      </c>
      <c r="T39" s="147">
        <f>IF(Paramètres!$H$46=0,0,VLOOKUP(Paramètres!$H$47,BARRACK_Normal_Troops[#All],11))</f>
        <v>0</v>
      </c>
      <c r="U39" s="34">
        <f>IF($T39=0,0,IF(SUM(Paramètres!$K$6:$K$45)&lt;&gt;Paramètres!$K$3,0,VLOOKUP(MATCH(1,Paramètres!$K$6:$K$45,0),LABO_Normal_Troops[#All],11)))</f>
        <v>0</v>
      </c>
      <c r="W39" s="7">
        <v>6</v>
      </c>
      <c r="X39" s="144">
        <f t="shared" si="40"/>
        <v>0</v>
      </c>
      <c r="Y39" s="145">
        <f t="shared" si="40"/>
        <v>0</v>
      </c>
      <c r="Z39" s="149">
        <f t="shared" si="39"/>
        <v>0</v>
      </c>
      <c r="AA39" s="150">
        <f t="shared" si="39"/>
        <v>0</v>
      </c>
      <c r="AB39" s="146">
        <f t="shared" si="39"/>
        <v>0</v>
      </c>
      <c r="AC39" s="145">
        <f t="shared" si="39"/>
        <v>0</v>
      </c>
      <c r="AD39" s="149">
        <f t="shared" si="39"/>
        <v>0</v>
      </c>
      <c r="AE39" s="150">
        <f t="shared" si="39"/>
        <v>0</v>
      </c>
      <c r="AF39" s="146">
        <f t="shared" si="39"/>
        <v>0</v>
      </c>
      <c r="AG39" s="145">
        <f t="shared" si="39"/>
        <v>0</v>
      </c>
      <c r="AH39" s="149">
        <f t="shared" si="39"/>
        <v>0</v>
      </c>
      <c r="AI39" s="150">
        <f t="shared" si="39"/>
        <v>0</v>
      </c>
      <c r="AJ39" s="146">
        <f t="shared" si="39"/>
        <v>0</v>
      </c>
      <c r="AK39" s="145">
        <f t="shared" si="39"/>
        <v>0</v>
      </c>
      <c r="AL39" s="149">
        <f t="shared" si="39"/>
        <v>0</v>
      </c>
      <c r="AM39" s="150">
        <f t="shared" si="39"/>
        <v>0</v>
      </c>
      <c r="AN39" s="146">
        <f t="shared" si="39"/>
        <v>0</v>
      </c>
      <c r="AO39" s="145">
        <f t="shared" si="39"/>
        <v>0</v>
      </c>
      <c r="AP39" s="149">
        <f t="shared" si="39"/>
        <v>0</v>
      </c>
      <c r="AQ39" s="151">
        <f t="shared" si="39"/>
        <v>0</v>
      </c>
      <c r="AS39" s="13">
        <v>6</v>
      </c>
      <c r="AT39" s="633">
        <v>1</v>
      </c>
      <c r="AU39" s="34">
        <v>1</v>
      </c>
      <c r="AV39" s="6">
        <v>1</v>
      </c>
      <c r="AW39" s="34">
        <v>1</v>
      </c>
      <c r="AX39" s="46">
        <v>1</v>
      </c>
      <c r="AY39" s="34">
        <v>1</v>
      </c>
      <c r="AZ39" s="6">
        <v>0</v>
      </c>
      <c r="BA39" s="34">
        <v>0</v>
      </c>
      <c r="BB39" s="6">
        <v>0</v>
      </c>
      <c r="BC39" s="34">
        <v>0</v>
      </c>
      <c r="BE39" s="13">
        <v>6</v>
      </c>
      <c r="BF39" s="633">
        <v>5</v>
      </c>
      <c r="BG39" s="34">
        <v>5</v>
      </c>
      <c r="BH39" s="6">
        <v>5</v>
      </c>
      <c r="BI39" s="34">
        <v>5</v>
      </c>
      <c r="BJ39" s="46">
        <v>5</v>
      </c>
      <c r="BK39" s="34">
        <v>5</v>
      </c>
      <c r="BL39" s="6">
        <v>5</v>
      </c>
      <c r="BM39" s="34">
        <v>3</v>
      </c>
      <c r="BN39" s="6">
        <v>3</v>
      </c>
      <c r="BO39" s="34">
        <v>3</v>
      </c>
    </row>
    <row r="40" spans="1:67" x14ac:dyDescent="0.2">
      <c r="A40" s="7">
        <v>7</v>
      </c>
      <c r="B40" s="1">
        <f>IF(Paramètres!$H$46=0,0,VLOOKUP(Paramètres!$H$47,BARRACK_Normal_Troops[#All],2))</f>
        <v>0</v>
      </c>
      <c r="C40" s="9">
        <f>IF($B40=0,0,IF($A40&lt;3,1,IF(SUM(Paramètres!$K$6:$K$45)&lt;&gt;Paramètres!$K$3,0,VLOOKUP(MATCH(1,Paramètres!$K$6:$K$45,0),LABO_Normal_Troops[#All],2))))</f>
        <v>0</v>
      </c>
      <c r="D40" s="3">
        <f>IF(Paramètres!$H$46=0,0,VLOOKUP(Paramètres!$H$47,BARRACK_Normal_Troops[#All],3))</f>
        <v>0</v>
      </c>
      <c r="E40" s="35">
        <f>IF($D40=0,0,IF($A40&lt;3,1,IF(SUM(Paramètres!$K$6:$K$45)&lt;&gt;Paramètres!$K$3,0,VLOOKUP(MATCH(1,Paramètres!$K$6:$K$45,0),LABO_Normal_Troops[#All],3))))</f>
        <v>0</v>
      </c>
      <c r="F40" s="1">
        <f>IF(Paramètres!$H$46=0,0,VLOOKUP(Paramètres!$H$47,BARRACK_Normal_Troops[#All],4))</f>
        <v>0</v>
      </c>
      <c r="G40" s="9">
        <f>IF($F40=0,0,IF($A40&lt;3,1,IF(SUM(Paramètres!$K$6:$K$45)&lt;&gt;Paramètres!$K$3,0,VLOOKUP(MATCH(1,Paramètres!$K$6:$K$45,0),LABO_Normal_Troops[#All],4))))</f>
        <v>0</v>
      </c>
      <c r="H40" s="3">
        <f>IF(Paramètres!$H$46=0,0,VLOOKUP(Paramètres!$H$47,BARRACK_Normal_Troops[#All],5))</f>
        <v>0</v>
      </c>
      <c r="I40" s="35">
        <f>IF($H40=0,0,IF($A40&lt;3,1,IF(SUM(Paramètres!$K$6:$K$45)&lt;&gt;Paramètres!$K$3,0,VLOOKUP(MATCH(1,Paramètres!$K$6:$K$45,0),LABO_Normal_Troops[#All],5))))</f>
        <v>0</v>
      </c>
      <c r="J40" s="1">
        <f>IF(Paramètres!$H$46=0,0,VLOOKUP(Paramètres!$H$47,BARRACK_Normal_Troops[#All],6))</f>
        <v>0</v>
      </c>
      <c r="K40" s="9">
        <f>IF($J40=0,0,IF(SUM(Paramètres!$K$6:$K$45)&lt;&gt;Paramètres!$K$3,0,VLOOKUP(MATCH(1,Paramètres!$K$6:$K$45,0),LABO_Normal_Troops[#All],6)))</f>
        <v>0</v>
      </c>
      <c r="L40" s="3">
        <f>IF(Paramètres!$H$46=0,0,VLOOKUP(Paramètres!$H$47,BARRACK_Normal_Troops[#All],7))</f>
        <v>0</v>
      </c>
      <c r="M40" s="35">
        <f>IF($L40=0,0,IF(SUM(Paramètres!$K$6:$K$45)&lt;&gt;Paramètres!$K$3,0,VLOOKUP(MATCH(1,Paramètres!$K$6:$K$45,0),LABO_Normal_Troops[#All],7)))</f>
        <v>0</v>
      </c>
      <c r="N40" s="1">
        <f>IF(Paramètres!$H$46=0,0,VLOOKUP(Paramètres!$H$47,BARRACK_Normal_Troops[#All],8))</f>
        <v>0</v>
      </c>
      <c r="O40" s="9">
        <f>IF($N40=0,0,IF(SUM(Paramètres!$K$6:$K$45)&lt;&gt;Paramètres!$K$3,0,VLOOKUP(MATCH(1,Paramètres!$K$6:$K$45,0),LABO_Normal_Troops[#All],8)))</f>
        <v>0</v>
      </c>
      <c r="P40" s="3">
        <f>IF(Paramètres!$H$46=0,0,VLOOKUP(Paramètres!$H$47,BARRACK_Normal_Troops[#All],9))</f>
        <v>0</v>
      </c>
      <c r="Q40" s="35">
        <f>IF($P40=0,0,IF(SUM(Paramètres!$K$6:$K$45)&lt;&gt;Paramètres!$K$3,0,VLOOKUP(MATCH(1,Paramètres!$K$6:$K$45,0),LABO_Normal_Troops[#All],9)))</f>
        <v>0</v>
      </c>
      <c r="R40" s="1">
        <f>IF(Paramètres!$H$46=0,0,VLOOKUP(Paramètres!$H$47,BARRACK_Normal_Troops[#All],10))</f>
        <v>0</v>
      </c>
      <c r="S40" s="9">
        <f>IF($R40=0,0,IF(SUM(Paramètres!$K$6:$K$45)&lt;&gt;Paramètres!$K$3,0,VLOOKUP(MATCH(1,Paramètres!$K$6:$K$45,0),LABO_Normal_Troops[#All],10)))</f>
        <v>0</v>
      </c>
      <c r="T40" s="147">
        <f>IF(Paramètres!$H$46=0,0,VLOOKUP(Paramètres!$H$47,BARRACK_Normal_Troops[#All],11))</f>
        <v>0</v>
      </c>
      <c r="U40" s="34">
        <f>IF($T40=0,0,IF(SUM(Paramètres!$K$6:$K$45)&lt;&gt;Paramètres!$K$3,0,VLOOKUP(MATCH(1,Paramètres!$K$6:$K$45,0),LABO_Normal_Troops[#All],11)))</f>
        <v>0</v>
      </c>
      <c r="W40" s="7">
        <v>7</v>
      </c>
      <c r="X40" s="144">
        <f t="shared" si="40"/>
        <v>0</v>
      </c>
      <c r="Y40" s="145">
        <f t="shared" si="40"/>
        <v>0</v>
      </c>
      <c r="Z40" s="149">
        <f t="shared" si="39"/>
        <v>0</v>
      </c>
      <c r="AA40" s="150">
        <f t="shared" si="39"/>
        <v>0</v>
      </c>
      <c r="AB40" s="146">
        <f t="shared" si="39"/>
        <v>0</v>
      </c>
      <c r="AC40" s="145">
        <f t="shared" si="39"/>
        <v>0</v>
      </c>
      <c r="AD40" s="149">
        <f t="shared" si="39"/>
        <v>0</v>
      </c>
      <c r="AE40" s="150">
        <f t="shared" si="39"/>
        <v>0</v>
      </c>
      <c r="AF40" s="146">
        <f t="shared" si="39"/>
        <v>0</v>
      </c>
      <c r="AG40" s="145">
        <f t="shared" si="39"/>
        <v>0</v>
      </c>
      <c r="AH40" s="149">
        <f t="shared" si="39"/>
        <v>0</v>
      </c>
      <c r="AI40" s="150">
        <f t="shared" si="39"/>
        <v>0</v>
      </c>
      <c r="AJ40" s="146">
        <f t="shared" si="39"/>
        <v>0</v>
      </c>
      <c r="AK40" s="145">
        <f t="shared" si="39"/>
        <v>0</v>
      </c>
      <c r="AL40" s="149">
        <f t="shared" si="39"/>
        <v>0</v>
      </c>
      <c r="AM40" s="150">
        <f t="shared" si="39"/>
        <v>0</v>
      </c>
      <c r="AN40" s="146">
        <f t="shared" si="39"/>
        <v>0</v>
      </c>
      <c r="AO40" s="145">
        <f t="shared" si="39"/>
        <v>0</v>
      </c>
      <c r="AP40" s="149">
        <f t="shared" si="39"/>
        <v>0</v>
      </c>
      <c r="AQ40" s="151">
        <f t="shared" si="39"/>
        <v>0</v>
      </c>
      <c r="AS40" s="13">
        <v>7</v>
      </c>
      <c r="AT40" s="634">
        <v>1</v>
      </c>
      <c r="AU40" s="36">
        <v>1</v>
      </c>
      <c r="AV40" s="5">
        <v>1</v>
      </c>
      <c r="AW40" s="36">
        <v>1</v>
      </c>
      <c r="AX40" s="45">
        <v>1</v>
      </c>
      <c r="AY40" s="34">
        <v>1</v>
      </c>
      <c r="AZ40" s="6">
        <v>1</v>
      </c>
      <c r="BA40" s="34">
        <v>0</v>
      </c>
      <c r="BB40" s="6">
        <v>0</v>
      </c>
      <c r="BC40" s="34">
        <v>0</v>
      </c>
      <c r="BE40" s="13">
        <v>7</v>
      </c>
      <c r="BF40" s="634">
        <v>6</v>
      </c>
      <c r="BG40" s="36">
        <v>6</v>
      </c>
      <c r="BH40" s="5">
        <v>6</v>
      </c>
      <c r="BI40" s="36">
        <v>6</v>
      </c>
      <c r="BJ40" s="45">
        <v>5</v>
      </c>
      <c r="BK40" s="34">
        <v>6</v>
      </c>
      <c r="BL40" s="6">
        <v>5</v>
      </c>
      <c r="BM40" s="34">
        <v>4</v>
      </c>
      <c r="BN40" s="6">
        <v>4</v>
      </c>
      <c r="BO40" s="34">
        <v>3</v>
      </c>
    </row>
    <row r="41" spans="1:67" x14ac:dyDescent="0.2">
      <c r="A41" s="7">
        <v>8</v>
      </c>
      <c r="B41" s="2">
        <f>IF(Paramètres!$H$46=0,0,VLOOKUP(Paramètres!$H$47,BARRACK_Normal_Troops[#All],2))</f>
        <v>0</v>
      </c>
      <c r="C41" s="9">
        <f>IF($B41=0,0,IF($A41&lt;3,1,IF(SUM(Paramètres!$K$6:$K$45)&lt;&gt;Paramètres!$K$3,0,VLOOKUP(MATCH(1,Paramètres!$K$6:$K$45,0),LABO_Normal_Troops[#All],2))))</f>
        <v>0</v>
      </c>
      <c r="D41" s="4">
        <f>IF(Paramètres!$H$46=0,0,VLOOKUP(Paramètres!$H$47,BARRACK_Normal_Troops[#All],3))</f>
        <v>0</v>
      </c>
      <c r="E41" s="35">
        <f>IF($D41=0,0,IF($A41&lt;3,1,IF(SUM(Paramètres!$K$6:$K$45)&lt;&gt;Paramètres!$K$3,0,VLOOKUP(MATCH(1,Paramètres!$K$6:$K$45,0),LABO_Normal_Troops[#All],3))))</f>
        <v>0</v>
      </c>
      <c r="F41" s="2">
        <f>IF(Paramètres!$H$46=0,0,VLOOKUP(Paramètres!$H$47,BARRACK_Normal_Troops[#All],4))</f>
        <v>0</v>
      </c>
      <c r="G41" s="9">
        <f>IF($F41=0,0,IF($A41&lt;3,1,IF(SUM(Paramètres!$K$6:$K$45)&lt;&gt;Paramètres!$K$3,0,VLOOKUP(MATCH(1,Paramètres!$K$6:$K$45,0),LABO_Normal_Troops[#All],4))))</f>
        <v>0</v>
      </c>
      <c r="H41" s="4">
        <f>IF(Paramètres!$H$46=0,0,VLOOKUP(Paramètres!$H$47,BARRACK_Normal_Troops[#All],5))</f>
        <v>0</v>
      </c>
      <c r="I41" s="35">
        <f>IF($H41=0,0,IF($A41&lt;3,1,IF(SUM(Paramètres!$K$6:$K$45)&lt;&gt;Paramètres!$K$3,0,VLOOKUP(MATCH(1,Paramètres!$K$6:$K$45,0),LABO_Normal_Troops[#All],5))))</f>
        <v>0</v>
      </c>
      <c r="J41" s="2">
        <f>IF(Paramètres!$H$46=0,0,VLOOKUP(Paramètres!$H$47,BARRACK_Normal_Troops[#All],6))</f>
        <v>0</v>
      </c>
      <c r="K41" s="9">
        <f>IF($J41=0,0,IF(SUM(Paramètres!$K$6:$K$45)&lt;&gt;Paramètres!$K$3,0,VLOOKUP(MATCH(1,Paramètres!$K$6:$K$45,0),LABO_Normal_Troops[#All],6)))</f>
        <v>0</v>
      </c>
      <c r="L41" s="4">
        <f>IF(Paramètres!$H$46=0,0,VLOOKUP(Paramètres!$H$47,BARRACK_Normal_Troops[#All],7))</f>
        <v>0</v>
      </c>
      <c r="M41" s="35">
        <f>IF($L41=0,0,IF(SUM(Paramètres!$K$6:$K$45)&lt;&gt;Paramètres!$K$3,0,VLOOKUP(MATCH(1,Paramètres!$K$6:$K$45,0),LABO_Normal_Troops[#All],7)))</f>
        <v>0</v>
      </c>
      <c r="N41" s="2">
        <f>IF(Paramètres!$H$46=0,0,VLOOKUP(Paramètres!$H$47,BARRACK_Normal_Troops[#All],8))</f>
        <v>0</v>
      </c>
      <c r="O41" s="9">
        <f>IF($N41=0,0,IF(SUM(Paramètres!$K$6:$K$45)&lt;&gt;Paramètres!$K$3,0,VLOOKUP(MATCH(1,Paramètres!$K$6:$K$45,0),LABO_Normal_Troops[#All],8)))</f>
        <v>0</v>
      </c>
      <c r="P41" s="4">
        <f>IF(Paramètres!$H$46=0,0,VLOOKUP(Paramètres!$H$47,BARRACK_Normal_Troops[#All],9))</f>
        <v>0</v>
      </c>
      <c r="Q41" s="35">
        <f>IF($P41=0,0,IF(SUM(Paramètres!$K$6:$K$45)&lt;&gt;Paramètres!$K$3,0,VLOOKUP(MATCH(1,Paramètres!$K$6:$K$45,0),LABO_Normal_Troops[#All],9)))</f>
        <v>0</v>
      </c>
      <c r="R41" s="2">
        <f>IF(Paramètres!$H$46=0,0,VLOOKUP(Paramètres!$H$47,BARRACK_Normal_Troops[#All],10))</f>
        <v>0</v>
      </c>
      <c r="S41" s="9">
        <f>IF($R41=0,0,IF(SUM(Paramètres!$K$6:$K$45)&lt;&gt;Paramètres!$K$3,0,VLOOKUP(MATCH(1,Paramètres!$K$6:$K$45,0),LABO_Normal_Troops[#All],10)))</f>
        <v>0</v>
      </c>
      <c r="T41" s="147">
        <f>IF(Paramètres!$H$46=0,0,VLOOKUP(Paramètres!$H$47,BARRACK_Normal_Troops[#All],11))</f>
        <v>0</v>
      </c>
      <c r="U41" s="34">
        <f>IF($T41=0,0,IF(SUM(Paramètres!$K$6:$K$45)&lt;&gt;Paramètres!$K$3,0,VLOOKUP(MATCH(1,Paramètres!$K$6:$K$45,0),LABO_Normal_Troops[#All],11)))</f>
        <v>0</v>
      </c>
      <c r="W41" s="7">
        <v>8</v>
      </c>
      <c r="X41" s="144">
        <f t="shared" si="40"/>
        <v>0</v>
      </c>
      <c r="Y41" s="145">
        <f t="shared" si="40"/>
        <v>0</v>
      </c>
      <c r="Z41" s="149">
        <f t="shared" si="39"/>
        <v>0</v>
      </c>
      <c r="AA41" s="150">
        <f t="shared" si="39"/>
        <v>0</v>
      </c>
      <c r="AB41" s="146">
        <f t="shared" si="39"/>
        <v>0</v>
      </c>
      <c r="AC41" s="145">
        <f t="shared" si="39"/>
        <v>0</v>
      </c>
      <c r="AD41" s="149">
        <f t="shared" si="39"/>
        <v>0</v>
      </c>
      <c r="AE41" s="150">
        <f t="shared" si="39"/>
        <v>0</v>
      </c>
      <c r="AF41" s="146">
        <f t="shared" si="39"/>
        <v>0</v>
      </c>
      <c r="AG41" s="145">
        <f t="shared" si="39"/>
        <v>0</v>
      </c>
      <c r="AH41" s="149">
        <f t="shared" si="39"/>
        <v>0</v>
      </c>
      <c r="AI41" s="150">
        <f t="shared" si="39"/>
        <v>0</v>
      </c>
      <c r="AJ41" s="146">
        <f t="shared" si="39"/>
        <v>0</v>
      </c>
      <c r="AK41" s="145">
        <f t="shared" si="39"/>
        <v>0</v>
      </c>
      <c r="AL41" s="149">
        <f t="shared" si="39"/>
        <v>0</v>
      </c>
      <c r="AM41" s="150">
        <f t="shared" si="39"/>
        <v>0</v>
      </c>
      <c r="AN41" s="146">
        <f t="shared" si="39"/>
        <v>0</v>
      </c>
      <c r="AO41" s="145">
        <f t="shared" si="39"/>
        <v>0</v>
      </c>
      <c r="AP41" s="149">
        <f t="shared" si="39"/>
        <v>0</v>
      </c>
      <c r="AQ41" s="151">
        <f t="shared" si="39"/>
        <v>0</v>
      </c>
      <c r="AS41" s="13">
        <v>8</v>
      </c>
      <c r="AT41" s="633">
        <v>1</v>
      </c>
      <c r="AU41" s="34">
        <v>1</v>
      </c>
      <c r="AV41" s="6">
        <v>1</v>
      </c>
      <c r="AW41" s="34">
        <v>1</v>
      </c>
      <c r="AX41" s="46">
        <v>1</v>
      </c>
      <c r="AY41" s="34">
        <v>1</v>
      </c>
      <c r="AZ41" s="6">
        <v>1</v>
      </c>
      <c r="BA41" s="34">
        <v>1</v>
      </c>
      <c r="BB41" s="6">
        <v>0</v>
      </c>
      <c r="BC41" s="34">
        <v>0</v>
      </c>
      <c r="BE41" s="13">
        <v>8</v>
      </c>
      <c r="BF41" s="633">
        <v>7</v>
      </c>
      <c r="BG41" s="34">
        <v>7</v>
      </c>
      <c r="BH41" s="6">
        <v>7</v>
      </c>
      <c r="BI41" s="34">
        <v>7</v>
      </c>
      <c r="BJ41" s="46">
        <v>6</v>
      </c>
      <c r="BK41" s="34">
        <v>6</v>
      </c>
      <c r="BL41" s="6">
        <v>6</v>
      </c>
      <c r="BM41" s="34">
        <v>4</v>
      </c>
      <c r="BN41" s="6">
        <v>5</v>
      </c>
      <c r="BO41" s="34">
        <v>5</v>
      </c>
    </row>
    <row r="42" spans="1:67" x14ac:dyDescent="0.2">
      <c r="A42" s="7">
        <v>9</v>
      </c>
      <c r="B42" s="1">
        <f>IF(Paramètres!$H$46=0,0,VLOOKUP(Paramètres!$H$47,BARRACK_Normal_Troops[#All],2))</f>
        <v>0</v>
      </c>
      <c r="C42" s="9">
        <f>IF($B42=0,0,IF($A42&lt;3,1,IF(SUM(Paramètres!$K$6:$K$45)&lt;&gt;Paramètres!$K$3,0,VLOOKUP(MATCH(1,Paramètres!$K$6:$K$45,0),LABO_Normal_Troops[#All],2))))</f>
        <v>0</v>
      </c>
      <c r="D42" s="3">
        <f>IF(Paramètres!$H$46=0,0,VLOOKUP(Paramètres!$H$47,BARRACK_Normal_Troops[#All],3))</f>
        <v>0</v>
      </c>
      <c r="E42" s="36">
        <f>IF($D42=0,0,IF($A42&lt;3,1,IF(SUM(Paramètres!$K$6:$K$45)&lt;&gt;Paramètres!$K$3,0,VLOOKUP(MATCH(1,Paramètres!$K$6:$K$45,0),LABO_Normal_Troops[#All],3))))</f>
        <v>0</v>
      </c>
      <c r="F42" s="1">
        <f>IF(Paramètres!$H$46=0,0,VLOOKUP(Paramètres!$H$47,BARRACK_Normal_Troops[#All],4))</f>
        <v>0</v>
      </c>
      <c r="G42" s="5">
        <f>IF($F42=0,0,IF($A42&lt;3,1,IF(SUM(Paramètres!$K$6:$K$45)&lt;&gt;Paramètres!$K$3,0,VLOOKUP(MATCH(1,Paramètres!$K$6:$K$45,0),LABO_Normal_Troops[#All],4))))</f>
        <v>0</v>
      </c>
      <c r="H42" s="3">
        <f>IF(Paramètres!$H$46=0,0,VLOOKUP(Paramètres!$H$47,BARRACK_Normal_Troops[#All],5))</f>
        <v>0</v>
      </c>
      <c r="I42" s="36">
        <f>IF($H42=0,0,IF($A42&lt;3,1,IF(SUM(Paramètres!$K$6:$K$45)&lt;&gt;Paramètres!$K$3,0,VLOOKUP(MATCH(1,Paramètres!$K$6:$K$45,0),LABO_Normal_Troops[#All],5))))</f>
        <v>0</v>
      </c>
      <c r="J42" s="1">
        <f>IF(Paramètres!$H$46=0,0,VLOOKUP(Paramètres!$H$47,BARRACK_Normal_Troops[#All],6))</f>
        <v>0</v>
      </c>
      <c r="K42" s="5">
        <f>IF($J42=0,0,IF(SUM(Paramètres!$K$6:$K$45)&lt;&gt;Paramètres!$K$3,0,VLOOKUP(MATCH(1,Paramètres!$K$6:$K$45,0),LABO_Normal_Troops[#All],6)))</f>
        <v>0</v>
      </c>
      <c r="L42" s="3">
        <f>IF(Paramètres!$H$46=0,0,VLOOKUP(Paramètres!$H$47,BARRACK_Normal_Troops[#All],7))</f>
        <v>0</v>
      </c>
      <c r="M42" s="36">
        <f>IF($L42=0,0,IF(SUM(Paramètres!$K$6:$K$45)&lt;&gt;Paramètres!$K$3,0,VLOOKUP(MATCH(1,Paramètres!$K$6:$K$45,0),LABO_Normal_Troops[#All],7)))</f>
        <v>0</v>
      </c>
      <c r="N42" s="1">
        <f>IF(Paramètres!$H$46=0,0,VLOOKUP(Paramètres!$H$47,BARRACK_Normal_Troops[#All],8))</f>
        <v>0</v>
      </c>
      <c r="O42" s="5">
        <f>IF($N42=0,0,IF(SUM(Paramètres!$K$6:$K$45)&lt;&gt;Paramètres!$K$3,0,VLOOKUP(MATCH(1,Paramètres!$K$6:$K$45,0),LABO_Normal_Troops[#All],8)))</f>
        <v>0</v>
      </c>
      <c r="P42" s="3">
        <f>IF(Paramètres!$H$46=0,0,VLOOKUP(Paramètres!$H$47,BARRACK_Normal_Troops[#All],9))</f>
        <v>0</v>
      </c>
      <c r="Q42" s="34">
        <f>IF($P42=0,0,IF(SUM(Paramètres!$K$6:$K$45)&lt;&gt;Paramètres!$K$3,0,VLOOKUP(MATCH(1,Paramètres!$K$6:$K$45,0),LABO_Normal_Troops[#All],9)))</f>
        <v>0</v>
      </c>
      <c r="R42" s="1">
        <f>IF(Paramètres!$H$46=0,0,VLOOKUP(Paramètres!$H$47,BARRACK_Normal_Troops[#All],10))</f>
        <v>0</v>
      </c>
      <c r="S42" s="5">
        <f>IF($R42=0,0,IF(SUM(Paramètres!$K$6:$K$45)&lt;&gt;Paramètres!$K$3,0,VLOOKUP(MATCH(1,Paramètres!$K$6:$K$45,0),LABO_Normal_Troops[#All],10)))</f>
        <v>0</v>
      </c>
      <c r="T42" s="147">
        <f>IF(Paramètres!$H$46=0,0,VLOOKUP(Paramètres!$H$47,BARRACK_Normal_Troops[#All],11))</f>
        <v>0</v>
      </c>
      <c r="U42" s="36">
        <f>IF($T42=0,0,IF(SUM(Paramètres!$K$6:$K$45)&lt;&gt;Paramètres!$K$3,0,VLOOKUP(MATCH(1,Paramètres!$K$6:$K$45,0),LABO_Normal_Troops[#All],11)))</f>
        <v>0</v>
      </c>
      <c r="W42" s="7">
        <v>9</v>
      </c>
      <c r="X42" s="144">
        <f t="shared" si="40"/>
        <v>0</v>
      </c>
      <c r="Y42" s="145">
        <f t="shared" si="40"/>
        <v>0</v>
      </c>
      <c r="Z42" s="149">
        <f t="shared" si="39"/>
        <v>0</v>
      </c>
      <c r="AA42" s="150">
        <f t="shared" si="39"/>
        <v>0</v>
      </c>
      <c r="AB42" s="146">
        <f t="shared" si="39"/>
        <v>0</v>
      </c>
      <c r="AC42" s="145">
        <f t="shared" si="39"/>
        <v>0</v>
      </c>
      <c r="AD42" s="149">
        <f t="shared" si="39"/>
        <v>0</v>
      </c>
      <c r="AE42" s="150">
        <f t="shared" si="39"/>
        <v>0</v>
      </c>
      <c r="AF42" s="146">
        <f t="shared" si="39"/>
        <v>0</v>
      </c>
      <c r="AG42" s="145">
        <f t="shared" si="39"/>
        <v>0</v>
      </c>
      <c r="AH42" s="149">
        <f t="shared" si="39"/>
        <v>0</v>
      </c>
      <c r="AI42" s="150">
        <f t="shared" si="39"/>
        <v>0</v>
      </c>
      <c r="AJ42" s="146">
        <f t="shared" si="39"/>
        <v>0</v>
      </c>
      <c r="AK42" s="145">
        <f t="shared" si="39"/>
        <v>0</v>
      </c>
      <c r="AL42" s="149">
        <f t="shared" si="39"/>
        <v>0</v>
      </c>
      <c r="AM42" s="150">
        <f t="shared" si="39"/>
        <v>0</v>
      </c>
      <c r="AN42" s="146">
        <f t="shared" si="39"/>
        <v>0</v>
      </c>
      <c r="AO42" s="145">
        <f t="shared" si="39"/>
        <v>0</v>
      </c>
      <c r="AP42" s="149">
        <f t="shared" si="39"/>
        <v>0</v>
      </c>
      <c r="AQ42" s="151">
        <f t="shared" si="39"/>
        <v>0</v>
      </c>
      <c r="AS42" s="13">
        <v>9</v>
      </c>
      <c r="AT42" s="634">
        <v>1</v>
      </c>
      <c r="AU42" s="36">
        <v>1</v>
      </c>
      <c r="AV42" s="5">
        <v>1</v>
      </c>
      <c r="AW42" s="36">
        <v>1</v>
      </c>
      <c r="AX42" s="45">
        <v>1</v>
      </c>
      <c r="AY42" s="34">
        <v>1</v>
      </c>
      <c r="AZ42" s="6">
        <v>1</v>
      </c>
      <c r="BA42" s="34">
        <v>1</v>
      </c>
      <c r="BB42" s="6">
        <v>1</v>
      </c>
      <c r="BC42" s="34">
        <v>0</v>
      </c>
      <c r="BE42" s="13">
        <v>9</v>
      </c>
      <c r="BF42" s="633">
        <v>7</v>
      </c>
      <c r="BG42" s="34">
        <v>7</v>
      </c>
      <c r="BH42" s="6">
        <v>7</v>
      </c>
      <c r="BI42" s="34">
        <v>7</v>
      </c>
      <c r="BJ42" s="46">
        <v>6</v>
      </c>
      <c r="BK42" s="34">
        <v>6</v>
      </c>
      <c r="BL42" s="6">
        <v>6</v>
      </c>
      <c r="BM42" s="34">
        <v>4</v>
      </c>
      <c r="BN42" s="6">
        <v>5</v>
      </c>
      <c r="BO42" s="34">
        <v>5</v>
      </c>
    </row>
    <row r="43" spans="1:67" ht="12" thickBot="1" x14ac:dyDescent="0.25">
      <c r="A43" s="8">
        <v>10</v>
      </c>
      <c r="B43" s="22">
        <f>IF(Paramètres!$H$46=0,0,VLOOKUP(Paramètres!$H$47,BARRACK_Normal_Troops[#All],2))</f>
        <v>0</v>
      </c>
      <c r="C43" s="9">
        <f>IF($B43=0,0,IF($A43&lt;3,1,IF(SUM(Paramètres!$K$6:$K$45)&lt;&gt;Paramètres!$K$3,0,VLOOKUP(MATCH(1,Paramètres!$K$6:$K$45,0),LABO_Normal_Troops[#All],2))))</f>
        <v>0</v>
      </c>
      <c r="D43" s="21">
        <f>IF(Paramètres!$H$46=0,0,VLOOKUP(Paramètres!$H$47,BARRACK_Normal_Troops[#All],3))</f>
        <v>0</v>
      </c>
      <c r="E43" s="37">
        <f>IF($D43=0,0,IF($A43&lt;3,1,IF(SUM(Paramètres!$K$6:$K$45)&lt;&gt;Paramètres!$K$3,0,VLOOKUP(MATCH(1,Paramètres!$K$6:$K$45,0),LABO_Normal_Troops[#All],3))))</f>
        <v>0</v>
      </c>
      <c r="F43" s="22">
        <f>IF(Paramètres!$H$46=0,0,VLOOKUP(Paramètres!$H$47,BARRACK_Normal_Troops[#All],4))</f>
        <v>0</v>
      </c>
      <c r="G43" s="20">
        <f>IF($F43=0,0,IF($A43&lt;3,1,IF(SUM(Paramètres!$K$6:$K$45)&lt;&gt;Paramètres!$K$3,0,VLOOKUP(MATCH(1,Paramètres!$K$6:$K$45,0),LABO_Normal_Troops[#All],4))))</f>
        <v>0</v>
      </c>
      <c r="H43" s="21">
        <f>IF(Paramètres!$H$46=0,0,VLOOKUP(Paramètres!$H$47,BARRACK_Normal_Troops[#All],5))</f>
        <v>0</v>
      </c>
      <c r="I43" s="37">
        <f>IF($H43=0,0,IF($A43&lt;3,1,IF(SUM(Paramètres!$K$6:$K$45)&lt;&gt;Paramètres!$K$3,0,VLOOKUP(MATCH(1,Paramètres!$K$6:$K$45,0),LABO_Normal_Troops[#All],5))))</f>
        <v>0</v>
      </c>
      <c r="J43" s="22">
        <f>IF(Paramètres!$H$46=0,0,VLOOKUP(Paramètres!$H$47,BARRACK_Normal_Troops[#All],6))</f>
        <v>0</v>
      </c>
      <c r="K43" s="20">
        <f>IF($J43=0,0,IF(SUM(Paramètres!$K$6:$K$45)&lt;&gt;Paramètres!$K$3,0,VLOOKUP(MATCH(1,Paramètres!$K$6:$K$45,0),LABO_Normal_Troops[#All],6)))</f>
        <v>0</v>
      </c>
      <c r="L43" s="21">
        <f>IF(Paramètres!$H$46=0,0,VLOOKUP(Paramètres!$H$47,BARRACK_Normal_Troops[#All],7))</f>
        <v>0</v>
      </c>
      <c r="M43" s="37">
        <f>IF($L43=0,0,IF(SUM(Paramètres!$K$6:$K$45)&lt;&gt;Paramètres!$K$3,0,VLOOKUP(MATCH(1,Paramètres!$K$6:$K$45,0),LABO_Normal_Troops[#All],7)))</f>
        <v>0</v>
      </c>
      <c r="N43" s="22">
        <f>IF(Paramètres!$H$46=0,0,VLOOKUP(Paramètres!$H$47,BARRACK_Normal_Troops[#All],8))</f>
        <v>0</v>
      </c>
      <c r="O43" s="20">
        <f>IF($N43=0,0,IF(SUM(Paramètres!$K$6:$K$45)&lt;&gt;Paramètres!$K$3,0,VLOOKUP(MATCH(1,Paramètres!$K$6:$K$45,0),LABO_Normal_Troops[#All],8)))</f>
        <v>0</v>
      </c>
      <c r="P43" s="21">
        <f>IF(Paramètres!$H$46=0,0,VLOOKUP(Paramètres!$H$47,BARRACK_Normal_Troops[#All],9))</f>
        <v>0</v>
      </c>
      <c r="Q43" s="36">
        <f>IF($P43=0,0,IF(SUM(Paramètres!$K$6:$K$45)&lt;&gt;Paramètres!$K$3,0,VLOOKUP(MATCH(1,Paramètres!$K$6:$K$45,0),LABO_Normal_Troops[#All],9)))</f>
        <v>0</v>
      </c>
      <c r="R43" s="22">
        <f>IF(Paramètres!$H$46=0,0,VLOOKUP(Paramètres!$H$47,BARRACK_Normal_Troops[#All],10))</f>
        <v>0</v>
      </c>
      <c r="S43" s="20">
        <f>IF($R43=0,0,IF(SUM(Paramètres!$K$6:$K$45)&lt;&gt;Paramètres!$K$3,0,VLOOKUP(MATCH(1,Paramètres!$K$6:$K$45,0),LABO_Normal_Troops[#All],10)))</f>
        <v>0</v>
      </c>
      <c r="T43" s="147">
        <f>IF(Paramètres!$H$46=0,0,VLOOKUP(Paramètres!$H$47,BARRACK_Normal_Troops[#All],11))</f>
        <v>0</v>
      </c>
      <c r="U43" s="37">
        <f>IF($T43=0,0,IF(SUM(Paramètres!$K$6:$K$45)&lt;&gt;Paramètres!$K$3,0,VLOOKUP(MATCH(1,Paramètres!$K$6:$K$45,0),LABO_Normal_Troops[#All],11)))</f>
        <v>0</v>
      </c>
      <c r="W43" s="8">
        <v>10</v>
      </c>
      <c r="X43" s="144">
        <f t="shared" si="40"/>
        <v>0</v>
      </c>
      <c r="Y43" s="145">
        <f t="shared" si="40"/>
        <v>0</v>
      </c>
      <c r="Z43" s="149">
        <f t="shared" si="39"/>
        <v>0</v>
      </c>
      <c r="AA43" s="150">
        <f t="shared" si="39"/>
        <v>0</v>
      </c>
      <c r="AB43" s="146">
        <f t="shared" si="39"/>
        <v>0</v>
      </c>
      <c r="AC43" s="145">
        <f t="shared" si="39"/>
        <v>0</v>
      </c>
      <c r="AD43" s="149">
        <f t="shared" si="39"/>
        <v>0</v>
      </c>
      <c r="AE43" s="150">
        <f t="shared" si="39"/>
        <v>0</v>
      </c>
      <c r="AF43" s="146">
        <f t="shared" si="39"/>
        <v>0</v>
      </c>
      <c r="AG43" s="145">
        <f t="shared" si="39"/>
        <v>0</v>
      </c>
      <c r="AH43" s="149">
        <f t="shared" si="39"/>
        <v>0</v>
      </c>
      <c r="AI43" s="150">
        <f t="shared" si="39"/>
        <v>0</v>
      </c>
      <c r="AJ43" s="146">
        <f t="shared" si="39"/>
        <v>0</v>
      </c>
      <c r="AK43" s="145">
        <f t="shared" si="39"/>
        <v>0</v>
      </c>
      <c r="AL43" s="149">
        <f t="shared" si="39"/>
        <v>0</v>
      </c>
      <c r="AM43" s="150">
        <f t="shared" si="39"/>
        <v>0</v>
      </c>
      <c r="AN43" s="146">
        <f t="shared" si="39"/>
        <v>0</v>
      </c>
      <c r="AO43" s="145">
        <f t="shared" si="39"/>
        <v>0</v>
      </c>
      <c r="AP43" s="149">
        <f t="shared" si="39"/>
        <v>0</v>
      </c>
      <c r="AQ43" s="151">
        <f t="shared" si="39"/>
        <v>0</v>
      </c>
      <c r="AS43" s="19">
        <v>10</v>
      </c>
      <c r="AT43" s="635">
        <v>1</v>
      </c>
      <c r="AU43" s="37">
        <v>1</v>
      </c>
      <c r="AV43" s="20">
        <v>1</v>
      </c>
      <c r="AW43" s="37">
        <v>1</v>
      </c>
      <c r="AX43" s="59">
        <v>1</v>
      </c>
      <c r="AY43" s="37">
        <v>1</v>
      </c>
      <c r="AZ43" s="20">
        <v>1</v>
      </c>
      <c r="BA43" s="37">
        <v>1</v>
      </c>
      <c r="BB43" s="20">
        <v>1</v>
      </c>
      <c r="BC43" s="37">
        <v>1</v>
      </c>
    </row>
    <row r="44" spans="1:67" x14ac:dyDescent="0.2">
      <c r="A44" s="184">
        <v>11</v>
      </c>
      <c r="B44" s="22">
        <f>IF(Paramètres!$H$46=0,0,VLOOKUP(Paramètres!$H$47,BARRACK_Normal_Troops[#All],2))</f>
        <v>0</v>
      </c>
      <c r="C44" s="895">
        <f>IF($B44=0,0,IF($A44&lt;3,1,IF(SUM(Paramètres!$K$6:$K$45)&lt;&gt;Paramètres!$K$3,0,VLOOKUP(MATCH(1,Paramètres!$K$6:$K$45,0),LABO_Normal_Troops[#All],2))))</f>
        <v>0</v>
      </c>
      <c r="D44" s="21">
        <f>IF(Paramètres!$H$46=0,0,VLOOKUP(Paramètres!$H$47,BARRACK_Normal_Troops[#All],3))</f>
        <v>0</v>
      </c>
      <c r="E44" s="37">
        <f>IF($D44=0,0,IF($A44&lt;3,1,IF(SUM(Paramètres!$K$6:$K$45)&lt;&gt;Paramètres!$K$3,0,VLOOKUP(MATCH(1,Paramètres!$K$6:$K$45,0),LABO_Normal_Troops[#All],3))))</f>
        <v>0</v>
      </c>
      <c r="F44" s="22">
        <f>IF(Paramètres!$H$46=0,0,VLOOKUP(Paramètres!$H$47,BARRACK_Normal_Troops[#All],4))</f>
        <v>0</v>
      </c>
      <c r="G44" s="20">
        <f>IF($F44=0,0,IF($A44&lt;3,1,IF(SUM(Paramètres!$K$6:$K$45)&lt;&gt;Paramètres!$K$3,0,VLOOKUP(MATCH(1,Paramètres!$K$6:$K$45,0),LABO_Normal_Troops[#All],4))))</f>
        <v>0</v>
      </c>
      <c r="H44" s="21">
        <f>IF(Paramètres!$H$46=0,0,VLOOKUP(Paramètres!$H$47,BARRACK_Normal_Troops[#All],5))</f>
        <v>0</v>
      </c>
      <c r="I44" s="37">
        <f>IF($H44=0,0,IF($A44&lt;3,1,IF(SUM(Paramètres!$K$6:$K$45)&lt;&gt;Paramètres!$K$3,0,VLOOKUP(MATCH(1,Paramètres!$K$6:$K$45,0),LABO_Normal_Troops[#All],5))))</f>
        <v>0</v>
      </c>
      <c r="J44" s="22">
        <f>IF(Paramètres!$H$46=0,0,VLOOKUP(Paramètres!$H$47,BARRACK_Normal_Troops[#All],6))</f>
        <v>0</v>
      </c>
      <c r="K44" s="20">
        <f>IF($J44=0,0,IF(SUM(Paramètres!$K$6:$K$45)&lt;&gt;Paramètres!$K$3,0,VLOOKUP(MATCH(1,Paramètres!$K$6:$K$45,0),LABO_Normal_Troops[#All],6)))</f>
        <v>0</v>
      </c>
      <c r="L44" s="21">
        <f>IF(Paramètres!$H$46=0,0,VLOOKUP(Paramètres!$H$47,BARRACK_Normal_Troops[#All],7))</f>
        <v>0</v>
      </c>
      <c r="M44" s="37">
        <f>IF($L44=0,0,IF(SUM(Paramètres!$K$6:$K$45)&lt;&gt;Paramètres!$K$3,0,VLOOKUP(MATCH(1,Paramètres!$K$6:$K$45,0),LABO_Normal_Troops[#All],7)))</f>
        <v>0</v>
      </c>
      <c r="N44" s="22">
        <f>IF(Paramètres!$H$46=0,0,VLOOKUP(Paramètres!$H$47,BARRACK_Normal_Troops[#All],8))</f>
        <v>0</v>
      </c>
      <c r="O44" s="20">
        <f>IF($N44=0,0,IF(SUM(Paramètres!$K$6:$K$45)&lt;&gt;Paramètres!$K$3,0,VLOOKUP(MATCH(1,Paramètres!$K$6:$K$45,0),LABO_Normal_Troops[#All],8)))</f>
        <v>0</v>
      </c>
      <c r="P44" s="21">
        <f>IF(Paramètres!$H$46=0,0,VLOOKUP(Paramètres!$H$47,BARRACK_Normal_Troops[#All],9))</f>
        <v>0</v>
      </c>
      <c r="Q44" s="896">
        <f>IF($P44=0,0,IF(SUM(Paramètres!$K$6:$K$45)&lt;&gt;Paramètres!$K$3,0,VLOOKUP(MATCH(1,Paramètres!$K$6:$K$45,0),LABO_Normal_Troops[#All],9)))</f>
        <v>0</v>
      </c>
      <c r="R44" s="22">
        <f>IF(Paramètres!$H$46=0,0,VLOOKUP(Paramètres!$H$47,BARRACK_Normal_Troops[#All],10))</f>
        <v>0</v>
      </c>
      <c r="S44" s="20">
        <f>IF($R44=0,0,IF(SUM(Paramètres!$K$6:$K$45)&lt;&gt;Paramètres!$K$3,0,VLOOKUP(MATCH(1,Paramètres!$K$6:$K$45,0),LABO_Normal_Troops[#All],10)))</f>
        <v>0</v>
      </c>
      <c r="T44" s="897">
        <f>IF(Paramètres!$H$46=0,0,VLOOKUP(Paramètres!$H$47,BARRACK_Normal_Troops[#All],11))</f>
        <v>0</v>
      </c>
      <c r="U44" s="37">
        <f>IF($T44=0,0,IF(SUM(Paramètres!$K$6:$K$45)&lt;&gt;Paramètres!$K$3,0,VLOOKUP(MATCH(1,Paramètres!$K$6:$K$45,0),LABO_Normal_Troops[#All],11)))</f>
        <v>0</v>
      </c>
      <c r="W44" s="184">
        <v>11</v>
      </c>
      <c r="X44" s="898">
        <f t="shared" ref="X44" si="41">B44-B43</f>
        <v>0</v>
      </c>
      <c r="Y44" s="899">
        <f t="shared" ref="Y44" si="42">C44-C43</f>
        <v>0</v>
      </c>
      <c r="Z44" s="900">
        <f t="shared" ref="Z44" si="43">D44-D43</f>
        <v>0</v>
      </c>
      <c r="AA44" s="901">
        <f t="shared" ref="AA44" si="44">E44-E43</f>
        <v>0</v>
      </c>
      <c r="AB44" s="902">
        <f t="shared" ref="AB44" si="45">F44-F43</f>
        <v>0</v>
      </c>
      <c r="AC44" s="899">
        <f t="shared" ref="AC44" si="46">G44-G43</f>
        <v>0</v>
      </c>
      <c r="AD44" s="900">
        <f t="shared" ref="AD44" si="47">H44-H43</f>
        <v>0</v>
      </c>
      <c r="AE44" s="901">
        <f t="shared" ref="AE44" si="48">I44-I43</f>
        <v>0</v>
      </c>
      <c r="AF44" s="902">
        <f t="shared" ref="AF44" si="49">J44-J43</f>
        <v>0</v>
      </c>
      <c r="AG44" s="899">
        <f t="shared" ref="AG44" si="50">K44-K43</f>
        <v>0</v>
      </c>
      <c r="AH44" s="900">
        <f t="shared" ref="AH44" si="51">L44-L43</f>
        <v>0</v>
      </c>
      <c r="AI44" s="901">
        <f t="shared" ref="AI44" si="52">M44-M43</f>
        <v>0</v>
      </c>
      <c r="AJ44" s="902">
        <f t="shared" ref="AJ44" si="53">N44-N43</f>
        <v>0</v>
      </c>
      <c r="AK44" s="899">
        <f t="shared" ref="AK44" si="54">O44-O43</f>
        <v>0</v>
      </c>
      <c r="AL44" s="900">
        <f t="shared" ref="AL44" si="55">P44-P43</f>
        <v>0</v>
      </c>
      <c r="AM44" s="901">
        <f t="shared" ref="AM44" si="56">Q44-Q43</f>
        <v>0</v>
      </c>
      <c r="AN44" s="902">
        <f t="shared" ref="AN44" si="57">R44-R43</f>
        <v>0</v>
      </c>
      <c r="AO44" s="899">
        <f t="shared" ref="AO44" si="58">S44-S43</f>
        <v>0</v>
      </c>
      <c r="AP44" s="900">
        <f t="shared" ref="AP44" si="59">T44-T43</f>
        <v>0</v>
      </c>
      <c r="AQ44" s="903">
        <f t="shared" ref="AQ44" si="60">U44-U43</f>
        <v>0</v>
      </c>
      <c r="AS44" s="13">
        <v>11</v>
      </c>
      <c r="AT44" s="633">
        <v>1</v>
      </c>
      <c r="AU44" s="34">
        <v>1</v>
      </c>
      <c r="AV44" s="6">
        <v>1</v>
      </c>
      <c r="AW44" s="34">
        <v>1</v>
      </c>
      <c r="AX44" s="6">
        <v>1</v>
      </c>
      <c r="AY44" s="34">
        <v>1</v>
      </c>
      <c r="AZ44" s="6">
        <v>1</v>
      </c>
      <c r="BA44" s="34">
        <v>1</v>
      </c>
      <c r="BB44" s="6">
        <v>1</v>
      </c>
      <c r="BC44" s="37">
        <v>1</v>
      </c>
    </row>
    <row r="46" spans="1:67" ht="30" customHeight="1" thickBot="1" x14ac:dyDescent="0.25">
      <c r="A46" s="1087" t="s">
        <v>399</v>
      </c>
      <c r="B46" s="1088"/>
      <c r="C46" s="1088"/>
      <c r="D46" s="1088"/>
      <c r="E46" s="1088"/>
      <c r="F46" s="1088"/>
      <c r="G46" s="1088"/>
      <c r="H46" s="1088"/>
      <c r="I46" s="1088"/>
      <c r="J46" s="1088"/>
      <c r="K46" s="1088"/>
      <c r="L46" s="1088"/>
      <c r="M46" s="1088"/>
      <c r="N46" s="1088"/>
      <c r="O46" s="1088"/>
      <c r="Q46" s="1087" t="s">
        <v>372</v>
      </c>
      <c r="R46" s="1088"/>
      <c r="S46" s="1088"/>
      <c r="T46" s="1088"/>
      <c r="U46" s="1088"/>
      <c r="V46" s="1088"/>
      <c r="W46" s="1088"/>
      <c r="X46" s="1088"/>
      <c r="Y46" s="1088"/>
      <c r="Z46" s="1088"/>
      <c r="AA46" s="1088"/>
      <c r="AB46" s="1088"/>
      <c r="AC46" s="1088"/>
      <c r="AD46" s="1088"/>
      <c r="AE46" s="1088"/>
      <c r="AH46" s="1087" t="s">
        <v>343</v>
      </c>
      <c r="AI46" s="1088"/>
      <c r="AJ46" s="1088"/>
      <c r="AK46" s="1088"/>
      <c r="AL46" s="1088"/>
      <c r="AM46" s="1088"/>
      <c r="AN46" s="1088"/>
      <c r="AO46" s="1088"/>
      <c r="AQ46" s="1090" t="s">
        <v>208</v>
      </c>
      <c r="AR46" s="1091"/>
      <c r="AS46" s="1091"/>
      <c r="AT46" s="1091"/>
      <c r="AU46" s="1091"/>
      <c r="AV46" s="1091"/>
      <c r="AW46" s="1091"/>
      <c r="AX46" s="1091"/>
    </row>
    <row r="47" spans="1:67" ht="34.5" thickBot="1" x14ac:dyDescent="0.25">
      <c r="A47" s="439" t="s">
        <v>613</v>
      </c>
      <c r="B47" s="964" t="s">
        <v>183</v>
      </c>
      <c r="C47" s="965" t="s">
        <v>15</v>
      </c>
      <c r="D47" s="965" t="s">
        <v>245</v>
      </c>
      <c r="E47" s="435" t="s">
        <v>21</v>
      </c>
      <c r="F47" s="965" t="s">
        <v>66</v>
      </c>
      <c r="G47" s="435" t="s">
        <v>22</v>
      </c>
      <c r="H47" s="965" t="s">
        <v>67</v>
      </c>
      <c r="I47" s="435" t="s">
        <v>23</v>
      </c>
      <c r="J47" s="965" t="s">
        <v>536</v>
      </c>
      <c r="K47" s="508" t="s">
        <v>563</v>
      </c>
      <c r="L47" s="965" t="s">
        <v>573</v>
      </c>
      <c r="M47" s="433" t="s">
        <v>24</v>
      </c>
      <c r="N47" s="1012" t="s">
        <v>818</v>
      </c>
      <c r="O47" s="1012" t="s">
        <v>25</v>
      </c>
      <c r="Q47" s="439" t="s">
        <v>613</v>
      </c>
      <c r="R47" s="414" t="s">
        <v>183</v>
      </c>
      <c r="S47" s="415" t="s">
        <v>15</v>
      </c>
      <c r="T47" s="415" t="s">
        <v>245</v>
      </c>
      <c r="U47" s="415" t="s">
        <v>21</v>
      </c>
      <c r="V47" s="415" t="s">
        <v>66</v>
      </c>
      <c r="W47" s="415" t="s">
        <v>22</v>
      </c>
      <c r="X47" s="415" t="s">
        <v>67</v>
      </c>
      <c r="Y47" s="415" t="s">
        <v>23</v>
      </c>
      <c r="Z47" s="415" t="s">
        <v>536</v>
      </c>
      <c r="AA47" s="416" t="s">
        <v>24</v>
      </c>
      <c r="AB47" s="415" t="s">
        <v>573</v>
      </c>
      <c r="AC47" s="416" t="s">
        <v>565</v>
      </c>
      <c r="AD47" s="1012" t="s">
        <v>818</v>
      </c>
      <c r="AE47" s="1012" t="s">
        <v>819</v>
      </c>
      <c r="AH47" s="12" t="s">
        <v>642</v>
      </c>
      <c r="AI47" s="964" t="s">
        <v>183</v>
      </c>
      <c r="AJ47" s="965" t="s">
        <v>245</v>
      </c>
      <c r="AK47" s="965" t="s">
        <v>66</v>
      </c>
      <c r="AL47" s="965" t="s">
        <v>67</v>
      </c>
      <c r="AM47" s="965" t="s">
        <v>536</v>
      </c>
      <c r="AN47" s="965" t="s">
        <v>573</v>
      </c>
      <c r="AO47" s="1012" t="s">
        <v>818</v>
      </c>
      <c r="AQ47" s="12" t="s">
        <v>613</v>
      </c>
      <c r="AR47" s="964" t="s">
        <v>183</v>
      </c>
      <c r="AS47" s="965" t="s">
        <v>245</v>
      </c>
      <c r="AT47" s="965" t="s">
        <v>66</v>
      </c>
      <c r="AU47" s="965" t="s">
        <v>67</v>
      </c>
      <c r="AV47" s="965" t="s">
        <v>536</v>
      </c>
      <c r="AW47" s="965" t="s">
        <v>573</v>
      </c>
      <c r="AX47" s="1012" t="s">
        <v>818</v>
      </c>
    </row>
    <row r="48" spans="1:67" x14ac:dyDescent="0.2">
      <c r="A48" s="440">
        <v>0</v>
      </c>
      <c r="B48" s="142">
        <f>IF(Paramètres!$I$46=0,0,VLOOKUP(Paramètres!$I$47,BARRACK_DARK_Troops[#All],2))</f>
        <v>0</v>
      </c>
      <c r="C48" s="9">
        <f>IF($B48=0,0,IF(SUM(Paramètres!$K$6:$K$45)&lt;&gt;Paramètres!$K$3,0,VLOOKUP(MATCH(1,Paramètres!$K$6:$K$45,0),LABO_Dark_Troops[#All],2)))</f>
        <v>0</v>
      </c>
      <c r="D48" s="147">
        <f>IF(Paramètres!$I$46=0,0,VLOOKUP(Paramètres!$I$47,BARRACK_DARK_Troops[#All],3))</f>
        <v>0</v>
      </c>
      <c r="E48" s="35">
        <f>IF($D48=0,0,IF(SUM(Paramètres!$K$6:$K$45)&lt;&gt;Paramètres!$K$3,0,VLOOKUP(MATCH(1,Paramètres!$K$6:$K$45,0),LABO_Dark_Troops[#All],3)))</f>
        <v>0</v>
      </c>
      <c r="F48" s="142">
        <f>IF(Paramètres!$I$46=0,0,VLOOKUP(Paramètres!$I$47,BARRACK_DARK_Troops[#All],4))</f>
        <v>0</v>
      </c>
      <c r="G48" s="9">
        <f>IF($F48=0,0,IF(SUM(Paramètres!$K$6:$K$45)&lt;&gt;Paramètres!$K$3,0,VLOOKUP(MATCH(1,Paramètres!$K$6:$K$45,0),LABO_Dark_Troops[#All],4)))</f>
        <v>0</v>
      </c>
      <c r="H48" s="147">
        <f>IF(Paramètres!$I$46=0,0,VLOOKUP(Paramètres!$I$47,BARRACK_DARK_Troops[#All],5))</f>
        <v>0</v>
      </c>
      <c r="I48" s="35">
        <f>IF($H48=0,0,IF(SUM(Paramètres!$K$6:$K$45)&lt;&gt;Paramètres!$K$3,0,VLOOKUP(MATCH(1,Paramètres!$K$6:$K$45,0),LABO_Dark_Troops[#All],5)))</f>
        <v>0</v>
      </c>
      <c r="J48" s="142">
        <f>IF(Paramètres!$I$46=0,0,VLOOKUP(Paramètres!$I$47,BARRACK_DARK_Troops[#All],6))</f>
        <v>0</v>
      </c>
      <c r="K48" s="9">
        <f>IF($J48=0,0,IF(SUM(Paramètres!$K$6:$K$45)&lt;&gt;Paramètres!$K$3,0,VLOOKUP(MATCH(1,Paramètres!$K$6:$K$45,0),LABO_Dark_Troops[#All],6)))</f>
        <v>0</v>
      </c>
      <c r="L48" s="147">
        <f>IF(Paramètres!$I$46=0,0,VLOOKUP(Paramètres!$I$47,BARRACK_DARK_Troops[#All],7))</f>
        <v>0</v>
      </c>
      <c r="M48" s="35">
        <f>IF($L48=0,0,IF(SUM(Paramètres!$K$6:$K$45)&lt;&gt;Paramètres!$K$3,0,VLOOKUP(MATCH(1,Paramètres!$K$6:$K$45,0),LABO_Dark_Troops[#All],7)))</f>
        <v>0</v>
      </c>
      <c r="N48" s="776">
        <f>IF(Paramètres!$I$46=0,0,VLOOKUP(Paramètres!$I$47,BARRACK_DARK_Troops[#All],8))</f>
        <v>0</v>
      </c>
      <c r="O48" s="777">
        <f>IF($N48=0,0,IF(SUM(Paramètres!$K$6:$K$45)&lt;&gt;Paramètres!$K$3,0,VLOOKUP(MATCH(1,Paramètres!$K$6:$K$45,0),LABO_Dark_Troops[#All],8)))</f>
        <v>0</v>
      </c>
      <c r="Q48" s="440">
        <v>0</v>
      </c>
      <c r="R48" s="636">
        <f>B48</f>
        <v>0</v>
      </c>
      <c r="S48" s="637">
        <f t="shared" ref="S48:AC48" si="61">C48</f>
        <v>0</v>
      </c>
      <c r="T48" s="638">
        <f t="shared" si="61"/>
        <v>0</v>
      </c>
      <c r="U48" s="639">
        <f t="shared" si="61"/>
        <v>0</v>
      </c>
      <c r="V48" s="640">
        <f t="shared" si="61"/>
        <v>0</v>
      </c>
      <c r="W48" s="637">
        <f t="shared" si="61"/>
        <v>0</v>
      </c>
      <c r="X48" s="638">
        <f t="shared" si="61"/>
        <v>0</v>
      </c>
      <c r="Y48" s="639">
        <f t="shared" si="61"/>
        <v>0</v>
      </c>
      <c r="Z48" s="640">
        <f t="shared" si="61"/>
        <v>0</v>
      </c>
      <c r="AA48" s="637">
        <f t="shared" si="61"/>
        <v>0</v>
      </c>
      <c r="AB48" s="638">
        <f>L48</f>
        <v>0</v>
      </c>
      <c r="AC48" s="641">
        <f t="shared" si="61"/>
        <v>0</v>
      </c>
      <c r="AD48" s="640">
        <f t="shared" ref="AD48" si="62">N48</f>
        <v>0</v>
      </c>
      <c r="AE48" s="637">
        <f t="shared" ref="AE48" si="63">O48</f>
        <v>0</v>
      </c>
      <c r="AH48" s="13">
        <v>0</v>
      </c>
      <c r="AI48" s="633">
        <v>0</v>
      </c>
      <c r="AJ48" s="34">
        <v>0</v>
      </c>
      <c r="AK48" s="6">
        <v>0</v>
      </c>
      <c r="AL48" s="36">
        <v>0</v>
      </c>
      <c r="AM48" s="46">
        <v>0</v>
      </c>
      <c r="AN48" s="34">
        <v>0</v>
      </c>
      <c r="AO48" s="46">
        <v>0</v>
      </c>
      <c r="AQ48" s="13">
        <v>0</v>
      </c>
      <c r="AR48" s="633">
        <v>0</v>
      </c>
      <c r="AS48" s="34">
        <v>0</v>
      </c>
      <c r="AT48" s="6">
        <v>0</v>
      </c>
      <c r="AU48" s="34">
        <v>0</v>
      </c>
      <c r="AV48" s="46">
        <v>0</v>
      </c>
      <c r="AW48" s="148">
        <v>0</v>
      </c>
      <c r="AX48" s="46">
        <v>0</v>
      </c>
    </row>
    <row r="49" spans="1:50" x14ac:dyDescent="0.2">
      <c r="A49" s="441">
        <v>1</v>
      </c>
      <c r="B49" s="445">
        <f>IF(Paramètres!$I$46=0,0,VLOOKUP(Paramètres!$I$47,BARRACK_DARK_Troops[#All],2))</f>
        <v>0</v>
      </c>
      <c r="C49" s="5">
        <f>IF($B49=0,0,IF(SUM(Paramètres!$K$6:$K$45)&lt;&gt;Paramètres!$K$3,0,VLOOKUP(MATCH(1,Paramètres!$K$6:$K$45,0),LABO_Dark_Troops[#All],2)))</f>
        <v>0</v>
      </c>
      <c r="D49" s="3">
        <f>IF(Paramètres!$I$46=0,0,VLOOKUP(Paramètres!$I$47,BARRACK_DARK_Troops[#All],3))</f>
        <v>0</v>
      </c>
      <c r="E49" s="36">
        <f>IF($D49=0,0,IF(SUM(Paramètres!$K$6:$K$45)&lt;&gt;Paramètres!$K$3,0,VLOOKUP(MATCH(1,Paramètres!$K$6:$K$45,0),LABO_Dark_Troops[#All],3)))</f>
        <v>0</v>
      </c>
      <c r="F49" s="1">
        <f>IF(Paramètres!$I$46=0,0,VLOOKUP(Paramètres!$I$47,BARRACK_DARK_Troops[#All],4))</f>
        <v>0</v>
      </c>
      <c r="G49" s="5">
        <f>IF($F49=0,0,IF(SUM(Paramètres!$K$6:$K$45)&lt;&gt;Paramètres!$K$3,0,VLOOKUP(MATCH(1,Paramètres!$K$6:$K$45,0),LABO_Dark_Troops[#All],4)))</f>
        <v>0</v>
      </c>
      <c r="H49" s="3">
        <f>IF(Paramètres!$I$46=0,0,VLOOKUP(Paramètres!$I$47,BARRACK_DARK_Troops[#All],5))</f>
        <v>0</v>
      </c>
      <c r="I49" s="36">
        <f>IF($H49=0,0,IF(SUM(Paramètres!$K$6:$K$45)&lt;&gt;Paramètres!$K$3,0,VLOOKUP(MATCH(1,Paramètres!$K$6:$K$45,0),LABO_Dark_Troops[#All],5)))</f>
        <v>0</v>
      </c>
      <c r="J49" s="1">
        <f>IF(Paramètres!$I$46=0,0,VLOOKUP(Paramètres!$I$47,BARRACK_DARK_Troops[#All],6))</f>
        <v>0</v>
      </c>
      <c r="K49" s="5">
        <f>IF($J49=0,0,IF(SUM(Paramètres!$K$6:$K$45)&lt;&gt;Paramètres!$K$3,0,VLOOKUP(MATCH(1,Paramètres!$K$6:$K$45,0),LABO_Dark_Troops[#All],6)))</f>
        <v>0</v>
      </c>
      <c r="L49" s="3">
        <f>IF(Paramètres!$I$46=0,0,VLOOKUP(Paramètres!$I$47,BARRACK_DARK_Troops[#All],7))</f>
        <v>0</v>
      </c>
      <c r="M49" s="36">
        <f>IF($L49=0,0,IF(SUM(Paramètres!$K$6:$K$45)&lt;&gt;Paramètres!$K$3,0,VLOOKUP(MATCH(1,Paramètres!$K$6:$K$45,0),LABO_Dark_Troops[#All],7)))</f>
        <v>0</v>
      </c>
      <c r="N49" s="1023">
        <f>IF(Paramètres!$I$46=0,0,VLOOKUP(Paramètres!$I$47,BARRACK_DARK_Troops[#All],8))</f>
        <v>0</v>
      </c>
      <c r="O49" s="1016">
        <f>IF($N49=0,0,IF(SUM(Paramètres!$K$6:$K$45)&lt;&gt;Paramètres!$K$3,0,VLOOKUP(MATCH(1,Paramètres!$K$6:$K$45,0),LABO_Dark_Troops[#All],8)))</f>
        <v>0</v>
      </c>
      <c r="Q49" s="441">
        <v>1</v>
      </c>
      <c r="R49" s="67">
        <f>B49-B48</f>
        <v>0</v>
      </c>
      <c r="S49" s="64">
        <f t="shared" ref="S49:AC58" si="64">C49-C48</f>
        <v>0</v>
      </c>
      <c r="T49" s="65">
        <f t="shared" si="64"/>
        <v>0</v>
      </c>
      <c r="U49" s="66">
        <f t="shared" si="64"/>
        <v>0</v>
      </c>
      <c r="V49" s="63">
        <f t="shared" si="64"/>
        <v>0</v>
      </c>
      <c r="W49" s="64">
        <f t="shared" si="64"/>
        <v>0</v>
      </c>
      <c r="X49" s="65">
        <f t="shared" si="64"/>
        <v>0</v>
      </c>
      <c r="Y49" s="66">
        <f t="shared" si="64"/>
        <v>0</v>
      </c>
      <c r="Z49" s="63">
        <f t="shared" si="64"/>
        <v>0</v>
      </c>
      <c r="AA49" s="64">
        <f t="shared" si="64"/>
        <v>0</v>
      </c>
      <c r="AB49" s="65">
        <f t="shared" si="64"/>
        <v>0</v>
      </c>
      <c r="AC49" s="68">
        <f t="shared" si="64"/>
        <v>0</v>
      </c>
      <c r="AD49" s="63">
        <f t="shared" ref="AD49:AD59" si="65">N49-N48</f>
        <v>0</v>
      </c>
      <c r="AE49" s="64">
        <f t="shared" ref="AE49:AE59" si="66">O49-O48</f>
        <v>0</v>
      </c>
      <c r="AH49" s="13">
        <v>1</v>
      </c>
      <c r="AI49" s="634">
        <v>1</v>
      </c>
      <c r="AJ49" s="36">
        <v>0</v>
      </c>
      <c r="AK49" s="6">
        <v>0</v>
      </c>
      <c r="AL49" s="36">
        <v>0</v>
      </c>
      <c r="AM49" s="46">
        <v>0</v>
      </c>
      <c r="AN49" s="34">
        <v>0</v>
      </c>
      <c r="AO49" s="46">
        <v>0</v>
      </c>
      <c r="AQ49" s="13">
        <v>1</v>
      </c>
      <c r="AR49" s="634">
        <v>1</v>
      </c>
      <c r="AS49" s="36">
        <v>1</v>
      </c>
      <c r="AT49" s="5">
        <v>1</v>
      </c>
      <c r="AU49" s="36">
        <v>1</v>
      </c>
      <c r="AV49" s="45">
        <v>1</v>
      </c>
      <c r="AW49" s="34">
        <v>1</v>
      </c>
      <c r="AX49" s="45">
        <v>1</v>
      </c>
    </row>
    <row r="50" spans="1:50" x14ac:dyDescent="0.2">
      <c r="A50" s="442">
        <v>2</v>
      </c>
      <c r="B50" s="444">
        <f>IF(Paramètres!$I$46=0,0,VLOOKUP(Paramètres!$I$47,BARRACK_DARK_Troops[#All],2))</f>
        <v>0</v>
      </c>
      <c r="C50" s="6">
        <f>IF($B50=0,0,IF(SUM(Paramètres!$K$6:$K$45)&lt;&gt;Paramètres!$K$3,0,VLOOKUP(MATCH(1,Paramètres!$K$6:$K$45,0),LABO_Dark_Troops[#All],2)))</f>
        <v>0</v>
      </c>
      <c r="D50" s="4">
        <f>IF(Paramètres!$I$46=0,0,VLOOKUP(Paramètres!$I$47,BARRACK_DARK_Troops[#All],3))</f>
        <v>0</v>
      </c>
      <c r="E50" s="34">
        <f>IF($D50=0,0,IF(SUM(Paramètres!$K$6:$K$45)&lt;&gt;Paramètres!$K$3,0,VLOOKUP(MATCH(1,Paramètres!$K$6:$K$45,0),LABO_Dark_Troops[#All],3)))</f>
        <v>0</v>
      </c>
      <c r="F50" s="2">
        <f>IF(Paramètres!$I$46=0,0,VLOOKUP(Paramètres!$I$47,BARRACK_DARK_Troops[#All],4))</f>
        <v>0</v>
      </c>
      <c r="G50" s="6">
        <f>IF($F50=0,0,IF(SUM(Paramètres!$K$6:$K$45)&lt;&gt;Paramètres!$K$3,0,VLOOKUP(MATCH(1,Paramètres!$K$6:$K$45,0),LABO_Dark_Troops[#All],4)))</f>
        <v>0</v>
      </c>
      <c r="H50" s="4">
        <f>IF(Paramètres!$I$46=0,0,VLOOKUP(Paramètres!$I$47,BARRACK_DARK_Troops[#All],5))</f>
        <v>0</v>
      </c>
      <c r="I50" s="34">
        <f>IF($H50=0,0,IF(SUM(Paramètres!$K$6:$K$45)&lt;&gt;Paramètres!$K$3,0,VLOOKUP(MATCH(1,Paramètres!$K$6:$K$45,0),LABO_Dark_Troops[#All],5)))</f>
        <v>0</v>
      </c>
      <c r="J50" s="2">
        <f>IF(Paramètres!$I$46=0,0,VLOOKUP(Paramètres!$I$47,BARRACK_DARK_Troops[#All],6))</f>
        <v>0</v>
      </c>
      <c r="K50" s="6">
        <f>IF($J50=0,0,IF(SUM(Paramètres!$K$6:$K$45)&lt;&gt;Paramètres!$K$3,0,VLOOKUP(MATCH(1,Paramètres!$K$6:$K$45,0),LABO_Dark_Troops[#All],6)))</f>
        <v>0</v>
      </c>
      <c r="L50" s="4">
        <f>IF(Paramètres!$I$46=0,0,VLOOKUP(Paramètres!$I$47,BARRACK_DARK_Troops[#All],7))</f>
        <v>0</v>
      </c>
      <c r="M50" s="34">
        <f>IF($L50=0,0,IF(SUM(Paramètres!$K$6:$K$45)&lt;&gt;Paramètres!$K$3,0,VLOOKUP(MATCH(1,Paramètres!$K$6:$K$45,0),LABO_Dark_Troops[#All],7)))</f>
        <v>0</v>
      </c>
      <c r="N50" s="1024">
        <f>IF(Paramètres!$I$46=0,0,VLOOKUP(Paramètres!$I$47,BARRACK_DARK_Troops[#All],8))</f>
        <v>0</v>
      </c>
      <c r="O50" s="1017">
        <f>IF($N50=0,0,IF(SUM(Paramètres!$K$6:$K$45)&lt;&gt;Paramètres!$K$3,0,VLOOKUP(MATCH(1,Paramètres!$K$6:$K$45,0),LABO_Dark_Troops[#All],8)))</f>
        <v>0</v>
      </c>
      <c r="Q50" s="442">
        <v>2</v>
      </c>
      <c r="R50" s="67">
        <f t="shared" ref="R50:R58" si="67">B50-B49</f>
        <v>0</v>
      </c>
      <c r="S50" s="64">
        <f t="shared" si="64"/>
        <v>0</v>
      </c>
      <c r="T50" s="65">
        <f t="shared" si="64"/>
        <v>0</v>
      </c>
      <c r="U50" s="66">
        <f t="shared" si="64"/>
        <v>0</v>
      </c>
      <c r="V50" s="63">
        <f t="shared" si="64"/>
        <v>0</v>
      </c>
      <c r="W50" s="64">
        <f t="shared" si="64"/>
        <v>0</v>
      </c>
      <c r="X50" s="65">
        <f t="shared" si="64"/>
        <v>0</v>
      </c>
      <c r="Y50" s="66">
        <f t="shared" si="64"/>
        <v>0</v>
      </c>
      <c r="Z50" s="63">
        <f t="shared" si="64"/>
        <v>0</v>
      </c>
      <c r="AA50" s="64">
        <f t="shared" si="64"/>
        <v>0</v>
      </c>
      <c r="AB50" s="65">
        <f t="shared" si="64"/>
        <v>0</v>
      </c>
      <c r="AC50" s="68">
        <f t="shared" si="64"/>
        <v>0</v>
      </c>
      <c r="AD50" s="63">
        <f t="shared" si="65"/>
        <v>0</v>
      </c>
      <c r="AE50" s="64">
        <f t="shared" si="66"/>
        <v>0</v>
      </c>
      <c r="AH50" s="13">
        <v>2</v>
      </c>
      <c r="AI50" s="633">
        <v>1</v>
      </c>
      <c r="AJ50" s="34">
        <v>1</v>
      </c>
      <c r="AK50" s="6">
        <v>0</v>
      </c>
      <c r="AL50" s="36">
        <v>0</v>
      </c>
      <c r="AM50" s="46">
        <v>0</v>
      </c>
      <c r="AN50" s="34">
        <v>0</v>
      </c>
      <c r="AO50" s="46">
        <v>0</v>
      </c>
      <c r="AQ50" s="13">
        <v>2</v>
      </c>
      <c r="AR50" s="633">
        <v>1</v>
      </c>
      <c r="AS50" s="34">
        <v>1</v>
      </c>
      <c r="AT50" s="6">
        <v>1</v>
      </c>
      <c r="AU50" s="34">
        <v>1</v>
      </c>
      <c r="AV50" s="46">
        <v>1</v>
      </c>
      <c r="AW50" s="34">
        <v>1</v>
      </c>
      <c r="AX50" s="46">
        <v>1</v>
      </c>
    </row>
    <row r="51" spans="1:50" x14ac:dyDescent="0.2">
      <c r="A51" s="442">
        <v>3</v>
      </c>
      <c r="B51" s="445">
        <f>IF(Paramètres!$I$46=0,0,VLOOKUP(Paramètres!$I$47,BARRACK_DARK_Troops[#All],2))</f>
        <v>0</v>
      </c>
      <c r="C51" s="5">
        <f>IF($B51=0,0,IF(SUM(Paramètres!$K$6:$K$45)&lt;&gt;Paramètres!$K$3,0,VLOOKUP(MATCH(1,Paramètres!$K$6:$K$45,0),LABO_Dark_Troops[#All],2)))</f>
        <v>0</v>
      </c>
      <c r="D51" s="3">
        <f>IF(Paramètres!$I$46=0,0,VLOOKUP(Paramètres!$I$47,BARRACK_DARK_Troops[#All],3))</f>
        <v>0</v>
      </c>
      <c r="E51" s="36">
        <f>IF($D51=0,0,IF(SUM(Paramètres!$K$6:$K$45)&lt;&gt;Paramètres!$K$3,0,VLOOKUP(MATCH(1,Paramètres!$K$6:$K$45,0),LABO_Dark_Troops[#All],3)))</f>
        <v>0</v>
      </c>
      <c r="F51" s="1">
        <f>IF(Paramètres!$I$46=0,0,VLOOKUP(Paramètres!$I$47,BARRACK_DARK_Troops[#All],4))</f>
        <v>0</v>
      </c>
      <c r="G51" s="5">
        <f>IF($F51=0,0,IF(SUM(Paramètres!$K$6:$K$45)&lt;&gt;Paramètres!$K$3,0,VLOOKUP(MATCH(1,Paramètres!$K$6:$K$45,0),LABO_Dark_Troops[#All],4)))</f>
        <v>0</v>
      </c>
      <c r="H51" s="3">
        <f>IF(Paramètres!$I$46=0,0,VLOOKUP(Paramètres!$I$47,BARRACK_DARK_Troops[#All],5))</f>
        <v>0</v>
      </c>
      <c r="I51" s="36">
        <f>IF($H51=0,0,IF(SUM(Paramètres!$K$6:$K$45)&lt;&gt;Paramètres!$K$3,0,VLOOKUP(MATCH(1,Paramètres!$K$6:$K$45,0),LABO_Dark_Troops[#All],5)))</f>
        <v>0</v>
      </c>
      <c r="J51" s="1">
        <f>IF(Paramètres!$I$46=0,0,VLOOKUP(Paramètres!$I$47,BARRACK_DARK_Troops[#All],6))</f>
        <v>0</v>
      </c>
      <c r="K51" s="5">
        <f>IF($J51=0,0,IF(SUM(Paramètres!$K$6:$K$45)&lt;&gt;Paramètres!$K$3,0,VLOOKUP(MATCH(1,Paramètres!$K$6:$K$45,0),LABO_Dark_Troops[#All],6)))</f>
        <v>0</v>
      </c>
      <c r="L51" s="3">
        <f>IF(Paramètres!$I$46=0,0,VLOOKUP(Paramètres!$I$47,BARRACK_DARK_Troops[#All],7))</f>
        <v>0</v>
      </c>
      <c r="M51" s="36">
        <f>IF($L51=0,0,IF(SUM(Paramètres!$K$6:$K$45)&lt;&gt;Paramètres!$K$3,0,VLOOKUP(MATCH(1,Paramètres!$K$6:$K$45,0),LABO_Dark_Troops[#All],7)))</f>
        <v>0</v>
      </c>
      <c r="N51" s="1023">
        <f>IF(Paramètres!$I$46=0,0,VLOOKUP(Paramètres!$I$47,BARRACK_DARK_Troops[#All],8))</f>
        <v>0</v>
      </c>
      <c r="O51" s="1016">
        <f>IF($N51=0,0,IF(SUM(Paramètres!$K$6:$K$45)&lt;&gt;Paramètres!$K$3,0,VLOOKUP(MATCH(1,Paramètres!$K$6:$K$45,0),LABO_Dark_Troops[#All],8)))</f>
        <v>0</v>
      </c>
      <c r="Q51" s="442">
        <v>3</v>
      </c>
      <c r="R51" s="67">
        <f t="shared" si="67"/>
        <v>0</v>
      </c>
      <c r="S51" s="64">
        <f t="shared" si="64"/>
        <v>0</v>
      </c>
      <c r="T51" s="65">
        <f t="shared" si="64"/>
        <v>0</v>
      </c>
      <c r="U51" s="66">
        <f t="shared" si="64"/>
        <v>0</v>
      </c>
      <c r="V51" s="63">
        <f t="shared" si="64"/>
        <v>0</v>
      </c>
      <c r="W51" s="64">
        <f t="shared" si="64"/>
        <v>0</v>
      </c>
      <c r="X51" s="65">
        <f t="shared" si="64"/>
        <v>0</v>
      </c>
      <c r="Y51" s="66">
        <f t="shared" si="64"/>
        <v>0</v>
      </c>
      <c r="Z51" s="63">
        <f t="shared" si="64"/>
        <v>0</v>
      </c>
      <c r="AA51" s="64">
        <f t="shared" si="64"/>
        <v>0</v>
      </c>
      <c r="AB51" s="65">
        <f t="shared" si="64"/>
        <v>0</v>
      </c>
      <c r="AC51" s="68">
        <f t="shared" si="64"/>
        <v>0</v>
      </c>
      <c r="AD51" s="63">
        <f t="shared" si="65"/>
        <v>0</v>
      </c>
      <c r="AE51" s="64">
        <f t="shared" si="66"/>
        <v>0</v>
      </c>
      <c r="AH51" s="13">
        <v>3</v>
      </c>
      <c r="AI51" s="634">
        <v>1</v>
      </c>
      <c r="AJ51" s="36">
        <v>1</v>
      </c>
      <c r="AK51" s="5">
        <v>1</v>
      </c>
      <c r="AL51" s="36">
        <v>0</v>
      </c>
      <c r="AM51" s="46">
        <v>0</v>
      </c>
      <c r="AN51" s="34">
        <v>0</v>
      </c>
      <c r="AO51" s="46">
        <v>0</v>
      </c>
      <c r="AQ51" s="13">
        <v>3</v>
      </c>
      <c r="AR51" s="634">
        <v>1</v>
      </c>
      <c r="AS51" s="36">
        <v>1</v>
      </c>
      <c r="AT51" s="5">
        <v>1</v>
      </c>
      <c r="AU51" s="36">
        <v>1</v>
      </c>
      <c r="AV51" s="45">
        <v>1</v>
      </c>
      <c r="AW51" s="34">
        <v>1</v>
      </c>
      <c r="AX51" s="45">
        <v>1</v>
      </c>
    </row>
    <row r="52" spans="1:50" x14ac:dyDescent="0.2">
      <c r="A52" s="442">
        <v>4</v>
      </c>
      <c r="B52" s="444">
        <f>IF(Paramètres!$I$46=0,0,VLOOKUP(Paramètres!$I$47,BARRACK_DARK_Troops[#All],2))</f>
        <v>0</v>
      </c>
      <c r="C52" s="6">
        <f>IF($B52=0,0,IF(SUM(Paramètres!$K$6:$K$45)&lt;&gt;Paramètres!$K$3,0,VLOOKUP(MATCH(1,Paramètres!$K$6:$K$45,0),LABO_Dark_Troops[#All],2)))</f>
        <v>0</v>
      </c>
      <c r="D52" s="4">
        <f>IF(Paramètres!$I$46=0,0,VLOOKUP(Paramètres!$I$47,BARRACK_DARK_Troops[#All],3))</f>
        <v>0</v>
      </c>
      <c r="E52" s="34">
        <f>IF($D52=0,0,IF(SUM(Paramètres!$K$6:$K$45)&lt;&gt;Paramètres!$K$3,0,VLOOKUP(MATCH(1,Paramètres!$K$6:$K$45,0),LABO_Dark_Troops[#All],3)))</f>
        <v>0</v>
      </c>
      <c r="F52" s="2">
        <f>IF(Paramètres!$I$46=0,0,VLOOKUP(Paramètres!$I$47,BARRACK_DARK_Troops[#All],4))</f>
        <v>0</v>
      </c>
      <c r="G52" s="6">
        <f>IF($F52=0,0,IF(SUM(Paramètres!$K$6:$K$45)&lt;&gt;Paramètres!$K$3,0,VLOOKUP(MATCH(1,Paramètres!$K$6:$K$45,0),LABO_Dark_Troops[#All],4)))</f>
        <v>0</v>
      </c>
      <c r="H52" s="4">
        <f>IF(Paramètres!$I$46=0,0,VLOOKUP(Paramètres!$I$47,BARRACK_DARK_Troops[#All],5))</f>
        <v>0</v>
      </c>
      <c r="I52" s="34">
        <f>IF($H52=0,0,IF(SUM(Paramètres!$K$6:$K$45)&lt;&gt;Paramètres!$K$3,0,VLOOKUP(MATCH(1,Paramètres!$K$6:$K$45,0),LABO_Dark_Troops[#All],5)))</f>
        <v>0</v>
      </c>
      <c r="J52" s="2">
        <f>IF(Paramètres!$I$46=0,0,VLOOKUP(Paramètres!$I$47,BARRACK_DARK_Troops[#All],6))</f>
        <v>0</v>
      </c>
      <c r="K52" s="6">
        <f>IF($J52=0,0,IF(SUM(Paramètres!$K$6:$K$45)&lt;&gt;Paramètres!$K$3,0,VLOOKUP(MATCH(1,Paramètres!$K$6:$K$45,0),LABO_Dark_Troops[#All],6)))</f>
        <v>0</v>
      </c>
      <c r="L52" s="4">
        <f>IF(Paramètres!$I$46=0,0,VLOOKUP(Paramètres!$I$47,BARRACK_DARK_Troops[#All],7))</f>
        <v>0</v>
      </c>
      <c r="M52" s="34">
        <f>IF($L52=0,0,IF(SUM(Paramètres!$K$6:$K$45)&lt;&gt;Paramètres!$K$3,0,VLOOKUP(MATCH(1,Paramètres!$K$6:$K$45,0),LABO_Dark_Troops[#All],7)))</f>
        <v>0</v>
      </c>
      <c r="N52" s="1024">
        <f>IF(Paramètres!$I$46=0,0,VLOOKUP(Paramètres!$I$47,BARRACK_DARK_Troops[#All],8))</f>
        <v>0</v>
      </c>
      <c r="O52" s="1017">
        <f>IF($N52=0,0,IF(SUM(Paramètres!$K$6:$K$45)&lt;&gt;Paramètres!$K$3,0,VLOOKUP(MATCH(1,Paramètres!$K$6:$K$45,0),LABO_Dark_Troops[#All],8)))</f>
        <v>0</v>
      </c>
      <c r="Q52" s="442">
        <v>4</v>
      </c>
      <c r="R52" s="67">
        <f t="shared" si="67"/>
        <v>0</v>
      </c>
      <c r="S52" s="64">
        <f t="shared" si="64"/>
        <v>0</v>
      </c>
      <c r="T52" s="65">
        <f t="shared" si="64"/>
        <v>0</v>
      </c>
      <c r="U52" s="66">
        <f t="shared" si="64"/>
        <v>0</v>
      </c>
      <c r="V52" s="63">
        <f t="shared" si="64"/>
        <v>0</v>
      </c>
      <c r="W52" s="64">
        <f t="shared" si="64"/>
        <v>0</v>
      </c>
      <c r="X52" s="65">
        <f t="shared" si="64"/>
        <v>0</v>
      </c>
      <c r="Y52" s="66">
        <f t="shared" si="64"/>
        <v>0</v>
      </c>
      <c r="Z52" s="63">
        <f t="shared" si="64"/>
        <v>0</v>
      </c>
      <c r="AA52" s="64">
        <f t="shared" si="64"/>
        <v>0</v>
      </c>
      <c r="AB52" s="65">
        <f t="shared" si="64"/>
        <v>0</v>
      </c>
      <c r="AC52" s="68">
        <f t="shared" si="64"/>
        <v>0</v>
      </c>
      <c r="AD52" s="63">
        <f t="shared" si="65"/>
        <v>0</v>
      </c>
      <c r="AE52" s="64">
        <f t="shared" si="66"/>
        <v>0</v>
      </c>
      <c r="AH52" s="13">
        <v>4</v>
      </c>
      <c r="AI52" s="633">
        <v>1</v>
      </c>
      <c r="AJ52" s="34">
        <v>1</v>
      </c>
      <c r="AK52" s="6">
        <v>1</v>
      </c>
      <c r="AL52" s="34">
        <v>1</v>
      </c>
      <c r="AM52" s="46">
        <v>0</v>
      </c>
      <c r="AN52" s="34">
        <v>0</v>
      </c>
      <c r="AO52" s="46">
        <v>0</v>
      </c>
      <c r="AQ52" s="13">
        <v>4</v>
      </c>
      <c r="AR52" s="633">
        <v>1</v>
      </c>
      <c r="AS52" s="34">
        <v>1</v>
      </c>
      <c r="AT52" s="6">
        <v>1</v>
      </c>
      <c r="AU52" s="34">
        <v>1</v>
      </c>
      <c r="AV52" s="46">
        <v>1</v>
      </c>
      <c r="AW52" s="34">
        <v>1</v>
      </c>
      <c r="AX52" s="46">
        <v>1</v>
      </c>
    </row>
    <row r="53" spans="1:50" x14ac:dyDescent="0.2">
      <c r="A53" s="442">
        <v>5</v>
      </c>
      <c r="B53" s="445">
        <f>IF(Paramètres!$I$46=0,0,VLOOKUP(Paramètres!$I$47,BARRACK_DARK_Troops[#All],2))</f>
        <v>0</v>
      </c>
      <c r="C53" s="9">
        <f>IF($B53=0,0,IF(SUM(Paramètres!$K$6:$K$45)&lt;&gt;Paramètres!$K$3,0,VLOOKUP(MATCH(1,Paramètres!$K$6:$K$45,0),LABO_Dark_Troops[#All],2)))</f>
        <v>0</v>
      </c>
      <c r="D53" s="3">
        <f>IF(Paramètres!$I$46=0,0,VLOOKUP(Paramètres!$I$47,BARRACK_DARK_Troops[#All],3))</f>
        <v>0</v>
      </c>
      <c r="E53" s="35">
        <f>IF($D53=0,0,IF(SUM(Paramètres!$K$6:$K$45)&lt;&gt;Paramètres!$K$3,0,VLOOKUP(MATCH(1,Paramètres!$K$6:$K$45,0),LABO_Dark_Troops[#All],3)))</f>
        <v>0</v>
      </c>
      <c r="F53" s="1">
        <f>IF(Paramètres!$I$46=0,0,VLOOKUP(Paramètres!$I$47,BARRACK_DARK_Troops[#All],4))</f>
        <v>0</v>
      </c>
      <c r="G53" s="6">
        <f>IF($F53=0,0,IF(SUM(Paramètres!$K$6:$K$45)&lt;&gt;Paramètres!$K$3,0,VLOOKUP(MATCH(1,Paramètres!$K$6:$K$45,0),LABO_Dark_Troops[#All],4)))</f>
        <v>0</v>
      </c>
      <c r="H53" s="3">
        <f>IF(Paramètres!$I$46=0,0,VLOOKUP(Paramètres!$I$47,BARRACK_DARK_Troops[#All],5))</f>
        <v>0</v>
      </c>
      <c r="I53" s="34">
        <f>IF($H53=0,0,IF(SUM(Paramètres!$K$6:$K$45)&lt;&gt;Paramètres!$K$3,0,VLOOKUP(MATCH(1,Paramètres!$K$6:$K$45,0),LABO_Dark_Troops[#All],5)))</f>
        <v>0</v>
      </c>
      <c r="J53" s="1">
        <f>IF(Paramètres!$I$46=0,0,VLOOKUP(Paramètres!$I$47,BARRACK_DARK_Troops[#All],6))</f>
        <v>0</v>
      </c>
      <c r="K53" s="5">
        <f>IF($J53=0,0,IF(SUM(Paramètres!$K$6:$K$45)&lt;&gt;Paramètres!$K$3,0,VLOOKUP(MATCH(1,Paramètres!$K$6:$K$45,0),LABO_Dark_Troops[#All],6)))</f>
        <v>0</v>
      </c>
      <c r="L53" s="3">
        <f>IF(Paramètres!$I$46=0,0,VLOOKUP(Paramètres!$I$47,BARRACK_DARK_Troops[#All],7))</f>
        <v>0</v>
      </c>
      <c r="M53" s="36">
        <f>IF($L53=0,0,IF(SUM(Paramètres!$K$6:$K$45)&lt;&gt;Paramètres!$K$3,0,VLOOKUP(MATCH(1,Paramètres!$K$6:$K$45,0),LABO_Dark_Troops[#All],7)))</f>
        <v>0</v>
      </c>
      <c r="N53" s="1023">
        <f>IF(Paramètres!$I$46=0,0,VLOOKUP(Paramètres!$I$47,BARRACK_DARK_Troops[#All],8))</f>
        <v>0</v>
      </c>
      <c r="O53" s="1016">
        <f>IF($N53=0,0,IF(SUM(Paramètres!$K$6:$K$45)&lt;&gt;Paramètres!$K$3,0,VLOOKUP(MATCH(1,Paramètres!$K$6:$K$45,0),LABO_Dark_Troops[#All],8)))</f>
        <v>0</v>
      </c>
      <c r="Q53" s="442">
        <v>5</v>
      </c>
      <c r="R53" s="67">
        <f t="shared" si="67"/>
        <v>0</v>
      </c>
      <c r="S53" s="64">
        <f t="shared" si="64"/>
        <v>0</v>
      </c>
      <c r="T53" s="65">
        <f t="shared" si="64"/>
        <v>0</v>
      </c>
      <c r="U53" s="66">
        <f t="shared" si="64"/>
        <v>0</v>
      </c>
      <c r="V53" s="63">
        <f t="shared" si="64"/>
        <v>0</v>
      </c>
      <c r="W53" s="64">
        <f t="shared" si="64"/>
        <v>0</v>
      </c>
      <c r="X53" s="65">
        <f t="shared" si="64"/>
        <v>0</v>
      </c>
      <c r="Y53" s="66">
        <f t="shared" si="64"/>
        <v>0</v>
      </c>
      <c r="Z53" s="63">
        <f t="shared" si="64"/>
        <v>0</v>
      </c>
      <c r="AA53" s="64">
        <f t="shared" si="64"/>
        <v>0</v>
      </c>
      <c r="AB53" s="65">
        <f t="shared" si="64"/>
        <v>0</v>
      </c>
      <c r="AC53" s="68">
        <f t="shared" si="64"/>
        <v>0</v>
      </c>
      <c r="AD53" s="63">
        <f t="shared" si="65"/>
        <v>0</v>
      </c>
      <c r="AE53" s="64">
        <f t="shared" si="66"/>
        <v>0</v>
      </c>
      <c r="AH53" s="13">
        <v>5</v>
      </c>
      <c r="AI53" s="634">
        <v>1</v>
      </c>
      <c r="AJ53" s="36">
        <v>1</v>
      </c>
      <c r="AK53" s="5">
        <v>1</v>
      </c>
      <c r="AL53" s="36">
        <v>1</v>
      </c>
      <c r="AM53" s="45">
        <v>1</v>
      </c>
      <c r="AN53" s="34">
        <v>0</v>
      </c>
      <c r="AO53" s="45">
        <v>0</v>
      </c>
      <c r="AQ53" s="13">
        <v>5</v>
      </c>
      <c r="AR53" s="634">
        <v>2</v>
      </c>
      <c r="AS53" s="36">
        <v>2</v>
      </c>
      <c r="AT53" s="5">
        <v>1</v>
      </c>
      <c r="AU53" s="36">
        <v>1</v>
      </c>
      <c r="AV53" s="45">
        <v>1</v>
      </c>
      <c r="AW53" s="34">
        <v>1</v>
      </c>
      <c r="AX53" s="45">
        <v>1</v>
      </c>
    </row>
    <row r="54" spans="1:50" x14ac:dyDescent="0.2">
      <c r="A54" s="442">
        <v>6</v>
      </c>
      <c r="B54" s="444">
        <f>IF(Paramètres!$I$46=0,0,VLOOKUP(Paramètres!$I$47,BARRACK_DARK_Troops[#All],2))</f>
        <v>0</v>
      </c>
      <c r="C54" s="9">
        <f>IF($B54=0,0,IF(SUM(Paramètres!$K$6:$K$45)&lt;&gt;Paramètres!$K$3,0,VLOOKUP(MATCH(1,Paramètres!$K$6:$K$45,0),LABO_Dark_Troops[#All],2)))</f>
        <v>0</v>
      </c>
      <c r="D54" s="4">
        <f>IF(Paramètres!$I$46=0,0,VLOOKUP(Paramètres!$I$47,BARRACK_DARK_Troops[#All],3))</f>
        <v>0</v>
      </c>
      <c r="E54" s="35">
        <f>IF($D54=0,0,IF(SUM(Paramètres!$K$6:$K$45)&lt;&gt;Paramètres!$K$3,0,VLOOKUP(MATCH(1,Paramètres!$K$6:$K$45,0),LABO_Dark_Troops[#All],3)))</f>
        <v>0</v>
      </c>
      <c r="F54" s="2">
        <f>IF(Paramètres!$I$46=0,0,VLOOKUP(Paramètres!$I$47,BARRACK_DARK_Troops[#All],4))</f>
        <v>0</v>
      </c>
      <c r="G54" s="9">
        <f>IF($F54=0,0,IF(SUM(Paramètres!$K$6:$K$45)&lt;&gt;Paramètres!$K$3,0,VLOOKUP(MATCH(1,Paramètres!$K$6:$K$45,0),LABO_Dark_Troops[#All],4)))</f>
        <v>0</v>
      </c>
      <c r="H54" s="4">
        <f>IF(Paramètres!$I$46=0,0,VLOOKUP(Paramètres!$I$47,BARRACK_DARK_Troops[#All],5))</f>
        <v>0</v>
      </c>
      <c r="I54" s="35">
        <f>IF($H54=0,0,IF(SUM(Paramètres!$K$6:$K$45)&lt;&gt;Paramètres!$K$3,0,VLOOKUP(MATCH(1,Paramètres!$K$6:$K$45,0),LABO_Dark_Troops[#All],5)))</f>
        <v>0</v>
      </c>
      <c r="J54" s="2">
        <f>IF(Paramètres!$I$46=0,0,VLOOKUP(Paramètres!$I$47,BARRACK_DARK_Troops[#All],6))</f>
        <v>0</v>
      </c>
      <c r="K54" s="6">
        <f>IF($J54=0,0,IF(SUM(Paramètres!$K$6:$K$45)&lt;&gt;Paramètres!$K$3,0,VLOOKUP(MATCH(1,Paramètres!$K$6:$K$45,0),LABO_Dark_Troops[#All],6)))</f>
        <v>0</v>
      </c>
      <c r="L54" s="4">
        <f>IF(Paramètres!$I$46=0,0,VLOOKUP(Paramètres!$I$47,BARRACK_DARK_Troops[#All],7))</f>
        <v>0</v>
      </c>
      <c r="M54" s="34">
        <f>IF($L54=0,0,IF(SUM(Paramètres!$K$6:$K$45)&lt;&gt;Paramètres!$K$3,0,VLOOKUP(MATCH(1,Paramètres!$K$6:$K$45,0),LABO_Dark_Troops[#All],7)))</f>
        <v>0</v>
      </c>
      <c r="N54" s="1024">
        <f>IF(Paramètres!$I$46=0,0,VLOOKUP(Paramètres!$I$47,BARRACK_DARK_Troops[#All],8))</f>
        <v>0</v>
      </c>
      <c r="O54" s="1017">
        <f>IF($N54=0,0,IF(SUM(Paramètres!$K$6:$K$45)&lt;&gt;Paramètres!$K$3,0,VLOOKUP(MATCH(1,Paramètres!$K$6:$K$45,0),LABO_Dark_Troops[#All],8)))</f>
        <v>0</v>
      </c>
      <c r="Q54" s="442">
        <v>6</v>
      </c>
      <c r="R54" s="67">
        <f t="shared" si="67"/>
        <v>0</v>
      </c>
      <c r="S54" s="64">
        <f t="shared" si="64"/>
        <v>0</v>
      </c>
      <c r="T54" s="65">
        <f t="shared" si="64"/>
        <v>0</v>
      </c>
      <c r="U54" s="66">
        <f t="shared" si="64"/>
        <v>0</v>
      </c>
      <c r="V54" s="63">
        <f t="shared" si="64"/>
        <v>0</v>
      </c>
      <c r="W54" s="64">
        <f t="shared" si="64"/>
        <v>0</v>
      </c>
      <c r="X54" s="65">
        <f t="shared" si="64"/>
        <v>0</v>
      </c>
      <c r="Y54" s="66">
        <f t="shared" si="64"/>
        <v>0</v>
      </c>
      <c r="Z54" s="63">
        <f t="shared" si="64"/>
        <v>0</v>
      </c>
      <c r="AA54" s="64">
        <f t="shared" si="64"/>
        <v>0</v>
      </c>
      <c r="AB54" s="65">
        <f t="shared" si="64"/>
        <v>0</v>
      </c>
      <c r="AC54" s="68">
        <f t="shared" si="64"/>
        <v>0</v>
      </c>
      <c r="AD54" s="63">
        <f t="shared" si="65"/>
        <v>0</v>
      </c>
      <c r="AE54" s="64">
        <f t="shared" si="66"/>
        <v>0</v>
      </c>
      <c r="AH54" s="13">
        <v>6</v>
      </c>
      <c r="AI54" s="633">
        <v>1</v>
      </c>
      <c r="AJ54" s="34">
        <v>1</v>
      </c>
      <c r="AK54" s="6">
        <v>1</v>
      </c>
      <c r="AL54" s="34">
        <v>1</v>
      </c>
      <c r="AM54" s="46">
        <v>1</v>
      </c>
      <c r="AN54" s="34">
        <v>1</v>
      </c>
      <c r="AO54" s="46">
        <v>0</v>
      </c>
      <c r="AQ54" s="13">
        <v>6</v>
      </c>
      <c r="AR54" s="633">
        <v>4</v>
      </c>
      <c r="AS54" s="34">
        <v>4</v>
      </c>
      <c r="AT54" s="6">
        <v>2</v>
      </c>
      <c r="AU54" s="34">
        <v>2</v>
      </c>
      <c r="AV54" s="46">
        <v>1</v>
      </c>
      <c r="AW54" s="34">
        <v>1</v>
      </c>
      <c r="AX54" s="46">
        <v>1</v>
      </c>
    </row>
    <row r="55" spans="1:50" x14ac:dyDescent="0.2">
      <c r="A55" s="442">
        <v>7</v>
      </c>
      <c r="B55" s="445">
        <f>IF(Paramètres!$I$46=0,0,VLOOKUP(Paramètres!$I$47,BARRACK_DARK_Troops[#All],2))</f>
        <v>0</v>
      </c>
      <c r="C55" s="9">
        <f>IF($B55=0,0,IF(SUM(Paramètres!$K$6:$K$45)&lt;&gt;Paramètres!$K$3,0,VLOOKUP(MATCH(1,Paramètres!$K$6:$K$45,0),LABO_Dark_Troops[#All],2)))</f>
        <v>0</v>
      </c>
      <c r="D55" s="3">
        <f>IF(Paramètres!$I$46=0,0,VLOOKUP(Paramètres!$I$47,BARRACK_DARK_Troops[#All],3))</f>
        <v>0</v>
      </c>
      <c r="E55" s="35">
        <f>IF($D55=0,0,IF(SUM(Paramètres!$K$6:$K$45)&lt;&gt;Paramètres!$K$3,0,VLOOKUP(MATCH(1,Paramètres!$K$6:$K$45,0),LABO_Dark_Troops[#All],3)))</f>
        <v>0</v>
      </c>
      <c r="F55" s="1">
        <f>IF(Paramètres!$I$46=0,0,VLOOKUP(Paramètres!$I$47,BARRACK_DARK_Troops[#All],4))</f>
        <v>0</v>
      </c>
      <c r="G55" s="9">
        <f>IF($F55=0,0,IF(SUM(Paramètres!$K$6:$K$45)&lt;&gt;Paramètres!$K$3,0,VLOOKUP(MATCH(1,Paramètres!$K$6:$K$45,0),LABO_Dark_Troops[#All],4)))</f>
        <v>0</v>
      </c>
      <c r="H55" s="3">
        <f>IF(Paramètres!$I$46=0,0,VLOOKUP(Paramètres!$I$47,BARRACK_DARK_Troops[#All],5))</f>
        <v>0</v>
      </c>
      <c r="I55" s="35">
        <f>IF($H55=0,0,IF(SUM(Paramètres!$K$6:$K$45)&lt;&gt;Paramètres!$K$3,0,VLOOKUP(MATCH(1,Paramètres!$K$6:$K$45,0),LABO_Dark_Troops[#All],5)))</f>
        <v>0</v>
      </c>
      <c r="J55" s="1">
        <f>IF(Paramètres!$I$46=0,0,VLOOKUP(Paramètres!$I$47,BARRACK_DARK_Troops[#All],6))</f>
        <v>0</v>
      </c>
      <c r="K55" s="9">
        <f>IF($J55=0,0,IF(SUM(Paramètres!$K$6:$K$45)&lt;&gt;Paramètres!$K$3,0,VLOOKUP(MATCH(1,Paramètres!$K$6:$K$45,0),LABO_Dark_Troops[#All],6)))</f>
        <v>0</v>
      </c>
      <c r="L55" s="3">
        <f>IF(Paramètres!$I$46=0,0,VLOOKUP(Paramètres!$I$47,BARRACK_DARK_Troops[#All],7))</f>
        <v>0</v>
      </c>
      <c r="M55" s="35">
        <f>IF($L55=0,0,IF(SUM(Paramètres!$K$6:$K$45)&lt;&gt;Paramètres!$K$3,0,VLOOKUP(MATCH(1,Paramètres!$K$6:$K$45,0),LABO_Dark_Troops[#All],7)))</f>
        <v>0</v>
      </c>
      <c r="N55" s="1023">
        <f>IF(Paramètres!$I$46=0,0,VLOOKUP(Paramètres!$I$47,BARRACK_DARK_Troops[#All],8))</f>
        <v>0</v>
      </c>
      <c r="O55" s="777">
        <f>IF($N55=0,0,IF(SUM(Paramètres!$K$6:$K$45)&lt;&gt;Paramètres!$K$3,0,VLOOKUP(MATCH(1,Paramètres!$K$6:$K$45,0),LABO_Dark_Troops[#All],8)))</f>
        <v>0</v>
      </c>
      <c r="Q55" s="442">
        <v>7</v>
      </c>
      <c r="R55" s="67">
        <f t="shared" si="67"/>
        <v>0</v>
      </c>
      <c r="S55" s="64">
        <f t="shared" si="64"/>
        <v>0</v>
      </c>
      <c r="T55" s="65">
        <f t="shared" si="64"/>
        <v>0</v>
      </c>
      <c r="U55" s="66">
        <f t="shared" si="64"/>
        <v>0</v>
      </c>
      <c r="V55" s="63">
        <f t="shared" si="64"/>
        <v>0</v>
      </c>
      <c r="W55" s="64">
        <f t="shared" si="64"/>
        <v>0</v>
      </c>
      <c r="X55" s="65">
        <f t="shared" si="64"/>
        <v>0</v>
      </c>
      <c r="Y55" s="66">
        <f t="shared" si="64"/>
        <v>0</v>
      </c>
      <c r="Z55" s="63">
        <f t="shared" si="64"/>
        <v>0</v>
      </c>
      <c r="AA55" s="64">
        <f t="shared" si="64"/>
        <v>0</v>
      </c>
      <c r="AB55" s="65">
        <f t="shared" si="64"/>
        <v>0</v>
      </c>
      <c r="AC55" s="68">
        <f t="shared" si="64"/>
        <v>0</v>
      </c>
      <c r="AD55" s="63">
        <f t="shared" si="65"/>
        <v>0</v>
      </c>
      <c r="AE55" s="64">
        <f t="shared" si="66"/>
        <v>0</v>
      </c>
      <c r="AH55" s="13">
        <v>7</v>
      </c>
      <c r="AI55" s="634">
        <v>1</v>
      </c>
      <c r="AJ55" s="36">
        <v>1</v>
      </c>
      <c r="AK55" s="5">
        <v>1</v>
      </c>
      <c r="AL55" s="36">
        <v>1</v>
      </c>
      <c r="AM55" s="45">
        <v>1</v>
      </c>
      <c r="AN55" s="34">
        <v>1</v>
      </c>
      <c r="AO55" s="45">
        <v>1</v>
      </c>
      <c r="AQ55" s="13">
        <v>7</v>
      </c>
      <c r="AR55" s="634">
        <v>5</v>
      </c>
      <c r="AS55" s="36">
        <v>5</v>
      </c>
      <c r="AT55" s="5">
        <v>4</v>
      </c>
      <c r="AU55" s="36">
        <v>4</v>
      </c>
      <c r="AV55" s="45">
        <v>2</v>
      </c>
      <c r="AW55" s="34">
        <v>2</v>
      </c>
      <c r="AX55" s="45">
        <v>1</v>
      </c>
    </row>
    <row r="56" spans="1:50" x14ac:dyDescent="0.2">
      <c r="A56" s="442">
        <v>8</v>
      </c>
      <c r="B56" s="444">
        <f>IF(Paramètres!$I$46=0,0,VLOOKUP(Paramètres!$I$47,BARRACK_DARK_Troops[#All],2))</f>
        <v>0</v>
      </c>
      <c r="C56" s="9">
        <f>IF($B56=0,0,IF(SUM(Paramètres!$K$6:$K$45)&lt;&gt;Paramètres!$K$3,0,VLOOKUP(MATCH(1,Paramètres!$K$6:$K$45,0),LABO_Dark_Troops[#All],2)))</f>
        <v>0</v>
      </c>
      <c r="D56" s="4">
        <f>IF(Paramètres!$I$46=0,0,VLOOKUP(Paramètres!$I$47,BARRACK_DARK_Troops[#All],3))</f>
        <v>0</v>
      </c>
      <c r="E56" s="35">
        <f>IF($D56=0,0,IF(SUM(Paramètres!$K$6:$K$45)&lt;&gt;Paramètres!$K$3,0,VLOOKUP(MATCH(1,Paramètres!$K$6:$K$45,0),LABO_Dark_Troops[#All],3)))</f>
        <v>0</v>
      </c>
      <c r="F56" s="2">
        <f>IF(Paramètres!$I$46=0,0,VLOOKUP(Paramètres!$I$47,BARRACK_DARK_Troops[#All],4))</f>
        <v>0</v>
      </c>
      <c r="G56" s="9">
        <f>IF($F56=0,0,IF(SUM(Paramètres!$K$6:$K$45)&lt;&gt;Paramètres!$K$3,0,VLOOKUP(MATCH(1,Paramètres!$K$6:$K$45,0),LABO_Dark_Troops[#All],4)))</f>
        <v>0</v>
      </c>
      <c r="H56" s="4">
        <f>IF(Paramètres!$I$46=0,0,VLOOKUP(Paramètres!$I$47,BARRACK_DARK_Troops[#All],5))</f>
        <v>0</v>
      </c>
      <c r="I56" s="35">
        <f>IF($H56=0,0,IF(SUM(Paramètres!$K$6:$K$45)&lt;&gt;Paramètres!$K$3,0,VLOOKUP(MATCH(1,Paramètres!$K$6:$K$45,0),LABO_Dark_Troops[#All],5)))</f>
        <v>0</v>
      </c>
      <c r="J56" s="2">
        <f>IF(Paramètres!$I$46=0,0,VLOOKUP(Paramètres!$I$47,BARRACK_DARK_Troops[#All],6))</f>
        <v>0</v>
      </c>
      <c r="K56" s="9">
        <f>IF($J56=0,0,IF(SUM(Paramètres!$K$6:$K$45)&lt;&gt;Paramètres!$K$3,0,VLOOKUP(MATCH(1,Paramètres!$K$6:$K$45,0),LABO_Dark_Troops[#All],6)))</f>
        <v>0</v>
      </c>
      <c r="L56" s="4">
        <f>IF(Paramètres!$I$46=0,0,VLOOKUP(Paramètres!$I$47,BARRACK_DARK_Troops[#All],7))</f>
        <v>0</v>
      </c>
      <c r="M56" s="35">
        <f>IF($L56=0,0,IF(SUM(Paramètres!$K$6:$K$45)&lt;&gt;Paramètres!$K$3,0,VLOOKUP(MATCH(1,Paramètres!$K$6:$K$45,0),LABO_Dark_Troops[#All],7)))</f>
        <v>0</v>
      </c>
      <c r="N56" s="1024">
        <f>IF(Paramètres!$I$46=0,0,VLOOKUP(Paramètres!$I$47,BARRACK_DARK_Troops[#All],8))</f>
        <v>0</v>
      </c>
      <c r="O56" s="777">
        <f>IF($N56=0,0,IF(SUM(Paramètres!$K$6:$K$45)&lt;&gt;Paramètres!$K$3,0,VLOOKUP(MATCH(1,Paramètres!$K$6:$K$45,0),LABO_Dark_Troops[#All],8)))</f>
        <v>0</v>
      </c>
      <c r="Q56" s="442">
        <v>8</v>
      </c>
      <c r="R56" s="67">
        <f t="shared" si="67"/>
        <v>0</v>
      </c>
      <c r="S56" s="64">
        <f t="shared" si="64"/>
        <v>0</v>
      </c>
      <c r="T56" s="65">
        <f t="shared" si="64"/>
        <v>0</v>
      </c>
      <c r="U56" s="66">
        <f t="shared" si="64"/>
        <v>0</v>
      </c>
      <c r="V56" s="63">
        <f t="shared" si="64"/>
        <v>0</v>
      </c>
      <c r="W56" s="64">
        <f t="shared" si="64"/>
        <v>0</v>
      </c>
      <c r="X56" s="65">
        <f t="shared" si="64"/>
        <v>0</v>
      </c>
      <c r="Y56" s="66">
        <f t="shared" si="64"/>
        <v>0</v>
      </c>
      <c r="Z56" s="63">
        <f t="shared" si="64"/>
        <v>0</v>
      </c>
      <c r="AA56" s="64">
        <f t="shared" si="64"/>
        <v>0</v>
      </c>
      <c r="AB56" s="65">
        <f t="shared" si="64"/>
        <v>0</v>
      </c>
      <c r="AC56" s="68">
        <f t="shared" si="64"/>
        <v>0</v>
      </c>
      <c r="AD56" s="63">
        <f t="shared" si="65"/>
        <v>0</v>
      </c>
      <c r="AE56" s="64">
        <f t="shared" si="66"/>
        <v>0</v>
      </c>
      <c r="AQ56" s="13">
        <v>8</v>
      </c>
      <c r="AR56" s="633">
        <v>6</v>
      </c>
      <c r="AS56" s="34">
        <v>6</v>
      </c>
      <c r="AT56" s="6">
        <v>5</v>
      </c>
      <c r="AU56" s="34">
        <v>5</v>
      </c>
      <c r="AV56" s="46">
        <v>2</v>
      </c>
      <c r="AW56" s="34">
        <v>3</v>
      </c>
      <c r="AX56" s="46">
        <v>2</v>
      </c>
    </row>
    <row r="57" spans="1:50" x14ac:dyDescent="0.2">
      <c r="A57" s="442">
        <v>9</v>
      </c>
      <c r="B57" s="445">
        <f>IF(Paramètres!$I$46=0,0,VLOOKUP(Paramètres!$I$47,BARRACK_DARK_Troops[#All],2))</f>
        <v>0</v>
      </c>
      <c r="C57" s="6">
        <f>IF($B57=0,0,IF(SUM(Paramètres!$K$6:$K$45)&lt;&gt;Paramètres!$K$3,0,VLOOKUP(MATCH(1,Paramètres!$K$6:$K$45,0),LABO_Dark_Troops[#All],2)))</f>
        <v>0</v>
      </c>
      <c r="D57" s="3">
        <f>IF(Paramètres!$I$46=0,0,VLOOKUP(Paramètres!$I$47,BARRACK_DARK_Troops[#All],3))</f>
        <v>0</v>
      </c>
      <c r="E57" s="34">
        <f>IF($D57=0,0,IF(SUM(Paramètres!$K$6:$K$45)&lt;&gt;Paramètres!$K$3,0,VLOOKUP(MATCH(1,Paramètres!$K$6:$K$45,0),LABO_Dark_Troops[#All],3)))</f>
        <v>0</v>
      </c>
      <c r="F57" s="1">
        <f>IF(Paramètres!$I$46=0,0,VLOOKUP(Paramètres!$I$47,BARRACK_DARK_Troops[#All],4))</f>
        <v>0</v>
      </c>
      <c r="G57" s="5">
        <f>IF($F57=0,0,IF(SUM(Paramètres!$K$6:$K$45)&lt;&gt;Paramètres!$K$3,0,VLOOKUP(MATCH(1,Paramètres!$K$6:$K$45,0),LABO_Dark_Troops[#All],4)))</f>
        <v>0</v>
      </c>
      <c r="H57" s="3">
        <f>IF(Paramètres!$I$46=0,0,VLOOKUP(Paramètres!$I$47,BARRACK_DARK_Troops[#All],5))</f>
        <v>0</v>
      </c>
      <c r="I57" s="36">
        <f>IF($H57=0,0,IF(SUM(Paramètres!$K$6:$K$45)&lt;&gt;Paramètres!$K$3,0,VLOOKUP(MATCH(1,Paramètres!$K$6:$K$45,0),LABO_Dark_Troops[#All],5)))</f>
        <v>0</v>
      </c>
      <c r="J57" s="1">
        <f>IF(Paramètres!$I$46=0,0,VLOOKUP(Paramètres!$I$47,BARRACK_DARK_Troops[#All],6))</f>
        <v>0</v>
      </c>
      <c r="K57" s="5">
        <f>IF($J57=0,0,IF(SUM(Paramètres!$K$6:$K$45)&lt;&gt;Paramètres!$K$3,0,VLOOKUP(MATCH(1,Paramètres!$K$6:$K$45,0),LABO_Dark_Troops[#All],6)))</f>
        <v>0</v>
      </c>
      <c r="L57" s="3">
        <f>IF(Paramètres!$I$46=0,0,VLOOKUP(Paramètres!$I$47,BARRACK_DARK_Troops[#All],7))</f>
        <v>0</v>
      </c>
      <c r="M57" s="36">
        <f>IF($L57=0,0,IF(SUM(Paramètres!$K$6:$K$45)&lt;&gt;Paramètres!$K$3,0,VLOOKUP(MATCH(1,Paramètres!$K$6:$K$45,0),LABO_Dark_Troops[#All],7)))</f>
        <v>0</v>
      </c>
      <c r="N57" s="1023">
        <f>IF(Paramètres!$I$46=0,0,VLOOKUP(Paramètres!$I$47,BARRACK_DARK_Troops[#All],8))</f>
        <v>0</v>
      </c>
      <c r="O57" s="1016">
        <f>IF($N57=0,0,IF(SUM(Paramètres!$K$6:$K$45)&lt;&gt;Paramètres!$K$3,0,VLOOKUP(MATCH(1,Paramètres!$K$6:$K$45,0),LABO_Dark_Troops[#All],8)))</f>
        <v>0</v>
      </c>
      <c r="Q57" s="442">
        <v>9</v>
      </c>
      <c r="R57" s="67">
        <f t="shared" si="67"/>
        <v>0</v>
      </c>
      <c r="S57" s="64">
        <f t="shared" si="64"/>
        <v>0</v>
      </c>
      <c r="T57" s="65">
        <f t="shared" si="64"/>
        <v>0</v>
      </c>
      <c r="U57" s="66">
        <f t="shared" si="64"/>
        <v>0</v>
      </c>
      <c r="V57" s="63">
        <f t="shared" si="64"/>
        <v>0</v>
      </c>
      <c r="W57" s="64">
        <f t="shared" si="64"/>
        <v>0</v>
      </c>
      <c r="X57" s="65">
        <f t="shared" si="64"/>
        <v>0</v>
      </c>
      <c r="Y57" s="66">
        <f t="shared" si="64"/>
        <v>0</v>
      </c>
      <c r="Z57" s="63">
        <f t="shared" si="64"/>
        <v>0</v>
      </c>
      <c r="AA57" s="64">
        <f t="shared" si="64"/>
        <v>0</v>
      </c>
      <c r="AB57" s="65">
        <f t="shared" si="64"/>
        <v>0</v>
      </c>
      <c r="AC57" s="68">
        <f t="shared" si="64"/>
        <v>0</v>
      </c>
      <c r="AD57" s="63">
        <f t="shared" si="65"/>
        <v>0</v>
      </c>
      <c r="AE57" s="64">
        <f t="shared" si="66"/>
        <v>0</v>
      </c>
      <c r="AQ57" s="13">
        <v>9</v>
      </c>
      <c r="AR57" s="633">
        <v>7</v>
      </c>
      <c r="AS57" s="34">
        <v>6</v>
      </c>
      <c r="AT57" s="6">
        <v>5</v>
      </c>
      <c r="AU57" s="34">
        <v>5</v>
      </c>
      <c r="AV57" s="46">
        <v>3</v>
      </c>
      <c r="AW57" s="34">
        <v>3</v>
      </c>
      <c r="AX57" s="46">
        <v>3</v>
      </c>
    </row>
    <row r="58" spans="1:50" ht="12" thickBot="1" x14ac:dyDescent="0.25">
      <c r="A58" s="443">
        <v>10</v>
      </c>
      <c r="B58" s="446">
        <f>IF(Paramètres!$I$46=0,0,VLOOKUP(Paramètres!$I$47,BARRACK_DARK_Troops[#All],2))</f>
        <v>0</v>
      </c>
      <c r="C58" s="5">
        <f>IF($B58=0,0,IF(SUM(Paramètres!$K$6:$K$45)&lt;&gt;Paramètres!$K$3,0,VLOOKUP(MATCH(1,Paramètres!$K$6:$K$45,0),LABO_Dark_Troops[#All],2)))</f>
        <v>0</v>
      </c>
      <c r="D58" s="43">
        <f>IF(Paramètres!$I$46=0,0,VLOOKUP(Paramètres!$I$47,BARRACK_DARK_Troops[#All],3))</f>
        <v>0</v>
      </c>
      <c r="E58" s="36">
        <f>IF($D58=0,0,IF(SUM(Paramètres!$K$6:$K$45)&lt;&gt;Paramètres!$K$3,0,VLOOKUP(MATCH(1,Paramètres!$K$6:$K$45,0),LABO_Dark_Troops[#All],3)))</f>
        <v>0</v>
      </c>
      <c r="F58" s="41">
        <f>IF(Paramètres!$I$46=0,0,VLOOKUP(Paramètres!$I$47,BARRACK_DARK_Troops[#All],4))</f>
        <v>0</v>
      </c>
      <c r="G58" s="42">
        <f>IF($F58=0,0,IF(SUM(Paramètres!$K$6:$K$45)&lt;&gt;Paramètres!$K$3,0,VLOOKUP(MATCH(1,Paramètres!$K$6:$K$45,0),LABO_Dark_Troops[#All],4)))</f>
        <v>0</v>
      </c>
      <c r="H58" s="43">
        <f>IF(Paramètres!$I$46=0,0,VLOOKUP(Paramètres!$I$47,BARRACK_DARK_Troops[#All],5))</f>
        <v>0</v>
      </c>
      <c r="I58" s="44">
        <f>IF($H58=0,0,IF(SUM(Paramètres!$K$6:$K$45)&lt;&gt;Paramètres!$K$3,0,VLOOKUP(MATCH(1,Paramètres!$K$6:$K$45,0),LABO_Dark_Troops[#All],5)))</f>
        <v>0</v>
      </c>
      <c r="J58" s="41">
        <f>IF(Paramètres!$I$46=0,0,VLOOKUP(Paramètres!$I$47,BARRACK_DARK_Troops[#All],6))</f>
        <v>0</v>
      </c>
      <c r="K58" s="42">
        <f>IF($J58=0,0,IF(SUM(Paramètres!$K$6:$K$45)&lt;&gt;Paramètres!$K$3,0,VLOOKUP(MATCH(1,Paramètres!$K$6:$K$45,0),LABO_Dark_Troops[#All],6)))</f>
        <v>0</v>
      </c>
      <c r="L58" s="43">
        <f>IF(Paramètres!$I$46=0,0,VLOOKUP(Paramètres!$I$47,BARRACK_DARK_Troops[#All],7))</f>
        <v>0</v>
      </c>
      <c r="M58" s="44">
        <f>IF($L58=0,0,IF(SUM(Paramètres!$K$6:$K$45)&lt;&gt;Paramètres!$K$3,0,VLOOKUP(MATCH(1,Paramètres!$K$6:$K$45,0),LABO_Dark_Troops[#All],7)))</f>
        <v>0</v>
      </c>
      <c r="N58" s="1025">
        <f>IF(Paramètres!$I$46=0,0,VLOOKUP(Paramètres!$I$47,BARRACK_DARK_Troops[#All],8))</f>
        <v>0</v>
      </c>
      <c r="O58" s="1018">
        <f>IF($N58=0,0,IF(SUM(Paramètres!$K$6:$K$45)&lt;&gt;Paramètres!$K$3,0,VLOOKUP(MATCH(1,Paramètres!$K$6:$K$45,0),LABO_Dark_Troops[#All],8)))</f>
        <v>0</v>
      </c>
      <c r="Q58" s="443">
        <v>10</v>
      </c>
      <c r="R58" s="69">
        <f t="shared" si="67"/>
        <v>0</v>
      </c>
      <c r="S58" s="70">
        <f t="shared" si="64"/>
        <v>0</v>
      </c>
      <c r="T58" s="71">
        <f t="shared" si="64"/>
        <v>0</v>
      </c>
      <c r="U58" s="72">
        <f t="shared" si="64"/>
        <v>0</v>
      </c>
      <c r="V58" s="73">
        <f t="shared" si="64"/>
        <v>0</v>
      </c>
      <c r="W58" s="70">
        <f t="shared" si="64"/>
        <v>0</v>
      </c>
      <c r="X58" s="71">
        <f t="shared" si="64"/>
        <v>0</v>
      </c>
      <c r="Y58" s="72">
        <f t="shared" si="64"/>
        <v>0</v>
      </c>
      <c r="Z58" s="73">
        <f t="shared" si="64"/>
        <v>0</v>
      </c>
      <c r="AA58" s="70">
        <f t="shared" si="64"/>
        <v>0</v>
      </c>
      <c r="AB58" s="71">
        <f t="shared" si="64"/>
        <v>0</v>
      </c>
      <c r="AC58" s="74">
        <f t="shared" si="64"/>
        <v>0</v>
      </c>
      <c r="AD58" s="73">
        <f t="shared" si="65"/>
        <v>0</v>
      </c>
      <c r="AE58" s="70">
        <f t="shared" si="66"/>
        <v>0</v>
      </c>
    </row>
    <row r="59" spans="1:50" ht="12" thickBot="1" x14ac:dyDescent="0.25">
      <c r="A59" s="443">
        <v>11</v>
      </c>
      <c r="B59" s="446">
        <f>IF(Paramètres!$I$46=0,0,VLOOKUP(Paramètres!$I$47,BARRACK_DARK_Troops[#All],2))</f>
        <v>0</v>
      </c>
      <c r="C59" s="5">
        <f>IF($B59=0,0,IF(SUM(Paramètres!$K$6:$K$45)&lt;&gt;Paramètres!$K$3,0,VLOOKUP(MATCH(1,Paramètres!$K$6:$K$45,0),LABO_Dark_Troops[#All],2)))</f>
        <v>0</v>
      </c>
      <c r="D59" s="43">
        <f>IF(Paramètres!$I$46=0,0,VLOOKUP(Paramètres!$I$47,BARRACK_DARK_Troops[#All],3))</f>
        <v>0</v>
      </c>
      <c r="E59" s="36">
        <f>IF($D59=0,0,IF(SUM(Paramètres!$K$6:$K$45)&lt;&gt;Paramètres!$K$3,0,VLOOKUP(MATCH(1,Paramètres!$K$6:$K$45,0),LABO_Dark_Troops[#All],3)))</f>
        <v>0</v>
      </c>
      <c r="F59" s="41">
        <f>IF(Paramètres!$I$46=0,0,VLOOKUP(Paramètres!$I$47,BARRACK_DARK_Troops[#All],4))</f>
        <v>0</v>
      </c>
      <c r="G59" s="42">
        <f>IF($F59=0,0,IF(SUM(Paramètres!$K$6:$K$45)&lt;&gt;Paramètres!$K$3,0,VLOOKUP(MATCH(1,Paramètres!$K$6:$K$45,0),LABO_Dark_Troops[#All],4)))</f>
        <v>0</v>
      </c>
      <c r="H59" s="43">
        <f>IF(Paramètres!$I$46=0,0,VLOOKUP(Paramètres!$I$47,BARRACK_DARK_Troops[#All],5))</f>
        <v>0</v>
      </c>
      <c r="I59" s="44">
        <f>IF($H59=0,0,IF(SUM(Paramètres!$K$6:$K$45)&lt;&gt;Paramètres!$K$3,0,VLOOKUP(MATCH(1,Paramètres!$K$6:$K$45,0),LABO_Dark_Troops[#All],5)))</f>
        <v>0</v>
      </c>
      <c r="J59" s="41">
        <f>IF(Paramètres!$I$46=0,0,VLOOKUP(Paramètres!$I$47,BARRACK_DARK_Troops[#All],6))</f>
        <v>0</v>
      </c>
      <c r="K59" s="42">
        <f>IF($J59=0,0,IF(SUM(Paramètres!$K$6:$K$45)&lt;&gt;Paramètres!$K$3,0,VLOOKUP(MATCH(1,Paramètres!$K$6:$K$45,0),LABO_Dark_Troops[#All],6)))</f>
        <v>0</v>
      </c>
      <c r="L59" s="43">
        <f>IF(Paramètres!$I$46=0,0,VLOOKUP(Paramètres!$I$47,BARRACK_DARK_Troops[#All],7))</f>
        <v>0</v>
      </c>
      <c r="M59" s="44">
        <f>IF($L59=0,0,IF(SUM(Paramètres!$K$6:$K$45)&lt;&gt;Paramètres!$K$3,0,VLOOKUP(MATCH(1,Paramètres!$K$6:$K$45,0),LABO_Dark_Troops[#All],7)))</f>
        <v>0</v>
      </c>
      <c r="N59" s="1025">
        <f>IF(Paramètres!$I$46=0,0,VLOOKUP(Paramètres!$I$47,BARRACK_DARK_Troops[#All],8))</f>
        <v>0</v>
      </c>
      <c r="O59" s="1018">
        <f>IF($N59=0,0,IF(SUM(Paramètres!$K$6:$K$45)&lt;&gt;Paramètres!$K$3,0,VLOOKUP(MATCH(1,Paramètres!$K$6:$K$45,0),LABO_Dark_Troops[#All],8)))</f>
        <v>0</v>
      </c>
      <c r="Q59" s="443">
        <v>11</v>
      </c>
      <c r="R59" s="69">
        <f t="shared" ref="R59" si="68">B59-B58</f>
        <v>0</v>
      </c>
      <c r="S59" s="70">
        <f t="shared" ref="S59" si="69">C59-C58</f>
        <v>0</v>
      </c>
      <c r="T59" s="71">
        <f t="shared" ref="T59" si="70">D59-D58</f>
        <v>0</v>
      </c>
      <c r="U59" s="72">
        <f t="shared" ref="U59" si="71">E59-E58</f>
        <v>0</v>
      </c>
      <c r="V59" s="73">
        <f t="shared" ref="V59" si="72">F59-F58</f>
        <v>0</v>
      </c>
      <c r="W59" s="70">
        <f t="shared" ref="W59" si="73">G59-G58</f>
        <v>0</v>
      </c>
      <c r="X59" s="71">
        <f t="shared" ref="X59" si="74">H59-H58</f>
        <v>0</v>
      </c>
      <c r="Y59" s="72">
        <f t="shared" ref="Y59" si="75">I59-I58</f>
        <v>0</v>
      </c>
      <c r="Z59" s="73">
        <f t="shared" ref="Z59" si="76">J59-J58</f>
        <v>0</v>
      </c>
      <c r="AA59" s="70">
        <f t="shared" ref="AA59" si="77">K59-K58</f>
        <v>0</v>
      </c>
      <c r="AB59" s="71">
        <f t="shared" ref="AB59" si="78">L59-L58</f>
        <v>0</v>
      </c>
      <c r="AC59" s="74">
        <f t="shared" ref="AC59" si="79">M59-M58</f>
        <v>0</v>
      </c>
      <c r="AD59" s="73">
        <f t="shared" si="65"/>
        <v>0</v>
      </c>
      <c r="AE59" s="70">
        <f t="shared" si="66"/>
        <v>0</v>
      </c>
    </row>
  </sheetData>
  <sheetProtection selectLockedCells="1"/>
  <mergeCells count="16">
    <mergeCell ref="M1:W1"/>
    <mergeCell ref="A1:K1"/>
    <mergeCell ref="A31:U31"/>
    <mergeCell ref="W31:AQ31"/>
    <mergeCell ref="Y1:AD1"/>
    <mergeCell ref="AF1:AK1"/>
    <mergeCell ref="A16:G16"/>
    <mergeCell ref="I16:O16"/>
    <mergeCell ref="Q16:T16"/>
    <mergeCell ref="V16:Y16"/>
    <mergeCell ref="BE31:BO31"/>
    <mergeCell ref="Q46:AE46"/>
    <mergeCell ref="A46:O46"/>
    <mergeCell ref="AH46:AO46"/>
    <mergeCell ref="AQ46:AX46"/>
    <mergeCell ref="AS31:BC31"/>
  </mergeCells>
  <pageMargins left="0.7" right="0.7" top="0.75" bottom="0.75" header="0.3" footer="0.3"/>
  <pageSetup paperSize="9" orientation="portrait" r:id="rId1"/>
  <ignoredErrors>
    <ignoredError sqref="N3:O3 X33:Y33 Q3:U3 Z33:AQ33 X34:AQ39 X43:AQ43 Y41:AQ41 R49:AC58 Y40:AQ40 Y42:AQ42 X40:X42 R48:AA48 AC48" calculatedColumn="1"/>
  </ignoredErrors>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O14"/>
  <sheetViews>
    <sheetView showGridLines="0" workbookViewId="0">
      <selection activeCell="G14" sqref="A3:G14"/>
    </sheetView>
  </sheetViews>
  <sheetFormatPr baseColWidth="10" defaultColWidth="11.42578125" defaultRowHeight="11.25" x14ac:dyDescent="0.25"/>
  <cols>
    <col min="1" max="2" width="8.7109375" style="152" customWidth="1"/>
    <col min="3" max="3" width="4.7109375" style="152" customWidth="1"/>
    <col min="4" max="4" width="8.7109375" style="152" customWidth="1"/>
    <col min="5" max="5" width="4.7109375" style="152" customWidth="1"/>
    <col min="6" max="6" width="8.7109375" style="152" customWidth="1"/>
    <col min="7" max="7" width="4.7109375" style="152" customWidth="1"/>
    <col min="8" max="8" width="8.7109375" style="152" customWidth="1"/>
    <col min="9" max="9" width="4.7109375" style="152" customWidth="1"/>
    <col min="10" max="10" width="8.7109375" style="152" customWidth="1"/>
    <col min="11" max="11" width="4.7109375" style="152" customWidth="1"/>
    <col min="12" max="12" width="8.7109375" style="152" customWidth="1"/>
    <col min="13" max="13" width="4.7109375" style="152" customWidth="1"/>
    <col min="14" max="14" width="8.7109375" style="152" customWidth="1"/>
    <col min="15" max="15" width="4.7109375" style="152" customWidth="1"/>
    <col min="16" max="16384" width="11.42578125" style="152"/>
  </cols>
  <sheetData>
    <row r="1" spans="1:15" ht="30" customHeight="1" thickBot="1" x14ac:dyDescent="0.3">
      <c r="A1" s="1087" t="s">
        <v>400</v>
      </c>
      <c r="B1" s="1088"/>
      <c r="C1" s="1088"/>
      <c r="D1" s="1088"/>
      <c r="E1" s="1088"/>
      <c r="F1" s="1088"/>
      <c r="G1" s="1088"/>
      <c r="I1" s="1087" t="s">
        <v>371</v>
      </c>
      <c r="J1" s="1088"/>
      <c r="K1" s="1088"/>
      <c r="L1" s="1088"/>
      <c r="M1" s="1088"/>
      <c r="N1" s="1088"/>
      <c r="O1" s="1088"/>
    </row>
    <row r="2" spans="1:15" ht="23.25" thickBot="1" x14ac:dyDescent="0.3">
      <c r="A2" s="140" t="s">
        <v>291</v>
      </c>
      <c r="B2" s="17" t="s">
        <v>196</v>
      </c>
      <c r="C2" s="17" t="s">
        <v>15</v>
      </c>
      <c r="D2" s="17" t="s">
        <v>182</v>
      </c>
      <c r="E2" s="57" t="s">
        <v>21</v>
      </c>
      <c r="F2" s="970" t="s">
        <v>738</v>
      </c>
      <c r="G2" s="861" t="s">
        <v>23</v>
      </c>
      <c r="I2" s="140" t="s">
        <v>291</v>
      </c>
      <c r="J2" s="963" t="s">
        <v>196</v>
      </c>
      <c r="K2" s="17" t="s">
        <v>15</v>
      </c>
      <c r="L2" s="17" t="s">
        <v>182</v>
      </c>
      <c r="M2" s="57" t="s">
        <v>21</v>
      </c>
      <c r="N2" s="970" t="s">
        <v>738</v>
      </c>
      <c r="O2" s="861" t="s">
        <v>23</v>
      </c>
    </row>
    <row r="3" spans="1:15" x14ac:dyDescent="0.25">
      <c r="A3" s="51">
        <v>0</v>
      </c>
      <c r="B3" s="142">
        <v>0</v>
      </c>
      <c r="C3" s="143">
        <v>0</v>
      </c>
      <c r="D3" s="147">
        <v>0</v>
      </c>
      <c r="E3" s="148">
        <v>0</v>
      </c>
      <c r="F3" s="142">
        <v>0</v>
      </c>
      <c r="G3" s="143">
        <v>0</v>
      </c>
      <c r="I3" s="862">
        <v>0</v>
      </c>
      <c r="J3" s="881">
        <f t="shared" ref="J3:O3" si="0">B3</f>
        <v>0</v>
      </c>
      <c r="K3" s="882">
        <f t="shared" si="0"/>
        <v>0</v>
      </c>
      <c r="L3" s="883">
        <f t="shared" si="0"/>
        <v>0</v>
      </c>
      <c r="M3" s="884">
        <f t="shared" si="0"/>
        <v>0</v>
      </c>
      <c r="N3" s="881">
        <f t="shared" si="0"/>
        <v>0</v>
      </c>
      <c r="O3" s="882">
        <f t="shared" si="0"/>
        <v>0</v>
      </c>
    </row>
    <row r="4" spans="1:15" x14ac:dyDescent="0.25">
      <c r="A4" s="141">
        <v>1</v>
      </c>
      <c r="B4" s="11">
        <v>0</v>
      </c>
      <c r="C4" s="9">
        <v>0</v>
      </c>
      <c r="D4" s="10">
        <v>0</v>
      </c>
      <c r="E4" s="35">
        <v>0</v>
      </c>
      <c r="F4" s="11">
        <v>0</v>
      </c>
      <c r="G4" s="9">
        <v>0</v>
      </c>
      <c r="I4" s="470">
        <v>1</v>
      </c>
      <c r="J4" s="63">
        <f t="shared" ref="J4:J14" si="1">B4-B3</f>
        <v>0</v>
      </c>
      <c r="K4" s="64">
        <f t="shared" ref="K4:K14" si="2">C4-C3</f>
        <v>0</v>
      </c>
      <c r="L4" s="65">
        <f t="shared" ref="L4:L14" si="3">D4-D3</f>
        <v>0</v>
      </c>
      <c r="M4" s="66">
        <f t="shared" ref="M4:M14" si="4">E4-E3</f>
        <v>0</v>
      </c>
      <c r="N4" s="63">
        <f t="shared" ref="N4:N14" si="5">F4-F3</f>
        <v>0</v>
      </c>
      <c r="O4" s="64">
        <f t="shared" ref="O4:O14" si="6">G4-G3</f>
        <v>0</v>
      </c>
    </row>
    <row r="5" spans="1:15" x14ac:dyDescent="0.25">
      <c r="A5" s="7">
        <v>2</v>
      </c>
      <c r="B5" s="2">
        <v>0</v>
      </c>
      <c r="C5" s="6">
        <v>0</v>
      </c>
      <c r="D5" s="4">
        <v>0</v>
      </c>
      <c r="E5" s="34">
        <v>0</v>
      </c>
      <c r="F5" s="2">
        <v>0</v>
      </c>
      <c r="G5" s="6">
        <v>0</v>
      </c>
      <c r="I5" s="470">
        <v>2</v>
      </c>
      <c r="J5" s="63">
        <f t="shared" si="1"/>
        <v>0</v>
      </c>
      <c r="K5" s="64">
        <f t="shared" si="2"/>
        <v>0</v>
      </c>
      <c r="L5" s="65">
        <f t="shared" si="3"/>
        <v>0</v>
      </c>
      <c r="M5" s="66">
        <f t="shared" si="4"/>
        <v>0</v>
      </c>
      <c r="N5" s="63">
        <f t="shared" si="5"/>
        <v>0</v>
      </c>
      <c r="O5" s="64">
        <f t="shared" si="6"/>
        <v>0</v>
      </c>
    </row>
    <row r="6" spans="1:15" x14ac:dyDescent="0.25">
      <c r="A6" s="7">
        <v>3</v>
      </c>
      <c r="B6" s="1">
        <v>0</v>
      </c>
      <c r="C6" s="5">
        <v>0</v>
      </c>
      <c r="D6" s="3">
        <v>0</v>
      </c>
      <c r="E6" s="36">
        <v>0</v>
      </c>
      <c r="F6" s="1">
        <v>0</v>
      </c>
      <c r="G6" s="5">
        <v>0</v>
      </c>
      <c r="I6" s="470">
        <v>3</v>
      </c>
      <c r="J6" s="63">
        <f t="shared" si="1"/>
        <v>0</v>
      </c>
      <c r="K6" s="64">
        <f t="shared" si="2"/>
        <v>0</v>
      </c>
      <c r="L6" s="65">
        <f t="shared" si="3"/>
        <v>0</v>
      </c>
      <c r="M6" s="66">
        <f t="shared" si="4"/>
        <v>0</v>
      </c>
      <c r="N6" s="63">
        <f t="shared" si="5"/>
        <v>0</v>
      </c>
      <c r="O6" s="64">
        <f t="shared" si="6"/>
        <v>0</v>
      </c>
    </row>
    <row r="7" spans="1:15" x14ac:dyDescent="0.25">
      <c r="A7" s="7">
        <v>4</v>
      </c>
      <c r="B7" s="2">
        <v>0</v>
      </c>
      <c r="C7" s="6">
        <v>0</v>
      </c>
      <c r="D7" s="4">
        <v>0</v>
      </c>
      <c r="E7" s="34">
        <v>0</v>
      </c>
      <c r="F7" s="2">
        <v>0</v>
      </c>
      <c r="G7" s="6">
        <v>0</v>
      </c>
      <c r="I7" s="470">
        <v>4</v>
      </c>
      <c r="J7" s="63">
        <f t="shared" si="1"/>
        <v>0</v>
      </c>
      <c r="K7" s="64">
        <f t="shared" si="2"/>
        <v>0</v>
      </c>
      <c r="L7" s="65">
        <f t="shared" si="3"/>
        <v>0</v>
      </c>
      <c r="M7" s="66">
        <f t="shared" si="4"/>
        <v>0</v>
      </c>
      <c r="N7" s="63">
        <f t="shared" si="5"/>
        <v>0</v>
      </c>
      <c r="O7" s="64">
        <f t="shared" si="6"/>
        <v>0</v>
      </c>
    </row>
    <row r="8" spans="1:15" x14ac:dyDescent="0.25">
      <c r="A8" s="7">
        <v>5</v>
      </c>
      <c r="B8" s="1">
        <v>0</v>
      </c>
      <c r="C8" s="5">
        <v>0</v>
      </c>
      <c r="D8" s="3">
        <v>0</v>
      </c>
      <c r="E8" s="36">
        <v>0</v>
      </c>
      <c r="F8" s="1">
        <v>0</v>
      </c>
      <c r="G8" s="5">
        <v>0</v>
      </c>
      <c r="I8" s="470">
        <v>5</v>
      </c>
      <c r="J8" s="63">
        <f t="shared" si="1"/>
        <v>0</v>
      </c>
      <c r="K8" s="64">
        <f t="shared" si="2"/>
        <v>0</v>
      </c>
      <c r="L8" s="65">
        <f t="shared" si="3"/>
        <v>0</v>
      </c>
      <c r="M8" s="66">
        <f t="shared" si="4"/>
        <v>0</v>
      </c>
      <c r="N8" s="63">
        <f t="shared" si="5"/>
        <v>0</v>
      </c>
      <c r="O8" s="64">
        <f t="shared" si="6"/>
        <v>0</v>
      </c>
    </row>
    <row r="9" spans="1:15" x14ac:dyDescent="0.25">
      <c r="A9" s="7">
        <v>6</v>
      </c>
      <c r="B9" s="2">
        <v>0</v>
      </c>
      <c r="C9" s="6">
        <v>0</v>
      </c>
      <c r="D9" s="4">
        <v>0</v>
      </c>
      <c r="E9" s="34">
        <v>0</v>
      </c>
      <c r="F9" s="2">
        <v>0</v>
      </c>
      <c r="G9" s="6">
        <v>0</v>
      </c>
      <c r="I9" s="470">
        <v>6</v>
      </c>
      <c r="J9" s="63">
        <f t="shared" si="1"/>
        <v>0</v>
      </c>
      <c r="K9" s="64">
        <f t="shared" si="2"/>
        <v>0</v>
      </c>
      <c r="L9" s="65">
        <f t="shared" si="3"/>
        <v>0</v>
      </c>
      <c r="M9" s="66">
        <f t="shared" si="4"/>
        <v>0</v>
      </c>
      <c r="N9" s="63">
        <f t="shared" si="5"/>
        <v>0</v>
      </c>
      <c r="O9" s="64">
        <f t="shared" si="6"/>
        <v>0</v>
      </c>
    </row>
    <row r="10" spans="1:15" x14ac:dyDescent="0.25">
      <c r="A10" s="7">
        <v>7</v>
      </c>
      <c r="B10" s="1">
        <v>1</v>
      </c>
      <c r="C10" s="5">
        <v>5</v>
      </c>
      <c r="D10" s="3">
        <v>0</v>
      </c>
      <c r="E10" s="36">
        <v>0</v>
      </c>
      <c r="F10" s="1">
        <v>0</v>
      </c>
      <c r="G10" s="5">
        <v>0</v>
      </c>
      <c r="I10" s="470">
        <v>7</v>
      </c>
      <c r="J10" s="63">
        <f t="shared" si="1"/>
        <v>1</v>
      </c>
      <c r="K10" s="64">
        <f t="shared" si="2"/>
        <v>5</v>
      </c>
      <c r="L10" s="65">
        <f t="shared" si="3"/>
        <v>0</v>
      </c>
      <c r="M10" s="66">
        <f t="shared" si="4"/>
        <v>0</v>
      </c>
      <c r="N10" s="63">
        <f t="shared" si="5"/>
        <v>0</v>
      </c>
      <c r="O10" s="64">
        <f t="shared" si="6"/>
        <v>0</v>
      </c>
    </row>
    <row r="11" spans="1:15" x14ac:dyDescent="0.25">
      <c r="A11" s="7">
        <v>8</v>
      </c>
      <c r="B11" s="2">
        <v>1</v>
      </c>
      <c r="C11" s="6">
        <v>10</v>
      </c>
      <c r="D11" s="4">
        <v>0</v>
      </c>
      <c r="E11" s="34">
        <v>0</v>
      </c>
      <c r="F11" s="2">
        <v>0</v>
      </c>
      <c r="G11" s="6">
        <v>0</v>
      </c>
      <c r="I11" s="470">
        <v>8</v>
      </c>
      <c r="J11" s="63">
        <f t="shared" si="1"/>
        <v>0</v>
      </c>
      <c r="K11" s="64">
        <f t="shared" si="2"/>
        <v>5</v>
      </c>
      <c r="L11" s="65">
        <f t="shared" si="3"/>
        <v>0</v>
      </c>
      <c r="M11" s="66">
        <f t="shared" si="4"/>
        <v>0</v>
      </c>
      <c r="N11" s="63">
        <f t="shared" si="5"/>
        <v>0</v>
      </c>
      <c r="O11" s="64">
        <f t="shared" si="6"/>
        <v>0</v>
      </c>
    </row>
    <row r="12" spans="1:15" x14ac:dyDescent="0.25">
      <c r="A12" s="7">
        <v>9</v>
      </c>
      <c r="B12" s="1">
        <v>1</v>
      </c>
      <c r="C12" s="5">
        <v>30</v>
      </c>
      <c r="D12" s="3">
        <v>1</v>
      </c>
      <c r="E12" s="36">
        <v>30</v>
      </c>
      <c r="F12" s="1">
        <v>0</v>
      </c>
      <c r="G12" s="5">
        <v>0</v>
      </c>
      <c r="I12" s="470">
        <v>9</v>
      </c>
      <c r="J12" s="63">
        <f t="shared" si="1"/>
        <v>0</v>
      </c>
      <c r="K12" s="64">
        <f t="shared" si="2"/>
        <v>20</v>
      </c>
      <c r="L12" s="65">
        <f t="shared" si="3"/>
        <v>1</v>
      </c>
      <c r="M12" s="66">
        <f t="shared" si="4"/>
        <v>30</v>
      </c>
      <c r="N12" s="63">
        <f t="shared" si="5"/>
        <v>0</v>
      </c>
      <c r="O12" s="64">
        <f t="shared" si="6"/>
        <v>0</v>
      </c>
    </row>
    <row r="13" spans="1:15" ht="12" thickBot="1" x14ac:dyDescent="0.3">
      <c r="A13" s="8">
        <v>10</v>
      </c>
      <c r="B13" s="22">
        <v>1</v>
      </c>
      <c r="C13" s="20">
        <v>40</v>
      </c>
      <c r="D13" s="21">
        <v>1</v>
      </c>
      <c r="E13" s="37">
        <v>40</v>
      </c>
      <c r="F13" s="22">
        <v>0</v>
      </c>
      <c r="G13" s="20">
        <v>0</v>
      </c>
      <c r="I13" s="470">
        <v>10</v>
      </c>
      <c r="J13" s="63">
        <f t="shared" si="1"/>
        <v>0</v>
      </c>
      <c r="K13" s="64">
        <f t="shared" si="2"/>
        <v>10</v>
      </c>
      <c r="L13" s="65">
        <f t="shared" si="3"/>
        <v>0</v>
      </c>
      <c r="M13" s="66">
        <f t="shared" si="4"/>
        <v>10</v>
      </c>
      <c r="N13" s="63">
        <f t="shared" si="5"/>
        <v>0</v>
      </c>
      <c r="O13" s="64">
        <f t="shared" si="6"/>
        <v>0</v>
      </c>
    </row>
    <row r="14" spans="1:15" ht="12" thickBot="1" x14ac:dyDescent="0.3">
      <c r="A14" s="8">
        <v>11</v>
      </c>
      <c r="B14" s="22">
        <v>1</v>
      </c>
      <c r="C14" s="20">
        <v>40</v>
      </c>
      <c r="D14" s="21">
        <v>1</v>
      </c>
      <c r="E14" s="37">
        <v>40</v>
      </c>
      <c r="F14" s="22">
        <v>1</v>
      </c>
      <c r="G14" s="20">
        <v>20</v>
      </c>
      <c r="I14" s="477">
        <v>11</v>
      </c>
      <c r="J14" s="875">
        <f t="shared" si="1"/>
        <v>0</v>
      </c>
      <c r="K14" s="872">
        <f t="shared" si="2"/>
        <v>0</v>
      </c>
      <c r="L14" s="873">
        <f t="shared" si="3"/>
        <v>0</v>
      </c>
      <c r="M14" s="874">
        <f t="shared" si="4"/>
        <v>0</v>
      </c>
      <c r="N14" s="875">
        <f t="shared" si="5"/>
        <v>1</v>
      </c>
      <c r="O14" s="872">
        <f t="shared" si="6"/>
        <v>20</v>
      </c>
    </row>
  </sheetData>
  <sheetProtection selectLockedCells="1"/>
  <mergeCells count="2">
    <mergeCell ref="I1:O1"/>
    <mergeCell ref="A1:G1"/>
  </mergeCells>
  <pageMargins left="0.7" right="0.7" top="0.75" bottom="0.75" header="0.3" footer="0.3"/>
  <pageSetup paperSize="9" orientation="portrait" r:id="rId1"/>
  <tableParts count="2">
    <tablePart r:id="rId2"/>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0000"/>
  </sheetPr>
  <dimension ref="A1:AN163"/>
  <sheetViews>
    <sheetView showGridLines="0" topLeftCell="A10" zoomScaleNormal="100" workbookViewId="0">
      <selection activeCell="A28" sqref="A28"/>
    </sheetView>
  </sheetViews>
  <sheetFormatPr baseColWidth="10" defaultColWidth="11.42578125" defaultRowHeight="11.25" x14ac:dyDescent="0.25"/>
  <cols>
    <col min="1" max="1" width="4.7109375" style="152" customWidth="1"/>
    <col min="2" max="2" width="8.7109375" style="152" customWidth="1"/>
    <col min="3" max="3" width="5.7109375" style="152" customWidth="1"/>
    <col min="4" max="4" width="4.7109375" style="152" customWidth="1"/>
    <col min="5" max="5" width="8.7109375" style="152" customWidth="1"/>
    <col min="6" max="6" width="5.7109375" style="152" customWidth="1"/>
    <col min="7" max="7" width="4.7109375" style="152" customWidth="1"/>
    <col min="8" max="8" width="8.7109375" style="152" customWidth="1"/>
    <col min="9" max="9" width="5.7109375" style="152" customWidth="1"/>
    <col min="10" max="10" width="4.7109375" style="152" customWidth="1"/>
    <col min="11" max="11" width="8.7109375" style="152" customWidth="1"/>
    <col min="12" max="12" width="5.7109375" style="152" customWidth="1"/>
    <col min="13" max="13" width="5.42578125" style="152" customWidth="1"/>
    <col min="14" max="14" width="8.7109375" style="152" customWidth="1"/>
    <col min="15" max="15" width="7.5703125" style="152" customWidth="1"/>
    <col min="16" max="16" width="4.7109375" style="152" customWidth="1"/>
    <col min="17" max="17" width="8.7109375" style="152" customWidth="1"/>
    <col min="18" max="18" width="5.7109375" style="152" customWidth="1"/>
    <col min="19" max="19" width="4.7109375" style="152" customWidth="1"/>
    <col min="20" max="20" width="8.7109375" style="152" customWidth="1"/>
    <col min="21" max="21" width="5.7109375" style="152" customWidth="1"/>
    <col min="22" max="22" width="4.7109375" style="152" customWidth="1"/>
    <col min="23" max="23" width="8.7109375" style="152" customWidth="1"/>
    <col min="24" max="24" width="5.7109375" style="152" customWidth="1"/>
    <col min="25" max="25" width="5.42578125" style="152" customWidth="1"/>
    <col min="26" max="26" width="8.7109375" style="152" customWidth="1"/>
    <col min="27" max="27" width="7.5703125" style="152" customWidth="1"/>
    <col min="28" max="28" width="5.42578125" style="152" customWidth="1"/>
    <col min="29" max="29" width="8.7109375" style="152" customWidth="1"/>
    <col min="30" max="30" width="7.5703125" style="152" customWidth="1"/>
    <col min="31" max="31" width="5.42578125" style="152" customWidth="1"/>
    <col min="32" max="32" width="8.7109375" style="152" customWidth="1"/>
    <col min="33" max="33" width="7.5703125" style="152" customWidth="1"/>
    <col min="34" max="34" width="4.7109375" style="152" customWidth="1"/>
    <col min="35" max="35" width="8.7109375" style="152" customWidth="1"/>
    <col min="36" max="36" width="5.7109375" style="152" customWidth="1"/>
    <col min="37" max="37" width="4.7109375" style="152" customWidth="1"/>
    <col min="38" max="38" width="8.7109375" style="152" customWidth="1"/>
    <col min="39" max="39" width="5.7109375" style="152" customWidth="1"/>
    <col min="40" max="40" width="4.7109375" style="152" customWidth="1"/>
    <col min="41" max="41" width="8.7109375" style="152" customWidth="1"/>
    <col min="42" max="42" width="5.7109375" style="152" customWidth="1"/>
    <col min="43" max="16384" width="11.42578125" style="152"/>
  </cols>
  <sheetData>
    <row r="1" spans="1:18" ht="30" customHeight="1" thickBot="1" x14ac:dyDescent="0.3">
      <c r="A1" s="1269" t="s">
        <v>373</v>
      </c>
      <c r="B1" s="1270"/>
      <c r="C1" s="1270"/>
      <c r="D1" s="1270"/>
      <c r="E1" s="1270"/>
      <c r="F1" s="1270"/>
      <c r="G1" s="1270"/>
      <c r="H1" s="1270"/>
      <c r="I1" s="1270"/>
      <c r="J1" s="1270"/>
      <c r="K1" s="1270"/>
      <c r="L1" s="1270"/>
      <c r="M1" s="1270"/>
      <c r="N1" s="1270"/>
      <c r="O1" s="1270"/>
      <c r="P1" s="1270"/>
      <c r="Q1" s="1270"/>
      <c r="R1" s="1271"/>
    </row>
    <row r="2" spans="1:18" ht="12" customHeight="1" thickBot="1" x14ac:dyDescent="0.3">
      <c r="A2" s="1279" t="s">
        <v>176</v>
      </c>
      <c r="B2" s="1280"/>
      <c r="C2" s="1281"/>
      <c r="D2" s="1279" t="s">
        <v>211</v>
      </c>
      <c r="E2" s="1280"/>
      <c r="F2" s="1281"/>
      <c r="G2" s="1279" t="s">
        <v>212</v>
      </c>
      <c r="H2" s="1280"/>
      <c r="I2" s="1281"/>
      <c r="J2" s="1279" t="s">
        <v>451</v>
      </c>
      <c r="K2" s="1280"/>
      <c r="L2" s="1281"/>
      <c r="M2" s="1279" t="s">
        <v>210</v>
      </c>
      <c r="N2" s="1280"/>
      <c r="O2" s="1281"/>
      <c r="P2" s="1279" t="s">
        <v>452</v>
      </c>
      <c r="Q2" s="1280"/>
      <c r="R2" s="1281"/>
    </row>
    <row r="3" spans="1:18" ht="12" thickBot="1" x14ac:dyDescent="0.3">
      <c r="A3" s="157" t="s">
        <v>17</v>
      </c>
      <c r="B3" s="602" t="s">
        <v>258</v>
      </c>
      <c r="C3" s="159" t="s">
        <v>259</v>
      </c>
      <c r="D3" s="535" t="s">
        <v>17</v>
      </c>
      <c r="E3" s="158" t="s">
        <v>258</v>
      </c>
      <c r="F3" s="159" t="s">
        <v>259</v>
      </c>
      <c r="G3" s="157" t="s">
        <v>17</v>
      </c>
      <c r="H3" s="158" t="s">
        <v>258</v>
      </c>
      <c r="I3" s="159" t="s">
        <v>259</v>
      </c>
      <c r="J3" s="160" t="s">
        <v>17</v>
      </c>
      <c r="K3" s="161" t="s">
        <v>258</v>
      </c>
      <c r="L3" s="162" t="s">
        <v>259</v>
      </c>
      <c r="M3" s="157" t="s">
        <v>17</v>
      </c>
      <c r="N3" s="602" t="s">
        <v>258</v>
      </c>
      <c r="O3" s="159" t="s">
        <v>259</v>
      </c>
      <c r="P3" s="535" t="s">
        <v>17</v>
      </c>
      <c r="Q3" s="158" t="s">
        <v>258</v>
      </c>
      <c r="R3" s="159" t="s">
        <v>259</v>
      </c>
    </row>
    <row r="4" spans="1:18" x14ac:dyDescent="0.25">
      <c r="A4" s="7">
        <v>1</v>
      </c>
      <c r="B4" s="603">
        <v>150</v>
      </c>
      <c r="C4" s="536">
        <f>1/60</f>
        <v>1.6666666666666666E-2</v>
      </c>
      <c r="D4" s="13">
        <v>1</v>
      </c>
      <c r="E4" s="395">
        <v>1000000</v>
      </c>
      <c r="F4" s="163">
        <v>24</v>
      </c>
      <c r="G4" s="7">
        <v>1</v>
      </c>
      <c r="H4" s="395">
        <v>300</v>
      </c>
      <c r="I4" s="163">
        <f>15/60</f>
        <v>0.25</v>
      </c>
      <c r="J4" s="13">
        <v>1</v>
      </c>
      <c r="K4" s="395">
        <v>600000</v>
      </c>
      <c r="L4" s="163">
        <v>24</v>
      </c>
      <c r="M4" s="7">
        <v>1</v>
      </c>
      <c r="N4" s="607">
        <v>150</v>
      </c>
      <c r="O4" s="536">
        <f>1/60</f>
        <v>1.6666666666666666E-2</v>
      </c>
      <c r="P4" s="13">
        <v>1</v>
      </c>
      <c r="Q4" s="164">
        <v>300</v>
      </c>
      <c r="R4" s="163">
        <f>15/60</f>
        <v>0.25</v>
      </c>
    </row>
    <row r="5" spans="1:18" x14ac:dyDescent="0.25">
      <c r="A5" s="7">
        <v>2</v>
      </c>
      <c r="B5" s="604">
        <v>300</v>
      </c>
      <c r="C5" s="171">
        <f>5/60</f>
        <v>8.3333333333333329E-2</v>
      </c>
      <c r="D5" s="13">
        <v>2</v>
      </c>
      <c r="E5" s="396">
        <v>1500000</v>
      </c>
      <c r="F5" s="165">
        <v>48</v>
      </c>
      <c r="G5" s="7">
        <v>2</v>
      </c>
      <c r="H5" s="396">
        <v>750</v>
      </c>
      <c r="I5" s="165">
        <f>30/60</f>
        <v>0.5</v>
      </c>
      <c r="J5" s="13">
        <v>2</v>
      </c>
      <c r="K5" s="396">
        <v>1200000</v>
      </c>
      <c r="L5" s="165">
        <v>48</v>
      </c>
      <c r="M5" s="7">
        <v>2</v>
      </c>
      <c r="N5" s="608">
        <v>300</v>
      </c>
      <c r="O5" s="171">
        <f>5/60</f>
        <v>8.3333333333333329E-2</v>
      </c>
      <c r="P5" s="13">
        <v>2</v>
      </c>
      <c r="Q5" s="166">
        <v>750</v>
      </c>
      <c r="R5" s="165">
        <f>30/60</f>
        <v>0.5</v>
      </c>
    </row>
    <row r="6" spans="1:18" x14ac:dyDescent="0.25">
      <c r="A6" s="7">
        <v>3</v>
      </c>
      <c r="B6" s="604">
        <v>700</v>
      </c>
      <c r="C6" s="171">
        <f>15/60</f>
        <v>0.25</v>
      </c>
      <c r="D6" s="13">
        <v>3</v>
      </c>
      <c r="E6" s="396">
        <v>2000000</v>
      </c>
      <c r="F6" s="165">
        <v>72</v>
      </c>
      <c r="G6" s="7">
        <v>3</v>
      </c>
      <c r="H6" s="396">
        <v>1500</v>
      </c>
      <c r="I6" s="165">
        <v>1</v>
      </c>
      <c r="J6" s="13">
        <v>3</v>
      </c>
      <c r="K6" s="396">
        <v>1800000</v>
      </c>
      <c r="L6" s="165">
        <v>72</v>
      </c>
      <c r="M6" s="7">
        <v>3</v>
      </c>
      <c r="N6" s="608">
        <v>700</v>
      </c>
      <c r="O6" s="171">
        <f>15/60</f>
        <v>0.25</v>
      </c>
      <c r="P6" s="13">
        <v>3</v>
      </c>
      <c r="Q6" s="166">
        <v>1500</v>
      </c>
      <c r="R6" s="165">
        <v>1</v>
      </c>
    </row>
    <row r="7" spans="1:18" x14ac:dyDescent="0.25">
      <c r="A7" s="7">
        <v>4</v>
      </c>
      <c r="B7" s="604">
        <v>1400</v>
      </c>
      <c r="C7" s="171">
        <v>1</v>
      </c>
      <c r="D7" s="13">
        <v>4</v>
      </c>
      <c r="E7" s="396">
        <v>3000000</v>
      </c>
      <c r="F7" s="165">
        <v>96</v>
      </c>
      <c r="G7" s="7">
        <v>4</v>
      </c>
      <c r="H7" s="396">
        <v>3000</v>
      </c>
      <c r="I7" s="165">
        <v>2</v>
      </c>
      <c r="J7" s="13">
        <v>4</v>
      </c>
      <c r="K7" s="396">
        <v>2400000</v>
      </c>
      <c r="L7" s="165">
        <v>96</v>
      </c>
      <c r="M7" s="7">
        <v>4</v>
      </c>
      <c r="N7" s="608">
        <v>1400</v>
      </c>
      <c r="O7" s="171">
        <v>1</v>
      </c>
      <c r="P7" s="13">
        <v>4</v>
      </c>
      <c r="Q7" s="166">
        <v>3000</v>
      </c>
      <c r="R7" s="165">
        <v>2</v>
      </c>
    </row>
    <row r="8" spans="1:18" x14ac:dyDescent="0.25">
      <c r="A8" s="7">
        <v>5</v>
      </c>
      <c r="B8" s="604">
        <v>3000</v>
      </c>
      <c r="C8" s="171">
        <v>2</v>
      </c>
      <c r="D8" s="13">
        <v>5</v>
      </c>
      <c r="E8" s="396">
        <v>4000000</v>
      </c>
      <c r="F8" s="165">
        <v>144</v>
      </c>
      <c r="G8" s="7">
        <v>5</v>
      </c>
      <c r="H8" s="396">
        <v>6000</v>
      </c>
      <c r="I8" s="165">
        <v>3</v>
      </c>
      <c r="J8" s="13">
        <v>5</v>
      </c>
      <c r="K8" s="396">
        <v>3000000</v>
      </c>
      <c r="L8" s="165">
        <v>120</v>
      </c>
      <c r="M8" s="7">
        <v>5</v>
      </c>
      <c r="N8" s="608">
        <v>3000</v>
      </c>
      <c r="O8" s="171">
        <v>2</v>
      </c>
      <c r="P8" s="13">
        <v>5</v>
      </c>
      <c r="Q8" s="166">
        <v>6000</v>
      </c>
      <c r="R8" s="165">
        <v>3</v>
      </c>
    </row>
    <row r="9" spans="1:18" x14ac:dyDescent="0.25">
      <c r="A9" s="7">
        <v>6</v>
      </c>
      <c r="B9" s="604">
        <v>7000</v>
      </c>
      <c r="C9" s="171">
        <v>6</v>
      </c>
      <c r="D9" s="13">
        <v>6</v>
      </c>
      <c r="E9" s="396">
        <v>5000000</v>
      </c>
      <c r="F9" s="165">
        <v>192</v>
      </c>
      <c r="G9" s="7">
        <v>6</v>
      </c>
      <c r="H9" s="396">
        <v>12000</v>
      </c>
      <c r="I9" s="165">
        <v>4</v>
      </c>
      <c r="J9" s="19">
        <v>6</v>
      </c>
      <c r="K9" s="399">
        <v>3600000</v>
      </c>
      <c r="L9" s="167">
        <v>144</v>
      </c>
      <c r="M9" s="7">
        <v>6</v>
      </c>
      <c r="N9" s="608">
        <v>7000</v>
      </c>
      <c r="O9" s="171">
        <v>6</v>
      </c>
      <c r="P9" s="13">
        <v>6</v>
      </c>
      <c r="Q9" s="166">
        <v>12000</v>
      </c>
      <c r="R9" s="165">
        <v>4</v>
      </c>
    </row>
    <row r="10" spans="1:18" x14ac:dyDescent="0.25">
      <c r="A10" s="7">
        <v>7</v>
      </c>
      <c r="B10" s="604">
        <v>14000</v>
      </c>
      <c r="C10" s="171">
        <v>12</v>
      </c>
      <c r="G10" s="7">
        <v>7</v>
      </c>
      <c r="H10" s="396">
        <v>25000</v>
      </c>
      <c r="I10" s="165">
        <v>6</v>
      </c>
      <c r="M10" s="7">
        <v>7</v>
      </c>
      <c r="N10" s="608">
        <v>14000</v>
      </c>
      <c r="O10" s="171">
        <v>12</v>
      </c>
      <c r="P10" s="13">
        <v>7</v>
      </c>
      <c r="Q10" s="166">
        <v>25000</v>
      </c>
      <c r="R10" s="165">
        <v>6</v>
      </c>
    </row>
    <row r="11" spans="1:18" x14ac:dyDescent="0.25">
      <c r="A11" s="7">
        <v>8</v>
      </c>
      <c r="B11" s="604">
        <v>28000</v>
      </c>
      <c r="C11" s="171">
        <v>24</v>
      </c>
      <c r="G11" s="7">
        <v>8</v>
      </c>
      <c r="H11" s="396">
        <v>50000</v>
      </c>
      <c r="I11" s="165">
        <v>8</v>
      </c>
      <c r="M11" s="7">
        <v>8</v>
      </c>
      <c r="N11" s="608">
        <v>28000</v>
      </c>
      <c r="O11" s="171">
        <v>24</v>
      </c>
      <c r="P11" s="13">
        <v>8</v>
      </c>
      <c r="Q11" s="166">
        <v>50000</v>
      </c>
      <c r="R11" s="165">
        <v>8</v>
      </c>
    </row>
    <row r="12" spans="1:18" x14ac:dyDescent="0.25">
      <c r="A12" s="7">
        <v>9</v>
      </c>
      <c r="B12" s="605">
        <v>56000</v>
      </c>
      <c r="C12" s="55">
        <v>48</v>
      </c>
      <c r="G12" s="7">
        <v>9</v>
      </c>
      <c r="H12" s="397">
        <v>100000</v>
      </c>
      <c r="I12" s="53">
        <v>12</v>
      </c>
      <c r="M12" s="7">
        <v>9</v>
      </c>
      <c r="N12" s="609">
        <v>56000</v>
      </c>
      <c r="O12" s="55">
        <v>48</v>
      </c>
      <c r="P12" s="13">
        <v>9</v>
      </c>
      <c r="Q12" s="24">
        <v>100000</v>
      </c>
      <c r="R12" s="53">
        <v>12</v>
      </c>
    </row>
    <row r="13" spans="1:18" x14ac:dyDescent="0.25">
      <c r="A13" s="7">
        <v>10</v>
      </c>
      <c r="B13" s="605">
        <v>84000</v>
      </c>
      <c r="C13" s="55">
        <v>72</v>
      </c>
      <c r="G13" s="7">
        <v>10</v>
      </c>
      <c r="H13" s="397">
        <v>250000</v>
      </c>
      <c r="I13" s="53">
        <v>24</v>
      </c>
      <c r="M13" s="7">
        <v>10</v>
      </c>
      <c r="N13" s="609">
        <v>84000</v>
      </c>
      <c r="O13" s="55">
        <v>72</v>
      </c>
      <c r="P13" s="13">
        <v>10</v>
      </c>
      <c r="Q13" s="24">
        <v>250000</v>
      </c>
      <c r="R13" s="53">
        <v>24</v>
      </c>
    </row>
    <row r="14" spans="1:18" ht="12" thickBot="1" x14ac:dyDescent="0.3">
      <c r="A14" s="7">
        <v>11</v>
      </c>
      <c r="B14" s="605">
        <v>168000</v>
      </c>
      <c r="C14" s="55">
        <v>96</v>
      </c>
      <c r="G14" s="8">
        <v>11</v>
      </c>
      <c r="H14" s="398">
        <v>500000</v>
      </c>
      <c r="I14" s="54">
        <v>48</v>
      </c>
      <c r="M14" s="7">
        <v>11</v>
      </c>
      <c r="N14" s="609">
        <v>168000</v>
      </c>
      <c r="O14" s="55">
        <v>96</v>
      </c>
      <c r="P14" s="449">
        <v>11</v>
      </c>
      <c r="Q14" s="25">
        <v>500000</v>
      </c>
      <c r="R14" s="54">
        <v>48</v>
      </c>
    </row>
    <row r="15" spans="1:18" ht="12" thickBot="1" x14ac:dyDescent="0.3">
      <c r="A15" s="8">
        <v>12</v>
      </c>
      <c r="B15" s="606">
        <v>336000</v>
      </c>
      <c r="C15" s="56">
        <v>120</v>
      </c>
      <c r="G15" s="184">
        <v>12</v>
      </c>
      <c r="H15" s="398">
        <v>2500000</v>
      </c>
      <c r="I15" s="54">
        <v>168</v>
      </c>
      <c r="J15" s="137"/>
      <c r="K15" s="137"/>
      <c r="M15" s="8">
        <v>12</v>
      </c>
      <c r="N15" s="610">
        <v>336000</v>
      </c>
      <c r="O15" s="56">
        <v>120</v>
      </c>
      <c r="P15" s="19">
        <v>12</v>
      </c>
      <c r="Q15" s="25">
        <v>2500000</v>
      </c>
      <c r="R15" s="54">
        <v>168</v>
      </c>
    </row>
    <row r="16" spans="1:18" x14ac:dyDescent="0.25">
      <c r="A16" s="137"/>
      <c r="B16" s="137"/>
      <c r="C16" s="137"/>
      <c r="I16" s="137"/>
      <c r="J16" s="137"/>
      <c r="K16" s="137"/>
    </row>
    <row r="17" spans="1:18" x14ac:dyDescent="0.25">
      <c r="A17" s="137"/>
      <c r="B17" s="137"/>
      <c r="C17" s="137"/>
      <c r="I17" s="137"/>
      <c r="J17" s="137"/>
      <c r="K17" s="137"/>
    </row>
    <row r="18" spans="1:18" ht="30" customHeight="1" thickBot="1" x14ac:dyDescent="0.3">
      <c r="A18" s="1087" t="s">
        <v>374</v>
      </c>
      <c r="B18" s="1088"/>
      <c r="C18" s="1088"/>
      <c r="D18" s="1088"/>
      <c r="E18" s="1088"/>
      <c r="F18" s="1088"/>
      <c r="G18" s="1088"/>
      <c r="H18" s="1088"/>
      <c r="I18" s="1088"/>
      <c r="J18" s="1088"/>
      <c r="K18" s="1088"/>
      <c r="L18" s="1088"/>
      <c r="M18" s="1088"/>
      <c r="N18" s="1088"/>
      <c r="O18" s="1088"/>
      <c r="P18" s="1088"/>
      <c r="Q18" s="1088"/>
      <c r="R18" s="1088"/>
    </row>
    <row r="19" spans="1:18" ht="12" customHeight="1" thickBot="1" x14ac:dyDescent="0.3">
      <c r="A19" s="1282" t="s">
        <v>343</v>
      </c>
      <c r="B19" s="1283"/>
      <c r="C19" s="1284"/>
      <c r="D19" s="1282" t="s">
        <v>207</v>
      </c>
      <c r="E19" s="1283"/>
      <c r="F19" s="1284"/>
      <c r="G19" s="1279" t="s">
        <v>338</v>
      </c>
      <c r="H19" s="1280"/>
      <c r="I19" s="1281"/>
      <c r="J19" s="1279" t="s">
        <v>208</v>
      </c>
      <c r="K19" s="1280"/>
      <c r="L19" s="1281"/>
      <c r="M19" s="1279" t="s">
        <v>209</v>
      </c>
      <c r="N19" s="1280"/>
      <c r="O19" s="1281"/>
      <c r="P19" s="1279" t="s">
        <v>701</v>
      </c>
      <c r="Q19" s="1280"/>
      <c r="R19" s="1281"/>
    </row>
    <row r="20" spans="1:18" ht="12" thickBot="1" x14ac:dyDescent="0.3">
      <c r="A20" s="538" t="s">
        <v>17</v>
      </c>
      <c r="B20" s="539" t="s">
        <v>258</v>
      </c>
      <c r="C20" s="540" t="s">
        <v>259</v>
      </c>
      <c r="D20" s="160" t="s">
        <v>17</v>
      </c>
      <c r="E20" s="161" t="s">
        <v>258</v>
      </c>
      <c r="F20" s="162" t="s">
        <v>259</v>
      </c>
      <c r="G20" s="157" t="s">
        <v>17</v>
      </c>
      <c r="H20" s="158" t="s">
        <v>258</v>
      </c>
      <c r="I20" s="159" t="s">
        <v>259</v>
      </c>
      <c r="J20" s="157" t="s">
        <v>17</v>
      </c>
      <c r="K20" s="158" t="s">
        <v>258</v>
      </c>
      <c r="L20" s="159" t="s">
        <v>259</v>
      </c>
      <c r="M20" s="157" t="s">
        <v>17</v>
      </c>
      <c r="N20" s="158" t="s">
        <v>258</v>
      </c>
      <c r="O20" s="159" t="s">
        <v>259</v>
      </c>
      <c r="P20" s="157" t="s">
        <v>17</v>
      </c>
      <c r="Q20" s="158" t="s">
        <v>258</v>
      </c>
      <c r="R20" s="159" t="s">
        <v>259</v>
      </c>
    </row>
    <row r="21" spans="1:18" x14ac:dyDescent="0.25">
      <c r="A21" s="553">
        <v>1</v>
      </c>
      <c r="B21" s="552">
        <v>750000</v>
      </c>
      <c r="C21" s="165">
        <v>72</v>
      </c>
      <c r="D21" s="447">
        <v>1</v>
      </c>
      <c r="E21" s="400">
        <v>200</v>
      </c>
      <c r="F21" s="170">
        <v>0.02</v>
      </c>
      <c r="G21" s="7">
        <v>1</v>
      </c>
      <c r="H21" s="395">
        <v>250</v>
      </c>
      <c r="I21" s="163">
        <f>5/60</f>
        <v>8.3333333333333329E-2</v>
      </c>
      <c r="J21" s="7">
        <v>1</v>
      </c>
      <c r="K21" s="395">
        <v>25000</v>
      </c>
      <c r="L21" s="163">
        <f>30/60</f>
        <v>0.5</v>
      </c>
      <c r="M21" s="7">
        <v>1</v>
      </c>
      <c r="N21" s="395">
        <v>200000</v>
      </c>
      <c r="O21" s="163">
        <v>24</v>
      </c>
      <c r="P21" s="7">
        <v>1</v>
      </c>
      <c r="Q21" s="395">
        <v>1500000</v>
      </c>
      <c r="R21" s="163">
        <v>96</v>
      </c>
    </row>
    <row r="22" spans="1:18" x14ac:dyDescent="0.25">
      <c r="A22" s="553">
        <v>2</v>
      </c>
      <c r="B22" s="552">
        <v>1250000</v>
      </c>
      <c r="C22" s="165">
        <v>120</v>
      </c>
      <c r="D22" s="13">
        <v>2</v>
      </c>
      <c r="E22" s="396">
        <v>1000</v>
      </c>
      <c r="F22" s="171">
        <v>0.25</v>
      </c>
      <c r="G22" s="7">
        <v>2</v>
      </c>
      <c r="H22" s="396">
        <v>2500</v>
      </c>
      <c r="I22" s="165">
        <v>1</v>
      </c>
      <c r="J22" s="7">
        <v>2</v>
      </c>
      <c r="K22" s="396">
        <v>50000</v>
      </c>
      <c r="L22" s="165">
        <v>5</v>
      </c>
      <c r="M22" s="7">
        <v>2</v>
      </c>
      <c r="N22" s="396">
        <v>400000</v>
      </c>
      <c r="O22" s="165">
        <v>48</v>
      </c>
      <c r="P22" s="7">
        <v>2</v>
      </c>
      <c r="Q22" s="396">
        <v>2500000</v>
      </c>
      <c r="R22" s="165">
        <v>144</v>
      </c>
    </row>
    <row r="23" spans="1:18" x14ac:dyDescent="0.25">
      <c r="A23" s="553">
        <v>3</v>
      </c>
      <c r="B23" s="552">
        <v>1750000</v>
      </c>
      <c r="C23" s="165">
        <v>144</v>
      </c>
      <c r="D23" s="13">
        <v>3</v>
      </c>
      <c r="E23" s="396">
        <v>2500</v>
      </c>
      <c r="F23" s="171">
        <v>2</v>
      </c>
      <c r="G23" s="7">
        <v>3</v>
      </c>
      <c r="H23" s="396">
        <v>10000</v>
      </c>
      <c r="I23" s="165">
        <v>3</v>
      </c>
      <c r="J23" s="7">
        <v>3</v>
      </c>
      <c r="K23" s="396">
        <v>90000</v>
      </c>
      <c r="L23" s="165">
        <v>12</v>
      </c>
      <c r="M23" s="7">
        <v>3</v>
      </c>
      <c r="N23" s="396">
        <v>800000</v>
      </c>
      <c r="O23" s="165">
        <v>96</v>
      </c>
      <c r="P23" s="7">
        <v>3</v>
      </c>
      <c r="Q23" s="396">
        <v>3500000</v>
      </c>
      <c r="R23" s="165">
        <v>192</v>
      </c>
    </row>
    <row r="24" spans="1:18" x14ac:dyDescent="0.25">
      <c r="A24" s="553">
        <v>4</v>
      </c>
      <c r="B24" s="552">
        <v>2250000</v>
      </c>
      <c r="C24" s="165">
        <v>168</v>
      </c>
      <c r="D24" s="13">
        <v>4</v>
      </c>
      <c r="E24" s="396">
        <v>5000</v>
      </c>
      <c r="F24" s="171">
        <v>4</v>
      </c>
      <c r="G24" s="7">
        <v>4</v>
      </c>
      <c r="H24" s="396">
        <v>100000</v>
      </c>
      <c r="I24" s="165">
        <v>8</v>
      </c>
      <c r="J24" s="7">
        <v>4</v>
      </c>
      <c r="K24" s="396">
        <v>270000</v>
      </c>
      <c r="L24" s="165">
        <v>24</v>
      </c>
      <c r="M24" s="7">
        <v>4</v>
      </c>
      <c r="N24" s="396">
        <v>1600000</v>
      </c>
      <c r="O24" s="165">
        <v>120</v>
      </c>
    </row>
    <row r="25" spans="1:18" x14ac:dyDescent="0.25">
      <c r="A25" s="553">
        <v>5</v>
      </c>
      <c r="B25" s="552">
        <v>2750000</v>
      </c>
      <c r="C25" s="165">
        <v>192</v>
      </c>
      <c r="D25" s="13">
        <v>5</v>
      </c>
      <c r="E25" s="396">
        <v>10000</v>
      </c>
      <c r="F25" s="171">
        <v>10</v>
      </c>
      <c r="G25" s="7">
        <v>5</v>
      </c>
      <c r="H25" s="396">
        <v>250000</v>
      </c>
      <c r="I25" s="165">
        <v>24</v>
      </c>
      <c r="J25" s="7">
        <v>5</v>
      </c>
      <c r="K25" s="396">
        <v>500000</v>
      </c>
      <c r="L25" s="165">
        <v>48</v>
      </c>
      <c r="M25" s="172">
        <v>5</v>
      </c>
      <c r="N25" s="402">
        <v>3200000</v>
      </c>
      <c r="O25" s="167">
        <v>144</v>
      </c>
    </row>
    <row r="26" spans="1:18" x14ac:dyDescent="0.25">
      <c r="A26" s="554">
        <v>6</v>
      </c>
      <c r="B26" s="402">
        <v>3500000</v>
      </c>
      <c r="C26" s="167">
        <v>216</v>
      </c>
      <c r="D26" s="13">
        <v>6</v>
      </c>
      <c r="E26" s="396">
        <v>80000</v>
      </c>
      <c r="F26" s="171">
        <v>16</v>
      </c>
      <c r="G26" s="7">
        <v>6</v>
      </c>
      <c r="H26" s="396">
        <v>750000</v>
      </c>
      <c r="I26" s="165">
        <v>72</v>
      </c>
      <c r="J26" s="7">
        <v>6</v>
      </c>
      <c r="K26" s="396">
        <v>1000000</v>
      </c>
      <c r="L26" s="165">
        <v>96</v>
      </c>
    </row>
    <row r="27" spans="1:18" x14ac:dyDescent="0.25">
      <c r="A27" s="554">
        <v>7</v>
      </c>
      <c r="B27" s="402">
        <v>6000000</v>
      </c>
      <c r="C27" s="167">
        <v>288</v>
      </c>
      <c r="D27" s="7">
        <v>7</v>
      </c>
      <c r="E27" s="396">
        <v>240000</v>
      </c>
      <c r="F27" s="171">
        <v>24</v>
      </c>
      <c r="G27" s="7">
        <v>7</v>
      </c>
      <c r="H27" s="396">
        <v>2250000</v>
      </c>
      <c r="I27" s="165">
        <v>120</v>
      </c>
      <c r="J27" s="7">
        <v>7</v>
      </c>
      <c r="K27" s="396">
        <v>2500000</v>
      </c>
      <c r="L27" s="165">
        <v>120</v>
      </c>
    </row>
    <row r="28" spans="1:18" x14ac:dyDescent="0.25">
      <c r="D28" s="7">
        <v>8</v>
      </c>
      <c r="E28" s="396">
        <v>700000</v>
      </c>
      <c r="F28" s="171">
        <v>48</v>
      </c>
      <c r="G28" s="172">
        <v>8</v>
      </c>
      <c r="H28" s="402">
        <v>6750000</v>
      </c>
      <c r="I28" s="167">
        <v>240</v>
      </c>
      <c r="J28" s="7">
        <v>8</v>
      </c>
      <c r="K28" s="396">
        <v>4000000</v>
      </c>
      <c r="L28" s="165">
        <v>144</v>
      </c>
      <c r="M28" s="137"/>
      <c r="N28" s="137"/>
      <c r="O28" s="137"/>
    </row>
    <row r="29" spans="1:18" x14ac:dyDescent="0.25">
      <c r="D29" s="7">
        <v>9</v>
      </c>
      <c r="E29" s="397">
        <v>1500000</v>
      </c>
      <c r="F29" s="55">
        <v>96</v>
      </c>
      <c r="J29" s="184">
        <v>9</v>
      </c>
      <c r="K29" s="399">
        <v>6000000</v>
      </c>
      <c r="L29" s="167">
        <v>240</v>
      </c>
    </row>
    <row r="30" spans="1:18" ht="12" thickBot="1" x14ac:dyDescent="0.3">
      <c r="D30" s="8">
        <v>10</v>
      </c>
      <c r="E30" s="401">
        <v>2000000</v>
      </c>
      <c r="F30" s="56">
        <v>144</v>
      </c>
    </row>
    <row r="31" spans="1:18" x14ac:dyDescent="0.25">
      <c r="A31" s="137"/>
      <c r="B31" s="137"/>
      <c r="C31" s="137"/>
      <c r="I31" s="137"/>
      <c r="J31" s="137"/>
      <c r="K31" s="137"/>
    </row>
    <row r="32" spans="1:18" x14ac:dyDescent="0.25">
      <c r="A32" s="137"/>
      <c r="B32" s="137"/>
      <c r="C32" s="137"/>
      <c r="I32" s="137"/>
      <c r="J32" s="137"/>
      <c r="K32" s="137"/>
    </row>
    <row r="33" spans="1:40" ht="30" customHeight="1" thickBot="1" x14ac:dyDescent="0.3">
      <c r="A33" s="1087" t="s">
        <v>375</v>
      </c>
      <c r="B33" s="1088"/>
      <c r="C33" s="1088"/>
      <c r="D33" s="1088"/>
      <c r="E33" s="1088"/>
      <c r="F33" s="1088"/>
      <c r="G33" s="1088"/>
      <c r="H33" s="1088"/>
      <c r="I33" s="1088"/>
      <c r="J33" s="1088"/>
      <c r="K33" s="1088"/>
      <c r="L33" s="1088"/>
      <c r="M33" s="1088"/>
      <c r="N33" s="1088"/>
      <c r="O33" s="1088"/>
      <c r="P33" s="1088"/>
      <c r="Q33" s="1088"/>
      <c r="R33" s="1088"/>
      <c r="S33" s="1088"/>
      <c r="T33" s="1088"/>
      <c r="U33" s="1088"/>
      <c r="V33" s="1088"/>
      <c r="W33" s="1088"/>
      <c r="X33" s="1088"/>
      <c r="Y33" s="1088"/>
      <c r="Z33" s="1088"/>
      <c r="AA33" s="1088"/>
      <c r="AB33" s="1088"/>
      <c r="AC33" s="1088"/>
      <c r="AD33" s="1088"/>
      <c r="AE33" s="1088"/>
      <c r="AF33" s="1088"/>
      <c r="AG33" s="1088"/>
    </row>
    <row r="34" spans="1:40" ht="12" customHeight="1" thickBot="1" x14ac:dyDescent="0.3">
      <c r="A34" s="1279" t="s">
        <v>206</v>
      </c>
      <c r="B34" s="1280"/>
      <c r="C34" s="1281"/>
      <c r="D34" s="1279" t="s">
        <v>205</v>
      </c>
      <c r="E34" s="1280"/>
      <c r="F34" s="1281"/>
      <c r="G34" s="1279" t="s">
        <v>204</v>
      </c>
      <c r="H34" s="1280"/>
      <c r="I34" s="1281"/>
      <c r="J34" s="1279" t="s">
        <v>203</v>
      </c>
      <c r="K34" s="1280"/>
      <c r="L34" s="1280"/>
      <c r="M34" s="1283" t="s">
        <v>202</v>
      </c>
      <c r="N34" s="1283"/>
      <c r="O34" s="1284"/>
      <c r="P34" s="1282" t="s">
        <v>454</v>
      </c>
      <c r="Q34" s="1283"/>
      <c r="R34" s="1284"/>
      <c r="S34" s="1279" t="s">
        <v>643</v>
      </c>
      <c r="T34" s="1280"/>
      <c r="U34" s="1281"/>
      <c r="V34" s="1279" t="s">
        <v>201</v>
      </c>
      <c r="W34" s="1280"/>
      <c r="X34" s="1281"/>
      <c r="Y34" s="1279" t="s">
        <v>200</v>
      </c>
      <c r="Z34" s="1280"/>
      <c r="AA34" s="1281"/>
      <c r="AB34" s="1279" t="s">
        <v>199</v>
      </c>
      <c r="AC34" s="1280"/>
      <c r="AD34" s="1281"/>
      <c r="AE34" s="1279" t="s">
        <v>745</v>
      </c>
      <c r="AF34" s="1280"/>
      <c r="AG34" s="1281"/>
    </row>
    <row r="35" spans="1:40" ht="12" thickBot="1" x14ac:dyDescent="0.3">
      <c r="A35" s="157" t="s">
        <v>17</v>
      </c>
      <c r="B35" s="158" t="s">
        <v>258</v>
      </c>
      <c r="C35" s="159" t="s">
        <v>259</v>
      </c>
      <c r="D35" s="173" t="s">
        <v>17</v>
      </c>
      <c r="E35" s="158" t="s">
        <v>258</v>
      </c>
      <c r="F35" s="159" t="s">
        <v>259</v>
      </c>
      <c r="G35" s="157" t="s">
        <v>17</v>
      </c>
      <c r="H35" s="158" t="s">
        <v>258</v>
      </c>
      <c r="I35" s="159" t="s">
        <v>259</v>
      </c>
      <c r="J35" s="160" t="s">
        <v>17</v>
      </c>
      <c r="K35" s="161" t="s">
        <v>258</v>
      </c>
      <c r="L35" s="162" t="s">
        <v>259</v>
      </c>
      <c r="M35" s="535" t="s">
        <v>17</v>
      </c>
      <c r="N35" s="161" t="s">
        <v>258</v>
      </c>
      <c r="O35" s="179" t="s">
        <v>259</v>
      </c>
      <c r="P35" s="160" t="s">
        <v>17</v>
      </c>
      <c r="Q35" s="161" t="s">
        <v>258</v>
      </c>
      <c r="R35" s="162" t="s">
        <v>259</v>
      </c>
      <c r="S35" s="157" t="s">
        <v>17</v>
      </c>
      <c r="T35" s="158" t="s">
        <v>258</v>
      </c>
      <c r="U35" s="159" t="s">
        <v>259</v>
      </c>
      <c r="V35" s="157" t="s">
        <v>17</v>
      </c>
      <c r="W35" s="158" t="s">
        <v>258</v>
      </c>
      <c r="X35" s="159" t="s">
        <v>259</v>
      </c>
      <c r="Y35" s="157" t="s">
        <v>17</v>
      </c>
      <c r="Z35" s="158" t="s">
        <v>258</v>
      </c>
      <c r="AA35" s="159" t="s">
        <v>259</v>
      </c>
      <c r="AB35" s="157" t="s">
        <v>17</v>
      </c>
      <c r="AC35" s="158" t="s">
        <v>258</v>
      </c>
      <c r="AD35" s="159" t="s">
        <v>259</v>
      </c>
      <c r="AE35" s="157" t="s">
        <v>17</v>
      </c>
      <c r="AF35" s="158" t="s">
        <v>258</v>
      </c>
      <c r="AG35" s="159" t="s">
        <v>259</v>
      </c>
    </row>
    <row r="36" spans="1:40" x14ac:dyDescent="0.25">
      <c r="A36" s="7">
        <v>1</v>
      </c>
      <c r="B36" s="164">
        <v>50</v>
      </c>
      <c r="C36" s="163">
        <v>0</v>
      </c>
      <c r="D36" s="51">
        <v>1</v>
      </c>
      <c r="E36" s="164">
        <v>250</v>
      </c>
      <c r="F36" s="163">
        <f>1/60</f>
        <v>1.6666666666666666E-2</v>
      </c>
      <c r="G36" s="7">
        <v>1</v>
      </c>
      <c r="H36" s="164">
        <v>1000</v>
      </c>
      <c r="I36" s="163">
        <f>15/60</f>
        <v>0.25</v>
      </c>
      <c r="J36" s="13">
        <v>1</v>
      </c>
      <c r="K36" s="164">
        <v>8000</v>
      </c>
      <c r="L36" s="163">
        <v>8</v>
      </c>
      <c r="M36" s="13">
        <v>1</v>
      </c>
      <c r="N36" s="164">
        <v>22500</v>
      </c>
      <c r="O36" s="536">
        <v>5</v>
      </c>
      <c r="P36" s="51">
        <v>1</v>
      </c>
      <c r="Q36" s="174">
        <v>180000</v>
      </c>
      <c r="R36" s="170">
        <v>12</v>
      </c>
      <c r="S36" s="7">
        <v>1</v>
      </c>
      <c r="T36" s="164">
        <v>500000</v>
      </c>
      <c r="U36" s="163">
        <v>24</v>
      </c>
      <c r="V36" s="7">
        <v>1</v>
      </c>
      <c r="W36" s="164">
        <v>1000000</v>
      </c>
      <c r="X36" s="163">
        <v>24</v>
      </c>
      <c r="Y36" s="7">
        <v>1</v>
      </c>
      <c r="Z36" s="164">
        <v>3000000</v>
      </c>
      <c r="AA36" s="163">
        <v>168</v>
      </c>
      <c r="AB36" s="7">
        <v>1</v>
      </c>
      <c r="AC36" s="164">
        <v>5000000</v>
      </c>
      <c r="AD36" s="163">
        <v>168</v>
      </c>
      <c r="AE36" s="7">
        <v>1</v>
      </c>
      <c r="AF36" s="164">
        <v>8000000</v>
      </c>
      <c r="AG36" s="163">
        <v>240</v>
      </c>
    </row>
    <row r="37" spans="1:40" x14ac:dyDescent="0.25">
      <c r="A37" s="7">
        <v>2</v>
      </c>
      <c r="B37" s="166">
        <v>1000</v>
      </c>
      <c r="C37" s="165">
        <v>0</v>
      </c>
      <c r="D37" s="7">
        <v>2</v>
      </c>
      <c r="E37" s="166">
        <v>1000</v>
      </c>
      <c r="F37" s="165">
        <f>15/60</f>
        <v>0.25</v>
      </c>
      <c r="G37" s="7">
        <v>2</v>
      </c>
      <c r="H37" s="166">
        <v>2000</v>
      </c>
      <c r="I37" s="165">
        <f>30/60</f>
        <v>0.5</v>
      </c>
      <c r="J37" s="13">
        <v>2</v>
      </c>
      <c r="K37" s="166">
        <v>32000</v>
      </c>
      <c r="L37" s="165">
        <v>12</v>
      </c>
      <c r="M37" s="13">
        <v>2</v>
      </c>
      <c r="N37" s="166">
        <v>90000</v>
      </c>
      <c r="O37" s="171">
        <v>24</v>
      </c>
      <c r="P37" s="7">
        <v>2</v>
      </c>
      <c r="Q37" s="166">
        <v>360000</v>
      </c>
      <c r="R37" s="171">
        <v>24</v>
      </c>
      <c r="S37" s="7">
        <v>2</v>
      </c>
      <c r="T37" s="166">
        <v>750000</v>
      </c>
      <c r="U37" s="165">
        <v>72</v>
      </c>
      <c r="V37" s="7">
        <v>2</v>
      </c>
      <c r="W37" s="166">
        <v>1250000</v>
      </c>
      <c r="X37" s="165">
        <v>72</v>
      </c>
      <c r="Y37" s="7">
        <v>2</v>
      </c>
      <c r="Z37" s="166">
        <v>5000000</v>
      </c>
      <c r="AA37" s="165">
        <v>240</v>
      </c>
      <c r="AB37" s="7">
        <v>2</v>
      </c>
      <c r="AC37" s="166">
        <v>6500000</v>
      </c>
      <c r="AD37" s="165">
        <v>240</v>
      </c>
      <c r="AE37" s="7">
        <v>2</v>
      </c>
      <c r="AF37" s="166">
        <v>10000000</v>
      </c>
      <c r="AG37" s="165">
        <v>336</v>
      </c>
    </row>
    <row r="38" spans="1:40" x14ac:dyDescent="0.25">
      <c r="A38" s="7">
        <v>3</v>
      </c>
      <c r="B38" s="166">
        <v>5000</v>
      </c>
      <c r="C38" s="165">
        <v>0</v>
      </c>
      <c r="D38" s="7">
        <v>3</v>
      </c>
      <c r="E38" s="166">
        <v>4000</v>
      </c>
      <c r="F38" s="165">
        <f>45/60</f>
        <v>0.75</v>
      </c>
      <c r="G38" s="7">
        <v>3</v>
      </c>
      <c r="H38" s="166">
        <v>5000</v>
      </c>
      <c r="I38" s="165">
        <f>45/60</f>
        <v>0.75</v>
      </c>
      <c r="J38" s="13">
        <v>3</v>
      </c>
      <c r="K38" s="166">
        <v>120000</v>
      </c>
      <c r="L38" s="165">
        <v>24</v>
      </c>
      <c r="M38" s="13">
        <v>3</v>
      </c>
      <c r="N38" s="166">
        <v>270000</v>
      </c>
      <c r="O38" s="171">
        <v>72</v>
      </c>
      <c r="P38" s="7">
        <v>3</v>
      </c>
      <c r="Q38" s="166">
        <v>720000</v>
      </c>
      <c r="R38" s="171">
        <v>48</v>
      </c>
      <c r="S38" s="7">
        <v>3</v>
      </c>
      <c r="T38" s="166">
        <v>1250000</v>
      </c>
      <c r="U38" s="165">
        <v>120</v>
      </c>
      <c r="V38" s="7">
        <v>3</v>
      </c>
      <c r="W38" s="166">
        <v>1500000</v>
      </c>
      <c r="X38" s="165">
        <v>120</v>
      </c>
      <c r="Y38" s="7">
        <v>3</v>
      </c>
      <c r="Z38" s="166">
        <v>7000000</v>
      </c>
      <c r="AA38" s="165">
        <v>336</v>
      </c>
      <c r="AB38" s="184">
        <v>3</v>
      </c>
      <c r="AC38" s="175">
        <v>8000000</v>
      </c>
      <c r="AD38" s="167">
        <v>336</v>
      </c>
    </row>
    <row r="39" spans="1:40" x14ac:dyDescent="0.25">
      <c r="A39" s="7">
        <v>4</v>
      </c>
      <c r="B39" s="166">
        <v>10000</v>
      </c>
      <c r="C39" s="165">
        <v>0</v>
      </c>
      <c r="D39" s="7">
        <v>4</v>
      </c>
      <c r="E39" s="166">
        <v>16000</v>
      </c>
      <c r="F39" s="165">
        <v>2</v>
      </c>
      <c r="G39" s="7">
        <v>4</v>
      </c>
      <c r="H39" s="166">
        <v>20000</v>
      </c>
      <c r="I39" s="165">
        <v>4</v>
      </c>
      <c r="J39" s="13">
        <v>4</v>
      </c>
      <c r="K39" s="166">
        <v>400000</v>
      </c>
      <c r="L39" s="165">
        <v>48</v>
      </c>
      <c r="M39" s="13">
        <v>4</v>
      </c>
      <c r="N39" s="166">
        <v>540000</v>
      </c>
      <c r="O39" s="171">
        <v>120</v>
      </c>
      <c r="P39" s="7">
        <v>4</v>
      </c>
      <c r="Q39" s="166">
        <v>1280000</v>
      </c>
      <c r="R39" s="171">
        <v>72</v>
      </c>
      <c r="S39" s="7">
        <v>4</v>
      </c>
      <c r="T39" s="166">
        <v>2400000</v>
      </c>
      <c r="U39" s="165">
        <v>168</v>
      </c>
      <c r="V39" s="7">
        <v>4</v>
      </c>
      <c r="W39" s="166">
        <v>2000000</v>
      </c>
      <c r="X39" s="165">
        <v>144</v>
      </c>
      <c r="Y39" s="7">
        <v>4</v>
      </c>
      <c r="Z39" s="166">
        <v>8000000</v>
      </c>
      <c r="AA39" s="165">
        <v>336</v>
      </c>
      <c r="AB39" s="184">
        <v>4</v>
      </c>
      <c r="AC39" s="175">
        <v>10000000</v>
      </c>
      <c r="AD39" s="167">
        <v>336</v>
      </c>
      <c r="AE39" s="137"/>
      <c r="AF39" s="137"/>
      <c r="AG39" s="137"/>
    </row>
    <row r="40" spans="1:40" s="137" customFormat="1" x14ac:dyDescent="0.25">
      <c r="A40" s="7">
        <v>5</v>
      </c>
      <c r="B40" s="166">
        <v>30000</v>
      </c>
      <c r="C40" s="165">
        <v>0</v>
      </c>
      <c r="D40" s="7">
        <v>5</v>
      </c>
      <c r="E40" s="166">
        <v>50000</v>
      </c>
      <c r="F40" s="165">
        <v>6</v>
      </c>
      <c r="G40" s="7">
        <v>5</v>
      </c>
      <c r="H40" s="166">
        <v>80000</v>
      </c>
      <c r="I40" s="165">
        <v>12</v>
      </c>
      <c r="J40" s="13">
        <v>5</v>
      </c>
      <c r="K40" s="166">
        <v>800000</v>
      </c>
      <c r="L40" s="165">
        <v>96</v>
      </c>
      <c r="M40" s="13">
        <v>5</v>
      </c>
      <c r="N40" s="166">
        <v>1080000</v>
      </c>
      <c r="O40" s="171">
        <v>144</v>
      </c>
      <c r="P40" s="7">
        <v>5</v>
      </c>
      <c r="Q40" s="166">
        <v>1960000</v>
      </c>
      <c r="R40" s="171">
        <v>96</v>
      </c>
      <c r="S40" s="7">
        <v>5</v>
      </c>
      <c r="T40" s="166">
        <v>4800000</v>
      </c>
      <c r="U40" s="165">
        <v>192</v>
      </c>
      <c r="V40" s="7">
        <v>5</v>
      </c>
      <c r="W40" s="166">
        <v>2500000</v>
      </c>
      <c r="X40" s="165">
        <v>192</v>
      </c>
      <c r="Y40" s="152"/>
      <c r="Z40" s="152"/>
      <c r="AA40" s="152"/>
      <c r="AB40" s="152"/>
      <c r="AC40" s="152"/>
      <c r="AD40" s="152"/>
      <c r="AH40" s="152"/>
      <c r="AI40" s="152"/>
      <c r="AJ40" s="152"/>
      <c r="AK40" s="152"/>
      <c r="AL40" s="152"/>
      <c r="AM40" s="152"/>
      <c r="AN40" s="152"/>
    </row>
    <row r="41" spans="1:40" s="137" customFormat="1" x14ac:dyDescent="0.25">
      <c r="A41" s="7">
        <v>6</v>
      </c>
      <c r="B41" s="166">
        <v>75000</v>
      </c>
      <c r="C41" s="165">
        <v>0</v>
      </c>
      <c r="D41" s="7">
        <v>6</v>
      </c>
      <c r="E41" s="166">
        <v>100000</v>
      </c>
      <c r="F41" s="165">
        <v>12</v>
      </c>
      <c r="G41" s="7">
        <v>6</v>
      </c>
      <c r="H41" s="166">
        <v>180000</v>
      </c>
      <c r="I41" s="165">
        <v>24</v>
      </c>
      <c r="J41" s="19">
        <v>6</v>
      </c>
      <c r="K41" s="166">
        <v>1600000</v>
      </c>
      <c r="L41" s="167">
        <v>120</v>
      </c>
      <c r="M41" s="13">
        <v>6</v>
      </c>
      <c r="N41" s="166">
        <v>2160000</v>
      </c>
      <c r="O41" s="171">
        <v>192</v>
      </c>
      <c r="P41" s="7">
        <v>6</v>
      </c>
      <c r="Q41" s="166">
        <v>2680000</v>
      </c>
      <c r="R41" s="171">
        <v>120</v>
      </c>
      <c r="S41" s="7">
        <v>6</v>
      </c>
      <c r="T41" s="166">
        <v>7200000</v>
      </c>
      <c r="U41" s="165">
        <v>216</v>
      </c>
      <c r="V41" s="7">
        <v>6</v>
      </c>
      <c r="W41" s="166">
        <v>3000000</v>
      </c>
      <c r="X41" s="165">
        <v>240</v>
      </c>
      <c r="Y41" s="152"/>
      <c r="Z41" s="152"/>
      <c r="AA41" s="152"/>
      <c r="AB41" s="152"/>
      <c r="AC41" s="152"/>
      <c r="AD41" s="152"/>
      <c r="AH41" s="152"/>
      <c r="AI41" s="152"/>
      <c r="AJ41" s="152"/>
      <c r="AK41" s="152"/>
      <c r="AL41" s="152"/>
      <c r="AM41" s="152"/>
      <c r="AN41" s="152"/>
    </row>
    <row r="42" spans="1:40" s="137" customFormat="1" x14ac:dyDescent="0.25">
      <c r="A42" s="7">
        <v>7</v>
      </c>
      <c r="B42" s="166">
        <v>200000</v>
      </c>
      <c r="C42" s="165">
        <v>0</v>
      </c>
      <c r="D42" s="7">
        <v>7</v>
      </c>
      <c r="E42" s="166">
        <v>200000</v>
      </c>
      <c r="F42" s="165">
        <v>24</v>
      </c>
      <c r="G42" s="7">
        <v>7</v>
      </c>
      <c r="H42" s="166">
        <v>360000</v>
      </c>
      <c r="I42" s="165">
        <v>48</v>
      </c>
      <c r="J42" s="7">
        <v>7</v>
      </c>
      <c r="K42" s="24">
        <v>3200000</v>
      </c>
      <c r="L42" s="53">
        <v>168</v>
      </c>
      <c r="M42" s="7">
        <v>7</v>
      </c>
      <c r="N42" s="166">
        <v>4320000</v>
      </c>
      <c r="O42" s="171">
        <v>240</v>
      </c>
      <c r="P42" s="7">
        <v>7</v>
      </c>
      <c r="Q42" s="166">
        <v>5360000</v>
      </c>
      <c r="R42" s="171">
        <v>168</v>
      </c>
      <c r="S42" s="152"/>
      <c r="T42" s="152"/>
      <c r="U42" s="152"/>
      <c r="V42" s="172">
        <v>7</v>
      </c>
      <c r="W42" s="177">
        <v>3500000</v>
      </c>
      <c r="X42" s="167">
        <v>288</v>
      </c>
      <c r="Y42" s="152"/>
      <c r="Z42" s="152"/>
      <c r="AA42" s="152"/>
      <c r="AB42" s="152"/>
      <c r="AC42" s="152"/>
      <c r="AD42" s="152"/>
      <c r="AH42" s="152"/>
      <c r="AI42" s="152"/>
      <c r="AJ42" s="152"/>
      <c r="AK42" s="152"/>
      <c r="AL42" s="152"/>
      <c r="AM42" s="152"/>
      <c r="AN42" s="152"/>
    </row>
    <row r="43" spans="1:40" s="137" customFormat="1" ht="12" thickBot="1" x14ac:dyDescent="0.3">
      <c r="A43" s="7">
        <v>8</v>
      </c>
      <c r="B43" s="166">
        <v>500000</v>
      </c>
      <c r="C43" s="165">
        <v>0</v>
      </c>
      <c r="D43" s="7">
        <v>8</v>
      </c>
      <c r="E43" s="166">
        <v>400000</v>
      </c>
      <c r="F43" s="165">
        <v>48</v>
      </c>
      <c r="G43" s="7">
        <v>8</v>
      </c>
      <c r="H43" s="166">
        <v>720000</v>
      </c>
      <c r="I43" s="165">
        <v>72</v>
      </c>
      <c r="J43" s="184">
        <v>8</v>
      </c>
      <c r="K43" s="175">
        <v>6400000</v>
      </c>
      <c r="L43" s="167">
        <v>240</v>
      </c>
      <c r="M43" s="8">
        <v>8</v>
      </c>
      <c r="N43" s="537">
        <v>7560000</v>
      </c>
      <c r="O43" s="448">
        <v>288</v>
      </c>
      <c r="P43" s="172">
        <v>8</v>
      </c>
      <c r="Q43" s="488">
        <v>6480000</v>
      </c>
      <c r="R43" s="489">
        <v>240</v>
      </c>
      <c r="S43" s="152"/>
      <c r="T43" s="152"/>
      <c r="U43" s="152"/>
      <c r="V43" s="172">
        <v>8</v>
      </c>
      <c r="W43" s="177">
        <v>5000000</v>
      </c>
      <c r="X43" s="167">
        <v>336</v>
      </c>
      <c r="Y43" s="152"/>
      <c r="Z43" s="152"/>
      <c r="AA43" s="152"/>
      <c r="AE43" s="152"/>
      <c r="AF43" s="152"/>
      <c r="AG43" s="152"/>
      <c r="AH43" s="152"/>
      <c r="AI43" s="152"/>
      <c r="AJ43" s="152"/>
      <c r="AK43" s="152"/>
      <c r="AL43" s="152"/>
      <c r="AM43" s="152"/>
      <c r="AN43" s="152"/>
    </row>
    <row r="44" spans="1:40" x14ac:dyDescent="0.25">
      <c r="A44" s="7">
        <v>9</v>
      </c>
      <c r="B44" s="627">
        <v>1000000</v>
      </c>
      <c r="C44" s="53">
        <v>0</v>
      </c>
      <c r="D44" s="7">
        <v>9</v>
      </c>
      <c r="E44" s="24">
        <v>800000</v>
      </c>
      <c r="F44" s="53">
        <v>72</v>
      </c>
      <c r="G44" s="7">
        <v>9</v>
      </c>
      <c r="H44" s="24">
        <v>1500000</v>
      </c>
      <c r="I44" s="53">
        <v>96</v>
      </c>
      <c r="J44" s="184">
        <v>9</v>
      </c>
      <c r="K44" s="175">
        <v>9000000</v>
      </c>
      <c r="L44" s="167">
        <v>288</v>
      </c>
      <c r="P44" s="172">
        <v>9</v>
      </c>
      <c r="Q44" s="488">
        <v>8560000</v>
      </c>
      <c r="R44" s="489">
        <v>288</v>
      </c>
    </row>
    <row r="45" spans="1:40" x14ac:dyDescent="0.25">
      <c r="A45" s="7">
        <v>10</v>
      </c>
      <c r="B45" s="627">
        <v>3000000</v>
      </c>
      <c r="C45" s="53">
        <v>0</v>
      </c>
      <c r="D45" s="7">
        <v>10</v>
      </c>
      <c r="E45" s="24">
        <v>1600000</v>
      </c>
      <c r="F45" s="53">
        <v>96</v>
      </c>
      <c r="G45" s="7">
        <v>10</v>
      </c>
      <c r="H45" s="24">
        <v>2500000</v>
      </c>
      <c r="I45" s="53">
        <f>5*24</f>
        <v>120</v>
      </c>
      <c r="L45" s="506"/>
    </row>
    <row r="46" spans="1:40" ht="12" thickBot="1" x14ac:dyDescent="0.3">
      <c r="A46" s="8">
        <v>11</v>
      </c>
      <c r="B46" s="628">
        <v>4000000</v>
      </c>
      <c r="C46" s="54">
        <v>0</v>
      </c>
      <c r="D46" s="7">
        <v>11</v>
      </c>
      <c r="E46" s="25">
        <v>3200000</v>
      </c>
      <c r="F46" s="54">
        <v>120</v>
      </c>
      <c r="G46" s="8">
        <v>11</v>
      </c>
      <c r="H46" s="25">
        <v>4500000</v>
      </c>
      <c r="I46" s="54">
        <v>144</v>
      </c>
      <c r="L46" s="506"/>
    </row>
    <row r="47" spans="1:40" x14ac:dyDescent="0.25">
      <c r="D47" s="7">
        <v>12</v>
      </c>
      <c r="E47" s="177">
        <v>6400000</v>
      </c>
      <c r="F47" s="167">
        <v>144</v>
      </c>
      <c r="G47" s="184">
        <v>12</v>
      </c>
      <c r="H47" s="25">
        <v>6500000</v>
      </c>
      <c r="I47" s="54">
        <v>168</v>
      </c>
    </row>
    <row r="48" spans="1:40" x14ac:dyDescent="0.25">
      <c r="D48" s="7">
        <v>13</v>
      </c>
      <c r="E48" s="177">
        <v>7500000</v>
      </c>
      <c r="F48" s="167">
        <v>168</v>
      </c>
      <c r="G48" s="184">
        <v>13</v>
      </c>
      <c r="H48" s="25">
        <v>7500000</v>
      </c>
      <c r="I48" s="54">
        <f>8*24</f>
        <v>192</v>
      </c>
    </row>
    <row r="51" spans="1:27" ht="30" customHeight="1" thickBot="1" x14ac:dyDescent="0.3">
      <c r="A51" s="1087" t="s">
        <v>668</v>
      </c>
      <c r="B51" s="1088"/>
      <c r="C51" s="1088"/>
      <c r="D51" s="1088"/>
      <c r="E51" s="1088"/>
      <c r="F51" s="1088"/>
      <c r="G51" s="1088"/>
      <c r="H51" s="1088"/>
      <c r="I51" s="1088"/>
      <c r="J51" s="1088"/>
      <c r="K51" s="1088"/>
      <c r="L51" s="1088"/>
      <c r="M51" s="1088"/>
      <c r="N51" s="1088"/>
      <c r="O51" s="1088"/>
      <c r="P51" s="1088"/>
      <c r="Q51" s="1088"/>
      <c r="R51" s="1088"/>
    </row>
    <row r="52" spans="1:27" ht="12" thickBot="1" x14ac:dyDescent="0.3">
      <c r="A52" s="1291" t="s">
        <v>561</v>
      </c>
      <c r="B52" s="1292"/>
      <c r="C52" s="1293"/>
      <c r="D52" s="1283" t="s">
        <v>559</v>
      </c>
      <c r="E52" s="1283"/>
      <c r="F52" s="1284"/>
      <c r="G52" s="1282" t="s">
        <v>558</v>
      </c>
      <c r="H52" s="1283"/>
      <c r="I52" s="1284"/>
      <c r="J52" s="1282" t="s">
        <v>560</v>
      </c>
      <c r="K52" s="1283"/>
      <c r="L52" s="1284"/>
      <c r="M52" s="1282" t="s">
        <v>562</v>
      </c>
      <c r="N52" s="1283"/>
      <c r="O52" s="1284"/>
      <c r="P52" s="1282" t="s">
        <v>564</v>
      </c>
      <c r="Q52" s="1283"/>
      <c r="R52" s="1284"/>
    </row>
    <row r="53" spans="1:27" ht="12" thickBot="1" x14ac:dyDescent="0.3">
      <c r="A53" s="538" t="s">
        <v>17</v>
      </c>
      <c r="B53" s="539" t="s">
        <v>258</v>
      </c>
      <c r="C53" s="540" t="s">
        <v>259</v>
      </c>
      <c r="D53" s="535" t="s">
        <v>17</v>
      </c>
      <c r="E53" s="161" t="s">
        <v>258</v>
      </c>
      <c r="F53" s="162" t="s">
        <v>259</v>
      </c>
      <c r="G53" s="157" t="s">
        <v>17</v>
      </c>
      <c r="H53" s="161" t="s">
        <v>258</v>
      </c>
      <c r="I53" s="162" t="s">
        <v>259</v>
      </c>
      <c r="J53" s="535" t="s">
        <v>17</v>
      </c>
      <c r="K53" s="161" t="s">
        <v>258</v>
      </c>
      <c r="L53" s="162" t="s">
        <v>259</v>
      </c>
      <c r="M53" s="535" t="s">
        <v>17</v>
      </c>
      <c r="N53" s="161" t="s">
        <v>258</v>
      </c>
      <c r="O53" s="162" t="s">
        <v>259</v>
      </c>
      <c r="P53" s="535" t="s">
        <v>17</v>
      </c>
      <c r="Q53" s="161" t="s">
        <v>258</v>
      </c>
      <c r="R53" s="162" t="s">
        <v>259</v>
      </c>
    </row>
    <row r="54" spans="1:27" x14ac:dyDescent="0.25">
      <c r="A54" s="13">
        <v>1</v>
      </c>
      <c r="B54" s="164">
        <v>400</v>
      </c>
      <c r="C54" s="536">
        <v>0</v>
      </c>
      <c r="D54" s="13">
        <v>1</v>
      </c>
      <c r="E54" s="164">
        <v>2000</v>
      </c>
      <c r="F54" s="163">
        <v>0</v>
      </c>
      <c r="G54" s="7">
        <v>1</v>
      </c>
      <c r="H54" s="164">
        <v>12500</v>
      </c>
      <c r="I54" s="163">
        <v>0</v>
      </c>
      <c r="J54" s="13">
        <v>1</v>
      </c>
      <c r="K54" s="505">
        <v>4000</v>
      </c>
      <c r="L54" s="507">
        <v>0</v>
      </c>
      <c r="M54" s="13">
        <v>1</v>
      </c>
      <c r="N54" s="505">
        <v>15000</v>
      </c>
      <c r="O54" s="507">
        <v>5</v>
      </c>
      <c r="P54" s="13">
        <v>1</v>
      </c>
      <c r="Q54" s="505">
        <v>6000</v>
      </c>
      <c r="R54" s="507">
        <v>0</v>
      </c>
    </row>
    <row r="55" spans="1:27" x14ac:dyDescent="0.25">
      <c r="A55" s="13">
        <v>2</v>
      </c>
      <c r="B55" s="166">
        <v>1000</v>
      </c>
      <c r="C55" s="171">
        <v>0.25</v>
      </c>
      <c r="G55" s="7">
        <v>2</v>
      </c>
      <c r="H55" s="164">
        <v>75000</v>
      </c>
      <c r="I55" s="163">
        <v>6</v>
      </c>
      <c r="J55" s="13">
        <v>2</v>
      </c>
      <c r="K55" s="505">
        <v>20000</v>
      </c>
      <c r="L55" s="507">
        <v>4</v>
      </c>
      <c r="M55" s="13">
        <v>2</v>
      </c>
      <c r="N55" s="505">
        <v>2000000</v>
      </c>
      <c r="O55" s="507">
        <v>24</v>
      </c>
      <c r="P55" s="13">
        <v>2</v>
      </c>
      <c r="Q55" s="505">
        <v>600000</v>
      </c>
      <c r="R55" s="507">
        <v>6</v>
      </c>
    </row>
    <row r="56" spans="1:27" x14ac:dyDescent="0.25">
      <c r="A56" s="13">
        <v>3</v>
      </c>
      <c r="B56" s="166">
        <v>10000</v>
      </c>
      <c r="C56" s="171">
        <v>2</v>
      </c>
      <c r="G56" s="7">
        <v>3</v>
      </c>
      <c r="H56" s="164">
        <v>750000</v>
      </c>
      <c r="I56" s="163">
        <v>24</v>
      </c>
      <c r="J56" s="13">
        <v>3</v>
      </c>
      <c r="K56" s="505">
        <v>200000</v>
      </c>
      <c r="L56" s="507">
        <v>12</v>
      </c>
      <c r="M56" s="19">
        <v>3</v>
      </c>
      <c r="N56" s="541">
        <v>4000000</v>
      </c>
      <c r="O56" s="542">
        <v>72</v>
      </c>
      <c r="P56" s="19">
        <v>3</v>
      </c>
      <c r="Q56" s="541">
        <v>1300000</v>
      </c>
      <c r="R56" s="542">
        <v>24</v>
      </c>
    </row>
    <row r="57" spans="1:27" x14ac:dyDescent="0.25">
      <c r="A57" s="13">
        <v>4</v>
      </c>
      <c r="B57" s="166">
        <v>100000</v>
      </c>
      <c r="C57" s="171">
        <v>8</v>
      </c>
      <c r="G57" s="7">
        <v>4</v>
      </c>
      <c r="H57" s="164">
        <v>2500000</v>
      </c>
      <c r="I57" s="163">
        <v>72</v>
      </c>
      <c r="J57" s="19">
        <v>4</v>
      </c>
      <c r="K57" s="541">
        <v>1500000</v>
      </c>
      <c r="L57" s="542">
        <v>24</v>
      </c>
    </row>
    <row r="58" spans="1:27" x14ac:dyDescent="0.25">
      <c r="A58" s="13">
        <v>5</v>
      </c>
      <c r="B58" s="166">
        <v>1000000</v>
      </c>
      <c r="C58" s="171">
        <v>24</v>
      </c>
    </row>
    <row r="59" spans="1:27" x14ac:dyDescent="0.25">
      <c r="A59" s="13">
        <v>6</v>
      </c>
      <c r="B59" s="166">
        <v>1500000</v>
      </c>
      <c r="C59" s="171">
        <v>48</v>
      </c>
    </row>
    <row r="61" spans="1:27" ht="12" thickBot="1" x14ac:dyDescent="0.3"/>
    <row r="62" spans="1:27" ht="30" customHeight="1" thickBot="1" x14ac:dyDescent="0.3">
      <c r="A62" s="1269" t="s">
        <v>376</v>
      </c>
      <c r="B62" s="1270"/>
      <c r="C62" s="1270"/>
      <c r="D62" s="1270"/>
      <c r="E62" s="1270"/>
      <c r="F62" s="1271"/>
    </row>
    <row r="63" spans="1:27" ht="12" customHeight="1" thickBot="1" x14ac:dyDescent="0.3">
      <c r="A63" s="1279" t="s">
        <v>198</v>
      </c>
      <c r="B63" s="1280"/>
      <c r="C63" s="1281"/>
      <c r="D63" s="1279" t="s">
        <v>197</v>
      </c>
      <c r="E63" s="1280"/>
      <c r="F63" s="1281"/>
      <c r="Y63" s="506"/>
      <c r="Z63" s="506"/>
      <c r="AA63" s="506"/>
    </row>
    <row r="64" spans="1:27" ht="12" thickBot="1" x14ac:dyDescent="0.3">
      <c r="A64" s="157" t="s">
        <v>17</v>
      </c>
      <c r="B64" s="158" t="s">
        <v>258</v>
      </c>
      <c r="C64" s="159" t="s">
        <v>259</v>
      </c>
      <c r="D64" s="157" t="s">
        <v>17</v>
      </c>
      <c r="E64" s="158" t="s">
        <v>258</v>
      </c>
      <c r="F64" s="159" t="s">
        <v>259</v>
      </c>
      <c r="Y64" s="506"/>
      <c r="Z64" s="506"/>
      <c r="AA64" s="506"/>
    </row>
    <row r="65" spans="1:15" x14ac:dyDescent="0.25">
      <c r="A65" s="7">
        <v>1</v>
      </c>
      <c r="B65" s="164">
        <v>40000</v>
      </c>
      <c r="C65" s="163">
        <v>0</v>
      </c>
      <c r="D65" s="7">
        <v>1</v>
      </c>
      <c r="E65" s="164">
        <v>0</v>
      </c>
      <c r="F65" s="163">
        <v>0</v>
      </c>
    </row>
    <row r="66" spans="1:15" x14ac:dyDescent="0.25">
      <c r="A66" s="7">
        <v>2</v>
      </c>
      <c r="B66" s="166">
        <v>100000</v>
      </c>
      <c r="C66" s="165">
        <v>6</v>
      </c>
      <c r="D66" s="7">
        <v>2</v>
      </c>
      <c r="E66" s="166">
        <v>1000</v>
      </c>
      <c r="F66" s="165">
        <f>5/60</f>
        <v>8.3333333333333329E-2</v>
      </c>
    </row>
    <row r="67" spans="1:15" x14ac:dyDescent="0.25">
      <c r="A67" s="7">
        <v>3</v>
      </c>
      <c r="B67" s="166">
        <v>800000</v>
      </c>
      <c r="C67" s="165">
        <v>24</v>
      </c>
      <c r="D67" s="7">
        <v>3</v>
      </c>
      <c r="E67" s="166">
        <v>4000</v>
      </c>
      <c r="F67" s="165">
        <v>3</v>
      </c>
    </row>
    <row r="68" spans="1:15" x14ac:dyDescent="0.25">
      <c r="A68" s="7">
        <v>4</v>
      </c>
      <c r="B68" s="166">
        <v>1800000</v>
      </c>
      <c r="C68" s="165">
        <v>48</v>
      </c>
      <c r="D68" s="7">
        <v>4</v>
      </c>
      <c r="E68" s="166">
        <v>25000</v>
      </c>
      <c r="F68" s="165">
        <v>24</v>
      </c>
    </row>
    <row r="69" spans="1:15" x14ac:dyDescent="0.25">
      <c r="A69" s="442">
        <v>5</v>
      </c>
      <c r="B69" s="491">
        <v>5000000</v>
      </c>
      <c r="C69" s="165">
        <v>168</v>
      </c>
      <c r="D69" s="7">
        <v>5</v>
      </c>
      <c r="E69" s="166">
        <v>150000</v>
      </c>
      <c r="F69" s="165">
        <v>48</v>
      </c>
    </row>
    <row r="70" spans="1:15" x14ac:dyDescent="0.25">
      <c r="A70" s="7">
        <v>6</v>
      </c>
      <c r="B70" s="166">
        <v>7000000</v>
      </c>
      <c r="C70" s="165">
        <v>336</v>
      </c>
      <c r="D70" s="7">
        <v>6</v>
      </c>
      <c r="E70" s="176">
        <v>750000</v>
      </c>
      <c r="F70" s="165">
        <v>96</v>
      </c>
    </row>
    <row r="71" spans="1:15" x14ac:dyDescent="0.25">
      <c r="D71" s="7">
        <v>7</v>
      </c>
      <c r="E71" s="176">
        <v>1200000</v>
      </c>
      <c r="F71" s="165">
        <v>144</v>
      </c>
    </row>
    <row r="72" spans="1:15" x14ac:dyDescent="0.25">
      <c r="D72" s="7">
        <v>8</v>
      </c>
      <c r="E72" s="176">
        <v>2000000</v>
      </c>
      <c r="F72" s="165">
        <v>192</v>
      </c>
    </row>
    <row r="73" spans="1:15" x14ac:dyDescent="0.25">
      <c r="D73" s="7">
        <v>9</v>
      </c>
      <c r="E73" s="176">
        <v>3000000</v>
      </c>
      <c r="F73" s="165">
        <v>240</v>
      </c>
    </row>
    <row r="74" spans="1:15" x14ac:dyDescent="0.25">
      <c r="D74" s="7">
        <v>10</v>
      </c>
      <c r="E74" s="177">
        <v>5000000</v>
      </c>
      <c r="F74" s="167">
        <v>288</v>
      </c>
    </row>
    <row r="75" spans="1:15" x14ac:dyDescent="0.25">
      <c r="D75" s="184">
        <v>11</v>
      </c>
      <c r="E75" s="177">
        <v>7000000</v>
      </c>
      <c r="F75" s="167">
        <v>336</v>
      </c>
    </row>
    <row r="76" spans="1:15" ht="12" thickBot="1" x14ac:dyDescent="0.3"/>
    <row r="77" spans="1:15" ht="30" customHeight="1" thickBot="1" x14ac:dyDescent="0.3">
      <c r="A77" s="1269" t="s">
        <v>377</v>
      </c>
      <c r="B77" s="1270"/>
      <c r="C77" s="1270"/>
      <c r="D77" s="1270"/>
      <c r="E77" s="1270"/>
      <c r="F77" s="1270"/>
      <c r="G77" s="1270"/>
      <c r="H77" s="1270"/>
      <c r="I77" s="1270"/>
      <c r="J77" s="1270"/>
      <c r="K77" s="1270"/>
      <c r="L77" s="1270"/>
      <c r="M77" s="1270"/>
      <c r="N77" s="1270"/>
      <c r="O77" s="1271"/>
    </row>
    <row r="78" spans="1:15" ht="12" customHeight="1" thickBot="1" x14ac:dyDescent="0.3">
      <c r="A78" s="1279" t="s">
        <v>190</v>
      </c>
      <c r="B78" s="1280"/>
      <c r="C78" s="1281"/>
      <c r="D78" s="1279" t="s">
        <v>191</v>
      </c>
      <c r="E78" s="1280"/>
      <c r="F78" s="1281"/>
      <c r="G78" s="1279" t="s">
        <v>192</v>
      </c>
      <c r="H78" s="1280"/>
      <c r="I78" s="1281"/>
      <c r="J78" s="1279" t="s">
        <v>193</v>
      </c>
      <c r="K78" s="1280"/>
      <c r="L78" s="1281"/>
      <c r="M78" s="1279" t="s">
        <v>194</v>
      </c>
      <c r="N78" s="1280"/>
      <c r="O78" s="1281"/>
    </row>
    <row r="79" spans="1:15" ht="12" customHeight="1" thickBot="1" x14ac:dyDescent="0.3">
      <c r="A79" s="178" t="s">
        <v>17</v>
      </c>
      <c r="B79" s="161" t="s">
        <v>258</v>
      </c>
      <c r="C79" s="179" t="s">
        <v>259</v>
      </c>
      <c r="D79" s="178" t="s">
        <v>17</v>
      </c>
      <c r="E79" s="161" t="s">
        <v>258</v>
      </c>
      <c r="F79" s="179" t="s">
        <v>259</v>
      </c>
      <c r="G79" s="178" t="s">
        <v>17</v>
      </c>
      <c r="H79" s="161" t="s">
        <v>258</v>
      </c>
      <c r="I79" s="179" t="s">
        <v>259</v>
      </c>
      <c r="J79" s="178" t="s">
        <v>17</v>
      </c>
      <c r="K79" s="161" t="s">
        <v>258</v>
      </c>
      <c r="L79" s="162" t="s">
        <v>259</v>
      </c>
      <c r="M79" s="157" t="s">
        <v>17</v>
      </c>
      <c r="N79" s="158" t="s">
        <v>258</v>
      </c>
      <c r="O79" s="159" t="s">
        <v>259</v>
      </c>
    </row>
    <row r="80" spans="1:15" x14ac:dyDescent="0.25">
      <c r="A80" s="7">
        <v>1</v>
      </c>
      <c r="B80" s="395">
        <v>0</v>
      </c>
      <c r="C80" s="163">
        <v>0</v>
      </c>
      <c r="D80" s="7">
        <v>1</v>
      </c>
      <c r="E80" s="395">
        <v>0</v>
      </c>
      <c r="F80" s="163">
        <v>0</v>
      </c>
      <c r="G80" s="7">
        <v>1</v>
      </c>
      <c r="H80" s="395">
        <v>0</v>
      </c>
      <c r="I80" s="163">
        <v>0</v>
      </c>
      <c r="J80" s="7">
        <v>1</v>
      </c>
      <c r="K80" s="395">
        <v>0</v>
      </c>
      <c r="L80" s="163">
        <v>0</v>
      </c>
      <c r="M80" s="141">
        <v>1</v>
      </c>
      <c r="N80" s="395">
        <v>0</v>
      </c>
      <c r="O80" s="249">
        <v>0</v>
      </c>
    </row>
    <row r="81" spans="1:30" x14ac:dyDescent="0.25">
      <c r="A81" s="7">
        <v>2</v>
      </c>
      <c r="B81" s="396">
        <v>200000</v>
      </c>
      <c r="C81" s="165">
        <v>24</v>
      </c>
      <c r="D81" s="7">
        <v>2</v>
      </c>
      <c r="E81" s="396">
        <v>300000</v>
      </c>
      <c r="F81" s="165">
        <v>24</v>
      </c>
      <c r="G81" s="7">
        <v>2</v>
      </c>
      <c r="H81" s="396">
        <v>450000</v>
      </c>
      <c r="I81" s="165">
        <v>48</v>
      </c>
      <c r="J81" s="172">
        <v>2</v>
      </c>
      <c r="K81" s="399">
        <v>3000000</v>
      </c>
      <c r="L81" s="167">
        <v>120</v>
      </c>
      <c r="M81" s="7">
        <v>2</v>
      </c>
      <c r="N81" s="396">
        <v>4000000</v>
      </c>
      <c r="O81" s="248">
        <v>120</v>
      </c>
    </row>
    <row r="82" spans="1:30" x14ac:dyDescent="0.25">
      <c r="A82" s="7">
        <v>3</v>
      </c>
      <c r="B82" s="396">
        <v>500000</v>
      </c>
      <c r="C82" s="165">
        <v>48</v>
      </c>
      <c r="D82" s="7">
        <v>3</v>
      </c>
      <c r="E82" s="396">
        <v>600000</v>
      </c>
      <c r="F82" s="165">
        <v>48</v>
      </c>
      <c r="G82" s="7">
        <v>3</v>
      </c>
      <c r="H82" s="396">
        <v>900000</v>
      </c>
      <c r="I82" s="165">
        <v>72</v>
      </c>
      <c r="J82" s="172">
        <v>3</v>
      </c>
      <c r="K82" s="399">
        <v>6000000</v>
      </c>
      <c r="L82" s="167">
        <v>168</v>
      </c>
      <c r="M82" s="180">
        <v>3</v>
      </c>
      <c r="N82" s="504">
        <v>5000000</v>
      </c>
      <c r="O82" s="181">
        <v>168</v>
      </c>
    </row>
    <row r="83" spans="1:30" x14ac:dyDescent="0.25">
      <c r="A83" s="180">
        <v>4</v>
      </c>
      <c r="B83" s="403">
        <v>1000000</v>
      </c>
      <c r="C83" s="181">
        <v>72</v>
      </c>
      <c r="D83" s="180">
        <v>4</v>
      </c>
      <c r="E83" s="403">
        <v>1200000</v>
      </c>
      <c r="F83" s="181">
        <v>72</v>
      </c>
      <c r="G83" s="180">
        <v>4</v>
      </c>
      <c r="H83" s="403">
        <v>1800000</v>
      </c>
      <c r="I83" s="181">
        <v>120</v>
      </c>
      <c r="M83" s="182">
        <v>4</v>
      </c>
      <c r="N83" s="403">
        <v>6500000</v>
      </c>
      <c r="O83" s="183">
        <v>240</v>
      </c>
    </row>
    <row r="84" spans="1:30" x14ac:dyDescent="0.25">
      <c r="A84" s="182">
        <v>5</v>
      </c>
      <c r="B84" s="404">
        <v>2000000</v>
      </c>
      <c r="C84" s="183">
        <v>96</v>
      </c>
      <c r="D84" s="182">
        <v>5</v>
      </c>
      <c r="E84" s="404">
        <v>2400000</v>
      </c>
      <c r="F84" s="183">
        <v>120</v>
      </c>
      <c r="G84" s="182">
        <v>5</v>
      </c>
      <c r="H84" s="404">
        <v>3000000</v>
      </c>
      <c r="I84" s="183">
        <v>168</v>
      </c>
      <c r="M84" s="182">
        <v>5</v>
      </c>
      <c r="N84" s="404">
        <v>8000000</v>
      </c>
      <c r="O84" s="183">
        <v>336</v>
      </c>
    </row>
    <row r="85" spans="1:30" x14ac:dyDescent="0.25">
      <c r="A85" s="182">
        <v>6</v>
      </c>
      <c r="B85" s="399">
        <v>6000000</v>
      </c>
      <c r="C85" s="167">
        <v>240</v>
      </c>
      <c r="D85" s="184">
        <v>6</v>
      </c>
      <c r="E85" s="399">
        <v>4800000</v>
      </c>
      <c r="F85" s="167">
        <v>168</v>
      </c>
    </row>
    <row r="86" spans="1:30" x14ac:dyDescent="0.25">
      <c r="A86" s="182">
        <v>7</v>
      </c>
      <c r="B86" s="399">
        <v>8000000</v>
      </c>
      <c r="C86" s="167">
        <v>336</v>
      </c>
    </row>
    <row r="88" spans="1:30" ht="12" thickBot="1" x14ac:dyDescent="0.3"/>
    <row r="89" spans="1:30" ht="30" customHeight="1" thickBot="1" x14ac:dyDescent="0.3">
      <c r="A89" s="1269" t="s">
        <v>378</v>
      </c>
      <c r="B89" s="1270"/>
      <c r="C89" s="1270"/>
      <c r="D89" s="1270"/>
      <c r="E89" s="1270"/>
      <c r="F89" s="1270"/>
      <c r="G89" s="1270"/>
      <c r="H89" s="1270"/>
      <c r="I89" s="1270"/>
      <c r="J89" s="1270"/>
      <c r="K89" s="1270"/>
      <c r="L89" s="1270"/>
      <c r="M89" s="1270"/>
      <c r="N89" s="1270"/>
      <c r="O89" s="1270"/>
      <c r="P89" s="1270"/>
      <c r="Q89" s="1270"/>
      <c r="R89" s="1270"/>
      <c r="S89" s="1270"/>
      <c r="T89" s="1270"/>
      <c r="U89" s="1270"/>
      <c r="V89" s="1270"/>
      <c r="W89" s="1270"/>
      <c r="X89" s="1270"/>
      <c r="Y89" s="1270"/>
      <c r="Z89" s="1270"/>
      <c r="AA89" s="1270"/>
      <c r="AB89" s="1270"/>
      <c r="AC89" s="1270"/>
      <c r="AD89" s="1271"/>
    </row>
    <row r="90" spans="1:30" ht="12" customHeight="1" thickBot="1" x14ac:dyDescent="0.3">
      <c r="A90" s="1279" t="s">
        <v>195</v>
      </c>
      <c r="B90" s="1280"/>
      <c r="C90" s="1281"/>
      <c r="D90" s="1279" t="s">
        <v>50</v>
      </c>
      <c r="E90" s="1280"/>
      <c r="F90" s="1281"/>
      <c r="G90" s="1279" t="s">
        <v>189</v>
      </c>
      <c r="H90" s="1280"/>
      <c r="I90" s="1281"/>
      <c r="J90" s="1279" t="s">
        <v>188</v>
      </c>
      <c r="K90" s="1280"/>
      <c r="L90" s="1281"/>
      <c r="M90" s="1282" t="s">
        <v>187</v>
      </c>
      <c r="N90" s="1283"/>
      <c r="O90" s="1284"/>
      <c r="P90" s="1282" t="s">
        <v>186</v>
      </c>
      <c r="Q90" s="1283"/>
      <c r="R90" s="1284"/>
      <c r="S90" s="1279" t="s">
        <v>185</v>
      </c>
      <c r="T90" s="1280"/>
      <c r="U90" s="1281"/>
      <c r="V90" s="1279" t="s">
        <v>184</v>
      </c>
      <c r="W90" s="1280"/>
      <c r="X90" s="1281"/>
      <c r="Y90" s="1279" t="s">
        <v>57</v>
      </c>
      <c r="Z90" s="1280"/>
      <c r="AA90" s="1281"/>
      <c r="AB90" s="1279" t="s">
        <v>58</v>
      </c>
      <c r="AC90" s="1280"/>
      <c r="AD90" s="1281"/>
    </row>
    <row r="91" spans="1:30" ht="12" customHeight="1" thickBot="1" x14ac:dyDescent="0.3">
      <c r="A91" s="157" t="s">
        <v>17</v>
      </c>
      <c r="B91" s="158" t="s">
        <v>258</v>
      </c>
      <c r="C91" s="159" t="s">
        <v>259</v>
      </c>
      <c r="D91" s="157" t="s">
        <v>17</v>
      </c>
      <c r="E91" s="158" t="s">
        <v>258</v>
      </c>
      <c r="F91" s="159" t="s">
        <v>259</v>
      </c>
      <c r="G91" s="157" t="s">
        <v>17</v>
      </c>
      <c r="H91" s="158" t="s">
        <v>258</v>
      </c>
      <c r="I91" s="159" t="s">
        <v>259</v>
      </c>
      <c r="J91" s="160" t="s">
        <v>17</v>
      </c>
      <c r="K91" s="161" t="s">
        <v>258</v>
      </c>
      <c r="L91" s="162" t="s">
        <v>259</v>
      </c>
      <c r="M91" s="157" t="s">
        <v>17</v>
      </c>
      <c r="N91" s="161" t="s">
        <v>258</v>
      </c>
      <c r="O91" s="162" t="s">
        <v>259</v>
      </c>
      <c r="P91" s="160" t="s">
        <v>17</v>
      </c>
      <c r="Q91" s="161" t="s">
        <v>258</v>
      </c>
      <c r="R91" s="162" t="s">
        <v>259</v>
      </c>
      <c r="S91" s="157" t="s">
        <v>17</v>
      </c>
      <c r="T91" s="158" t="s">
        <v>258</v>
      </c>
      <c r="U91" s="159" t="s">
        <v>259</v>
      </c>
      <c r="V91" s="157" t="s">
        <v>17</v>
      </c>
      <c r="W91" s="158" t="s">
        <v>258</v>
      </c>
      <c r="X91" s="159" t="s">
        <v>259</v>
      </c>
      <c r="Y91" s="157" t="s">
        <v>17</v>
      </c>
      <c r="Z91" s="158" t="s">
        <v>258</v>
      </c>
      <c r="AA91" s="159" t="s">
        <v>259</v>
      </c>
      <c r="AB91" s="157" t="s">
        <v>17</v>
      </c>
      <c r="AC91" s="158" t="s">
        <v>258</v>
      </c>
      <c r="AD91" s="159" t="s">
        <v>259</v>
      </c>
    </row>
    <row r="92" spans="1:30" x14ac:dyDescent="0.25">
      <c r="A92" s="7">
        <v>1</v>
      </c>
      <c r="B92" s="395">
        <v>0</v>
      </c>
      <c r="C92" s="163">
        <v>0</v>
      </c>
      <c r="D92" s="7">
        <v>1</v>
      </c>
      <c r="E92" s="395">
        <v>0</v>
      </c>
      <c r="F92" s="163">
        <v>0</v>
      </c>
      <c r="G92" s="7">
        <v>1</v>
      </c>
      <c r="H92" s="395">
        <v>0</v>
      </c>
      <c r="I92" s="163">
        <v>0</v>
      </c>
      <c r="J92" s="7">
        <v>1</v>
      </c>
      <c r="K92" s="395">
        <v>0</v>
      </c>
      <c r="L92" s="163">
        <v>0</v>
      </c>
      <c r="M92" s="7">
        <v>1</v>
      </c>
      <c r="N92" s="395">
        <v>0</v>
      </c>
      <c r="O92" s="163">
        <v>0</v>
      </c>
      <c r="P92" s="7">
        <v>1</v>
      </c>
      <c r="Q92" s="395">
        <v>0</v>
      </c>
      <c r="R92" s="163">
        <v>0</v>
      </c>
      <c r="S92" s="7">
        <v>1</v>
      </c>
      <c r="T92" s="395">
        <v>0</v>
      </c>
      <c r="U92" s="163">
        <v>0</v>
      </c>
      <c r="V92" s="7">
        <v>1</v>
      </c>
      <c r="W92" s="395">
        <v>0</v>
      </c>
      <c r="X92" s="163">
        <v>0</v>
      </c>
      <c r="Y92" s="7">
        <v>1</v>
      </c>
      <c r="Z92" s="395">
        <v>0</v>
      </c>
      <c r="AA92" s="163">
        <v>0</v>
      </c>
      <c r="AB92" s="7">
        <v>1</v>
      </c>
      <c r="AC92" s="395">
        <v>0</v>
      </c>
      <c r="AD92" s="163">
        <v>0</v>
      </c>
    </row>
    <row r="93" spans="1:30" x14ac:dyDescent="0.25">
      <c r="A93" s="7">
        <v>2</v>
      </c>
      <c r="B93" s="396">
        <v>50000</v>
      </c>
      <c r="C93" s="165">
        <v>6</v>
      </c>
      <c r="D93" s="7">
        <v>2</v>
      </c>
      <c r="E93" s="396">
        <v>50000</v>
      </c>
      <c r="F93" s="165">
        <v>12</v>
      </c>
      <c r="G93" s="7">
        <v>2</v>
      </c>
      <c r="H93" s="396">
        <v>50000</v>
      </c>
      <c r="I93" s="165">
        <v>12</v>
      </c>
      <c r="J93" s="7">
        <v>2</v>
      </c>
      <c r="K93" s="396">
        <v>100000</v>
      </c>
      <c r="L93" s="165">
        <v>24</v>
      </c>
      <c r="M93" s="7">
        <v>2</v>
      </c>
      <c r="N93" s="396">
        <v>100000</v>
      </c>
      <c r="O93" s="165">
        <v>24</v>
      </c>
      <c r="P93" s="7">
        <v>2</v>
      </c>
      <c r="Q93" s="396">
        <v>150000</v>
      </c>
      <c r="R93" s="165">
        <v>24</v>
      </c>
      <c r="S93" s="7">
        <v>2</v>
      </c>
      <c r="T93" s="396">
        <v>150000</v>
      </c>
      <c r="U93" s="165">
        <v>24</v>
      </c>
      <c r="V93" s="7">
        <v>2</v>
      </c>
      <c r="W93" s="396">
        <v>750000</v>
      </c>
      <c r="X93" s="165">
        <v>72</v>
      </c>
      <c r="Y93" s="7">
        <v>2</v>
      </c>
      <c r="Z93" s="396">
        <v>2000000</v>
      </c>
      <c r="AA93" s="165">
        <v>168</v>
      </c>
      <c r="AB93" s="7">
        <v>2</v>
      </c>
      <c r="AC93" s="396">
        <v>3000000</v>
      </c>
      <c r="AD93" s="165">
        <v>240</v>
      </c>
    </row>
    <row r="94" spans="1:30" x14ac:dyDescent="0.25">
      <c r="A94" s="7">
        <v>3</v>
      </c>
      <c r="B94" s="396">
        <v>150000</v>
      </c>
      <c r="C94" s="165">
        <v>24</v>
      </c>
      <c r="D94" s="7">
        <v>3</v>
      </c>
      <c r="E94" s="396">
        <v>250000</v>
      </c>
      <c r="F94" s="165">
        <v>48</v>
      </c>
      <c r="G94" s="7">
        <v>3</v>
      </c>
      <c r="H94" s="396">
        <v>250000</v>
      </c>
      <c r="I94" s="165">
        <v>48</v>
      </c>
      <c r="J94" s="7">
        <v>3</v>
      </c>
      <c r="K94" s="396">
        <v>250000</v>
      </c>
      <c r="L94" s="165">
        <v>48</v>
      </c>
      <c r="M94" s="7">
        <v>3</v>
      </c>
      <c r="N94" s="396">
        <v>250000</v>
      </c>
      <c r="O94" s="165">
        <v>48</v>
      </c>
      <c r="P94" s="7">
        <v>3</v>
      </c>
      <c r="Q94" s="396">
        <v>450000</v>
      </c>
      <c r="R94" s="165">
        <v>48</v>
      </c>
      <c r="S94" s="7">
        <v>3</v>
      </c>
      <c r="T94" s="396">
        <v>450000</v>
      </c>
      <c r="U94" s="165">
        <v>48</v>
      </c>
      <c r="V94" s="7">
        <v>3</v>
      </c>
      <c r="W94" s="396">
        <v>1500000</v>
      </c>
      <c r="X94" s="165">
        <v>120</v>
      </c>
      <c r="Y94" s="7">
        <v>3</v>
      </c>
      <c r="Z94" s="396">
        <v>3000000</v>
      </c>
      <c r="AA94" s="165">
        <v>240</v>
      </c>
      <c r="AB94" s="7">
        <v>3</v>
      </c>
      <c r="AC94" s="396">
        <v>6000000</v>
      </c>
      <c r="AD94" s="165">
        <v>288</v>
      </c>
    </row>
    <row r="95" spans="1:30" x14ac:dyDescent="0.25">
      <c r="A95" s="7">
        <v>4</v>
      </c>
      <c r="B95" s="396">
        <v>500000</v>
      </c>
      <c r="C95" s="165">
        <v>72</v>
      </c>
      <c r="D95" s="7">
        <v>4</v>
      </c>
      <c r="E95" s="396">
        <v>750000</v>
      </c>
      <c r="F95" s="165">
        <v>72</v>
      </c>
      <c r="G95" s="7">
        <v>4</v>
      </c>
      <c r="H95" s="396">
        <v>750000</v>
      </c>
      <c r="I95" s="165">
        <v>72</v>
      </c>
      <c r="J95" s="7">
        <v>4</v>
      </c>
      <c r="K95" s="396">
        <v>750000</v>
      </c>
      <c r="L95" s="165">
        <v>72</v>
      </c>
      <c r="M95" s="7">
        <v>4</v>
      </c>
      <c r="N95" s="396">
        <v>750000</v>
      </c>
      <c r="O95" s="165">
        <v>72</v>
      </c>
      <c r="P95" s="7">
        <v>4</v>
      </c>
      <c r="Q95" s="396">
        <v>1350000</v>
      </c>
      <c r="R95" s="165">
        <v>72</v>
      </c>
      <c r="S95" s="7">
        <v>4</v>
      </c>
      <c r="T95" s="396">
        <v>1350000</v>
      </c>
      <c r="U95" s="165">
        <v>72</v>
      </c>
      <c r="V95" s="7">
        <v>4</v>
      </c>
      <c r="W95" s="396">
        <v>3000000</v>
      </c>
      <c r="X95" s="165">
        <v>168</v>
      </c>
      <c r="Y95" s="7">
        <v>4</v>
      </c>
      <c r="Z95" s="396">
        <v>7000000</v>
      </c>
      <c r="AA95" s="165">
        <v>336</v>
      </c>
      <c r="AB95" s="7">
        <v>4</v>
      </c>
      <c r="AC95" s="396">
        <v>7000000</v>
      </c>
      <c r="AD95" s="165">
        <v>336</v>
      </c>
    </row>
    <row r="96" spans="1:30" x14ac:dyDescent="0.25">
      <c r="A96" s="7">
        <v>5</v>
      </c>
      <c r="B96" s="396">
        <v>1500000</v>
      </c>
      <c r="C96" s="165">
        <v>120</v>
      </c>
      <c r="D96" s="7">
        <v>5</v>
      </c>
      <c r="E96" s="396">
        <v>2250000</v>
      </c>
      <c r="F96" s="165">
        <v>120</v>
      </c>
      <c r="G96" s="7">
        <v>5</v>
      </c>
      <c r="H96" s="396">
        <v>2250000</v>
      </c>
      <c r="I96" s="165">
        <v>120</v>
      </c>
      <c r="J96" s="7">
        <v>5</v>
      </c>
      <c r="K96" s="396">
        <v>2250000</v>
      </c>
      <c r="L96" s="165">
        <v>120</v>
      </c>
      <c r="M96" s="7">
        <v>5</v>
      </c>
      <c r="N96" s="396">
        <v>2250000</v>
      </c>
      <c r="O96" s="165">
        <v>120</v>
      </c>
      <c r="P96" s="7">
        <v>5</v>
      </c>
      <c r="Q96" s="396">
        <v>2500000</v>
      </c>
      <c r="R96" s="165">
        <v>120</v>
      </c>
      <c r="S96" s="7">
        <v>5</v>
      </c>
      <c r="T96" s="396">
        <v>2500000</v>
      </c>
      <c r="U96" s="165">
        <v>120</v>
      </c>
      <c r="Y96" s="7">
        <v>5</v>
      </c>
      <c r="Z96" s="396">
        <v>8000000</v>
      </c>
      <c r="AA96" s="165">
        <v>336</v>
      </c>
      <c r="AB96" s="7">
        <v>5</v>
      </c>
      <c r="AC96" s="396">
        <v>8000000</v>
      </c>
      <c r="AD96" s="165">
        <v>336</v>
      </c>
    </row>
    <row r="97" spans="1:21" x14ac:dyDescent="0.25">
      <c r="A97" s="172">
        <v>6</v>
      </c>
      <c r="B97" s="402">
        <v>4500000</v>
      </c>
      <c r="C97" s="167">
        <v>240</v>
      </c>
      <c r="D97" s="184">
        <v>6</v>
      </c>
      <c r="E97" s="399">
        <v>6000000</v>
      </c>
      <c r="F97" s="167">
        <v>240</v>
      </c>
      <c r="G97" s="184">
        <v>6</v>
      </c>
      <c r="H97" s="399">
        <v>4500000</v>
      </c>
      <c r="I97" s="167">
        <v>192</v>
      </c>
      <c r="J97" s="7">
        <v>6</v>
      </c>
      <c r="K97" s="396">
        <v>6000000</v>
      </c>
      <c r="L97" s="171">
        <v>240</v>
      </c>
      <c r="M97" s="19">
        <v>6</v>
      </c>
      <c r="N97" s="399">
        <v>6750000</v>
      </c>
      <c r="O97" s="167">
        <v>240</v>
      </c>
      <c r="P97" s="7">
        <v>6</v>
      </c>
      <c r="Q97" s="396">
        <v>6000000</v>
      </c>
      <c r="R97" s="165">
        <v>240</v>
      </c>
      <c r="S97" s="7">
        <v>6</v>
      </c>
      <c r="T97" s="396">
        <v>7500000</v>
      </c>
      <c r="U97" s="165">
        <v>336</v>
      </c>
    </row>
    <row r="98" spans="1:21" ht="12" thickBot="1" x14ac:dyDescent="0.3">
      <c r="A98" s="172">
        <v>7</v>
      </c>
      <c r="B98" s="402">
        <v>6000000</v>
      </c>
      <c r="C98" s="167">
        <v>336</v>
      </c>
      <c r="D98" s="8">
        <v>7</v>
      </c>
      <c r="E98" s="399">
        <v>7500000</v>
      </c>
      <c r="F98" s="167">
        <v>336</v>
      </c>
      <c r="G98" s="184">
        <v>7</v>
      </c>
      <c r="H98" s="399">
        <v>6750000</v>
      </c>
      <c r="I98" s="167">
        <v>240</v>
      </c>
      <c r="J98" s="8">
        <v>7</v>
      </c>
      <c r="K98" s="611">
        <v>7000000</v>
      </c>
      <c r="L98" s="448">
        <v>336</v>
      </c>
    </row>
    <row r="100" spans="1:21" ht="12" thickBot="1" x14ac:dyDescent="0.3"/>
    <row r="101" spans="1:21" ht="30" customHeight="1" thickBot="1" x14ac:dyDescent="0.3">
      <c r="A101" s="1269" t="s">
        <v>708</v>
      </c>
      <c r="B101" s="1270"/>
      <c r="C101" s="1270"/>
      <c r="D101" s="1270"/>
      <c r="E101" s="1270"/>
      <c r="F101" s="1270"/>
      <c r="G101" s="1270"/>
      <c r="H101" s="1270"/>
      <c r="I101" s="1271"/>
    </row>
    <row r="102" spans="1:21" ht="12" customHeight="1" thickBot="1" x14ac:dyDescent="0.3">
      <c r="A102" s="1279" t="s">
        <v>706</v>
      </c>
      <c r="B102" s="1280"/>
      <c r="C102" s="1281"/>
      <c r="D102" s="1279" t="s">
        <v>718</v>
      </c>
      <c r="E102" s="1280"/>
      <c r="F102" s="1281"/>
      <c r="G102" s="1279" t="s">
        <v>707</v>
      </c>
      <c r="H102" s="1280"/>
      <c r="I102" s="1281"/>
    </row>
    <row r="103" spans="1:21" ht="12" customHeight="1" thickBot="1" x14ac:dyDescent="0.3">
      <c r="A103" s="178" t="s">
        <v>17</v>
      </c>
      <c r="B103" s="161" t="s">
        <v>258</v>
      </c>
      <c r="C103" s="179" t="s">
        <v>259</v>
      </c>
      <c r="D103" s="178" t="s">
        <v>17</v>
      </c>
      <c r="E103" s="161" t="s">
        <v>258</v>
      </c>
      <c r="F103" s="179" t="s">
        <v>259</v>
      </c>
      <c r="G103" s="178" t="s">
        <v>17</v>
      </c>
      <c r="H103" s="161" t="s">
        <v>258</v>
      </c>
      <c r="I103" s="179" t="s">
        <v>259</v>
      </c>
    </row>
    <row r="104" spans="1:21" x14ac:dyDescent="0.25">
      <c r="A104" s="7">
        <v>1</v>
      </c>
      <c r="B104" s="168">
        <v>0</v>
      </c>
      <c r="C104" s="163">
        <v>0</v>
      </c>
      <c r="D104" s="7">
        <v>1</v>
      </c>
      <c r="E104" s="168">
        <v>0</v>
      </c>
      <c r="F104" s="163">
        <v>0</v>
      </c>
      <c r="G104" s="7">
        <v>1</v>
      </c>
      <c r="H104" s="168">
        <v>0</v>
      </c>
      <c r="I104" s="163">
        <v>0</v>
      </c>
    </row>
    <row r="105" spans="1:21" x14ac:dyDescent="0.25">
      <c r="A105" s="7">
        <v>2</v>
      </c>
      <c r="B105" s="764">
        <v>25000</v>
      </c>
      <c r="C105" s="165">
        <v>96</v>
      </c>
      <c r="D105" s="7">
        <v>2</v>
      </c>
      <c r="E105" s="764">
        <v>30000</v>
      </c>
      <c r="F105" s="165">
        <v>144</v>
      </c>
      <c r="G105" s="7">
        <v>2</v>
      </c>
      <c r="H105" s="764">
        <v>40000</v>
      </c>
      <c r="I105" s="165">
        <v>144</v>
      </c>
    </row>
    <row r="106" spans="1:21" x14ac:dyDescent="0.25">
      <c r="A106" s="7">
        <v>3</v>
      </c>
      <c r="B106" s="764">
        <v>50000</v>
      </c>
      <c r="C106" s="165">
        <v>144</v>
      </c>
      <c r="D106" s="7">
        <v>3</v>
      </c>
      <c r="E106" s="764">
        <v>60000</v>
      </c>
      <c r="F106" s="165">
        <v>192</v>
      </c>
      <c r="G106" s="7">
        <v>3</v>
      </c>
      <c r="H106" s="764">
        <v>80000</v>
      </c>
      <c r="I106" s="165">
        <v>192</v>
      </c>
    </row>
    <row r="107" spans="1:21" x14ac:dyDescent="0.25">
      <c r="A107" s="180">
        <v>4</v>
      </c>
      <c r="B107" s="764">
        <v>75000</v>
      </c>
      <c r="C107" s="181">
        <v>240</v>
      </c>
      <c r="D107" s="180">
        <v>4</v>
      </c>
      <c r="E107" s="764">
        <v>90000</v>
      </c>
      <c r="F107" s="181">
        <v>288</v>
      </c>
      <c r="G107" s="180">
        <v>4</v>
      </c>
      <c r="H107" s="764">
        <v>100000</v>
      </c>
      <c r="I107" s="181">
        <v>240</v>
      </c>
    </row>
    <row r="109" spans="1:21" ht="12" thickBot="1" x14ac:dyDescent="0.3"/>
    <row r="110" spans="1:21" ht="30" customHeight="1" thickBot="1" x14ac:dyDescent="0.3">
      <c r="A110" s="1269" t="s">
        <v>379</v>
      </c>
      <c r="B110" s="1270"/>
      <c r="C110" s="1270"/>
      <c r="D110" s="1270"/>
      <c r="E110" s="1270"/>
      <c r="F110" s="1270"/>
      <c r="G110" s="1270"/>
      <c r="H110" s="1270"/>
      <c r="I110" s="1270"/>
      <c r="J110" s="1270"/>
      <c r="K110" s="1270"/>
      <c r="L110" s="1270"/>
      <c r="M110" s="1270"/>
      <c r="N110" s="1270"/>
      <c r="O110" s="1270"/>
      <c r="P110" s="1270"/>
      <c r="Q110" s="1270"/>
      <c r="R110" s="1270"/>
      <c r="S110" s="1270"/>
      <c r="T110" s="1270"/>
      <c r="U110" s="1271"/>
    </row>
    <row r="111" spans="1:21" ht="12" customHeight="1" thickBot="1" x14ac:dyDescent="0.3">
      <c r="A111" s="1285" t="s">
        <v>183</v>
      </c>
      <c r="B111" s="1286"/>
      <c r="C111" s="1287"/>
      <c r="D111" s="1285" t="s">
        <v>245</v>
      </c>
      <c r="E111" s="1286"/>
      <c r="F111" s="1287"/>
      <c r="G111" s="1285" t="s">
        <v>66</v>
      </c>
      <c r="H111" s="1286"/>
      <c r="I111" s="1287"/>
      <c r="J111" s="1285" t="s">
        <v>67</v>
      </c>
      <c r="K111" s="1286"/>
      <c r="L111" s="1287"/>
      <c r="M111" s="1285" t="s">
        <v>536</v>
      </c>
      <c r="N111" s="1286"/>
      <c r="O111" s="1287"/>
      <c r="P111" s="1288" t="s">
        <v>573</v>
      </c>
      <c r="Q111" s="1289"/>
      <c r="R111" s="1290"/>
      <c r="S111" s="1288" t="s">
        <v>818</v>
      </c>
      <c r="T111" s="1289"/>
      <c r="U111" s="1290"/>
    </row>
    <row r="112" spans="1:21" ht="12" customHeight="1" thickBot="1" x14ac:dyDescent="0.3">
      <c r="A112" s="157" t="s">
        <v>17</v>
      </c>
      <c r="B112" s="158" t="s">
        <v>258</v>
      </c>
      <c r="C112" s="159" t="s">
        <v>259</v>
      </c>
      <c r="D112" s="157" t="s">
        <v>17</v>
      </c>
      <c r="E112" s="158" t="s">
        <v>258</v>
      </c>
      <c r="F112" s="159" t="s">
        <v>259</v>
      </c>
      <c r="G112" s="157" t="s">
        <v>17</v>
      </c>
      <c r="H112" s="158" t="s">
        <v>258</v>
      </c>
      <c r="I112" s="159" t="s">
        <v>259</v>
      </c>
      <c r="J112" s="160" t="s">
        <v>17</v>
      </c>
      <c r="K112" s="161" t="s">
        <v>258</v>
      </c>
      <c r="L112" s="162" t="s">
        <v>259</v>
      </c>
      <c r="M112" s="160" t="s">
        <v>17</v>
      </c>
      <c r="N112" s="161" t="s">
        <v>258</v>
      </c>
      <c r="O112" s="162" t="s">
        <v>259</v>
      </c>
      <c r="P112" s="160" t="s">
        <v>17</v>
      </c>
      <c r="Q112" s="161" t="s">
        <v>258</v>
      </c>
      <c r="R112" s="162" t="s">
        <v>259</v>
      </c>
      <c r="S112" s="160" t="s">
        <v>17</v>
      </c>
      <c r="T112" s="161" t="s">
        <v>258</v>
      </c>
      <c r="U112" s="162" t="s">
        <v>259</v>
      </c>
    </row>
    <row r="113" spans="1:21" x14ac:dyDescent="0.25">
      <c r="A113" s="7">
        <v>1</v>
      </c>
      <c r="B113" s="168">
        <v>0</v>
      </c>
      <c r="C113" s="163">
        <v>0</v>
      </c>
      <c r="D113" s="7">
        <v>1</v>
      </c>
      <c r="E113" s="168">
        <v>0</v>
      </c>
      <c r="F113" s="163">
        <v>0</v>
      </c>
      <c r="G113" s="7">
        <v>1</v>
      </c>
      <c r="H113" s="168">
        <v>0</v>
      </c>
      <c r="I113" s="163">
        <v>0</v>
      </c>
      <c r="J113" s="7">
        <v>1</v>
      </c>
      <c r="K113" s="168">
        <v>0</v>
      </c>
      <c r="L113" s="163">
        <v>0</v>
      </c>
      <c r="M113" s="13">
        <v>1</v>
      </c>
      <c r="N113" s="168">
        <v>0</v>
      </c>
      <c r="O113" s="163">
        <v>0</v>
      </c>
      <c r="P113" s="51">
        <v>1</v>
      </c>
      <c r="Q113" s="509">
        <v>0</v>
      </c>
      <c r="R113" s="170">
        <v>0</v>
      </c>
      <c r="S113" s="51">
        <v>1</v>
      </c>
      <c r="T113" s="1013">
        <v>0</v>
      </c>
      <c r="U113" s="170">
        <v>0</v>
      </c>
    </row>
    <row r="114" spans="1:21" x14ac:dyDescent="0.25">
      <c r="A114" s="7">
        <v>2</v>
      </c>
      <c r="B114" s="492">
        <v>10000</v>
      </c>
      <c r="C114" s="165">
        <v>120</v>
      </c>
      <c r="D114" s="7">
        <v>2</v>
      </c>
      <c r="E114" s="169">
        <v>20000</v>
      </c>
      <c r="F114" s="165">
        <v>192</v>
      </c>
      <c r="G114" s="7">
        <v>2</v>
      </c>
      <c r="H114" s="169">
        <v>50000</v>
      </c>
      <c r="I114" s="165">
        <v>240</v>
      </c>
      <c r="J114" s="7">
        <v>2</v>
      </c>
      <c r="K114" s="169">
        <v>60000</v>
      </c>
      <c r="L114" s="165">
        <v>240</v>
      </c>
      <c r="M114" s="13">
        <v>2</v>
      </c>
      <c r="N114" s="434">
        <v>75000</v>
      </c>
      <c r="O114" s="165">
        <v>240</v>
      </c>
      <c r="P114" s="7">
        <v>2</v>
      </c>
      <c r="Q114" s="510">
        <v>60000</v>
      </c>
      <c r="R114" s="171">
        <v>240</v>
      </c>
      <c r="S114" s="7">
        <v>2</v>
      </c>
      <c r="T114" s="1014">
        <v>60000</v>
      </c>
      <c r="U114" s="171">
        <v>240</v>
      </c>
    </row>
    <row r="115" spans="1:21" x14ac:dyDescent="0.25">
      <c r="A115" s="7">
        <v>3</v>
      </c>
      <c r="B115" s="492">
        <v>20000</v>
      </c>
      <c r="C115" s="165">
        <v>144</v>
      </c>
      <c r="D115" s="7">
        <v>3</v>
      </c>
      <c r="E115" s="169">
        <v>30000</v>
      </c>
      <c r="F115" s="165">
        <v>240</v>
      </c>
      <c r="G115" s="7">
        <v>3</v>
      </c>
      <c r="H115" s="169">
        <v>60000</v>
      </c>
      <c r="I115" s="165">
        <v>288</v>
      </c>
      <c r="J115" s="7">
        <v>3</v>
      </c>
      <c r="K115" s="169">
        <v>70000</v>
      </c>
      <c r="L115" s="165">
        <v>288</v>
      </c>
      <c r="M115" s="13">
        <v>3</v>
      </c>
      <c r="N115" s="904">
        <v>160000</v>
      </c>
      <c r="O115" s="165">
        <v>336</v>
      </c>
      <c r="P115" s="184">
        <v>3</v>
      </c>
      <c r="Q115" s="490">
        <v>70000</v>
      </c>
      <c r="R115" s="489">
        <v>288</v>
      </c>
      <c r="S115" s="184">
        <v>3</v>
      </c>
      <c r="T115" s="490">
        <v>70000</v>
      </c>
      <c r="U115" s="489">
        <v>288</v>
      </c>
    </row>
    <row r="116" spans="1:21" x14ac:dyDescent="0.25">
      <c r="A116" s="7">
        <v>4</v>
      </c>
      <c r="B116" s="492">
        <v>30000</v>
      </c>
      <c r="C116" s="165">
        <v>168</v>
      </c>
      <c r="D116" s="7">
        <v>4</v>
      </c>
      <c r="E116" s="169">
        <v>40000</v>
      </c>
      <c r="F116" s="165">
        <v>288</v>
      </c>
      <c r="G116" s="7">
        <v>4</v>
      </c>
      <c r="H116" s="169">
        <v>70000</v>
      </c>
      <c r="I116" s="165">
        <v>336</v>
      </c>
      <c r="J116" s="7">
        <v>4</v>
      </c>
      <c r="K116" s="169">
        <v>80000</v>
      </c>
      <c r="L116" s="165">
        <v>336</v>
      </c>
    </row>
    <row r="117" spans="1:21" x14ac:dyDescent="0.25">
      <c r="A117" s="7">
        <v>5</v>
      </c>
      <c r="B117" s="492">
        <v>40000</v>
      </c>
      <c r="C117" s="165">
        <v>240</v>
      </c>
      <c r="D117" s="7">
        <v>5</v>
      </c>
      <c r="E117" s="169">
        <v>50000</v>
      </c>
      <c r="F117" s="165">
        <v>336</v>
      </c>
      <c r="G117" s="184">
        <v>5</v>
      </c>
      <c r="H117" s="490">
        <v>110000</v>
      </c>
      <c r="I117" s="167">
        <v>336</v>
      </c>
      <c r="J117" s="7">
        <v>5</v>
      </c>
      <c r="K117" s="169">
        <v>90000</v>
      </c>
      <c r="L117" s="165">
        <v>336</v>
      </c>
    </row>
    <row r="118" spans="1:21" x14ac:dyDescent="0.25">
      <c r="A118" s="184">
        <v>6</v>
      </c>
      <c r="B118" s="490">
        <v>100000</v>
      </c>
      <c r="C118" s="167">
        <v>288</v>
      </c>
      <c r="D118" s="184">
        <v>6</v>
      </c>
      <c r="E118" s="490">
        <v>100000</v>
      </c>
      <c r="F118" s="167">
        <v>336</v>
      </c>
    </row>
    <row r="119" spans="1:21" x14ac:dyDescent="0.25">
      <c r="A119" s="184">
        <v>7</v>
      </c>
      <c r="B119" s="490">
        <v>140000</v>
      </c>
      <c r="C119" s="167">
        <v>336</v>
      </c>
    </row>
    <row r="121" spans="1:21" ht="30" customHeight="1" thickBot="1" x14ac:dyDescent="0.3">
      <c r="A121" s="1087" t="s">
        <v>380</v>
      </c>
      <c r="B121" s="1088"/>
      <c r="C121" s="1088"/>
      <c r="D121" s="1088"/>
      <c r="E121" s="1088"/>
      <c r="F121" s="1088"/>
      <c r="G121" s="1088"/>
      <c r="H121" s="1088"/>
      <c r="I121" s="1088"/>
    </row>
    <row r="122" spans="1:21" ht="12" customHeight="1" thickBot="1" x14ac:dyDescent="0.3">
      <c r="A122" s="1279" t="s">
        <v>196</v>
      </c>
      <c r="B122" s="1280"/>
      <c r="C122" s="1281"/>
      <c r="D122" s="1279" t="s">
        <v>182</v>
      </c>
      <c r="E122" s="1280"/>
      <c r="F122" s="1281"/>
      <c r="G122" s="1279" t="s">
        <v>738</v>
      </c>
      <c r="H122" s="1280"/>
      <c r="I122" s="1281"/>
    </row>
    <row r="123" spans="1:21" ht="12" customHeight="1" thickBot="1" x14ac:dyDescent="0.3">
      <c r="A123" s="157" t="s">
        <v>17</v>
      </c>
      <c r="B123" s="158" t="s">
        <v>258</v>
      </c>
      <c r="C123" s="159" t="s">
        <v>259</v>
      </c>
      <c r="D123" s="157" t="s">
        <v>17</v>
      </c>
      <c r="E123" s="158" t="s">
        <v>258</v>
      </c>
      <c r="F123" s="159" t="s">
        <v>259</v>
      </c>
      <c r="G123" s="157" t="s">
        <v>17</v>
      </c>
      <c r="H123" s="158" t="s">
        <v>258</v>
      </c>
      <c r="I123" s="159" t="s">
        <v>259</v>
      </c>
    </row>
    <row r="124" spans="1:21" x14ac:dyDescent="0.25">
      <c r="A124" s="7">
        <v>1</v>
      </c>
      <c r="B124" s="168">
        <v>10000</v>
      </c>
      <c r="C124" s="163">
        <v>0</v>
      </c>
      <c r="D124" s="7">
        <v>1</v>
      </c>
      <c r="E124" s="168">
        <v>40000</v>
      </c>
      <c r="F124" s="163">
        <v>0</v>
      </c>
      <c r="G124" s="7">
        <v>1</v>
      </c>
      <c r="H124" s="396">
        <v>6000000</v>
      </c>
      <c r="I124" s="163">
        <v>0</v>
      </c>
    </row>
    <row r="125" spans="1:21" x14ac:dyDescent="0.25">
      <c r="A125" s="7">
        <v>2</v>
      </c>
      <c r="B125" s="492">
        <v>12500</v>
      </c>
      <c r="C125" s="165">
        <v>12</v>
      </c>
      <c r="D125" s="7">
        <v>2</v>
      </c>
      <c r="E125" s="169">
        <v>22500</v>
      </c>
      <c r="F125" s="165">
        <v>12</v>
      </c>
      <c r="G125" s="7">
        <v>2</v>
      </c>
      <c r="H125" s="396">
        <v>2500000</v>
      </c>
      <c r="I125" s="165">
        <v>12</v>
      </c>
    </row>
    <row r="126" spans="1:21" x14ac:dyDescent="0.25">
      <c r="A126" s="7">
        <v>3</v>
      </c>
      <c r="B126" s="492">
        <v>15000</v>
      </c>
      <c r="C126" s="165">
        <v>24</v>
      </c>
      <c r="D126" s="7">
        <v>3</v>
      </c>
      <c r="E126" s="169">
        <v>25000</v>
      </c>
      <c r="F126" s="165">
        <v>24</v>
      </c>
      <c r="G126" s="7">
        <v>3</v>
      </c>
      <c r="H126" s="396">
        <v>3000000</v>
      </c>
      <c r="I126" s="165">
        <v>24</v>
      </c>
    </row>
    <row r="127" spans="1:21" x14ac:dyDescent="0.25">
      <c r="A127" s="7">
        <v>4</v>
      </c>
      <c r="B127" s="492">
        <v>17500</v>
      </c>
      <c r="C127" s="165">
        <v>36</v>
      </c>
      <c r="D127" s="7">
        <v>4</v>
      </c>
      <c r="E127" s="169">
        <v>27500</v>
      </c>
      <c r="F127" s="165">
        <v>36</v>
      </c>
      <c r="G127" s="7">
        <v>4</v>
      </c>
      <c r="H127" s="396">
        <v>3500000</v>
      </c>
      <c r="I127" s="165">
        <v>36</v>
      </c>
    </row>
    <row r="128" spans="1:21" x14ac:dyDescent="0.25">
      <c r="A128" s="7">
        <v>5</v>
      </c>
      <c r="B128" s="492">
        <v>20000</v>
      </c>
      <c r="C128" s="165">
        <v>48</v>
      </c>
      <c r="D128" s="7">
        <v>5</v>
      </c>
      <c r="E128" s="169">
        <v>30000</v>
      </c>
      <c r="F128" s="165">
        <v>48</v>
      </c>
      <c r="G128" s="7">
        <v>5</v>
      </c>
      <c r="H128" s="396">
        <v>4000000</v>
      </c>
      <c r="I128" s="165">
        <v>48</v>
      </c>
    </row>
    <row r="129" spans="1:9" x14ac:dyDescent="0.25">
      <c r="A129" s="7">
        <v>6</v>
      </c>
      <c r="B129" s="492">
        <v>22500</v>
      </c>
      <c r="C129" s="165">
        <v>60</v>
      </c>
      <c r="D129" s="7">
        <v>6</v>
      </c>
      <c r="E129" s="169">
        <v>32500</v>
      </c>
      <c r="F129" s="165">
        <v>60</v>
      </c>
      <c r="G129" s="7">
        <v>6</v>
      </c>
      <c r="H129" s="396">
        <v>4500000</v>
      </c>
      <c r="I129" s="165">
        <v>60</v>
      </c>
    </row>
    <row r="130" spans="1:9" x14ac:dyDescent="0.25">
      <c r="A130" s="7">
        <v>7</v>
      </c>
      <c r="B130" s="492">
        <v>25000</v>
      </c>
      <c r="C130" s="165">
        <v>72</v>
      </c>
      <c r="D130" s="7">
        <v>7</v>
      </c>
      <c r="E130" s="169">
        <v>35000</v>
      </c>
      <c r="F130" s="165">
        <v>72</v>
      </c>
      <c r="G130" s="7">
        <v>7</v>
      </c>
      <c r="H130" s="396">
        <v>5000000</v>
      </c>
      <c r="I130" s="165">
        <v>72</v>
      </c>
    </row>
    <row r="131" spans="1:9" x14ac:dyDescent="0.25">
      <c r="A131" s="7">
        <v>8</v>
      </c>
      <c r="B131" s="492">
        <v>30000</v>
      </c>
      <c r="C131" s="165">
        <v>84</v>
      </c>
      <c r="D131" s="7">
        <v>8</v>
      </c>
      <c r="E131" s="169">
        <v>40000</v>
      </c>
      <c r="F131" s="165">
        <v>84</v>
      </c>
      <c r="G131" s="7">
        <v>8</v>
      </c>
      <c r="H131" s="396">
        <v>5500000</v>
      </c>
      <c r="I131" s="165">
        <v>84</v>
      </c>
    </row>
    <row r="132" spans="1:9" x14ac:dyDescent="0.25">
      <c r="A132" s="7">
        <v>9</v>
      </c>
      <c r="B132" s="492">
        <v>35000</v>
      </c>
      <c r="C132" s="165">
        <v>96</v>
      </c>
      <c r="D132" s="7">
        <v>9</v>
      </c>
      <c r="E132" s="169">
        <v>45000</v>
      </c>
      <c r="F132" s="165">
        <v>96</v>
      </c>
      <c r="G132" s="7">
        <v>9</v>
      </c>
      <c r="H132" s="396">
        <v>6000000</v>
      </c>
      <c r="I132" s="165">
        <v>96</v>
      </c>
    </row>
    <row r="133" spans="1:9" x14ac:dyDescent="0.25">
      <c r="A133" s="7">
        <v>10</v>
      </c>
      <c r="B133" s="492">
        <v>40000</v>
      </c>
      <c r="C133" s="165">
        <v>108</v>
      </c>
      <c r="D133" s="7">
        <v>10</v>
      </c>
      <c r="E133" s="169">
        <v>50000</v>
      </c>
      <c r="F133" s="165">
        <v>108</v>
      </c>
      <c r="G133" s="7">
        <v>10</v>
      </c>
      <c r="H133" s="396">
        <v>6500000</v>
      </c>
      <c r="I133" s="165">
        <v>108</v>
      </c>
    </row>
    <row r="134" spans="1:9" x14ac:dyDescent="0.25">
      <c r="A134" s="7">
        <v>11</v>
      </c>
      <c r="B134" s="492">
        <v>45000</v>
      </c>
      <c r="C134" s="165">
        <v>120</v>
      </c>
      <c r="D134" s="7">
        <v>11</v>
      </c>
      <c r="E134" s="169">
        <v>55000</v>
      </c>
      <c r="F134" s="165">
        <v>120</v>
      </c>
      <c r="G134" s="7">
        <v>11</v>
      </c>
      <c r="H134" s="396">
        <v>7000000</v>
      </c>
      <c r="I134" s="165">
        <v>120</v>
      </c>
    </row>
    <row r="135" spans="1:9" x14ac:dyDescent="0.25">
      <c r="A135" s="7">
        <v>12</v>
      </c>
      <c r="B135" s="492">
        <v>50000</v>
      </c>
      <c r="C135" s="165">
        <v>132</v>
      </c>
      <c r="D135" s="7">
        <v>12</v>
      </c>
      <c r="E135" s="169">
        <v>60000</v>
      </c>
      <c r="F135" s="165">
        <v>132</v>
      </c>
      <c r="G135" s="7">
        <v>12</v>
      </c>
      <c r="H135" s="396">
        <v>7500000</v>
      </c>
      <c r="I135" s="165">
        <v>132</v>
      </c>
    </row>
    <row r="136" spans="1:9" x14ac:dyDescent="0.25">
      <c r="A136" s="7">
        <v>13</v>
      </c>
      <c r="B136" s="492">
        <v>55000</v>
      </c>
      <c r="C136" s="165">
        <v>144</v>
      </c>
      <c r="D136" s="7">
        <v>13</v>
      </c>
      <c r="E136" s="169">
        <v>65000</v>
      </c>
      <c r="F136" s="165">
        <v>144</v>
      </c>
      <c r="G136" s="7">
        <v>13</v>
      </c>
      <c r="H136" s="396">
        <v>8000000</v>
      </c>
      <c r="I136" s="165">
        <v>144</v>
      </c>
    </row>
    <row r="137" spans="1:9" x14ac:dyDescent="0.25">
      <c r="A137" s="7">
        <v>14</v>
      </c>
      <c r="B137" s="492">
        <v>60000</v>
      </c>
      <c r="C137" s="165">
        <v>156</v>
      </c>
      <c r="D137" s="7">
        <v>14</v>
      </c>
      <c r="E137" s="169">
        <v>70000</v>
      </c>
      <c r="F137" s="165">
        <v>156</v>
      </c>
      <c r="G137" s="7">
        <v>14</v>
      </c>
      <c r="H137" s="396">
        <v>8400000</v>
      </c>
      <c r="I137" s="165">
        <v>156</v>
      </c>
    </row>
    <row r="138" spans="1:9" x14ac:dyDescent="0.25">
      <c r="A138" s="7">
        <v>15</v>
      </c>
      <c r="B138" s="492">
        <v>65000</v>
      </c>
      <c r="C138" s="165">
        <v>168</v>
      </c>
      <c r="D138" s="7">
        <v>15</v>
      </c>
      <c r="E138" s="169">
        <v>75000</v>
      </c>
      <c r="F138" s="165">
        <v>168</v>
      </c>
      <c r="G138" s="7">
        <v>15</v>
      </c>
      <c r="H138" s="396">
        <v>8800000</v>
      </c>
      <c r="I138" s="165">
        <v>168</v>
      </c>
    </row>
    <row r="139" spans="1:9" x14ac:dyDescent="0.25">
      <c r="A139" s="7">
        <v>16</v>
      </c>
      <c r="B139" s="492">
        <v>70000</v>
      </c>
      <c r="C139" s="165">
        <v>168</v>
      </c>
      <c r="D139" s="7">
        <v>16</v>
      </c>
      <c r="E139" s="169">
        <v>80000</v>
      </c>
      <c r="F139" s="165">
        <v>168</v>
      </c>
      <c r="G139" s="7">
        <v>16</v>
      </c>
      <c r="H139" s="396">
        <v>9100000</v>
      </c>
      <c r="I139" s="165">
        <v>168</v>
      </c>
    </row>
    <row r="140" spans="1:9" x14ac:dyDescent="0.25">
      <c r="A140" s="7">
        <v>17</v>
      </c>
      <c r="B140" s="492">
        <v>75000</v>
      </c>
      <c r="C140" s="165">
        <v>168</v>
      </c>
      <c r="D140" s="7">
        <v>17</v>
      </c>
      <c r="E140" s="169">
        <v>85000</v>
      </c>
      <c r="F140" s="165">
        <v>168</v>
      </c>
      <c r="G140" s="7">
        <v>17</v>
      </c>
      <c r="H140" s="396">
        <v>9400000</v>
      </c>
      <c r="I140" s="165">
        <v>168</v>
      </c>
    </row>
    <row r="141" spans="1:9" x14ac:dyDescent="0.25">
      <c r="A141" s="7">
        <v>18</v>
      </c>
      <c r="B141" s="492">
        <v>80000</v>
      </c>
      <c r="C141" s="165">
        <v>168</v>
      </c>
      <c r="D141" s="7">
        <v>18</v>
      </c>
      <c r="E141" s="169">
        <v>90000</v>
      </c>
      <c r="F141" s="165">
        <v>168</v>
      </c>
      <c r="G141" s="7">
        <v>18</v>
      </c>
      <c r="H141" s="396">
        <v>9600000</v>
      </c>
      <c r="I141" s="165">
        <v>168</v>
      </c>
    </row>
    <row r="142" spans="1:9" x14ac:dyDescent="0.25">
      <c r="A142" s="7">
        <v>19</v>
      </c>
      <c r="B142" s="492">
        <v>85000</v>
      </c>
      <c r="C142" s="165">
        <v>168</v>
      </c>
      <c r="D142" s="7">
        <v>19</v>
      </c>
      <c r="E142" s="169">
        <v>95000</v>
      </c>
      <c r="F142" s="165">
        <v>168</v>
      </c>
      <c r="G142" s="7">
        <v>19</v>
      </c>
      <c r="H142" s="396">
        <v>9800000</v>
      </c>
      <c r="I142" s="165">
        <v>168</v>
      </c>
    </row>
    <row r="143" spans="1:9" x14ac:dyDescent="0.25">
      <c r="A143" s="7">
        <v>20</v>
      </c>
      <c r="B143" s="492">
        <v>90000</v>
      </c>
      <c r="C143" s="165">
        <v>168</v>
      </c>
      <c r="D143" s="7">
        <v>20</v>
      </c>
      <c r="E143" s="169">
        <v>100000</v>
      </c>
      <c r="F143" s="165">
        <v>168</v>
      </c>
      <c r="G143" s="7">
        <v>20</v>
      </c>
      <c r="H143" s="396">
        <v>10000000</v>
      </c>
      <c r="I143" s="165">
        <v>168</v>
      </c>
    </row>
    <row r="144" spans="1:9" x14ac:dyDescent="0.25">
      <c r="A144" s="7">
        <v>21</v>
      </c>
      <c r="B144" s="492">
        <v>95000</v>
      </c>
      <c r="C144" s="165">
        <v>168</v>
      </c>
      <c r="D144" s="7">
        <v>21</v>
      </c>
      <c r="E144" s="169">
        <v>105000</v>
      </c>
      <c r="F144" s="165">
        <v>168</v>
      </c>
    </row>
    <row r="145" spans="1:6" x14ac:dyDescent="0.25">
      <c r="A145" s="7">
        <v>22</v>
      </c>
      <c r="B145" s="492">
        <v>100000</v>
      </c>
      <c r="C145" s="165">
        <v>168</v>
      </c>
      <c r="D145" s="7">
        <v>22</v>
      </c>
      <c r="E145" s="169">
        <v>110000</v>
      </c>
      <c r="F145" s="165">
        <v>168</v>
      </c>
    </row>
    <row r="146" spans="1:6" x14ac:dyDescent="0.25">
      <c r="A146" s="7">
        <v>23</v>
      </c>
      <c r="B146" s="492">
        <v>105000</v>
      </c>
      <c r="C146" s="165">
        <v>168</v>
      </c>
      <c r="D146" s="7">
        <v>23</v>
      </c>
      <c r="E146" s="169">
        <v>115000</v>
      </c>
      <c r="F146" s="165">
        <v>168</v>
      </c>
    </row>
    <row r="147" spans="1:6" x14ac:dyDescent="0.25">
      <c r="A147" s="7">
        <v>24</v>
      </c>
      <c r="B147" s="492">
        <v>110000</v>
      </c>
      <c r="C147" s="165">
        <v>168</v>
      </c>
      <c r="D147" s="7">
        <v>24</v>
      </c>
      <c r="E147" s="169">
        <v>120000</v>
      </c>
      <c r="F147" s="165">
        <v>168</v>
      </c>
    </row>
    <row r="148" spans="1:6" x14ac:dyDescent="0.25">
      <c r="A148" s="7">
        <v>25</v>
      </c>
      <c r="B148" s="492">
        <v>115000</v>
      </c>
      <c r="C148" s="165">
        <v>168</v>
      </c>
      <c r="D148" s="7">
        <v>25</v>
      </c>
      <c r="E148" s="169">
        <v>125000</v>
      </c>
      <c r="F148" s="165">
        <v>168</v>
      </c>
    </row>
    <row r="149" spans="1:6" x14ac:dyDescent="0.25">
      <c r="A149" s="7">
        <v>26</v>
      </c>
      <c r="B149" s="492">
        <v>120000</v>
      </c>
      <c r="C149" s="165">
        <v>168</v>
      </c>
      <c r="D149" s="7">
        <v>26</v>
      </c>
      <c r="E149" s="169">
        <v>130000</v>
      </c>
      <c r="F149" s="165">
        <v>168</v>
      </c>
    </row>
    <row r="150" spans="1:6" x14ac:dyDescent="0.25">
      <c r="A150" s="7">
        <v>27</v>
      </c>
      <c r="B150" s="492">
        <v>125000</v>
      </c>
      <c r="C150" s="165">
        <v>168</v>
      </c>
      <c r="D150" s="7">
        <v>27</v>
      </c>
      <c r="E150" s="169">
        <v>135000</v>
      </c>
      <c r="F150" s="165">
        <v>168</v>
      </c>
    </row>
    <row r="151" spans="1:6" x14ac:dyDescent="0.25">
      <c r="A151" s="7">
        <v>28</v>
      </c>
      <c r="B151" s="492">
        <v>130000</v>
      </c>
      <c r="C151" s="165">
        <v>168</v>
      </c>
      <c r="D151" s="7">
        <v>28</v>
      </c>
      <c r="E151" s="169">
        <v>140000</v>
      </c>
      <c r="F151" s="165">
        <v>168</v>
      </c>
    </row>
    <row r="152" spans="1:6" x14ac:dyDescent="0.25">
      <c r="A152" s="7">
        <v>29</v>
      </c>
      <c r="B152" s="492">
        <v>135000</v>
      </c>
      <c r="C152" s="165">
        <v>168</v>
      </c>
      <c r="D152" s="7">
        <v>29</v>
      </c>
      <c r="E152" s="169">
        <v>145000</v>
      </c>
      <c r="F152" s="165">
        <v>168</v>
      </c>
    </row>
    <row r="153" spans="1:6" x14ac:dyDescent="0.25">
      <c r="A153" s="7">
        <v>30</v>
      </c>
      <c r="B153" s="492">
        <v>140000</v>
      </c>
      <c r="C153" s="165">
        <v>168</v>
      </c>
      <c r="D153" s="7">
        <v>30</v>
      </c>
      <c r="E153" s="169">
        <v>150000</v>
      </c>
      <c r="F153" s="165">
        <v>168</v>
      </c>
    </row>
    <row r="154" spans="1:6" x14ac:dyDescent="0.25">
      <c r="A154" s="7">
        <v>31</v>
      </c>
      <c r="B154" s="492">
        <v>145000</v>
      </c>
      <c r="C154" s="165">
        <v>168</v>
      </c>
      <c r="D154" s="7">
        <v>31</v>
      </c>
      <c r="E154" s="169">
        <v>155000</v>
      </c>
      <c r="F154" s="165">
        <v>168</v>
      </c>
    </row>
    <row r="155" spans="1:6" x14ac:dyDescent="0.25">
      <c r="A155" s="7">
        <v>32</v>
      </c>
      <c r="B155" s="492">
        <v>150000</v>
      </c>
      <c r="C155" s="165">
        <v>168</v>
      </c>
      <c r="D155" s="7">
        <v>32</v>
      </c>
      <c r="E155" s="169">
        <v>160000</v>
      </c>
      <c r="F155" s="165">
        <v>168</v>
      </c>
    </row>
    <row r="156" spans="1:6" x14ac:dyDescent="0.25">
      <c r="A156" s="7">
        <v>33</v>
      </c>
      <c r="B156" s="492">
        <v>155000</v>
      </c>
      <c r="C156" s="165">
        <v>168</v>
      </c>
      <c r="D156" s="7">
        <v>33</v>
      </c>
      <c r="E156" s="169">
        <v>165000</v>
      </c>
      <c r="F156" s="165">
        <v>168</v>
      </c>
    </row>
    <row r="157" spans="1:6" x14ac:dyDescent="0.25">
      <c r="A157" s="7">
        <v>34</v>
      </c>
      <c r="B157" s="492">
        <v>160000</v>
      </c>
      <c r="C157" s="165">
        <v>168</v>
      </c>
      <c r="D157" s="7">
        <v>34</v>
      </c>
      <c r="E157" s="169">
        <v>170000</v>
      </c>
      <c r="F157" s="165">
        <v>168</v>
      </c>
    </row>
    <row r="158" spans="1:6" x14ac:dyDescent="0.25">
      <c r="A158" s="7">
        <v>35</v>
      </c>
      <c r="B158" s="492">
        <v>165000</v>
      </c>
      <c r="C158" s="165">
        <v>168</v>
      </c>
      <c r="D158" s="7">
        <v>35</v>
      </c>
      <c r="E158" s="169">
        <v>175000</v>
      </c>
      <c r="F158" s="165">
        <v>168</v>
      </c>
    </row>
    <row r="159" spans="1:6" x14ac:dyDescent="0.25">
      <c r="A159" s="7">
        <v>36</v>
      </c>
      <c r="B159" s="492">
        <v>170000</v>
      </c>
      <c r="C159" s="165">
        <v>168</v>
      </c>
      <c r="D159" s="7">
        <v>36</v>
      </c>
      <c r="E159" s="169">
        <v>180000</v>
      </c>
      <c r="F159" s="165">
        <v>168</v>
      </c>
    </row>
    <row r="160" spans="1:6" x14ac:dyDescent="0.25">
      <c r="A160" s="7">
        <v>37</v>
      </c>
      <c r="B160" s="492">
        <v>175000</v>
      </c>
      <c r="C160" s="165">
        <v>168</v>
      </c>
      <c r="D160" s="7">
        <v>37</v>
      </c>
      <c r="E160" s="169">
        <v>185000</v>
      </c>
      <c r="F160" s="165">
        <v>168</v>
      </c>
    </row>
    <row r="161" spans="1:6" x14ac:dyDescent="0.25">
      <c r="A161" s="7">
        <v>38</v>
      </c>
      <c r="B161" s="492">
        <v>180000</v>
      </c>
      <c r="C161" s="165">
        <v>168</v>
      </c>
      <c r="D161" s="7">
        <v>38</v>
      </c>
      <c r="E161" s="169">
        <v>190000</v>
      </c>
      <c r="F161" s="165">
        <v>168</v>
      </c>
    </row>
    <row r="162" spans="1:6" x14ac:dyDescent="0.25">
      <c r="A162" s="7">
        <v>39</v>
      </c>
      <c r="B162" s="492">
        <v>185000</v>
      </c>
      <c r="C162" s="165">
        <v>168</v>
      </c>
      <c r="D162" s="7">
        <v>39</v>
      </c>
      <c r="E162" s="169">
        <v>195000</v>
      </c>
      <c r="F162" s="165">
        <v>168</v>
      </c>
    </row>
    <row r="163" spans="1:6" x14ac:dyDescent="0.25">
      <c r="A163" s="7">
        <v>40</v>
      </c>
      <c r="B163" s="169">
        <v>190000</v>
      </c>
      <c r="C163" s="165">
        <v>168</v>
      </c>
      <c r="D163" s="7">
        <v>40</v>
      </c>
      <c r="E163" s="169">
        <v>200000</v>
      </c>
      <c r="F163" s="165">
        <v>168</v>
      </c>
    </row>
  </sheetData>
  <sheetProtection selectLockedCells="1"/>
  <mergeCells count="69">
    <mergeCell ref="S111:U111"/>
    <mergeCell ref="A110:U110"/>
    <mergeCell ref="A18:R18"/>
    <mergeCell ref="A101:I101"/>
    <mergeCell ref="G78:I78"/>
    <mergeCell ref="J78:L78"/>
    <mergeCell ref="D34:F34"/>
    <mergeCell ref="G34:I34"/>
    <mergeCell ref="D78:F78"/>
    <mergeCell ref="D63:F63"/>
    <mergeCell ref="A77:O77"/>
    <mergeCell ref="J19:L19"/>
    <mergeCell ref="A51:R51"/>
    <mergeCell ref="G19:I19"/>
    <mergeCell ref="M34:O34"/>
    <mergeCell ref="P19:R19"/>
    <mergeCell ref="A78:C78"/>
    <mergeCell ref="M78:O78"/>
    <mergeCell ref="A1:R1"/>
    <mergeCell ref="A62:F62"/>
    <mergeCell ref="M19:O19"/>
    <mergeCell ref="M2:O2"/>
    <mergeCell ref="P2:R2"/>
    <mergeCell ref="A52:C52"/>
    <mergeCell ref="J2:L2"/>
    <mergeCell ref="A19:C19"/>
    <mergeCell ref="D19:F19"/>
    <mergeCell ref="A2:C2"/>
    <mergeCell ref="D2:F2"/>
    <mergeCell ref="G2:I2"/>
    <mergeCell ref="J34:L34"/>
    <mergeCell ref="M52:O52"/>
    <mergeCell ref="D52:F52"/>
    <mergeCell ref="P52:R52"/>
    <mergeCell ref="G122:I122"/>
    <mergeCell ref="A121:I121"/>
    <mergeCell ref="A102:C102"/>
    <mergeCell ref="D102:F102"/>
    <mergeCell ref="G102:I102"/>
    <mergeCell ref="D122:F122"/>
    <mergeCell ref="A122:C122"/>
    <mergeCell ref="P111:R111"/>
    <mergeCell ref="A90:C90"/>
    <mergeCell ref="A111:C111"/>
    <mergeCell ref="D90:F90"/>
    <mergeCell ref="G90:I90"/>
    <mergeCell ref="J90:L90"/>
    <mergeCell ref="M90:O90"/>
    <mergeCell ref="P90:R90"/>
    <mergeCell ref="M111:O111"/>
    <mergeCell ref="G111:I111"/>
    <mergeCell ref="J111:L111"/>
    <mergeCell ref="D111:F111"/>
    <mergeCell ref="AE34:AG34"/>
    <mergeCell ref="A33:AG33"/>
    <mergeCell ref="V90:X90"/>
    <mergeCell ref="P34:R34"/>
    <mergeCell ref="Y34:AA34"/>
    <mergeCell ref="V34:X34"/>
    <mergeCell ref="AB90:AD90"/>
    <mergeCell ref="S90:U90"/>
    <mergeCell ref="Y90:AA90"/>
    <mergeCell ref="AB34:AD34"/>
    <mergeCell ref="S34:U34"/>
    <mergeCell ref="A89:AD89"/>
    <mergeCell ref="A34:C34"/>
    <mergeCell ref="A63:C63"/>
    <mergeCell ref="G52:I52"/>
    <mergeCell ref="J52:L52"/>
  </mergeCells>
  <pageMargins left="0.7" right="0.7" top="0.75" bottom="0.75" header="0.3" footer="0.3"/>
  <pageSetup paperSize="9" orientation="portrait" r:id="rId1"/>
  <tableParts count="5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sheetPr>
  <dimension ref="A1:S22"/>
  <sheetViews>
    <sheetView showGridLines="0" workbookViewId="0">
      <selection activeCell="I17" sqref="I17"/>
    </sheetView>
  </sheetViews>
  <sheetFormatPr baseColWidth="10" defaultColWidth="11.42578125" defaultRowHeight="11.25" x14ac:dyDescent="0.25"/>
  <cols>
    <col min="1" max="1" width="4.7109375" style="152" customWidth="1"/>
    <col min="2" max="3" width="8.7109375" style="152" customWidth="1"/>
    <col min="4" max="4" width="4.7109375" style="152" customWidth="1"/>
    <col min="5" max="5" width="8.7109375" style="152" customWidth="1"/>
    <col min="6" max="6" width="4.7109375" style="152" customWidth="1"/>
    <col min="7" max="8" width="8.7109375" style="152" customWidth="1"/>
    <col min="9" max="9" width="4.7109375" style="152" customWidth="1"/>
    <col min="10" max="10" width="8.7109375" style="152" customWidth="1"/>
    <col min="11" max="11" width="4.7109375" style="152" customWidth="1"/>
    <col min="12" max="13" width="8.7109375" style="152" customWidth="1"/>
    <col min="14" max="14" width="4.7109375" style="152" customWidth="1"/>
    <col min="15" max="15" width="8.7109375" style="152" customWidth="1"/>
    <col min="16" max="16384" width="11.42578125" style="152"/>
  </cols>
  <sheetData>
    <row r="1" spans="1:19" ht="30" customHeight="1" thickBot="1" x14ac:dyDescent="0.3">
      <c r="A1" s="1090" t="s">
        <v>381</v>
      </c>
      <c r="B1" s="1091"/>
      <c r="C1" s="1091"/>
      <c r="D1" s="1091"/>
      <c r="E1" s="1091"/>
      <c r="F1" s="1091"/>
      <c r="G1" s="1091"/>
      <c r="H1" s="1091"/>
      <c r="I1" s="1091"/>
      <c r="J1" s="1091"/>
      <c r="K1" s="1091"/>
      <c r="L1" s="1091"/>
      <c r="M1" s="1091"/>
      <c r="N1" s="1091"/>
      <c r="O1" s="1091"/>
      <c r="P1" s="1091"/>
      <c r="Q1" s="1091"/>
      <c r="R1" s="1091"/>
      <c r="S1" s="1091"/>
    </row>
    <row r="2" spans="1:19" ht="20.100000000000001" customHeight="1" thickBot="1" x14ac:dyDescent="0.3">
      <c r="A2" s="1294" t="s">
        <v>246</v>
      </c>
      <c r="B2" s="1295"/>
      <c r="C2" s="1295"/>
      <c r="D2" s="1295"/>
      <c r="E2" s="1296"/>
      <c r="F2" s="1297" t="s">
        <v>247</v>
      </c>
      <c r="G2" s="1298"/>
      <c r="H2" s="1298"/>
      <c r="I2" s="1298"/>
      <c r="J2" s="1299"/>
      <c r="K2" s="1300" t="s">
        <v>248</v>
      </c>
      <c r="L2" s="1301"/>
      <c r="M2" s="1301"/>
      <c r="N2" s="1301"/>
      <c r="O2" s="1302"/>
      <c r="P2" s="1048" t="s">
        <v>741</v>
      </c>
      <c r="Q2" s="1303"/>
      <c r="R2" s="1303"/>
      <c r="S2" s="1304"/>
    </row>
    <row r="3" spans="1:19" ht="15.75" customHeight="1" thickBot="1" x14ac:dyDescent="0.3">
      <c r="A3" s="1279" t="s">
        <v>176</v>
      </c>
      <c r="B3" s="1280"/>
      <c r="C3" s="1281"/>
      <c r="D3" s="1279" t="s">
        <v>212</v>
      </c>
      <c r="E3" s="1281"/>
      <c r="F3" s="1279" t="s">
        <v>210</v>
      </c>
      <c r="G3" s="1280"/>
      <c r="H3" s="1281"/>
      <c r="I3" s="1279" t="s">
        <v>452</v>
      </c>
      <c r="J3" s="1281"/>
      <c r="K3" s="1279" t="s">
        <v>211</v>
      </c>
      <c r="L3" s="1280"/>
      <c r="M3" s="1280"/>
      <c r="N3" s="1280" t="s">
        <v>451</v>
      </c>
      <c r="O3" s="1280"/>
      <c r="P3" s="538" t="s">
        <v>17</v>
      </c>
      <c r="Q3" s="539" t="s">
        <v>246</v>
      </c>
      <c r="R3" s="539" t="s">
        <v>739</v>
      </c>
      <c r="S3" s="540" t="s">
        <v>740</v>
      </c>
    </row>
    <row r="4" spans="1:19" ht="12" thickBot="1" x14ac:dyDescent="0.3">
      <c r="A4" s="178" t="s">
        <v>17</v>
      </c>
      <c r="B4" s="161" t="s">
        <v>119</v>
      </c>
      <c r="C4" s="179" t="s">
        <v>382</v>
      </c>
      <c r="D4" s="173" t="s">
        <v>17</v>
      </c>
      <c r="E4" s="452" t="s">
        <v>382</v>
      </c>
      <c r="F4" s="178" t="s">
        <v>17</v>
      </c>
      <c r="G4" s="161" t="s">
        <v>119</v>
      </c>
      <c r="H4" s="179" t="s">
        <v>382</v>
      </c>
      <c r="I4" s="173" t="s">
        <v>17</v>
      </c>
      <c r="J4" s="452" t="s">
        <v>382</v>
      </c>
      <c r="K4" s="178" t="s">
        <v>17</v>
      </c>
      <c r="L4" s="161" t="s">
        <v>119</v>
      </c>
      <c r="M4" s="179" t="s">
        <v>382</v>
      </c>
      <c r="N4" s="178" t="s">
        <v>17</v>
      </c>
      <c r="O4" s="162" t="s">
        <v>382</v>
      </c>
      <c r="P4" s="553">
        <v>1</v>
      </c>
      <c r="Q4" s="859">
        <v>0</v>
      </c>
      <c r="R4" s="860">
        <f>EARNINGS_HDV[[#This Row],[Or]]</f>
        <v>0</v>
      </c>
      <c r="S4" s="889">
        <v>0</v>
      </c>
    </row>
    <row r="5" spans="1:19" x14ac:dyDescent="0.25">
      <c r="A5" s="7">
        <v>1</v>
      </c>
      <c r="B5" s="164">
        <v>200</v>
      </c>
      <c r="C5" s="258">
        <v>500</v>
      </c>
      <c r="D5" s="749">
        <v>1</v>
      </c>
      <c r="E5" s="887">
        <v>1500</v>
      </c>
      <c r="F5" s="13">
        <v>1</v>
      </c>
      <c r="G5" s="395">
        <v>200</v>
      </c>
      <c r="H5" s="258">
        <v>500</v>
      </c>
      <c r="I5" s="749">
        <v>1</v>
      </c>
      <c r="J5" s="887">
        <v>1500</v>
      </c>
      <c r="K5" s="13">
        <v>1</v>
      </c>
      <c r="L5" s="168">
        <v>20</v>
      </c>
      <c r="M5" s="258">
        <v>160</v>
      </c>
      <c r="N5" s="7">
        <v>1</v>
      </c>
      <c r="O5" s="258">
        <v>10000</v>
      </c>
      <c r="P5" s="553">
        <v>2</v>
      </c>
      <c r="Q5" s="859">
        <v>0</v>
      </c>
      <c r="R5" s="860">
        <f>EARNINGS_HDV[[#This Row],[Or]]</f>
        <v>0</v>
      </c>
      <c r="S5" s="889">
        <v>0</v>
      </c>
    </row>
    <row r="6" spans="1:19" x14ac:dyDescent="0.25">
      <c r="A6" s="7">
        <v>2</v>
      </c>
      <c r="B6" s="166">
        <v>400</v>
      </c>
      <c r="C6" s="259">
        <v>1000</v>
      </c>
      <c r="D6" s="749">
        <v>2</v>
      </c>
      <c r="E6" s="887">
        <v>3000</v>
      </c>
      <c r="F6" s="13">
        <v>2</v>
      </c>
      <c r="G6" s="396">
        <v>400</v>
      </c>
      <c r="H6" s="259">
        <v>1000</v>
      </c>
      <c r="I6" s="749">
        <v>2</v>
      </c>
      <c r="J6" s="887">
        <v>3000</v>
      </c>
      <c r="K6" s="13">
        <v>2</v>
      </c>
      <c r="L6" s="169">
        <v>30</v>
      </c>
      <c r="M6" s="259">
        <v>300</v>
      </c>
      <c r="N6" s="7">
        <v>2</v>
      </c>
      <c r="O6" s="259">
        <v>17500</v>
      </c>
      <c r="P6" s="553">
        <v>3</v>
      </c>
      <c r="Q6" s="859">
        <v>10000</v>
      </c>
      <c r="R6" s="860">
        <f>EARNINGS_HDV[[#This Row],[Or]]</f>
        <v>10000</v>
      </c>
      <c r="S6" s="889">
        <v>0</v>
      </c>
    </row>
    <row r="7" spans="1:19" x14ac:dyDescent="0.25">
      <c r="A7" s="7">
        <v>3</v>
      </c>
      <c r="B7" s="166">
        <v>600</v>
      </c>
      <c r="C7" s="259">
        <v>1500</v>
      </c>
      <c r="D7" s="749">
        <v>3</v>
      </c>
      <c r="E7" s="887">
        <v>6000</v>
      </c>
      <c r="F7" s="13">
        <v>3</v>
      </c>
      <c r="G7" s="396">
        <v>600</v>
      </c>
      <c r="H7" s="259">
        <v>1500</v>
      </c>
      <c r="I7" s="749">
        <v>3</v>
      </c>
      <c r="J7" s="887">
        <v>6000</v>
      </c>
      <c r="K7" s="13">
        <v>3</v>
      </c>
      <c r="L7" s="169">
        <v>45</v>
      </c>
      <c r="M7" s="259">
        <v>540</v>
      </c>
      <c r="N7" s="7">
        <v>3</v>
      </c>
      <c r="O7" s="259">
        <v>40000</v>
      </c>
      <c r="P7" s="553">
        <v>4</v>
      </c>
      <c r="Q7" s="859">
        <v>50000</v>
      </c>
      <c r="R7" s="860">
        <f>EARNINGS_HDV[[#This Row],[Or]]</f>
        <v>50000</v>
      </c>
      <c r="S7" s="889">
        <v>0</v>
      </c>
    </row>
    <row r="8" spans="1:19" x14ac:dyDescent="0.25">
      <c r="A8" s="7">
        <v>4</v>
      </c>
      <c r="B8" s="166">
        <v>800</v>
      </c>
      <c r="C8" s="259">
        <v>2500</v>
      </c>
      <c r="D8" s="749">
        <v>4</v>
      </c>
      <c r="E8" s="887">
        <v>12000</v>
      </c>
      <c r="F8" s="13">
        <v>4</v>
      </c>
      <c r="G8" s="396">
        <v>800</v>
      </c>
      <c r="H8" s="259">
        <v>2500</v>
      </c>
      <c r="I8" s="749">
        <v>4</v>
      </c>
      <c r="J8" s="887">
        <v>12000</v>
      </c>
      <c r="K8" s="13">
        <v>4</v>
      </c>
      <c r="L8" s="169">
        <v>60</v>
      </c>
      <c r="M8" s="259">
        <v>840</v>
      </c>
      <c r="N8" s="7">
        <v>4</v>
      </c>
      <c r="O8" s="259">
        <v>75000</v>
      </c>
      <c r="P8" s="553">
        <v>5</v>
      </c>
      <c r="Q8" s="859">
        <v>100000</v>
      </c>
      <c r="R8" s="860">
        <f>EARNINGS_HDV[[#This Row],[Or]]</f>
        <v>100000</v>
      </c>
      <c r="S8" s="889">
        <v>0</v>
      </c>
    </row>
    <row r="9" spans="1:19" x14ac:dyDescent="0.25">
      <c r="A9" s="7">
        <v>5</v>
      </c>
      <c r="B9" s="166">
        <v>1000</v>
      </c>
      <c r="C9" s="259">
        <v>10000</v>
      </c>
      <c r="D9" s="749">
        <v>5</v>
      </c>
      <c r="E9" s="887">
        <v>25000</v>
      </c>
      <c r="F9" s="13">
        <v>5</v>
      </c>
      <c r="G9" s="396">
        <v>1000</v>
      </c>
      <c r="H9" s="259">
        <v>10000</v>
      </c>
      <c r="I9" s="749">
        <v>5</v>
      </c>
      <c r="J9" s="887">
        <v>25000</v>
      </c>
      <c r="K9" s="13">
        <v>5</v>
      </c>
      <c r="L9" s="169">
        <v>80</v>
      </c>
      <c r="M9" s="259">
        <v>1280</v>
      </c>
      <c r="N9" s="7">
        <v>5</v>
      </c>
      <c r="O9" s="259">
        <v>140000</v>
      </c>
      <c r="P9" s="553">
        <v>6</v>
      </c>
      <c r="Q9" s="859">
        <v>300000</v>
      </c>
      <c r="R9" s="860">
        <f>EARNINGS_HDV[[#This Row],[Or]]</f>
        <v>300000</v>
      </c>
      <c r="S9" s="889">
        <v>0</v>
      </c>
    </row>
    <row r="10" spans="1:19" x14ac:dyDescent="0.25">
      <c r="A10" s="7">
        <v>6</v>
      </c>
      <c r="B10" s="166">
        <v>1300</v>
      </c>
      <c r="C10" s="259">
        <v>20000</v>
      </c>
      <c r="D10" s="749">
        <v>6</v>
      </c>
      <c r="E10" s="887">
        <v>50000</v>
      </c>
      <c r="F10" s="13">
        <v>6</v>
      </c>
      <c r="G10" s="396">
        <v>1300</v>
      </c>
      <c r="H10" s="259">
        <v>20000</v>
      </c>
      <c r="I10" s="749">
        <v>6</v>
      </c>
      <c r="J10" s="887">
        <v>50000</v>
      </c>
      <c r="K10" s="13">
        <v>6</v>
      </c>
      <c r="L10" s="169">
        <v>100</v>
      </c>
      <c r="M10" s="259">
        <v>1800</v>
      </c>
      <c r="N10" s="7">
        <v>6</v>
      </c>
      <c r="O10" s="259">
        <v>180000</v>
      </c>
      <c r="P10" s="553">
        <v>7</v>
      </c>
      <c r="Q10" s="859">
        <v>500000</v>
      </c>
      <c r="R10" s="860">
        <f>EARNINGS_HDV[[#This Row],[Or]]</f>
        <v>500000</v>
      </c>
      <c r="S10" s="889">
        <v>2500</v>
      </c>
    </row>
    <row r="11" spans="1:19" x14ac:dyDescent="0.25">
      <c r="A11" s="7">
        <v>7</v>
      </c>
      <c r="B11" s="166">
        <v>1600</v>
      </c>
      <c r="C11" s="259">
        <v>30000</v>
      </c>
      <c r="D11" s="749">
        <v>7</v>
      </c>
      <c r="E11" s="887">
        <v>100000</v>
      </c>
      <c r="F11" s="13">
        <v>7</v>
      </c>
      <c r="G11" s="396">
        <v>1600</v>
      </c>
      <c r="H11" s="259">
        <v>30000</v>
      </c>
      <c r="I11" s="749">
        <v>7</v>
      </c>
      <c r="J11" s="887">
        <v>100000</v>
      </c>
      <c r="P11" s="553">
        <v>8</v>
      </c>
      <c r="Q11" s="859">
        <v>750000</v>
      </c>
      <c r="R11" s="860">
        <f>EARNINGS_HDV[[#This Row],[Or]]</f>
        <v>750000</v>
      </c>
      <c r="S11" s="889">
        <v>5000</v>
      </c>
    </row>
    <row r="12" spans="1:19" x14ac:dyDescent="0.25">
      <c r="A12" s="7">
        <v>8</v>
      </c>
      <c r="B12" s="166">
        <v>1900</v>
      </c>
      <c r="C12" s="259">
        <v>50000</v>
      </c>
      <c r="D12" s="749">
        <v>8</v>
      </c>
      <c r="E12" s="887">
        <v>225000</v>
      </c>
      <c r="F12" s="13">
        <v>8</v>
      </c>
      <c r="G12" s="396">
        <v>1900</v>
      </c>
      <c r="H12" s="259">
        <v>50000</v>
      </c>
      <c r="I12" s="749">
        <v>8</v>
      </c>
      <c r="J12" s="887">
        <v>225000</v>
      </c>
      <c r="P12" s="553">
        <v>9</v>
      </c>
      <c r="Q12" s="890">
        <v>1000000</v>
      </c>
      <c r="R12" s="891">
        <f>EARNINGS_HDV[[#This Row],[Or]]</f>
        <v>1000000</v>
      </c>
      <c r="S12" s="889">
        <v>10000</v>
      </c>
    </row>
    <row r="13" spans="1:19" x14ac:dyDescent="0.25">
      <c r="A13" s="7">
        <v>9</v>
      </c>
      <c r="B13" s="24">
        <v>2200</v>
      </c>
      <c r="C13" s="260">
        <v>75000</v>
      </c>
      <c r="D13" s="749">
        <v>9</v>
      </c>
      <c r="E13" s="888">
        <v>450000</v>
      </c>
      <c r="F13" s="13">
        <v>9</v>
      </c>
      <c r="G13" s="397">
        <v>2200</v>
      </c>
      <c r="H13" s="260">
        <v>75000</v>
      </c>
      <c r="I13" s="749">
        <v>9</v>
      </c>
      <c r="J13" s="888">
        <v>450000</v>
      </c>
      <c r="P13" s="553">
        <v>10</v>
      </c>
      <c r="Q13" s="890">
        <v>1500000</v>
      </c>
      <c r="R13" s="891">
        <f>EARNINGS_HDV[[#This Row],[Or]]</f>
        <v>1500000</v>
      </c>
      <c r="S13" s="889">
        <v>20000</v>
      </c>
    </row>
    <row r="14" spans="1:19" x14ac:dyDescent="0.25">
      <c r="A14" s="7">
        <v>10</v>
      </c>
      <c r="B14" s="24">
        <v>2500</v>
      </c>
      <c r="C14" s="260">
        <v>100000</v>
      </c>
      <c r="D14" s="749">
        <v>10</v>
      </c>
      <c r="E14" s="888">
        <v>850000</v>
      </c>
      <c r="F14" s="13">
        <v>10</v>
      </c>
      <c r="G14" s="397">
        <v>2500</v>
      </c>
      <c r="H14" s="260">
        <v>100000</v>
      </c>
      <c r="I14" s="749">
        <v>10</v>
      </c>
      <c r="J14" s="888">
        <v>850000</v>
      </c>
      <c r="P14" s="554">
        <v>11</v>
      </c>
      <c r="Q14" s="892">
        <v>2000000</v>
      </c>
      <c r="R14" s="893">
        <f>EARNINGS_HDV[[#This Row],[Or]]</f>
        <v>2000000</v>
      </c>
      <c r="S14" s="894">
        <v>20000</v>
      </c>
    </row>
    <row r="15" spans="1:19" x14ac:dyDescent="0.25">
      <c r="A15" s="7">
        <v>11</v>
      </c>
      <c r="B15" s="24">
        <v>3000</v>
      </c>
      <c r="C15" s="260">
        <v>150000</v>
      </c>
      <c r="D15" s="749">
        <v>11</v>
      </c>
      <c r="E15" s="888">
        <v>1750000</v>
      </c>
      <c r="F15" s="13">
        <v>11</v>
      </c>
      <c r="G15" s="397">
        <v>3000</v>
      </c>
      <c r="H15" s="260">
        <v>150000</v>
      </c>
      <c r="I15" s="749">
        <v>11</v>
      </c>
      <c r="J15" s="888">
        <v>1750000</v>
      </c>
    </row>
    <row r="16" spans="1:19" ht="12" thickBot="1" x14ac:dyDescent="0.3">
      <c r="A16" s="443">
        <v>12</v>
      </c>
      <c r="B16" s="594">
        <v>3500</v>
      </c>
      <c r="C16" s="885">
        <v>200000</v>
      </c>
      <c r="D16" s="749">
        <v>12</v>
      </c>
      <c r="E16" s="888">
        <v>2000000</v>
      </c>
      <c r="F16" s="886">
        <v>12</v>
      </c>
      <c r="G16" s="595">
        <v>3500</v>
      </c>
      <c r="H16" s="885">
        <v>200000</v>
      </c>
      <c r="I16" s="749">
        <v>12</v>
      </c>
      <c r="J16" s="888">
        <v>2000000</v>
      </c>
    </row>
    <row r="22" ht="12" customHeight="1" x14ac:dyDescent="0.25"/>
  </sheetData>
  <sheetProtection sheet="1" objects="1" scenarios="1" selectLockedCells="1"/>
  <mergeCells count="11">
    <mergeCell ref="A1:S1"/>
    <mergeCell ref="A2:E2"/>
    <mergeCell ref="F2:J2"/>
    <mergeCell ref="I3:J3"/>
    <mergeCell ref="K2:O2"/>
    <mergeCell ref="P2:S2"/>
    <mergeCell ref="N3:O3"/>
    <mergeCell ref="A3:C3"/>
    <mergeCell ref="K3:M3"/>
    <mergeCell ref="F3:H3"/>
    <mergeCell ref="D3:E3"/>
  </mergeCells>
  <pageMargins left="0.7" right="0.7" top="0.75" bottom="0.75" header="0.3" footer="0.3"/>
  <pageSetup paperSize="9" orientation="portrait" r:id="rId1"/>
  <tableParts count="7">
    <tablePart r:id="rId2"/>
    <tablePart r:id="rId3"/>
    <tablePart r:id="rId4"/>
    <tablePart r:id="rId5"/>
    <tablePart r:id="rId6"/>
    <tablePart r:id="rId7"/>
    <tablePart r:id="rId8"/>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FF0000"/>
  </sheetPr>
  <dimension ref="A1:L25"/>
  <sheetViews>
    <sheetView showGridLines="0" zoomScale="115" zoomScaleNormal="115" workbookViewId="0">
      <selection activeCell="A3" sqref="A3"/>
    </sheetView>
  </sheetViews>
  <sheetFormatPr baseColWidth="10" defaultColWidth="11.42578125" defaultRowHeight="15" x14ac:dyDescent="0.25"/>
  <cols>
    <col min="1" max="5" width="8.7109375" style="185" customWidth="1"/>
    <col min="6" max="6" width="11.42578125" style="185"/>
    <col min="7" max="7" width="8.7109375" style="185" customWidth="1"/>
    <col min="8" max="8" width="11.42578125" style="185"/>
    <col min="9" max="9" width="8.7109375" style="185" customWidth="1"/>
    <col min="10" max="16384" width="11.42578125" style="185"/>
  </cols>
  <sheetData>
    <row r="1" spans="1:12" ht="30" customHeight="1" thickBot="1" x14ac:dyDescent="0.3">
      <c r="A1" s="1269" t="s">
        <v>383</v>
      </c>
      <c r="B1" s="1270"/>
      <c r="C1" s="1270"/>
      <c r="D1" s="1270"/>
      <c r="E1" s="1271"/>
      <c r="G1" s="1269" t="s">
        <v>388</v>
      </c>
      <c r="H1" s="1270"/>
      <c r="I1" s="1271"/>
      <c r="K1" s="1269" t="s">
        <v>672</v>
      </c>
      <c r="L1" s="1270"/>
    </row>
    <row r="2" spans="1:12" ht="23.25" thickBot="1" x14ac:dyDescent="0.3">
      <c r="A2" s="815" t="s">
        <v>384</v>
      </c>
      <c r="B2" s="816" t="s">
        <v>129</v>
      </c>
      <c r="C2" s="817" t="s">
        <v>385</v>
      </c>
      <c r="D2" s="818" t="s">
        <v>386</v>
      </c>
      <c r="E2" s="819" t="s">
        <v>387</v>
      </c>
      <c r="G2" s="210" t="s">
        <v>384</v>
      </c>
      <c r="H2" s="211" t="s">
        <v>135</v>
      </c>
      <c r="I2" s="207" t="s">
        <v>307</v>
      </c>
      <c r="K2" s="723" t="s">
        <v>662</v>
      </c>
      <c r="L2" s="724" t="s">
        <v>674</v>
      </c>
    </row>
    <row r="3" spans="1:12" x14ac:dyDescent="0.25">
      <c r="A3" s="820">
        <f>IF(AND(Paramètres!$BM$2&gt;=B3,Paramètres!$BM$2&lt;B4),1,"")</f>
        <v>1</v>
      </c>
      <c r="B3" s="821">
        <v>0</v>
      </c>
      <c r="C3" s="804">
        <v>0</v>
      </c>
      <c r="D3" s="806">
        <f>LEAGUES_Bonus[[#This Row],[Bonus d''Or]]</f>
        <v>0</v>
      </c>
      <c r="E3" s="809">
        <v>0</v>
      </c>
      <c r="G3" s="212" t="str">
        <f>IF(AND('Combats - Loots'!$D$2&gt;=H3,'Combats - Loots'!$D$2&lt;H4),1,"")</f>
        <v/>
      </c>
      <c r="H3" s="205">
        <v>-10</v>
      </c>
      <c r="I3" s="208">
        <v>0.05</v>
      </c>
      <c r="K3" s="212">
        <f>IF(Paramètres!$BJ$2=1,1,"")</f>
        <v>1</v>
      </c>
      <c r="L3" s="725">
        <v>10</v>
      </c>
    </row>
    <row r="4" spans="1:12" x14ac:dyDescent="0.25">
      <c r="A4" s="772" t="str">
        <f>IF(AND(Paramètres!$BM$2&gt;=B4,Paramètres!$BM$2&lt;B5),1,"")</f>
        <v/>
      </c>
      <c r="B4" s="813">
        <v>400</v>
      </c>
      <c r="C4" s="805">
        <v>600</v>
      </c>
      <c r="D4" s="807">
        <f>LEAGUES_Bonus[[#This Row],[Bonus d''Or]]</f>
        <v>600</v>
      </c>
      <c r="E4" s="810">
        <v>0</v>
      </c>
      <c r="G4" s="212" t="str">
        <f>IF(AND('Combats - Loots'!$D$2&gt;=H4,'Combats - Loots'!$D$2&lt;H5),1,"")</f>
        <v/>
      </c>
      <c r="H4" s="205">
        <v>-9</v>
      </c>
      <c r="I4" s="208">
        <v>0.05</v>
      </c>
      <c r="K4" s="212" t="str">
        <f>IF(Paramètres!$BJ$2=2,1,"")</f>
        <v/>
      </c>
      <c r="L4" s="725">
        <v>50</v>
      </c>
    </row>
    <row r="5" spans="1:12" x14ac:dyDescent="0.25">
      <c r="A5" s="772" t="str">
        <f>IF(AND(Paramètres!$BM$2&gt;=B5,Paramètres!$BM$2&lt;B6),1,"")</f>
        <v/>
      </c>
      <c r="B5" s="813">
        <v>500</v>
      </c>
      <c r="C5" s="805">
        <v>800</v>
      </c>
      <c r="D5" s="807">
        <f>LEAGUES_Bonus[[#This Row],[Bonus d''Or]]</f>
        <v>800</v>
      </c>
      <c r="E5" s="810">
        <v>0</v>
      </c>
      <c r="G5" s="212" t="str">
        <f>IF(AND('Combats - Loots'!$D$2&gt;=H5,'Combats - Loots'!$D$2&lt;H6),1,"")</f>
        <v/>
      </c>
      <c r="H5" s="205">
        <v>-8</v>
      </c>
      <c r="I5" s="208">
        <v>0.05</v>
      </c>
      <c r="K5" s="212" t="str">
        <f>IF(Paramètres!$BJ$2=3,1,"")</f>
        <v/>
      </c>
      <c r="L5" s="725">
        <v>75</v>
      </c>
    </row>
    <row r="6" spans="1:12" x14ac:dyDescent="0.25">
      <c r="A6" s="772" t="str">
        <f>IF(AND(Paramètres!$BM$2&gt;=B6,Paramètres!$BM$2&lt;B7),1,"")</f>
        <v/>
      </c>
      <c r="B6" s="813">
        <v>600</v>
      </c>
      <c r="C6" s="805">
        <v>1000</v>
      </c>
      <c r="D6" s="807">
        <f>LEAGUES_Bonus[[#This Row],[Bonus d''Or]]</f>
        <v>1000</v>
      </c>
      <c r="E6" s="810">
        <v>0</v>
      </c>
      <c r="G6" s="212" t="str">
        <f>IF(AND('Combats - Loots'!$D$2&gt;=H6,'Combats - Loots'!$D$2&lt;H7),1,"")</f>
        <v/>
      </c>
      <c r="H6" s="205">
        <v>-7</v>
      </c>
      <c r="I6" s="208">
        <v>0.05</v>
      </c>
      <c r="K6" s="212" t="str">
        <f>IF(Paramètres!$BJ$2=4,1,"")</f>
        <v/>
      </c>
      <c r="L6" s="725">
        <v>110</v>
      </c>
    </row>
    <row r="7" spans="1:12" x14ac:dyDescent="0.25">
      <c r="A7" s="771" t="str">
        <f>IF(AND(Paramètres!$BM$2&gt;=B7,Paramètres!$BM$2&lt;B8),1,"")</f>
        <v/>
      </c>
      <c r="B7" s="813">
        <v>800</v>
      </c>
      <c r="C7" s="805">
        <v>2000</v>
      </c>
      <c r="D7" s="807">
        <f>LEAGUES_Bonus[[#This Row],[Bonus d''Or]]</f>
        <v>2000</v>
      </c>
      <c r="E7" s="810">
        <v>0</v>
      </c>
      <c r="G7" s="212" t="str">
        <f>IF(AND('Combats - Loots'!$D$2&gt;=H7,'Combats - Loots'!$D$2&lt;H8),1,"")</f>
        <v/>
      </c>
      <c r="H7" s="205">
        <v>-6</v>
      </c>
      <c r="I7" s="208">
        <v>0.05</v>
      </c>
      <c r="K7" s="212" t="str">
        <f>IF(Paramètres!$BJ$2=5,1,"")</f>
        <v/>
      </c>
      <c r="L7" s="725">
        <v>170</v>
      </c>
    </row>
    <row r="8" spans="1:12" x14ac:dyDescent="0.25">
      <c r="A8" s="771" t="str">
        <f>IF(AND(Paramètres!$BM$2&gt;=B8,Paramètres!$BM$2&lt;B9),1,"")</f>
        <v/>
      </c>
      <c r="B8" s="813">
        <v>1000</v>
      </c>
      <c r="C8" s="805">
        <v>3000</v>
      </c>
      <c r="D8" s="807">
        <f>LEAGUES_Bonus[[#This Row],[Bonus d''Or]]</f>
        <v>3000</v>
      </c>
      <c r="E8" s="810">
        <v>0</v>
      </c>
      <c r="G8" s="212" t="str">
        <f>IF(AND('Combats - Loots'!$D$2&gt;=H8,'Combats - Loots'!$D$2&lt;H9),1,"")</f>
        <v/>
      </c>
      <c r="H8" s="205">
        <v>-5</v>
      </c>
      <c r="I8" s="208">
        <v>0.05</v>
      </c>
      <c r="K8" s="212" t="str">
        <f>IF(Paramètres!$BJ$2=6,1,"")</f>
        <v/>
      </c>
      <c r="L8" s="725">
        <v>250</v>
      </c>
    </row>
    <row r="9" spans="1:12" x14ac:dyDescent="0.25">
      <c r="A9" s="771" t="str">
        <f>IF(AND(Paramètres!$BM$2&gt;=B9,Paramètres!$BM$2&lt;B10),1,"")</f>
        <v/>
      </c>
      <c r="B9" s="813">
        <v>1200</v>
      </c>
      <c r="C9" s="805">
        <v>4000</v>
      </c>
      <c r="D9" s="807">
        <f>LEAGUES_Bonus[[#This Row],[Bonus d''Or]]</f>
        <v>4000</v>
      </c>
      <c r="E9" s="810">
        <v>0</v>
      </c>
      <c r="G9" s="212" t="str">
        <f>IF(AND('Combats - Loots'!$D$2&gt;=H9,'Combats - Loots'!$D$2&lt;H10),1,"")</f>
        <v/>
      </c>
      <c r="H9" s="205">
        <v>-4</v>
      </c>
      <c r="I9" s="208">
        <v>0.05</v>
      </c>
      <c r="K9" s="212" t="str">
        <f>IF(Paramètres!$BJ$2=7,1,"")</f>
        <v/>
      </c>
      <c r="L9" s="725">
        <v>380</v>
      </c>
    </row>
    <row r="10" spans="1:12" x14ac:dyDescent="0.25">
      <c r="A10" s="770" t="str">
        <f>IF(AND(Paramètres!$BM$2&gt;=B10,Paramètres!$BM$2&lt;B11),1,"")</f>
        <v/>
      </c>
      <c r="B10" s="813">
        <v>1400</v>
      </c>
      <c r="C10" s="805">
        <v>8000</v>
      </c>
      <c r="D10" s="807">
        <f>LEAGUES_Bonus[[#This Row],[Bonus d''Or]]</f>
        <v>8000</v>
      </c>
      <c r="E10" s="810">
        <v>0</v>
      </c>
      <c r="G10" s="212" t="str">
        <f>IF(AND('Combats - Loots'!$D$2&gt;=H10,'Combats - Loots'!$D$2&lt;H11),1,"")</f>
        <v/>
      </c>
      <c r="H10" s="205">
        <v>-3</v>
      </c>
      <c r="I10" s="208">
        <v>0.25</v>
      </c>
      <c r="K10" s="212" t="str">
        <f>IF(Paramètres!$BJ$2=8,1,"")</f>
        <v/>
      </c>
      <c r="L10" s="725">
        <v>580</v>
      </c>
    </row>
    <row r="11" spans="1:12" x14ac:dyDescent="0.25">
      <c r="A11" s="770" t="str">
        <f>IF(AND(Paramètres!$BM$2&gt;=B11,Paramètres!$BM$2&lt;B12),1,"")</f>
        <v/>
      </c>
      <c r="B11" s="813">
        <v>1600</v>
      </c>
      <c r="C11" s="805">
        <v>11000</v>
      </c>
      <c r="D11" s="807">
        <f>LEAGUES_Bonus[[#This Row],[Bonus d''Or]]</f>
        <v>11000</v>
      </c>
      <c r="E11" s="810">
        <v>0</v>
      </c>
      <c r="G11" s="212" t="str">
        <f>IF(AND('Combats - Loots'!$D$2&gt;=H11,'Combats - Loots'!$D$2&lt;H12),1,"")</f>
        <v/>
      </c>
      <c r="H11" s="205">
        <v>-2</v>
      </c>
      <c r="I11" s="208">
        <v>0.5</v>
      </c>
      <c r="K11" s="212" t="str">
        <f>IF(Paramètres!$BJ$2=9,1,"")</f>
        <v/>
      </c>
      <c r="L11" s="725">
        <v>750</v>
      </c>
    </row>
    <row r="12" spans="1:12" x14ac:dyDescent="0.25">
      <c r="A12" s="770" t="str">
        <f>IF(AND(Paramètres!$BM$2&gt;=B12,Paramètres!$BM$2&lt;B13),1,"")</f>
        <v/>
      </c>
      <c r="B12" s="813">
        <v>1800</v>
      </c>
      <c r="C12" s="805">
        <v>14000</v>
      </c>
      <c r="D12" s="807">
        <f>LEAGUES_Bonus[[#This Row],[Bonus d''Or]]</f>
        <v>14000</v>
      </c>
      <c r="E12" s="810">
        <v>0</v>
      </c>
      <c r="G12" s="212" t="str">
        <f>IF(AND('Combats - Loots'!$D$2&gt;=H12,'Combats - Loots'!$D$2&lt;H13),1,"")</f>
        <v/>
      </c>
      <c r="H12" s="205">
        <v>-1</v>
      </c>
      <c r="I12" s="208">
        <v>0.9</v>
      </c>
      <c r="K12" s="212" t="str">
        <f>IF(Paramètres!$BJ$2=10,1,"")</f>
        <v/>
      </c>
      <c r="L12" s="725">
        <v>1000</v>
      </c>
    </row>
    <row r="13" spans="1:12" x14ac:dyDescent="0.25">
      <c r="A13" s="773" t="str">
        <f>IF(AND(Paramètres!$BM$2&gt;=B13,Paramètres!$BM$2&lt;B14),1,"")</f>
        <v/>
      </c>
      <c r="B13" s="813">
        <v>2000</v>
      </c>
      <c r="C13" s="805">
        <v>40000</v>
      </c>
      <c r="D13" s="807">
        <f>LEAGUES_Bonus[[#This Row],[Bonus d''Or]]</f>
        <v>40000</v>
      </c>
      <c r="E13" s="810">
        <v>120</v>
      </c>
      <c r="G13" s="212" t="str">
        <f>IF(AND('Combats - Loots'!$D$2&gt;=H13,'Combats - Loots'!$D$2&lt;H14),1,"")</f>
        <v/>
      </c>
      <c r="H13" s="205">
        <v>0</v>
      </c>
      <c r="I13" s="208">
        <v>1</v>
      </c>
      <c r="K13" s="212" t="str">
        <f>IF(Paramètres!$BJ$2=11,1,"")</f>
        <v/>
      </c>
      <c r="L13" s="725">
        <v>1001</v>
      </c>
    </row>
    <row r="14" spans="1:12" x14ac:dyDescent="0.25">
      <c r="A14" s="773" t="str">
        <f>IF(AND(Paramètres!$BM$2&gt;=B14,Paramètres!$BM$2&lt;B15),1,"")</f>
        <v/>
      </c>
      <c r="B14" s="813">
        <v>2200</v>
      </c>
      <c r="C14" s="805">
        <v>55000</v>
      </c>
      <c r="D14" s="807">
        <f>LEAGUES_Bonus[[#This Row],[Bonus d''Or]]</f>
        <v>55000</v>
      </c>
      <c r="E14" s="810">
        <v>220</v>
      </c>
      <c r="G14" s="212" t="str">
        <f>IF(AND('Combats - Loots'!$D$2&gt;=H14,'Combats - Loots'!$D$2&lt;H15),1,"")</f>
        <v/>
      </c>
      <c r="H14" s="205">
        <v>1</v>
      </c>
      <c r="I14" s="208">
        <v>1.1000000000000001</v>
      </c>
    </row>
    <row r="15" spans="1:12" x14ac:dyDescent="0.25">
      <c r="A15" s="773" t="str">
        <f>IF(AND(Paramètres!$BM$2&gt;=B15,Paramètres!$BM$2&lt;B16),1,"")</f>
        <v/>
      </c>
      <c r="B15" s="813">
        <v>2400</v>
      </c>
      <c r="C15" s="805">
        <v>65000</v>
      </c>
      <c r="D15" s="807">
        <f>LEAGUES_Bonus[[#This Row],[Bonus d''Or]]</f>
        <v>65000</v>
      </c>
      <c r="E15" s="810">
        <v>300</v>
      </c>
      <c r="G15" s="212" t="str">
        <f>IF(AND('Combats - Loots'!$D$2&gt;=H15,'Combats - Loots'!$D$2&lt;H16),1,"")</f>
        <v/>
      </c>
      <c r="H15" s="205">
        <v>2</v>
      </c>
      <c r="I15" s="208">
        <v>1.5</v>
      </c>
    </row>
    <row r="16" spans="1:12" x14ac:dyDescent="0.25">
      <c r="A16" s="775" t="str">
        <f>IF(AND(Paramètres!$BM$2&gt;=B16,Paramètres!$BM$2&lt;B17),1,"")</f>
        <v/>
      </c>
      <c r="B16" s="813">
        <v>2600</v>
      </c>
      <c r="C16" s="805">
        <v>100000</v>
      </c>
      <c r="D16" s="807">
        <f>LEAGUES_Bonus[[#This Row],[Bonus d''Or]]</f>
        <v>100000</v>
      </c>
      <c r="E16" s="810">
        <v>500</v>
      </c>
      <c r="G16" s="212" t="str">
        <f>IF(AND('Combats - Loots'!$D$2&gt;=H16,'Combats - Loots'!$D$2&lt;H17),1,"")</f>
        <v/>
      </c>
      <c r="H16" s="205">
        <v>3</v>
      </c>
      <c r="I16" s="208">
        <v>2</v>
      </c>
    </row>
    <row r="17" spans="1:9" x14ac:dyDescent="0.25">
      <c r="A17" s="775" t="str">
        <f>IF(AND(Paramètres!$BM$2&gt;=B17,Paramètres!$BM$2&lt;B18),1,"")</f>
        <v/>
      </c>
      <c r="B17" s="813">
        <v>2800</v>
      </c>
      <c r="C17" s="805">
        <v>120000</v>
      </c>
      <c r="D17" s="807">
        <f>LEAGUES_Bonus[[#This Row],[Bonus d''Or]]</f>
        <v>120000</v>
      </c>
      <c r="E17" s="810">
        <v>700</v>
      </c>
      <c r="G17" s="212" t="str">
        <f>IF(AND('Combats - Loots'!$D$2&gt;=H17,'Combats - Loots'!$D$2&lt;H18),1,"")</f>
        <v/>
      </c>
      <c r="H17" s="205">
        <v>4</v>
      </c>
      <c r="I17" s="208">
        <v>2</v>
      </c>
    </row>
    <row r="18" spans="1:9" x14ac:dyDescent="0.25">
      <c r="A18" s="775" t="str">
        <f>IF(AND(Paramètres!$BM$2&gt;=B18,Paramètres!$BM$2&lt;B19),1,"")</f>
        <v/>
      </c>
      <c r="B18" s="813">
        <v>3000</v>
      </c>
      <c r="C18" s="805">
        <v>140000</v>
      </c>
      <c r="D18" s="807">
        <f>LEAGUES_Bonus[[#This Row],[Bonus d''Or]]</f>
        <v>140000</v>
      </c>
      <c r="E18" s="810">
        <v>900</v>
      </c>
      <c r="G18" s="212" t="str">
        <f>IF(AND('Combats - Loots'!$D$2&gt;=H18,'Combats - Loots'!$D$2&lt;H19),1,"")</f>
        <v/>
      </c>
      <c r="H18" s="205">
        <v>5</v>
      </c>
      <c r="I18" s="208">
        <v>2</v>
      </c>
    </row>
    <row r="19" spans="1:9" x14ac:dyDescent="0.25">
      <c r="A19" s="774" t="str">
        <f>IF(AND(Paramètres!$BM$2&gt;=B19,Paramètres!$BM$2&lt;B20),1,"")</f>
        <v/>
      </c>
      <c r="B19" s="813">
        <v>3200</v>
      </c>
      <c r="C19" s="805">
        <v>180000</v>
      </c>
      <c r="D19" s="807">
        <f>LEAGUES_Bonus[[#This Row],[Bonus d''Or]]</f>
        <v>180000</v>
      </c>
      <c r="E19" s="810">
        <v>1200</v>
      </c>
      <c r="G19" s="212" t="str">
        <f>IF(AND('Combats - Loots'!$D$2&gt;=H19,'Combats - Loots'!$D$2&lt;H20),1,"")</f>
        <v/>
      </c>
      <c r="H19" s="205">
        <v>6</v>
      </c>
      <c r="I19" s="208">
        <v>2</v>
      </c>
    </row>
    <row r="20" spans="1:9" x14ac:dyDescent="0.25">
      <c r="A20" s="774" t="str">
        <f>IF(AND(Paramètres!$BM$2&gt;=B20,Paramètres!$BM$2&lt;B26),1,"")</f>
        <v/>
      </c>
      <c r="B20" s="813">
        <v>3500</v>
      </c>
      <c r="C20" s="814">
        <v>190000</v>
      </c>
      <c r="D20" s="807">
        <f>LEAGUES_Bonus[[#This Row],[Bonus d''Or]]</f>
        <v>190000</v>
      </c>
      <c r="E20" s="822">
        <v>1300</v>
      </c>
      <c r="G20" s="212" t="str">
        <f>IF(AND('Combats - Loots'!$D$2&gt;=H20,'Combats - Loots'!$D$2&lt;H21),1,"")</f>
        <v/>
      </c>
      <c r="H20" s="205">
        <v>7</v>
      </c>
      <c r="I20" s="208">
        <v>2</v>
      </c>
    </row>
    <row r="21" spans="1:9" x14ac:dyDescent="0.25">
      <c r="A21" s="774" t="str">
        <f>IF(AND(Paramètres!$BM$2&gt;=B21,Paramètres!$BM$2&lt;B26),1,"")</f>
        <v/>
      </c>
      <c r="B21" s="813">
        <v>3800</v>
      </c>
      <c r="C21" s="814">
        <v>200000</v>
      </c>
      <c r="D21" s="807">
        <f>LEAGUES_Bonus[[#This Row],[Bonus d''Or]]</f>
        <v>200000</v>
      </c>
      <c r="E21" s="822">
        <v>1500</v>
      </c>
      <c r="G21" s="212">
        <f>IF(AND('Combats - Loots'!$D$2&gt;=H21,'Combats - Loots'!$D$2&lt;H22),1,"")</f>
        <v>1</v>
      </c>
      <c r="H21" s="205">
        <v>8</v>
      </c>
      <c r="I21" s="208">
        <v>2</v>
      </c>
    </row>
    <row r="22" spans="1:9" x14ac:dyDescent="0.25">
      <c r="A22" s="812" t="str">
        <f>IF(AND(Paramètres!$BM$2&gt;=B22,Paramètres!$BM$2&lt;B26),1,"")</f>
        <v/>
      </c>
      <c r="B22" s="813">
        <v>4100</v>
      </c>
      <c r="C22" s="814">
        <v>210000</v>
      </c>
      <c r="D22" s="807">
        <f>LEAGUES_Bonus[[#This Row],[Bonus d''Or]]</f>
        <v>210000</v>
      </c>
      <c r="E22" s="822">
        <v>1600</v>
      </c>
      <c r="G22" s="212" t="str">
        <f>IF(AND('Combats - Loots'!$D$2&gt;=H22,'Combats - Loots'!$D$2&lt;H23),1,"")</f>
        <v/>
      </c>
      <c r="H22" s="205">
        <v>9</v>
      </c>
      <c r="I22" s="208">
        <v>2</v>
      </c>
    </row>
    <row r="23" spans="1:9" ht="15.75" thickBot="1" x14ac:dyDescent="0.3">
      <c r="A23" s="812" t="str">
        <f>IF(AND(Paramètres!$BM$2&gt;=B23,Paramètres!$BM$2&lt;B24),1,"")</f>
        <v/>
      </c>
      <c r="B23" s="813">
        <v>4400</v>
      </c>
      <c r="C23" s="814">
        <v>220000</v>
      </c>
      <c r="D23" s="807">
        <f>LEAGUES_Bonus[[#This Row],[Bonus d''Or]]</f>
        <v>220000</v>
      </c>
      <c r="E23" s="822">
        <v>1700</v>
      </c>
      <c r="G23" s="213" t="str">
        <f>IF(AND('Combats - Loots'!$D$2&gt;=H23,'Combats - Loots'!$D$2&lt;H24),1,"")</f>
        <v/>
      </c>
      <c r="H23" s="206">
        <v>10</v>
      </c>
      <c r="I23" s="209">
        <v>2</v>
      </c>
    </row>
    <row r="24" spans="1:9" x14ac:dyDescent="0.25">
      <c r="A24" s="812" t="str">
        <f>IF(AND(Paramètres!$BM$2&gt;=B24,Paramètres!$BM$2&lt;B25),1,"")</f>
        <v/>
      </c>
      <c r="B24" s="813">
        <v>4600</v>
      </c>
      <c r="C24" s="814">
        <v>250000</v>
      </c>
      <c r="D24" s="807">
        <f>LEAGUES_Bonus[[#This Row],[Bonus d''Or]]</f>
        <v>250000</v>
      </c>
      <c r="E24" s="822">
        <v>1800</v>
      </c>
    </row>
    <row r="25" spans="1:9" ht="15.75" thickBot="1" x14ac:dyDescent="0.3">
      <c r="A25" s="823" t="str">
        <f>IF(AND(Paramètres!$BM$2&gt;=B25,Paramètres!$BM$2&lt;B26),1,"")</f>
        <v/>
      </c>
      <c r="B25" s="824">
        <v>5000</v>
      </c>
      <c r="C25" s="825">
        <v>250000</v>
      </c>
      <c r="D25" s="808">
        <f>LEAGUES_Bonus[[#This Row],[Bonus d''Or]]</f>
        <v>250000</v>
      </c>
      <c r="E25" s="826">
        <v>2000</v>
      </c>
    </row>
  </sheetData>
  <sheetProtection selectLockedCells="1"/>
  <mergeCells count="3">
    <mergeCell ref="A1:E1"/>
    <mergeCell ref="G1:I1"/>
    <mergeCell ref="K1:L1"/>
  </mergeCells>
  <pageMargins left="0.7" right="0.7" top="0.75" bottom="0.75" header="0.3" footer="0.3"/>
  <pageSetup paperSize="9" orientation="portrait" r:id="rId1"/>
  <tableParts count="3">
    <tablePart r:id="rId2"/>
    <tablePart r:id="rId3"/>
    <tablePart r:id="rId4"/>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FF0000"/>
  </sheetPr>
  <dimension ref="A1:AN40"/>
  <sheetViews>
    <sheetView showGridLines="0" zoomScale="85" zoomScaleNormal="85" workbookViewId="0">
      <selection activeCell="AJ8" sqref="AJ8"/>
    </sheetView>
  </sheetViews>
  <sheetFormatPr baseColWidth="10" defaultColWidth="11.42578125" defaultRowHeight="11.25" x14ac:dyDescent="0.25"/>
  <cols>
    <col min="1" max="2" width="4.7109375" style="152" customWidth="1"/>
    <col min="3" max="3" width="5.7109375" style="152" customWidth="1"/>
    <col min="4" max="4" width="6.7109375" style="152" customWidth="1"/>
    <col min="5" max="6" width="4.7109375" style="152" customWidth="1"/>
    <col min="7" max="7" width="5.7109375" style="152" customWidth="1"/>
    <col min="8" max="8" width="6.7109375" style="152" customWidth="1"/>
    <col min="9" max="10" width="4.7109375" style="152" customWidth="1"/>
    <col min="11" max="11" width="5.7109375" style="152" customWidth="1"/>
    <col min="12" max="12" width="6.7109375" style="152" customWidth="1"/>
    <col min="13" max="14" width="4.7109375" style="152" customWidth="1"/>
    <col min="15" max="15" width="5.7109375" style="152" customWidth="1"/>
    <col min="16" max="16" width="6.7109375" style="152" customWidth="1"/>
    <col min="17" max="18" width="4.7109375" style="152" customWidth="1"/>
    <col min="19" max="19" width="5.7109375" style="152" customWidth="1"/>
    <col min="20" max="20" width="6.7109375" style="152" customWidth="1"/>
    <col min="21" max="22" width="4.7109375" style="152" customWidth="1"/>
    <col min="23" max="23" width="5.7109375" style="152" customWidth="1"/>
    <col min="24" max="24" width="6.7109375" style="152" customWidth="1"/>
    <col min="25" max="26" width="4.7109375" style="152" customWidth="1"/>
    <col min="27" max="27" width="5.7109375" style="152" customWidth="1"/>
    <col min="28" max="28" width="6.7109375" style="152" customWidth="1"/>
    <col min="29" max="30" width="4.7109375" style="152" customWidth="1"/>
    <col min="31" max="31" width="5.7109375" style="152" customWidth="1"/>
    <col min="32" max="32" width="6.7109375" style="152" customWidth="1"/>
    <col min="33" max="34" width="4.7109375" style="152" customWidth="1"/>
    <col min="35" max="35" width="5.7109375" style="152" customWidth="1"/>
    <col min="36" max="36" width="6.7109375" style="152" customWidth="1"/>
    <col min="37" max="38" width="4.7109375" style="152" customWidth="1"/>
    <col min="39" max="39" width="5.7109375" style="152" customWidth="1"/>
    <col min="40" max="40" width="6.7109375" style="152" customWidth="1"/>
    <col min="41" max="16384" width="11.42578125" style="152"/>
  </cols>
  <sheetData>
    <row r="1" spans="1:40" ht="30" customHeight="1" thickBot="1" x14ac:dyDescent="0.3">
      <c r="A1" s="1269" t="s">
        <v>710</v>
      </c>
      <c r="B1" s="1270"/>
      <c r="C1" s="1270"/>
      <c r="D1" s="1270"/>
      <c r="E1" s="1270"/>
      <c r="F1" s="1270"/>
      <c r="G1" s="1270"/>
      <c r="H1" s="1270"/>
      <c r="I1" s="1270"/>
      <c r="J1" s="1270"/>
      <c r="K1" s="1270"/>
      <c r="L1" s="1270"/>
      <c r="M1" s="1270"/>
      <c r="N1" s="1270"/>
      <c r="O1" s="1270"/>
      <c r="P1" s="1270"/>
      <c r="Q1" s="1270"/>
      <c r="R1" s="1270"/>
      <c r="S1" s="1270"/>
      <c r="T1" s="1271"/>
      <c r="Y1" s="1269" t="s">
        <v>710</v>
      </c>
      <c r="Z1" s="1270"/>
      <c r="AA1" s="1270"/>
      <c r="AB1" s="1270"/>
      <c r="AC1" s="1270"/>
      <c r="AD1" s="1270"/>
      <c r="AE1" s="1270"/>
      <c r="AF1" s="1270"/>
      <c r="AG1" s="1270"/>
      <c r="AH1" s="1270"/>
      <c r="AI1" s="1270"/>
      <c r="AJ1" s="1270"/>
    </row>
    <row r="2" spans="1:40" ht="20.100000000000001" customHeight="1" thickBot="1" x14ac:dyDescent="0.3">
      <c r="A2" s="1297" t="s">
        <v>247</v>
      </c>
      <c r="B2" s="1298"/>
      <c r="C2" s="1298"/>
      <c r="D2" s="1298"/>
      <c r="E2" s="1298"/>
      <c r="F2" s="1298"/>
      <c r="G2" s="1298"/>
      <c r="H2" s="1298"/>
      <c r="I2" s="1298"/>
      <c r="J2" s="1298"/>
      <c r="K2" s="1298"/>
      <c r="L2" s="1298"/>
      <c r="M2" s="1298"/>
      <c r="N2" s="1298"/>
      <c r="O2" s="1298"/>
      <c r="P2" s="1298"/>
      <c r="Q2" s="1298"/>
      <c r="R2" s="1298"/>
      <c r="S2" s="1298"/>
      <c r="T2" s="1299"/>
      <c r="Y2" s="1300" t="s">
        <v>247</v>
      </c>
      <c r="Z2" s="1301"/>
      <c r="AA2" s="1301"/>
      <c r="AB2" s="1301"/>
      <c r="AC2" s="1301"/>
      <c r="AD2" s="1301"/>
      <c r="AE2" s="1301"/>
      <c r="AF2" s="1301"/>
      <c r="AG2" s="1301"/>
      <c r="AH2" s="1301"/>
      <c r="AI2" s="1301"/>
      <c r="AJ2" s="1301"/>
    </row>
    <row r="3" spans="1:40" ht="12" customHeight="1" thickBot="1" x14ac:dyDescent="0.3">
      <c r="A3" s="1279" t="s">
        <v>190</v>
      </c>
      <c r="B3" s="1280"/>
      <c r="C3" s="1280"/>
      <c r="D3" s="1281"/>
      <c r="E3" s="1279" t="s">
        <v>191</v>
      </c>
      <c r="F3" s="1280"/>
      <c r="G3" s="1280"/>
      <c r="H3" s="1281"/>
      <c r="I3" s="1279" t="s">
        <v>192</v>
      </c>
      <c r="J3" s="1280"/>
      <c r="K3" s="1280"/>
      <c r="L3" s="1281"/>
      <c r="M3" s="1279" t="s">
        <v>193</v>
      </c>
      <c r="N3" s="1280"/>
      <c r="O3" s="1280"/>
      <c r="P3" s="1281"/>
      <c r="Q3" s="1279" t="s">
        <v>194</v>
      </c>
      <c r="R3" s="1280"/>
      <c r="S3" s="1280"/>
      <c r="T3" s="1281"/>
      <c r="Y3" s="1279" t="str">
        <f>Paramètres!AL2</f>
        <v>Sort de Poison</v>
      </c>
      <c r="Z3" s="1280"/>
      <c r="AA3" s="1280"/>
      <c r="AB3" s="1281"/>
      <c r="AC3" s="1279" t="str">
        <f>Paramètres!AM2</f>
        <v>Sort de Séisme</v>
      </c>
      <c r="AD3" s="1280"/>
      <c r="AE3" s="1280"/>
      <c r="AF3" s="1281"/>
      <c r="AG3" s="1279" t="str">
        <f>Paramètres!AN2</f>
        <v>Sort de Hâte</v>
      </c>
      <c r="AH3" s="1280"/>
      <c r="AI3" s="1280"/>
      <c r="AJ3" s="1281"/>
    </row>
    <row r="4" spans="1:40" ht="23.25" thickBot="1" x14ac:dyDescent="0.3">
      <c r="A4" s="157" t="s">
        <v>17</v>
      </c>
      <c r="B4" s="158" t="s">
        <v>390</v>
      </c>
      <c r="C4" s="251" t="s">
        <v>258</v>
      </c>
      <c r="D4" s="159" t="s">
        <v>259</v>
      </c>
      <c r="E4" s="157" t="s">
        <v>17</v>
      </c>
      <c r="F4" s="158" t="s">
        <v>390</v>
      </c>
      <c r="G4" s="251" t="s">
        <v>258</v>
      </c>
      <c r="H4" s="159" t="s">
        <v>259</v>
      </c>
      <c r="I4" s="157" t="s">
        <v>17</v>
      </c>
      <c r="J4" s="158" t="s">
        <v>390</v>
      </c>
      <c r="K4" s="251" t="s">
        <v>258</v>
      </c>
      <c r="L4" s="159" t="s">
        <v>259</v>
      </c>
      <c r="M4" s="157" t="s">
        <v>17</v>
      </c>
      <c r="N4" s="158" t="s">
        <v>390</v>
      </c>
      <c r="O4" s="251" t="s">
        <v>258</v>
      </c>
      <c r="P4" s="159" t="s">
        <v>259</v>
      </c>
      <c r="Q4" s="173" t="s">
        <v>17</v>
      </c>
      <c r="R4" s="450" t="s">
        <v>390</v>
      </c>
      <c r="S4" s="451" t="s">
        <v>258</v>
      </c>
      <c r="T4" s="452" t="s">
        <v>259</v>
      </c>
      <c r="Y4" s="157" t="s">
        <v>17</v>
      </c>
      <c r="Z4" s="158" t="s">
        <v>390</v>
      </c>
      <c r="AA4" s="251" t="s">
        <v>258</v>
      </c>
      <c r="AB4" s="159" t="s">
        <v>259</v>
      </c>
      <c r="AC4" s="157" t="s">
        <v>17</v>
      </c>
      <c r="AD4" s="158" t="s">
        <v>390</v>
      </c>
      <c r="AE4" s="251" t="s">
        <v>258</v>
      </c>
      <c r="AF4" s="159" t="s">
        <v>259</v>
      </c>
      <c r="AG4" s="157" t="s">
        <v>17</v>
      </c>
      <c r="AH4" s="158" t="s">
        <v>390</v>
      </c>
      <c r="AI4" s="251" t="s">
        <v>258</v>
      </c>
      <c r="AJ4" s="159" t="s">
        <v>259</v>
      </c>
    </row>
    <row r="5" spans="1:40" x14ac:dyDescent="0.25">
      <c r="A5" s="141">
        <v>1</v>
      </c>
      <c r="B5" s="253">
        <v>2</v>
      </c>
      <c r="C5" s="405">
        <v>15000</v>
      </c>
      <c r="D5" s="163">
        <v>600</v>
      </c>
      <c r="E5" s="141">
        <v>1</v>
      </c>
      <c r="F5" s="253">
        <v>2</v>
      </c>
      <c r="G5" s="405">
        <v>15000</v>
      </c>
      <c r="H5" s="163">
        <v>600</v>
      </c>
      <c r="I5" s="141">
        <v>1</v>
      </c>
      <c r="J5" s="253">
        <v>2</v>
      </c>
      <c r="K5" s="405">
        <v>23000</v>
      </c>
      <c r="L5" s="163">
        <v>600</v>
      </c>
      <c r="M5" s="141">
        <v>1</v>
      </c>
      <c r="N5" s="253">
        <v>2</v>
      </c>
      <c r="O5" s="405">
        <v>23000</v>
      </c>
      <c r="P5" s="163">
        <v>600</v>
      </c>
      <c r="Q5" s="768">
        <v>1</v>
      </c>
      <c r="R5" s="619">
        <v>2</v>
      </c>
      <c r="S5" s="761">
        <v>26000</v>
      </c>
      <c r="T5" s="170">
        <v>600</v>
      </c>
      <c r="Y5" s="141">
        <v>1</v>
      </c>
      <c r="Z5" s="253">
        <v>1</v>
      </c>
      <c r="AA5" s="252">
        <v>95</v>
      </c>
      <c r="AB5" s="163">
        <v>300</v>
      </c>
      <c r="AC5" s="141">
        <v>1</v>
      </c>
      <c r="AD5" s="253">
        <v>1</v>
      </c>
      <c r="AE5" s="252">
        <v>125</v>
      </c>
      <c r="AF5" s="163">
        <v>300</v>
      </c>
      <c r="AG5" s="141">
        <v>1</v>
      </c>
      <c r="AH5" s="253">
        <v>1</v>
      </c>
      <c r="AI5" s="252">
        <v>80</v>
      </c>
      <c r="AJ5" s="163">
        <v>300</v>
      </c>
    </row>
    <row r="6" spans="1:40" x14ac:dyDescent="0.25">
      <c r="A6" s="7">
        <v>2</v>
      </c>
      <c r="B6" s="254">
        <v>2</v>
      </c>
      <c r="C6" s="405">
        <v>16500</v>
      </c>
      <c r="D6" s="163">
        <v>600</v>
      </c>
      <c r="E6" s="7">
        <v>2</v>
      </c>
      <c r="F6" s="254">
        <v>2</v>
      </c>
      <c r="G6" s="405">
        <v>16500</v>
      </c>
      <c r="H6" s="163">
        <v>600</v>
      </c>
      <c r="I6" s="7">
        <v>2</v>
      </c>
      <c r="J6" s="254">
        <v>2</v>
      </c>
      <c r="K6" s="405">
        <v>25000</v>
      </c>
      <c r="L6" s="163">
        <v>600</v>
      </c>
      <c r="M6" s="7">
        <v>2</v>
      </c>
      <c r="N6" s="254">
        <v>2</v>
      </c>
      <c r="O6" s="597">
        <v>27000</v>
      </c>
      <c r="P6" s="165">
        <v>600</v>
      </c>
      <c r="Q6" s="470">
        <v>2</v>
      </c>
      <c r="R6" s="618">
        <v>2</v>
      </c>
      <c r="S6" s="762">
        <v>29000</v>
      </c>
      <c r="T6" s="171">
        <v>600</v>
      </c>
      <c r="Y6" s="7">
        <v>2</v>
      </c>
      <c r="Z6" s="254">
        <v>1</v>
      </c>
      <c r="AA6" s="252">
        <v>110</v>
      </c>
      <c r="AB6" s="163">
        <v>300</v>
      </c>
      <c r="AC6" s="7">
        <v>2</v>
      </c>
      <c r="AD6" s="254">
        <v>1</v>
      </c>
      <c r="AE6" s="252">
        <v>140</v>
      </c>
      <c r="AF6" s="165">
        <v>300</v>
      </c>
      <c r="AG6" s="7">
        <v>2</v>
      </c>
      <c r="AH6" s="254">
        <v>1</v>
      </c>
      <c r="AI6" s="252">
        <v>85</v>
      </c>
      <c r="AJ6" s="165">
        <v>300</v>
      </c>
    </row>
    <row r="7" spans="1:40" ht="12" thickBot="1" x14ac:dyDescent="0.3">
      <c r="A7" s="7">
        <v>3</v>
      </c>
      <c r="B7" s="254">
        <v>2</v>
      </c>
      <c r="C7" s="405">
        <v>18000</v>
      </c>
      <c r="D7" s="163">
        <v>600</v>
      </c>
      <c r="E7" s="7">
        <v>3</v>
      </c>
      <c r="F7" s="254">
        <v>2</v>
      </c>
      <c r="G7" s="405">
        <v>18000</v>
      </c>
      <c r="H7" s="163">
        <v>600</v>
      </c>
      <c r="I7" s="7">
        <v>3</v>
      </c>
      <c r="J7" s="254">
        <v>2</v>
      </c>
      <c r="K7" s="405">
        <v>27000</v>
      </c>
      <c r="L7" s="163">
        <v>600</v>
      </c>
      <c r="M7" s="8">
        <v>3</v>
      </c>
      <c r="N7" s="624">
        <v>2</v>
      </c>
      <c r="O7" s="595">
        <v>31000</v>
      </c>
      <c r="P7" s="626">
        <v>600</v>
      </c>
      <c r="Q7" s="470">
        <v>3</v>
      </c>
      <c r="R7" s="618">
        <v>2</v>
      </c>
      <c r="S7" s="762">
        <v>31000</v>
      </c>
      <c r="T7" s="171">
        <v>600</v>
      </c>
      <c r="Y7" s="7">
        <v>3</v>
      </c>
      <c r="Z7" s="254">
        <v>1</v>
      </c>
      <c r="AA7" s="252">
        <v>145</v>
      </c>
      <c r="AB7" s="163">
        <v>300</v>
      </c>
      <c r="AC7" s="7">
        <v>3</v>
      </c>
      <c r="AD7" s="254">
        <v>1</v>
      </c>
      <c r="AE7" s="252">
        <v>160</v>
      </c>
      <c r="AF7" s="165">
        <v>300</v>
      </c>
      <c r="AG7" s="7">
        <v>3</v>
      </c>
      <c r="AH7" s="254">
        <v>1</v>
      </c>
      <c r="AI7" s="252">
        <v>90</v>
      </c>
      <c r="AJ7" s="165">
        <v>300</v>
      </c>
    </row>
    <row r="8" spans="1:40" ht="12" thickBot="1" x14ac:dyDescent="0.3">
      <c r="A8" s="7">
        <v>4</v>
      </c>
      <c r="B8" s="254">
        <v>2</v>
      </c>
      <c r="C8" s="405">
        <v>20000</v>
      </c>
      <c r="D8" s="163">
        <v>600</v>
      </c>
      <c r="E8" s="7">
        <v>4</v>
      </c>
      <c r="F8" s="254">
        <v>2</v>
      </c>
      <c r="G8" s="405">
        <v>20000</v>
      </c>
      <c r="H8" s="163">
        <v>600</v>
      </c>
      <c r="I8" s="7">
        <v>4</v>
      </c>
      <c r="J8" s="254">
        <v>2</v>
      </c>
      <c r="K8" s="405">
        <v>30000</v>
      </c>
      <c r="L8" s="163">
        <v>600</v>
      </c>
      <c r="Q8" s="470">
        <v>4</v>
      </c>
      <c r="R8" s="618">
        <v>2</v>
      </c>
      <c r="S8" s="762">
        <v>33000</v>
      </c>
      <c r="T8" s="171">
        <v>600</v>
      </c>
      <c r="Y8" s="8">
        <v>4</v>
      </c>
      <c r="Z8" s="255">
        <v>1</v>
      </c>
      <c r="AA8" s="252">
        <v>180</v>
      </c>
      <c r="AB8" s="163">
        <v>300</v>
      </c>
      <c r="AC8" s="7">
        <v>4</v>
      </c>
      <c r="AD8" s="254">
        <v>1</v>
      </c>
      <c r="AE8" s="252">
        <v>180</v>
      </c>
      <c r="AF8" s="165">
        <v>300</v>
      </c>
      <c r="AG8" s="7">
        <v>4</v>
      </c>
      <c r="AH8" s="254">
        <v>1</v>
      </c>
      <c r="AI8" s="252">
        <v>95</v>
      </c>
      <c r="AJ8" s="165">
        <v>300</v>
      </c>
    </row>
    <row r="9" spans="1:40" ht="12" thickBot="1" x14ac:dyDescent="0.3">
      <c r="A9" s="7">
        <v>5</v>
      </c>
      <c r="B9" s="254">
        <v>2</v>
      </c>
      <c r="C9" s="405">
        <v>22000</v>
      </c>
      <c r="D9" s="163">
        <v>600</v>
      </c>
      <c r="E9" s="7">
        <v>5</v>
      </c>
      <c r="F9" s="254">
        <v>2</v>
      </c>
      <c r="G9" s="405">
        <v>22000</v>
      </c>
      <c r="H9" s="163">
        <v>600</v>
      </c>
      <c r="I9" s="8">
        <v>5</v>
      </c>
      <c r="J9" s="255">
        <v>2</v>
      </c>
      <c r="K9" s="405">
        <v>33000</v>
      </c>
      <c r="L9" s="163">
        <v>600</v>
      </c>
      <c r="Q9" s="477">
        <v>5</v>
      </c>
      <c r="R9" s="620">
        <v>2</v>
      </c>
      <c r="S9" s="763">
        <v>35000</v>
      </c>
      <c r="T9" s="448">
        <v>600</v>
      </c>
    </row>
    <row r="10" spans="1:40" ht="12" thickBot="1" x14ac:dyDescent="0.3">
      <c r="A10" s="8">
        <v>6</v>
      </c>
      <c r="B10" s="255">
        <v>2</v>
      </c>
      <c r="C10" s="405">
        <v>24000</v>
      </c>
      <c r="D10" s="163">
        <v>600</v>
      </c>
      <c r="E10" s="8">
        <v>6</v>
      </c>
      <c r="F10" s="255">
        <v>2</v>
      </c>
      <c r="G10" s="405">
        <v>24000</v>
      </c>
      <c r="H10" s="163">
        <v>600</v>
      </c>
    </row>
    <row r="11" spans="1:40" ht="12" customHeight="1" x14ac:dyDescent="0.25">
      <c r="A11" s="184">
        <v>7</v>
      </c>
      <c r="B11" s="255">
        <v>2</v>
      </c>
      <c r="C11" s="839">
        <v>26000</v>
      </c>
      <c r="D11" s="840">
        <v>600</v>
      </c>
    </row>
    <row r="12" spans="1:40" ht="12" customHeight="1" thickBot="1" x14ac:dyDescent="0.3"/>
    <row r="13" spans="1:40" ht="30" customHeight="1" thickBot="1" x14ac:dyDescent="0.3">
      <c r="A13" s="1269" t="s">
        <v>389</v>
      </c>
      <c r="B13" s="1270"/>
      <c r="C13" s="1270"/>
      <c r="D13" s="1270"/>
      <c r="E13" s="1270"/>
      <c r="F13" s="1270"/>
      <c r="G13" s="1270"/>
      <c r="H13" s="1270"/>
      <c r="I13" s="1270"/>
      <c r="J13" s="1270"/>
      <c r="K13" s="1270"/>
      <c r="L13" s="1270"/>
      <c r="M13" s="1270"/>
      <c r="N13" s="1270"/>
      <c r="O13" s="1270"/>
      <c r="P13" s="1270"/>
      <c r="Q13" s="1270"/>
      <c r="R13" s="1270"/>
      <c r="S13" s="1270"/>
      <c r="T13" s="1270"/>
      <c r="U13" s="1270"/>
      <c r="V13" s="1270"/>
      <c r="W13" s="1270"/>
      <c r="X13" s="1270"/>
      <c r="Y13" s="1270"/>
      <c r="Z13" s="1270"/>
      <c r="AA13" s="1270"/>
      <c r="AB13" s="1270"/>
      <c r="AC13" s="1270"/>
      <c r="AD13" s="1270"/>
      <c r="AE13" s="1270"/>
      <c r="AF13" s="1270"/>
      <c r="AG13" s="1270"/>
      <c r="AH13" s="1270"/>
      <c r="AI13" s="1270"/>
      <c r="AJ13" s="1270"/>
      <c r="AK13" s="1270"/>
      <c r="AL13" s="1270"/>
      <c r="AM13" s="1270"/>
      <c r="AN13" s="1271"/>
    </row>
    <row r="14" spans="1:40" ht="20.100000000000001" customHeight="1" thickBot="1" x14ac:dyDescent="0.3">
      <c r="A14" s="1297" t="s">
        <v>247</v>
      </c>
      <c r="B14" s="1298"/>
      <c r="C14" s="1298"/>
      <c r="D14" s="1298"/>
      <c r="E14" s="1298"/>
      <c r="F14" s="1298"/>
      <c r="G14" s="1298"/>
      <c r="H14" s="1298"/>
      <c r="I14" s="1298"/>
      <c r="J14" s="1298"/>
      <c r="K14" s="1298"/>
      <c r="L14" s="1298"/>
      <c r="M14" s="1298"/>
      <c r="N14" s="1298"/>
      <c r="O14" s="1298"/>
      <c r="P14" s="1298"/>
      <c r="Q14" s="1298"/>
      <c r="R14" s="1298"/>
      <c r="S14" s="1298"/>
      <c r="T14" s="1298"/>
      <c r="U14" s="1298"/>
      <c r="V14" s="1298"/>
      <c r="W14" s="1298"/>
      <c r="X14" s="1298"/>
      <c r="Y14" s="1298"/>
      <c r="Z14" s="1298"/>
      <c r="AA14" s="1298"/>
      <c r="AB14" s="1298"/>
      <c r="AC14" s="1298"/>
      <c r="AD14" s="1298"/>
      <c r="AE14" s="1298"/>
      <c r="AF14" s="1298"/>
      <c r="AG14" s="1298"/>
      <c r="AH14" s="1298"/>
      <c r="AI14" s="1298"/>
      <c r="AJ14" s="1298"/>
      <c r="AK14" s="1298"/>
      <c r="AL14" s="1298"/>
      <c r="AM14" s="1298"/>
      <c r="AN14" s="1299"/>
    </row>
    <row r="15" spans="1:40" ht="15.75" customHeight="1" thickBot="1" x14ac:dyDescent="0.3">
      <c r="A15" s="1279" t="s">
        <v>195</v>
      </c>
      <c r="B15" s="1280"/>
      <c r="C15" s="1280"/>
      <c r="D15" s="1281"/>
      <c r="E15" s="1279" t="s">
        <v>50</v>
      </c>
      <c r="F15" s="1280"/>
      <c r="G15" s="1280"/>
      <c r="H15" s="1281"/>
      <c r="I15" s="1279" t="s">
        <v>189</v>
      </c>
      <c r="J15" s="1280"/>
      <c r="K15" s="1280"/>
      <c r="L15" s="1281"/>
      <c r="M15" s="1279" t="s">
        <v>188</v>
      </c>
      <c r="N15" s="1280"/>
      <c r="O15" s="1280"/>
      <c r="P15" s="1281"/>
      <c r="Q15" s="1279" t="s">
        <v>187</v>
      </c>
      <c r="R15" s="1280"/>
      <c r="S15" s="1280"/>
      <c r="T15" s="1281"/>
      <c r="U15" s="1279" t="s">
        <v>186</v>
      </c>
      <c r="V15" s="1280"/>
      <c r="W15" s="1280"/>
      <c r="X15" s="1281"/>
      <c r="Y15" s="1279" t="s">
        <v>185</v>
      </c>
      <c r="Z15" s="1280"/>
      <c r="AA15" s="1280"/>
      <c r="AB15" s="1281"/>
      <c r="AC15" s="1279" t="s">
        <v>184</v>
      </c>
      <c r="AD15" s="1280"/>
      <c r="AE15" s="1280"/>
      <c r="AF15" s="1281"/>
      <c r="AG15" s="1279" t="s">
        <v>57</v>
      </c>
      <c r="AH15" s="1280"/>
      <c r="AI15" s="1280"/>
      <c r="AJ15" s="1281"/>
      <c r="AK15" s="1279" t="s">
        <v>58</v>
      </c>
      <c r="AL15" s="1280"/>
      <c r="AM15" s="1280"/>
      <c r="AN15" s="1281"/>
    </row>
    <row r="16" spans="1:40" ht="23.25" thickBot="1" x14ac:dyDescent="0.3">
      <c r="A16" s="173" t="s">
        <v>17</v>
      </c>
      <c r="B16" s="450" t="s">
        <v>390</v>
      </c>
      <c r="C16" s="451" t="s">
        <v>258</v>
      </c>
      <c r="D16" s="452" t="s">
        <v>259</v>
      </c>
      <c r="E16" s="173" t="s">
        <v>17</v>
      </c>
      <c r="F16" s="450" t="s">
        <v>390</v>
      </c>
      <c r="G16" s="451" t="s">
        <v>258</v>
      </c>
      <c r="H16" s="452" t="s">
        <v>259</v>
      </c>
      <c r="I16" s="173" t="s">
        <v>17</v>
      </c>
      <c r="J16" s="450" t="s">
        <v>390</v>
      </c>
      <c r="K16" s="451" t="s">
        <v>258</v>
      </c>
      <c r="L16" s="452" t="s">
        <v>259</v>
      </c>
      <c r="M16" s="173" t="s">
        <v>17</v>
      </c>
      <c r="N16" s="450" t="s">
        <v>390</v>
      </c>
      <c r="O16" s="451" t="s">
        <v>258</v>
      </c>
      <c r="P16" s="452" t="s">
        <v>259</v>
      </c>
      <c r="Q16" s="173" t="s">
        <v>17</v>
      </c>
      <c r="R16" s="450" t="s">
        <v>390</v>
      </c>
      <c r="S16" s="451" t="s">
        <v>258</v>
      </c>
      <c r="T16" s="452" t="s">
        <v>259</v>
      </c>
      <c r="U16" s="157" t="s">
        <v>17</v>
      </c>
      <c r="V16" s="158" t="s">
        <v>390</v>
      </c>
      <c r="W16" s="251" t="s">
        <v>258</v>
      </c>
      <c r="X16" s="159" t="s">
        <v>259</v>
      </c>
      <c r="Y16" s="157" t="s">
        <v>17</v>
      </c>
      <c r="Z16" s="158" t="s">
        <v>390</v>
      </c>
      <c r="AA16" s="251" t="s">
        <v>258</v>
      </c>
      <c r="AB16" s="159" t="s">
        <v>259</v>
      </c>
      <c r="AC16" s="157" t="s">
        <v>17</v>
      </c>
      <c r="AD16" s="158" t="s">
        <v>390</v>
      </c>
      <c r="AE16" s="251" t="s">
        <v>258</v>
      </c>
      <c r="AF16" s="159" t="s">
        <v>259</v>
      </c>
      <c r="AG16" s="157" t="s">
        <v>17</v>
      </c>
      <c r="AH16" s="158" t="s">
        <v>390</v>
      </c>
      <c r="AI16" s="251" t="s">
        <v>258</v>
      </c>
      <c r="AJ16" s="159" t="s">
        <v>259</v>
      </c>
      <c r="AK16" s="173" t="s">
        <v>17</v>
      </c>
      <c r="AL16" s="450" t="s">
        <v>390</v>
      </c>
      <c r="AM16" s="451" t="s">
        <v>258</v>
      </c>
      <c r="AN16" s="452" t="s">
        <v>259</v>
      </c>
    </row>
    <row r="17" spans="1:40" x14ac:dyDescent="0.25">
      <c r="A17" s="598">
        <v>1</v>
      </c>
      <c r="B17" s="619">
        <v>1</v>
      </c>
      <c r="C17" s="596">
        <v>25</v>
      </c>
      <c r="D17" s="170">
        <v>20</v>
      </c>
      <c r="E17" s="598">
        <v>1</v>
      </c>
      <c r="F17" s="619">
        <v>1</v>
      </c>
      <c r="G17" s="596">
        <v>50</v>
      </c>
      <c r="H17" s="170">
        <v>25</v>
      </c>
      <c r="I17" s="598">
        <v>1</v>
      </c>
      <c r="J17" s="619">
        <v>1</v>
      </c>
      <c r="K17" s="596">
        <v>25</v>
      </c>
      <c r="L17" s="621">
        <v>30</v>
      </c>
      <c r="M17" s="598">
        <v>1</v>
      </c>
      <c r="N17" s="619">
        <v>5</v>
      </c>
      <c r="O17" s="596">
        <v>250</v>
      </c>
      <c r="P17" s="170">
        <v>120</v>
      </c>
      <c r="Q17" s="447">
        <v>1</v>
      </c>
      <c r="R17" s="453">
        <v>2</v>
      </c>
      <c r="S17" s="436">
        <v>1000</v>
      </c>
      <c r="T17" s="170">
        <v>60</v>
      </c>
      <c r="U17" s="12">
        <v>1</v>
      </c>
      <c r="V17" s="253">
        <v>5</v>
      </c>
      <c r="W17" s="405">
        <v>2000</v>
      </c>
      <c r="X17" s="163">
        <v>300</v>
      </c>
      <c r="Y17" s="141">
        <v>1</v>
      </c>
      <c r="Z17" s="253">
        <v>4</v>
      </c>
      <c r="AA17" s="405">
        <v>1500</v>
      </c>
      <c r="AB17" s="163">
        <v>300</v>
      </c>
      <c r="AC17" s="141">
        <v>1</v>
      </c>
      <c r="AD17" s="253">
        <v>14</v>
      </c>
      <c r="AE17" s="405">
        <v>5000</v>
      </c>
      <c r="AF17" s="163">
        <v>600</v>
      </c>
      <c r="AG17" s="51">
        <v>1</v>
      </c>
      <c r="AH17" s="253">
        <v>20</v>
      </c>
      <c r="AI17" s="405">
        <v>25000</v>
      </c>
      <c r="AJ17" s="163">
        <v>900</v>
      </c>
      <c r="AK17" s="666">
        <v>1</v>
      </c>
      <c r="AL17" s="619">
        <v>25</v>
      </c>
      <c r="AM17" s="662">
        <v>28000</v>
      </c>
      <c r="AN17" s="170">
        <v>900</v>
      </c>
    </row>
    <row r="18" spans="1:40" x14ac:dyDescent="0.25">
      <c r="A18" s="470">
        <v>2</v>
      </c>
      <c r="B18" s="618">
        <v>1</v>
      </c>
      <c r="C18" s="597">
        <v>40</v>
      </c>
      <c r="D18" s="171">
        <v>20</v>
      </c>
      <c r="E18" s="470">
        <v>2</v>
      </c>
      <c r="F18" s="618">
        <v>1</v>
      </c>
      <c r="G18" s="597">
        <v>80</v>
      </c>
      <c r="H18" s="171">
        <v>25</v>
      </c>
      <c r="I18" s="470">
        <v>2</v>
      </c>
      <c r="J18" s="618">
        <v>1</v>
      </c>
      <c r="K18" s="597">
        <v>40</v>
      </c>
      <c r="L18" s="165">
        <v>30</v>
      </c>
      <c r="M18" s="470">
        <v>2</v>
      </c>
      <c r="N18" s="618">
        <v>5</v>
      </c>
      <c r="O18" s="597">
        <v>750</v>
      </c>
      <c r="P18" s="171">
        <v>120</v>
      </c>
      <c r="Q18" s="13">
        <v>2</v>
      </c>
      <c r="R18" s="254">
        <v>2</v>
      </c>
      <c r="S18" s="437">
        <v>1500</v>
      </c>
      <c r="T18" s="171">
        <v>60</v>
      </c>
      <c r="U18" s="13">
        <v>2</v>
      </c>
      <c r="V18" s="254">
        <v>5</v>
      </c>
      <c r="W18" s="389">
        <v>2500</v>
      </c>
      <c r="X18" s="165">
        <v>300</v>
      </c>
      <c r="Y18" s="7">
        <v>2</v>
      </c>
      <c r="Z18" s="254">
        <v>4</v>
      </c>
      <c r="AA18" s="389">
        <v>2000</v>
      </c>
      <c r="AB18" s="165">
        <v>300</v>
      </c>
      <c r="AC18" s="7">
        <v>2</v>
      </c>
      <c r="AD18" s="254">
        <v>14</v>
      </c>
      <c r="AE18" s="389">
        <v>6000</v>
      </c>
      <c r="AF18" s="165">
        <v>600</v>
      </c>
      <c r="AG18" s="7">
        <v>2</v>
      </c>
      <c r="AH18" s="254">
        <v>20</v>
      </c>
      <c r="AI18" s="389">
        <v>29000</v>
      </c>
      <c r="AJ18" s="165">
        <v>900</v>
      </c>
      <c r="AK18" s="470">
        <v>2</v>
      </c>
      <c r="AL18" s="618">
        <v>25</v>
      </c>
      <c r="AM18" s="663">
        <v>35000</v>
      </c>
      <c r="AN18" s="171">
        <v>900</v>
      </c>
    </row>
    <row r="19" spans="1:40" x14ac:dyDescent="0.25">
      <c r="A19" s="470">
        <v>3</v>
      </c>
      <c r="B19" s="618">
        <v>1</v>
      </c>
      <c r="C19" s="597">
        <v>60</v>
      </c>
      <c r="D19" s="171">
        <v>20</v>
      </c>
      <c r="E19" s="470">
        <v>3</v>
      </c>
      <c r="F19" s="618">
        <v>1</v>
      </c>
      <c r="G19" s="597">
        <v>120</v>
      </c>
      <c r="H19" s="171">
        <v>25</v>
      </c>
      <c r="I19" s="470">
        <v>3</v>
      </c>
      <c r="J19" s="618">
        <v>1</v>
      </c>
      <c r="K19" s="597">
        <v>60</v>
      </c>
      <c r="L19" s="165">
        <v>30</v>
      </c>
      <c r="M19" s="470">
        <v>3</v>
      </c>
      <c r="N19" s="618">
        <v>5</v>
      </c>
      <c r="O19" s="597">
        <v>1250</v>
      </c>
      <c r="P19" s="171">
        <v>120</v>
      </c>
      <c r="Q19" s="13">
        <v>3</v>
      </c>
      <c r="R19" s="254">
        <v>2</v>
      </c>
      <c r="S19" s="437">
        <v>2000</v>
      </c>
      <c r="T19" s="171">
        <v>60</v>
      </c>
      <c r="U19" s="13">
        <v>3</v>
      </c>
      <c r="V19" s="254">
        <v>5</v>
      </c>
      <c r="W19" s="389">
        <v>3000</v>
      </c>
      <c r="X19" s="165">
        <v>300</v>
      </c>
      <c r="Y19" s="7">
        <v>3</v>
      </c>
      <c r="Z19" s="254">
        <v>4</v>
      </c>
      <c r="AA19" s="389">
        <v>2500</v>
      </c>
      <c r="AB19" s="165">
        <v>300</v>
      </c>
      <c r="AC19" s="7">
        <v>3</v>
      </c>
      <c r="AD19" s="254">
        <v>14</v>
      </c>
      <c r="AE19" s="389">
        <v>8000</v>
      </c>
      <c r="AF19" s="165">
        <v>600</v>
      </c>
      <c r="AG19" s="7">
        <v>3</v>
      </c>
      <c r="AH19" s="254">
        <v>20</v>
      </c>
      <c r="AI19" s="389">
        <v>33000</v>
      </c>
      <c r="AJ19" s="165">
        <v>900</v>
      </c>
      <c r="AK19" s="470">
        <v>3</v>
      </c>
      <c r="AL19" s="618">
        <v>25</v>
      </c>
      <c r="AM19" s="663">
        <v>36000</v>
      </c>
      <c r="AN19" s="171">
        <v>900</v>
      </c>
    </row>
    <row r="20" spans="1:40" ht="12" thickBot="1" x14ac:dyDescent="0.3">
      <c r="A20" s="470">
        <v>4</v>
      </c>
      <c r="B20" s="618">
        <v>1</v>
      </c>
      <c r="C20" s="597">
        <v>100</v>
      </c>
      <c r="D20" s="171">
        <v>20</v>
      </c>
      <c r="E20" s="470">
        <v>4</v>
      </c>
      <c r="F20" s="618">
        <v>1</v>
      </c>
      <c r="G20" s="597">
        <v>200</v>
      </c>
      <c r="H20" s="171">
        <v>25</v>
      </c>
      <c r="I20" s="470">
        <v>4</v>
      </c>
      <c r="J20" s="618">
        <v>1</v>
      </c>
      <c r="K20" s="597">
        <v>80</v>
      </c>
      <c r="L20" s="165">
        <v>30</v>
      </c>
      <c r="M20" s="470">
        <v>4</v>
      </c>
      <c r="N20" s="618">
        <v>5</v>
      </c>
      <c r="O20" s="597">
        <v>1750</v>
      </c>
      <c r="P20" s="171">
        <v>120</v>
      </c>
      <c r="Q20" s="13">
        <v>4</v>
      </c>
      <c r="R20" s="254">
        <v>2</v>
      </c>
      <c r="S20" s="437">
        <v>2500</v>
      </c>
      <c r="T20" s="171">
        <v>60</v>
      </c>
      <c r="U20" s="13">
        <v>4</v>
      </c>
      <c r="V20" s="254">
        <v>5</v>
      </c>
      <c r="W20" s="389">
        <v>3500</v>
      </c>
      <c r="X20" s="165">
        <v>300</v>
      </c>
      <c r="Y20" s="7">
        <v>4</v>
      </c>
      <c r="Z20" s="254">
        <v>4</v>
      </c>
      <c r="AA20" s="389">
        <v>3000</v>
      </c>
      <c r="AB20" s="165">
        <v>300</v>
      </c>
      <c r="AC20" s="8">
        <v>4</v>
      </c>
      <c r="AD20" s="255">
        <v>14</v>
      </c>
      <c r="AE20" s="402">
        <v>10000</v>
      </c>
      <c r="AF20" s="167">
        <v>600</v>
      </c>
      <c r="AG20" s="8">
        <v>4</v>
      </c>
      <c r="AH20" s="255">
        <v>20</v>
      </c>
      <c r="AI20" s="402">
        <v>37000</v>
      </c>
      <c r="AJ20" s="167">
        <v>900</v>
      </c>
      <c r="AK20" s="470">
        <v>4</v>
      </c>
      <c r="AL20" s="618">
        <v>25</v>
      </c>
      <c r="AM20" s="663">
        <v>40000</v>
      </c>
      <c r="AN20" s="171">
        <v>900</v>
      </c>
    </row>
    <row r="21" spans="1:40" ht="12" thickBot="1" x14ac:dyDescent="0.3">
      <c r="A21" s="470">
        <v>5</v>
      </c>
      <c r="B21" s="618">
        <v>1</v>
      </c>
      <c r="C21" s="597">
        <v>150</v>
      </c>
      <c r="D21" s="171">
        <v>20</v>
      </c>
      <c r="E21" s="470">
        <v>5</v>
      </c>
      <c r="F21" s="618">
        <v>1</v>
      </c>
      <c r="G21" s="597">
        <v>300</v>
      </c>
      <c r="H21" s="171">
        <v>25</v>
      </c>
      <c r="I21" s="470">
        <v>5</v>
      </c>
      <c r="J21" s="618">
        <v>1</v>
      </c>
      <c r="K21" s="597">
        <v>100</v>
      </c>
      <c r="L21" s="165">
        <v>30</v>
      </c>
      <c r="M21" s="470">
        <v>5</v>
      </c>
      <c r="N21" s="618">
        <v>5</v>
      </c>
      <c r="O21" s="597">
        <v>2250</v>
      </c>
      <c r="P21" s="171">
        <v>120</v>
      </c>
      <c r="Q21" s="13">
        <v>5</v>
      </c>
      <c r="R21" s="254">
        <v>2</v>
      </c>
      <c r="S21" s="437">
        <v>3000</v>
      </c>
      <c r="T21" s="171">
        <v>60</v>
      </c>
      <c r="U21" s="13">
        <v>5</v>
      </c>
      <c r="V21" s="254">
        <v>5</v>
      </c>
      <c r="W21" s="389">
        <v>4000</v>
      </c>
      <c r="X21" s="165">
        <v>300</v>
      </c>
      <c r="Y21" s="13">
        <v>5</v>
      </c>
      <c r="Z21" s="254">
        <v>4</v>
      </c>
      <c r="AA21" s="485">
        <v>3500</v>
      </c>
      <c r="AB21" s="165">
        <v>300</v>
      </c>
      <c r="AG21" s="769">
        <v>5</v>
      </c>
      <c r="AH21" s="618">
        <v>20</v>
      </c>
      <c r="AI21" s="762">
        <v>41000</v>
      </c>
      <c r="AJ21" s="165">
        <v>900</v>
      </c>
      <c r="AK21" s="477">
        <v>5</v>
      </c>
      <c r="AL21" s="620">
        <v>25</v>
      </c>
      <c r="AM21" s="664">
        <v>45000</v>
      </c>
      <c r="AN21" s="448">
        <v>900</v>
      </c>
    </row>
    <row r="22" spans="1:40" ht="12" thickBot="1" x14ac:dyDescent="0.3">
      <c r="A22" s="470">
        <v>6</v>
      </c>
      <c r="B22" s="618">
        <v>1</v>
      </c>
      <c r="C22" s="597">
        <v>200</v>
      </c>
      <c r="D22" s="171">
        <v>20</v>
      </c>
      <c r="E22" s="470">
        <v>6</v>
      </c>
      <c r="F22" s="618">
        <v>1</v>
      </c>
      <c r="G22" s="597">
        <v>400</v>
      </c>
      <c r="H22" s="171">
        <v>25</v>
      </c>
      <c r="I22" s="477">
        <v>6</v>
      </c>
      <c r="J22" s="620">
        <v>1</v>
      </c>
      <c r="K22" s="595">
        <v>150</v>
      </c>
      <c r="L22" s="622">
        <v>30</v>
      </c>
      <c r="M22" s="470">
        <v>6</v>
      </c>
      <c r="N22" s="618">
        <v>5</v>
      </c>
      <c r="O22" s="597">
        <v>3000</v>
      </c>
      <c r="P22" s="171">
        <v>120</v>
      </c>
      <c r="Q22" s="449">
        <v>6</v>
      </c>
      <c r="R22" s="454">
        <v>2</v>
      </c>
      <c r="S22" s="438">
        <v>3500</v>
      </c>
      <c r="T22" s="448">
        <v>60</v>
      </c>
      <c r="U22" s="449">
        <v>6</v>
      </c>
      <c r="V22" s="255">
        <v>5</v>
      </c>
      <c r="W22" s="402">
        <v>4500</v>
      </c>
      <c r="X22" s="167">
        <v>300</v>
      </c>
      <c r="Y22" s="449">
        <v>6</v>
      </c>
      <c r="Z22" s="255">
        <v>4</v>
      </c>
      <c r="AA22" s="402">
        <v>4000</v>
      </c>
      <c r="AB22" s="167">
        <v>300</v>
      </c>
    </row>
    <row r="23" spans="1:40" ht="12" customHeight="1" thickBot="1" x14ac:dyDescent="0.3">
      <c r="A23" s="477">
        <v>7</v>
      </c>
      <c r="B23" s="620">
        <v>1</v>
      </c>
      <c r="C23" s="595">
        <v>250</v>
      </c>
      <c r="D23" s="448">
        <v>20</v>
      </c>
      <c r="E23" s="477">
        <v>7</v>
      </c>
      <c r="F23" s="620">
        <v>1</v>
      </c>
      <c r="G23" s="595">
        <v>500</v>
      </c>
      <c r="H23" s="448">
        <v>25</v>
      </c>
      <c r="I23" s="1026">
        <v>7</v>
      </c>
      <c r="J23" s="827">
        <v>1</v>
      </c>
      <c r="K23" s="402">
        <v>200</v>
      </c>
      <c r="L23" s="167">
        <v>30</v>
      </c>
      <c r="M23" s="477">
        <v>7</v>
      </c>
      <c r="N23" s="620">
        <v>5</v>
      </c>
      <c r="O23" s="595">
        <v>3500</v>
      </c>
      <c r="P23" s="448">
        <v>120</v>
      </c>
    </row>
    <row r="24" spans="1:40" ht="12" customHeight="1" x14ac:dyDescent="0.25"/>
    <row r="25" spans="1:40" ht="12" customHeight="1" x14ac:dyDescent="0.25"/>
    <row r="26" spans="1:40" ht="30" customHeight="1" x14ac:dyDescent="0.25">
      <c r="A26" s="1087" t="s">
        <v>391</v>
      </c>
      <c r="B26" s="1088"/>
      <c r="C26" s="1088"/>
      <c r="D26" s="1088"/>
      <c r="E26" s="1088"/>
      <c r="F26" s="1088"/>
      <c r="G26" s="1088"/>
      <c r="H26" s="1088"/>
      <c r="I26" s="1088"/>
      <c r="J26" s="1088"/>
      <c r="K26" s="1088"/>
      <c r="L26" s="1088"/>
      <c r="M26" s="1088"/>
      <c r="N26" s="1088"/>
      <c r="O26" s="1088"/>
      <c r="P26" s="1088"/>
      <c r="Q26" s="1088"/>
      <c r="R26" s="1088"/>
      <c r="S26" s="1088"/>
      <c r="T26" s="1088"/>
      <c r="U26" s="1088"/>
      <c r="V26" s="1088"/>
      <c r="W26" s="1088"/>
      <c r="X26" s="1088"/>
      <c r="Y26" s="1088"/>
      <c r="Z26" s="1088"/>
      <c r="AA26" s="1088"/>
      <c r="AB26" s="1088"/>
      <c r="AE26" s="1087" t="s">
        <v>392</v>
      </c>
      <c r="AF26" s="1088"/>
      <c r="AG26" s="1088"/>
      <c r="AH26" s="1088"/>
      <c r="AI26" s="1088"/>
      <c r="AJ26" s="1088"/>
      <c r="AK26" s="1088"/>
      <c r="AL26" s="1088"/>
      <c r="AM26" s="1088"/>
      <c r="AN26" s="1088"/>
    </row>
    <row r="27" spans="1:40" ht="20.100000000000001" customHeight="1" thickBot="1" x14ac:dyDescent="0.3">
      <c r="A27" s="1307" t="s">
        <v>248</v>
      </c>
      <c r="B27" s="1308"/>
      <c r="C27" s="1308"/>
      <c r="D27" s="1308"/>
      <c r="E27" s="1308"/>
      <c r="F27" s="1308"/>
      <c r="G27" s="1308"/>
      <c r="H27" s="1308"/>
      <c r="I27" s="1308"/>
      <c r="J27" s="1308"/>
      <c r="K27" s="1308"/>
      <c r="L27" s="1308"/>
      <c r="M27" s="1308"/>
      <c r="N27" s="1308"/>
      <c r="O27" s="1308"/>
      <c r="P27" s="1308"/>
      <c r="Q27" s="1308"/>
      <c r="R27" s="1308"/>
      <c r="S27" s="1308"/>
      <c r="T27" s="1308"/>
      <c r="U27" s="1308"/>
      <c r="V27" s="1308"/>
      <c r="W27" s="1308"/>
      <c r="X27" s="1308"/>
      <c r="Y27" s="1308"/>
      <c r="Z27" s="1308"/>
      <c r="AA27" s="1308"/>
      <c r="AB27" s="1308"/>
      <c r="AE27" s="1130"/>
      <c r="AF27" s="1130"/>
      <c r="AG27" s="1130"/>
      <c r="AH27" s="1130"/>
      <c r="AI27" s="1130"/>
      <c r="AJ27" s="1130"/>
      <c r="AK27" s="1130"/>
      <c r="AL27" s="1130"/>
      <c r="AM27" s="1130"/>
      <c r="AN27" s="1130"/>
    </row>
    <row r="28" spans="1:40" ht="12" customHeight="1" thickBot="1" x14ac:dyDescent="0.3">
      <c r="A28" s="1285" t="s">
        <v>183</v>
      </c>
      <c r="B28" s="1286"/>
      <c r="C28" s="1286"/>
      <c r="D28" s="1287"/>
      <c r="E28" s="1285" t="s">
        <v>245</v>
      </c>
      <c r="F28" s="1286"/>
      <c r="G28" s="1286"/>
      <c r="H28" s="1287"/>
      <c r="I28" s="1285" t="s">
        <v>66</v>
      </c>
      <c r="J28" s="1286"/>
      <c r="K28" s="1286"/>
      <c r="L28" s="1287"/>
      <c r="M28" s="1285" t="s">
        <v>67</v>
      </c>
      <c r="N28" s="1286"/>
      <c r="O28" s="1286"/>
      <c r="P28" s="1287"/>
      <c r="Q28" s="1285" t="s">
        <v>536</v>
      </c>
      <c r="R28" s="1286"/>
      <c r="S28" s="1286"/>
      <c r="T28" s="1287"/>
      <c r="U28" s="1285" t="s">
        <v>573</v>
      </c>
      <c r="V28" s="1286"/>
      <c r="W28" s="1286"/>
      <c r="X28" s="1287"/>
      <c r="Y28" s="1285" t="s">
        <v>818</v>
      </c>
      <c r="Z28" s="1286"/>
      <c r="AA28" s="1286"/>
      <c r="AB28" s="1287"/>
      <c r="AE28" s="1305" t="s">
        <v>701</v>
      </c>
      <c r="AF28" s="1306"/>
      <c r="AG28" s="1305" t="s">
        <v>209</v>
      </c>
      <c r="AH28" s="1306"/>
      <c r="AI28" s="1305" t="s">
        <v>343</v>
      </c>
      <c r="AJ28" s="1306"/>
      <c r="AK28" s="1305" t="s">
        <v>338</v>
      </c>
      <c r="AL28" s="1306"/>
      <c r="AM28" s="1305" t="s">
        <v>207</v>
      </c>
      <c r="AN28" s="1306"/>
    </row>
    <row r="29" spans="1:40" ht="23.25" thickBot="1" x14ac:dyDescent="0.3">
      <c r="A29" s="157" t="s">
        <v>17</v>
      </c>
      <c r="B29" s="158" t="s">
        <v>390</v>
      </c>
      <c r="C29" s="251" t="s">
        <v>258</v>
      </c>
      <c r="D29" s="159" t="s">
        <v>259</v>
      </c>
      <c r="E29" s="157" t="s">
        <v>17</v>
      </c>
      <c r="F29" s="158" t="s">
        <v>390</v>
      </c>
      <c r="G29" s="251" t="s">
        <v>258</v>
      </c>
      <c r="H29" s="159" t="s">
        <v>259</v>
      </c>
      <c r="I29" s="157" t="s">
        <v>17</v>
      </c>
      <c r="J29" s="158" t="s">
        <v>390</v>
      </c>
      <c r="K29" s="251" t="s">
        <v>258</v>
      </c>
      <c r="L29" s="159" t="s">
        <v>259</v>
      </c>
      <c r="M29" s="157" t="s">
        <v>17</v>
      </c>
      <c r="N29" s="158" t="s">
        <v>390</v>
      </c>
      <c r="O29" s="251" t="s">
        <v>258</v>
      </c>
      <c r="P29" s="159" t="s">
        <v>259</v>
      </c>
      <c r="Q29" s="157" t="s">
        <v>17</v>
      </c>
      <c r="R29" s="158" t="s">
        <v>390</v>
      </c>
      <c r="S29" s="251" t="s">
        <v>258</v>
      </c>
      <c r="T29" s="159" t="s">
        <v>259</v>
      </c>
      <c r="U29" s="157" t="s">
        <v>17</v>
      </c>
      <c r="V29" s="158" t="s">
        <v>390</v>
      </c>
      <c r="W29" s="251" t="s">
        <v>258</v>
      </c>
      <c r="X29" s="159" t="s">
        <v>259</v>
      </c>
      <c r="Y29" s="157" t="s">
        <v>17</v>
      </c>
      <c r="Z29" s="158" t="s">
        <v>390</v>
      </c>
      <c r="AA29" s="251" t="s">
        <v>258</v>
      </c>
      <c r="AB29" s="159" t="s">
        <v>259</v>
      </c>
      <c r="AE29" s="257" t="s">
        <v>17</v>
      </c>
      <c r="AF29" s="974" t="s">
        <v>382</v>
      </c>
      <c r="AG29" s="257" t="s">
        <v>17</v>
      </c>
      <c r="AH29" s="974" t="s">
        <v>382</v>
      </c>
      <c r="AI29" s="562" t="s">
        <v>17</v>
      </c>
      <c r="AJ29" s="563" t="s">
        <v>382</v>
      </c>
      <c r="AK29" s="257" t="s">
        <v>17</v>
      </c>
      <c r="AL29" s="267" t="s">
        <v>382</v>
      </c>
      <c r="AM29" s="257" t="s">
        <v>17</v>
      </c>
      <c r="AN29" s="267" t="s">
        <v>382</v>
      </c>
    </row>
    <row r="30" spans="1:40" x14ac:dyDescent="0.25">
      <c r="A30" s="141">
        <v>1</v>
      </c>
      <c r="B30" s="253">
        <v>2</v>
      </c>
      <c r="C30" s="252">
        <v>6</v>
      </c>
      <c r="D30" s="163">
        <v>45</v>
      </c>
      <c r="E30" s="141">
        <v>1</v>
      </c>
      <c r="F30" s="253">
        <v>5</v>
      </c>
      <c r="G30" s="252">
        <v>40</v>
      </c>
      <c r="H30" s="163">
        <v>120</v>
      </c>
      <c r="I30" s="141">
        <v>1</v>
      </c>
      <c r="J30" s="253">
        <v>8</v>
      </c>
      <c r="K30" s="252">
        <v>70</v>
      </c>
      <c r="L30" s="163">
        <v>300</v>
      </c>
      <c r="M30" s="141">
        <v>1</v>
      </c>
      <c r="N30" s="253">
        <v>30</v>
      </c>
      <c r="O30" s="252">
        <v>450</v>
      </c>
      <c r="P30" s="163">
        <v>900</v>
      </c>
      <c r="Q30" s="141">
        <v>1</v>
      </c>
      <c r="R30" s="253">
        <v>12</v>
      </c>
      <c r="S30" s="252">
        <v>250</v>
      </c>
      <c r="T30" s="163">
        <v>600</v>
      </c>
      <c r="U30" s="51">
        <v>1</v>
      </c>
      <c r="V30" s="453">
        <v>30</v>
      </c>
      <c r="W30" s="623">
        <v>390</v>
      </c>
      <c r="X30" s="621">
        <v>900</v>
      </c>
      <c r="Y30" s="51">
        <v>1</v>
      </c>
      <c r="Z30" s="453">
        <v>8</v>
      </c>
      <c r="AA30" s="623">
        <v>130</v>
      </c>
      <c r="AB30" s="621">
        <v>300</v>
      </c>
      <c r="AE30" s="263">
        <v>0</v>
      </c>
      <c r="AF30" s="858">
        <v>0</v>
      </c>
      <c r="AG30" s="263">
        <v>0</v>
      </c>
      <c r="AH30" s="858">
        <v>0</v>
      </c>
      <c r="AI30" s="612">
        <v>0</v>
      </c>
      <c r="AJ30" s="613">
        <v>0</v>
      </c>
      <c r="AK30" s="560">
        <v>0</v>
      </c>
      <c r="AL30" s="266">
        <v>0</v>
      </c>
      <c r="AM30" s="265">
        <v>0</v>
      </c>
      <c r="AN30" s="558">
        <v>0</v>
      </c>
    </row>
    <row r="31" spans="1:40" x14ac:dyDescent="0.25">
      <c r="A31" s="7">
        <v>2</v>
      </c>
      <c r="B31" s="254">
        <v>2</v>
      </c>
      <c r="C31" s="245">
        <v>7</v>
      </c>
      <c r="D31" s="165">
        <v>45</v>
      </c>
      <c r="E31" s="7">
        <v>2</v>
      </c>
      <c r="F31" s="254">
        <v>5</v>
      </c>
      <c r="G31" s="245">
        <v>45</v>
      </c>
      <c r="H31" s="165">
        <v>120</v>
      </c>
      <c r="I31" s="7">
        <v>2</v>
      </c>
      <c r="J31" s="254">
        <v>8</v>
      </c>
      <c r="K31" s="245">
        <v>100</v>
      </c>
      <c r="L31" s="165">
        <v>300</v>
      </c>
      <c r="M31" s="7">
        <v>2</v>
      </c>
      <c r="N31" s="254">
        <v>30</v>
      </c>
      <c r="O31" s="245">
        <v>525</v>
      </c>
      <c r="P31" s="165">
        <v>900</v>
      </c>
      <c r="Q31" s="7">
        <v>2</v>
      </c>
      <c r="R31" s="254">
        <v>12</v>
      </c>
      <c r="S31" s="419">
        <v>350</v>
      </c>
      <c r="T31" s="165">
        <v>600</v>
      </c>
      <c r="U31" s="7">
        <v>2</v>
      </c>
      <c r="V31" s="254">
        <v>30</v>
      </c>
      <c r="W31" s="419">
        <v>450</v>
      </c>
      <c r="X31" s="165">
        <v>900</v>
      </c>
      <c r="Y31" s="7">
        <v>2</v>
      </c>
      <c r="Z31" s="254">
        <v>8</v>
      </c>
      <c r="AA31" s="419">
        <v>150</v>
      </c>
      <c r="AB31" s="165">
        <v>300</v>
      </c>
      <c r="AE31" s="265">
        <v>1</v>
      </c>
      <c r="AF31" s="266">
        <v>1</v>
      </c>
      <c r="AG31" s="265">
        <v>1</v>
      </c>
      <c r="AH31" s="266">
        <v>2</v>
      </c>
      <c r="AI31" s="614">
        <v>1</v>
      </c>
      <c r="AJ31" s="615">
        <v>40</v>
      </c>
      <c r="AK31" s="561">
        <v>1</v>
      </c>
      <c r="AL31" s="261">
        <v>20</v>
      </c>
      <c r="AM31" s="263">
        <v>1</v>
      </c>
      <c r="AN31" s="559">
        <v>20</v>
      </c>
    </row>
    <row r="32" spans="1:40" ht="12" thickBot="1" x14ac:dyDescent="0.3">
      <c r="A32" s="7">
        <v>3</v>
      </c>
      <c r="B32" s="254">
        <v>2</v>
      </c>
      <c r="C32" s="245">
        <v>8</v>
      </c>
      <c r="D32" s="165">
        <v>45</v>
      </c>
      <c r="E32" s="7">
        <v>3</v>
      </c>
      <c r="F32" s="254">
        <v>5</v>
      </c>
      <c r="G32" s="245">
        <v>52</v>
      </c>
      <c r="H32" s="165">
        <v>120</v>
      </c>
      <c r="I32" s="7">
        <v>3</v>
      </c>
      <c r="J32" s="254">
        <v>8</v>
      </c>
      <c r="K32" s="245">
        <v>130</v>
      </c>
      <c r="L32" s="165">
        <v>300</v>
      </c>
      <c r="M32" s="7">
        <v>3</v>
      </c>
      <c r="N32" s="254">
        <v>30</v>
      </c>
      <c r="O32" s="245">
        <v>600</v>
      </c>
      <c r="P32" s="165">
        <v>900</v>
      </c>
      <c r="Q32" s="7">
        <v>3</v>
      </c>
      <c r="R32" s="254">
        <v>12</v>
      </c>
      <c r="S32" s="419">
        <v>450</v>
      </c>
      <c r="T32" s="165">
        <v>600</v>
      </c>
      <c r="U32" s="8">
        <v>3</v>
      </c>
      <c r="V32" s="624">
        <v>30</v>
      </c>
      <c r="W32" s="625">
        <v>510</v>
      </c>
      <c r="X32" s="626">
        <v>900</v>
      </c>
      <c r="Y32" s="8">
        <v>3</v>
      </c>
      <c r="Z32" s="624">
        <v>8</v>
      </c>
      <c r="AA32" s="625">
        <v>170</v>
      </c>
      <c r="AB32" s="626">
        <v>300</v>
      </c>
      <c r="AE32" s="263">
        <v>2</v>
      </c>
      <c r="AF32" s="261">
        <v>1</v>
      </c>
      <c r="AG32" s="263">
        <v>2</v>
      </c>
      <c r="AH32" s="261">
        <v>4</v>
      </c>
      <c r="AI32" s="614">
        <v>2</v>
      </c>
      <c r="AJ32" s="615">
        <v>50</v>
      </c>
      <c r="AK32" s="561">
        <v>2</v>
      </c>
      <c r="AL32" s="261">
        <v>30</v>
      </c>
      <c r="AM32" s="263">
        <v>2</v>
      </c>
      <c r="AN32" s="559">
        <v>25</v>
      </c>
    </row>
    <row r="33" spans="1:40" ht="12" thickBot="1" x14ac:dyDescent="0.3">
      <c r="A33" s="7">
        <v>4</v>
      </c>
      <c r="B33" s="254">
        <v>2</v>
      </c>
      <c r="C33" s="419">
        <v>9</v>
      </c>
      <c r="D33" s="165">
        <v>45</v>
      </c>
      <c r="E33" s="7">
        <v>4</v>
      </c>
      <c r="F33" s="254">
        <v>5</v>
      </c>
      <c r="G33" s="245">
        <v>58</v>
      </c>
      <c r="H33" s="165">
        <v>120</v>
      </c>
      <c r="I33" s="8">
        <v>4</v>
      </c>
      <c r="J33" s="255">
        <v>8</v>
      </c>
      <c r="K33" s="250">
        <v>160</v>
      </c>
      <c r="L33" s="167">
        <v>300</v>
      </c>
      <c r="M33" s="7">
        <v>4</v>
      </c>
      <c r="N33" s="254">
        <v>30</v>
      </c>
      <c r="O33" s="245">
        <v>675</v>
      </c>
      <c r="P33" s="165">
        <v>900</v>
      </c>
      <c r="AE33" s="263">
        <v>3</v>
      </c>
      <c r="AF33" s="261">
        <v>1</v>
      </c>
      <c r="AG33" s="263">
        <v>3</v>
      </c>
      <c r="AH33" s="261">
        <v>6</v>
      </c>
      <c r="AI33" s="614">
        <v>3</v>
      </c>
      <c r="AJ33" s="615">
        <v>60</v>
      </c>
      <c r="AK33" s="561">
        <v>3</v>
      </c>
      <c r="AL33" s="261">
        <v>35</v>
      </c>
      <c r="AM33" s="263">
        <v>3</v>
      </c>
      <c r="AN33" s="559">
        <v>30</v>
      </c>
    </row>
    <row r="34" spans="1:40" ht="12" thickBot="1" x14ac:dyDescent="0.3">
      <c r="A34" s="7">
        <v>5</v>
      </c>
      <c r="B34" s="254">
        <v>2</v>
      </c>
      <c r="C34" s="419">
        <v>10</v>
      </c>
      <c r="D34" s="165">
        <v>45</v>
      </c>
      <c r="E34" s="8">
        <v>5</v>
      </c>
      <c r="F34" s="255">
        <v>5</v>
      </c>
      <c r="G34" s="250">
        <v>65</v>
      </c>
      <c r="H34" s="167">
        <v>120</v>
      </c>
      <c r="I34" s="8">
        <v>5</v>
      </c>
      <c r="J34" s="255">
        <v>8</v>
      </c>
      <c r="K34" s="250">
        <v>190</v>
      </c>
      <c r="L34" s="167">
        <v>900</v>
      </c>
      <c r="M34" s="8">
        <v>5</v>
      </c>
      <c r="N34" s="255">
        <v>30</v>
      </c>
      <c r="O34" s="250">
        <v>750</v>
      </c>
      <c r="P34" s="167">
        <v>900</v>
      </c>
      <c r="AE34" s="256"/>
      <c r="AF34" s="256"/>
      <c r="AG34" s="263">
        <v>4</v>
      </c>
      <c r="AH34" s="261">
        <v>8</v>
      </c>
      <c r="AI34" s="614">
        <v>4</v>
      </c>
      <c r="AJ34" s="615">
        <v>70</v>
      </c>
      <c r="AK34" s="561">
        <v>4</v>
      </c>
      <c r="AL34" s="261">
        <v>40</v>
      </c>
      <c r="AM34" s="263">
        <v>4</v>
      </c>
      <c r="AN34" s="559">
        <v>35</v>
      </c>
    </row>
    <row r="35" spans="1:40" ht="12" thickBot="1" x14ac:dyDescent="0.3">
      <c r="A35" s="8">
        <v>6</v>
      </c>
      <c r="B35" s="255">
        <v>2</v>
      </c>
      <c r="C35" s="250">
        <v>11</v>
      </c>
      <c r="D35" s="167">
        <v>45</v>
      </c>
      <c r="E35" s="8">
        <v>6</v>
      </c>
      <c r="F35" s="255">
        <v>5</v>
      </c>
      <c r="G35" s="250">
        <v>90</v>
      </c>
      <c r="H35" s="167">
        <v>120</v>
      </c>
      <c r="AE35" s="256"/>
      <c r="AF35" s="256"/>
      <c r="AG35" s="263">
        <v>5</v>
      </c>
      <c r="AH35" s="261">
        <v>10</v>
      </c>
      <c r="AI35" s="614">
        <v>5</v>
      </c>
      <c r="AJ35" s="615">
        <v>80</v>
      </c>
      <c r="AK35" s="561">
        <v>5</v>
      </c>
      <c r="AL35" s="261">
        <v>45</v>
      </c>
      <c r="AM35" s="263">
        <v>5</v>
      </c>
      <c r="AN35" s="559">
        <v>40</v>
      </c>
    </row>
    <row r="36" spans="1:40" ht="12" thickBot="1" x14ac:dyDescent="0.3">
      <c r="A36" s="8">
        <v>7</v>
      </c>
      <c r="B36" s="255">
        <v>2</v>
      </c>
      <c r="C36" s="250">
        <v>12</v>
      </c>
      <c r="D36" s="167">
        <v>45</v>
      </c>
      <c r="AE36" s="256"/>
      <c r="AF36" s="256"/>
      <c r="AI36" s="614">
        <v>6</v>
      </c>
      <c r="AJ36" s="615">
        <v>90</v>
      </c>
      <c r="AK36" s="561">
        <v>6</v>
      </c>
      <c r="AL36" s="261">
        <v>50</v>
      </c>
      <c r="AM36" s="263">
        <v>6</v>
      </c>
      <c r="AN36" s="559">
        <v>45</v>
      </c>
    </row>
    <row r="37" spans="1:40" ht="12" thickBot="1" x14ac:dyDescent="0.3">
      <c r="AE37" s="256"/>
      <c r="AF37" s="256"/>
      <c r="AI37" s="616">
        <v>7</v>
      </c>
      <c r="AJ37" s="617">
        <v>100</v>
      </c>
      <c r="AK37" s="263">
        <v>7</v>
      </c>
      <c r="AL37" s="261">
        <v>55</v>
      </c>
      <c r="AM37" s="263">
        <v>7</v>
      </c>
      <c r="AN37" s="261">
        <v>50</v>
      </c>
    </row>
    <row r="38" spans="1:40" ht="12" thickBot="1" x14ac:dyDescent="0.3">
      <c r="AE38" s="256"/>
      <c r="AF38" s="256"/>
      <c r="AJ38" s="256"/>
      <c r="AK38" s="264">
        <v>8</v>
      </c>
      <c r="AL38" s="262">
        <v>60</v>
      </c>
      <c r="AM38" s="263">
        <v>8</v>
      </c>
      <c r="AN38" s="261">
        <v>55</v>
      </c>
    </row>
    <row r="39" spans="1:40" x14ac:dyDescent="0.25">
      <c r="AJ39" s="256"/>
      <c r="AK39" s="256"/>
      <c r="AL39" s="256"/>
      <c r="AM39" s="263">
        <v>9</v>
      </c>
      <c r="AN39" s="261">
        <v>60</v>
      </c>
    </row>
    <row r="40" spans="1:40" ht="12" thickBot="1" x14ac:dyDescent="0.3">
      <c r="AJ40" s="256"/>
      <c r="AK40" s="256"/>
      <c r="AL40" s="256"/>
      <c r="AM40" s="264">
        <v>10</v>
      </c>
      <c r="AN40" s="262">
        <v>75</v>
      </c>
    </row>
  </sheetData>
  <sheetProtection selectLockedCells="1"/>
  <mergeCells count="40">
    <mergeCell ref="AE28:AF28"/>
    <mergeCell ref="AE26:AN26"/>
    <mergeCell ref="AE27:AN27"/>
    <mergeCell ref="Y3:AB3"/>
    <mergeCell ref="AC3:AF3"/>
    <mergeCell ref="AG28:AH28"/>
    <mergeCell ref="AM28:AN28"/>
    <mergeCell ref="AI28:AJ28"/>
    <mergeCell ref="AK28:AL28"/>
    <mergeCell ref="AG3:AJ3"/>
    <mergeCell ref="Y28:AB28"/>
    <mergeCell ref="A27:AB27"/>
    <mergeCell ref="A26:AB26"/>
    <mergeCell ref="AK15:AN15"/>
    <mergeCell ref="Y15:AB15"/>
    <mergeCell ref="AC15:AF15"/>
    <mergeCell ref="AG15:AJ15"/>
    <mergeCell ref="Y1:AJ1"/>
    <mergeCell ref="Y2:AJ2"/>
    <mergeCell ref="E15:H15"/>
    <mergeCell ref="I15:L15"/>
    <mergeCell ref="M15:P15"/>
    <mergeCell ref="Q15:T15"/>
    <mergeCell ref="U15:X15"/>
    <mergeCell ref="U28:X28"/>
    <mergeCell ref="Q3:T3"/>
    <mergeCell ref="A1:T1"/>
    <mergeCell ref="A28:D28"/>
    <mergeCell ref="E28:H28"/>
    <mergeCell ref="I28:L28"/>
    <mergeCell ref="M28:P28"/>
    <mergeCell ref="A2:T2"/>
    <mergeCell ref="A3:D3"/>
    <mergeCell ref="E3:H3"/>
    <mergeCell ref="I3:L3"/>
    <mergeCell ref="M3:P3"/>
    <mergeCell ref="Q28:T28"/>
    <mergeCell ref="A13:AN13"/>
    <mergeCell ref="A14:AN14"/>
    <mergeCell ref="A15:D15"/>
  </mergeCells>
  <pageMargins left="0.7" right="0.7" top="0.75" bottom="0.75" header="0.3" footer="0.3"/>
  <pageSetup paperSize="9" orientation="portrait" r:id="rId1"/>
  <tableParts count="3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FF0000"/>
  </sheetPr>
  <dimension ref="A1:A1000"/>
  <sheetViews>
    <sheetView showGridLines="0" workbookViewId="0">
      <selection sqref="A1:A1048576"/>
    </sheetView>
  </sheetViews>
  <sheetFormatPr baseColWidth="10" defaultColWidth="11.42578125" defaultRowHeight="11.25" x14ac:dyDescent="0.25"/>
  <cols>
    <col min="1" max="1" width="14.7109375" style="406" customWidth="1"/>
    <col min="2" max="16384" width="11.42578125" style="406"/>
  </cols>
  <sheetData>
    <row r="1" spans="1:1" ht="12" thickBot="1" x14ac:dyDescent="0.3">
      <c r="A1" s="411" t="s">
        <v>492</v>
      </c>
    </row>
    <row r="2" spans="1:1" x14ac:dyDescent="0.25">
      <c r="A2" s="412">
        <f>Planning!$C$2</f>
        <v>42455.619872685187</v>
      </c>
    </row>
    <row r="3" spans="1:1" x14ac:dyDescent="0.25">
      <c r="A3" s="413">
        <f>$A2+Planning!$D$2</f>
        <v>42456.619872685187</v>
      </c>
    </row>
    <row r="4" spans="1:1" x14ac:dyDescent="0.25">
      <c r="A4" s="413">
        <f>$A3+Planning!$D$2</f>
        <v>42457.619872685187</v>
      </c>
    </row>
    <row r="5" spans="1:1" x14ac:dyDescent="0.25">
      <c r="A5" s="413">
        <f>$A4+Planning!$D$2</f>
        <v>42458.619872685187</v>
      </c>
    </row>
    <row r="6" spans="1:1" x14ac:dyDescent="0.25">
      <c r="A6" s="413">
        <f>$A5+Planning!$D$2</f>
        <v>42459.619872685187</v>
      </c>
    </row>
    <row r="7" spans="1:1" x14ac:dyDescent="0.25">
      <c r="A7" s="413">
        <f>$A6+Planning!$D$2</f>
        <v>42460.619872685187</v>
      </c>
    </row>
    <row r="8" spans="1:1" x14ac:dyDescent="0.25">
      <c r="A8" s="413">
        <f>$A7+Planning!$D$2</f>
        <v>42461.619872685187</v>
      </c>
    </row>
    <row r="9" spans="1:1" x14ac:dyDescent="0.25">
      <c r="A9" s="413">
        <f>$A8+Planning!$D$2</f>
        <v>42462.619872685187</v>
      </c>
    </row>
    <row r="10" spans="1:1" x14ac:dyDescent="0.25">
      <c r="A10" s="413">
        <f>$A9+Planning!$D$2</f>
        <v>42463.619872685187</v>
      </c>
    </row>
    <row r="11" spans="1:1" x14ac:dyDescent="0.25">
      <c r="A11" s="413">
        <f>$A10+Planning!$D$2</f>
        <v>42464.619872685187</v>
      </c>
    </row>
    <row r="12" spans="1:1" x14ac:dyDescent="0.25">
      <c r="A12" s="413">
        <f>$A11+Planning!$D$2</f>
        <v>42465.619872685187</v>
      </c>
    </row>
    <row r="13" spans="1:1" x14ac:dyDescent="0.25">
      <c r="A13" s="413">
        <f>$A12+Planning!$D$2</f>
        <v>42466.619872685187</v>
      </c>
    </row>
    <row r="14" spans="1:1" x14ac:dyDescent="0.25">
      <c r="A14" s="413">
        <f>$A13+Planning!$D$2</f>
        <v>42467.619872685187</v>
      </c>
    </row>
    <row r="15" spans="1:1" x14ac:dyDescent="0.25">
      <c r="A15" s="413">
        <f>$A14+Planning!$D$2</f>
        <v>42468.619872685187</v>
      </c>
    </row>
    <row r="16" spans="1:1" x14ac:dyDescent="0.25">
      <c r="A16" s="413">
        <f>$A15+Planning!$D$2</f>
        <v>42469.619872685187</v>
      </c>
    </row>
    <row r="17" spans="1:1" x14ac:dyDescent="0.25">
      <c r="A17" s="413">
        <f>$A16+Planning!$D$2</f>
        <v>42470.619872685187</v>
      </c>
    </row>
    <row r="18" spans="1:1" x14ac:dyDescent="0.25">
      <c r="A18" s="413">
        <f>$A17+Planning!$D$2</f>
        <v>42471.619872685187</v>
      </c>
    </row>
    <row r="19" spans="1:1" x14ac:dyDescent="0.25">
      <c r="A19" s="413">
        <f>$A18+Planning!$D$2</f>
        <v>42472.619872685187</v>
      </c>
    </row>
    <row r="20" spans="1:1" x14ac:dyDescent="0.25">
      <c r="A20" s="413">
        <f>$A19+Planning!$D$2</f>
        <v>42473.619872685187</v>
      </c>
    </row>
    <row r="21" spans="1:1" x14ac:dyDescent="0.25">
      <c r="A21" s="413">
        <f>$A20+Planning!$D$2</f>
        <v>42474.619872685187</v>
      </c>
    </row>
    <row r="22" spans="1:1" x14ac:dyDescent="0.25">
      <c r="A22" s="413">
        <f>$A21+Planning!$D$2</f>
        <v>42475.619872685187</v>
      </c>
    </row>
    <row r="23" spans="1:1" x14ac:dyDescent="0.25">
      <c r="A23" s="413">
        <f>$A22+Planning!$D$2</f>
        <v>42476.619872685187</v>
      </c>
    </row>
    <row r="24" spans="1:1" x14ac:dyDescent="0.25">
      <c r="A24" s="413">
        <f>$A23+Planning!$D$2</f>
        <v>42477.619872685187</v>
      </c>
    </row>
    <row r="25" spans="1:1" x14ac:dyDescent="0.25">
      <c r="A25" s="413">
        <f>$A24+Planning!$D$2</f>
        <v>42478.619872685187</v>
      </c>
    </row>
    <row r="26" spans="1:1" x14ac:dyDescent="0.25">
      <c r="A26" s="413">
        <f>$A25+Planning!$D$2</f>
        <v>42479.619872685187</v>
      </c>
    </row>
    <row r="27" spans="1:1" x14ac:dyDescent="0.25">
      <c r="A27" s="413">
        <f>$A26+Planning!$D$2</f>
        <v>42480.619872685187</v>
      </c>
    </row>
    <row r="28" spans="1:1" x14ac:dyDescent="0.25">
      <c r="A28" s="413">
        <f>$A27+Planning!$D$2</f>
        <v>42481.619872685187</v>
      </c>
    </row>
    <row r="29" spans="1:1" x14ac:dyDescent="0.25">
      <c r="A29" s="413">
        <f>$A28+Planning!$D$2</f>
        <v>42482.619872685187</v>
      </c>
    </row>
    <row r="30" spans="1:1" x14ac:dyDescent="0.25">
      <c r="A30" s="413">
        <f>$A29+Planning!$D$2</f>
        <v>42483.619872685187</v>
      </c>
    </row>
    <row r="31" spans="1:1" x14ac:dyDescent="0.25">
      <c r="A31" s="413">
        <f>$A30+Planning!$D$2</f>
        <v>42484.619872685187</v>
      </c>
    </row>
    <row r="32" spans="1:1" x14ac:dyDescent="0.25">
      <c r="A32" s="413">
        <f>$A31+Planning!$D$2</f>
        <v>42485.619872685187</v>
      </c>
    </row>
    <row r="33" spans="1:1" x14ac:dyDescent="0.25">
      <c r="A33" s="413">
        <f>$A32+Planning!$D$2</f>
        <v>42486.619872685187</v>
      </c>
    </row>
    <row r="34" spans="1:1" x14ac:dyDescent="0.25">
      <c r="A34" s="413">
        <f>$A33+Planning!$D$2</f>
        <v>42487.619872685187</v>
      </c>
    </row>
    <row r="35" spans="1:1" x14ac:dyDescent="0.25">
      <c r="A35" s="413">
        <f>$A34+Planning!$D$2</f>
        <v>42488.619872685187</v>
      </c>
    </row>
    <row r="36" spans="1:1" x14ac:dyDescent="0.25">
      <c r="A36" s="413">
        <f>$A35+Planning!$D$2</f>
        <v>42489.619872685187</v>
      </c>
    </row>
    <row r="37" spans="1:1" x14ac:dyDescent="0.25">
      <c r="A37" s="413">
        <f>$A36+Planning!$D$2</f>
        <v>42490.619872685187</v>
      </c>
    </row>
    <row r="38" spans="1:1" x14ac:dyDescent="0.25">
      <c r="A38" s="413">
        <f>$A37+Planning!$D$2</f>
        <v>42491.619872685187</v>
      </c>
    </row>
    <row r="39" spans="1:1" x14ac:dyDescent="0.25">
      <c r="A39" s="413">
        <f>$A38+Planning!$D$2</f>
        <v>42492.619872685187</v>
      </c>
    </row>
    <row r="40" spans="1:1" x14ac:dyDescent="0.25">
      <c r="A40" s="413">
        <f>$A39+Planning!$D$2</f>
        <v>42493.619872685187</v>
      </c>
    </row>
    <row r="41" spans="1:1" x14ac:dyDescent="0.25">
      <c r="A41" s="413">
        <f>$A40+Planning!$D$2</f>
        <v>42494.619872685187</v>
      </c>
    </row>
    <row r="42" spans="1:1" x14ac:dyDescent="0.25">
      <c r="A42" s="413">
        <f>$A41+Planning!$D$2</f>
        <v>42495.619872685187</v>
      </c>
    </row>
    <row r="43" spans="1:1" x14ac:dyDescent="0.25">
      <c r="A43" s="413">
        <f>$A42+Planning!$D$2</f>
        <v>42496.619872685187</v>
      </c>
    </row>
    <row r="44" spans="1:1" x14ac:dyDescent="0.25">
      <c r="A44" s="413">
        <f>$A43+Planning!$D$2</f>
        <v>42497.619872685187</v>
      </c>
    </row>
    <row r="45" spans="1:1" x14ac:dyDescent="0.25">
      <c r="A45" s="413">
        <f>$A44+Planning!$D$2</f>
        <v>42498.619872685187</v>
      </c>
    </row>
    <row r="46" spans="1:1" x14ac:dyDescent="0.25">
      <c r="A46" s="413">
        <f>$A45+Planning!$D$2</f>
        <v>42499.619872685187</v>
      </c>
    </row>
    <row r="47" spans="1:1" x14ac:dyDescent="0.25">
      <c r="A47" s="413">
        <f>$A46+Planning!$D$2</f>
        <v>42500.619872685187</v>
      </c>
    </row>
    <row r="48" spans="1:1" x14ac:dyDescent="0.25">
      <c r="A48" s="413">
        <f>$A47+Planning!$D$2</f>
        <v>42501.619872685187</v>
      </c>
    </row>
    <row r="49" spans="1:1" x14ac:dyDescent="0.25">
      <c r="A49" s="413">
        <f>$A48+Planning!$D$2</f>
        <v>42502.619872685187</v>
      </c>
    </row>
    <row r="50" spans="1:1" x14ac:dyDescent="0.25">
      <c r="A50" s="413">
        <f>$A49+Planning!$D$2</f>
        <v>42503.619872685187</v>
      </c>
    </row>
    <row r="51" spans="1:1" x14ac:dyDescent="0.25">
      <c r="A51" s="413">
        <f>$A50+Planning!$D$2</f>
        <v>42504.619872685187</v>
      </c>
    </row>
    <row r="52" spans="1:1" x14ac:dyDescent="0.25">
      <c r="A52" s="413">
        <f>$A51+Planning!$D$2</f>
        <v>42505.619872685187</v>
      </c>
    </row>
    <row r="53" spans="1:1" x14ac:dyDescent="0.25">
      <c r="A53" s="413">
        <f>$A52+Planning!$D$2</f>
        <v>42506.619872685187</v>
      </c>
    </row>
    <row r="54" spans="1:1" x14ac:dyDescent="0.25">
      <c r="A54" s="413">
        <f>$A53+Planning!$D$2</f>
        <v>42507.619872685187</v>
      </c>
    </row>
    <row r="55" spans="1:1" x14ac:dyDescent="0.25">
      <c r="A55" s="413">
        <f>$A54+Planning!$D$2</f>
        <v>42508.619872685187</v>
      </c>
    </row>
    <row r="56" spans="1:1" x14ac:dyDescent="0.25">
      <c r="A56" s="413">
        <f>$A55+Planning!$D$2</f>
        <v>42509.619872685187</v>
      </c>
    </row>
    <row r="57" spans="1:1" x14ac:dyDescent="0.25">
      <c r="A57" s="413">
        <f>$A56+Planning!$D$2</f>
        <v>42510.619872685187</v>
      </c>
    </row>
    <row r="58" spans="1:1" x14ac:dyDescent="0.25">
      <c r="A58" s="413">
        <f>$A57+Planning!$D$2</f>
        <v>42511.619872685187</v>
      </c>
    </row>
    <row r="59" spans="1:1" x14ac:dyDescent="0.25">
      <c r="A59" s="413">
        <f>$A58+Planning!$D$2</f>
        <v>42512.619872685187</v>
      </c>
    </row>
    <row r="60" spans="1:1" x14ac:dyDescent="0.25">
      <c r="A60" s="413">
        <f>$A59+Planning!$D$2</f>
        <v>42513.619872685187</v>
      </c>
    </row>
    <row r="61" spans="1:1" x14ac:dyDescent="0.25">
      <c r="A61" s="413">
        <f>$A60+Planning!$D$2</f>
        <v>42514.619872685187</v>
      </c>
    </row>
    <row r="62" spans="1:1" x14ac:dyDescent="0.25">
      <c r="A62" s="413">
        <f>$A61+Planning!$D$2</f>
        <v>42515.619872685187</v>
      </c>
    </row>
    <row r="63" spans="1:1" x14ac:dyDescent="0.25">
      <c r="A63" s="413">
        <f>$A62+Planning!$D$2</f>
        <v>42516.619872685187</v>
      </c>
    </row>
    <row r="64" spans="1:1" x14ac:dyDescent="0.25">
      <c r="A64" s="413">
        <f>$A63+Planning!$D$2</f>
        <v>42517.619872685187</v>
      </c>
    </row>
    <row r="65" spans="1:1" x14ac:dyDescent="0.25">
      <c r="A65" s="413">
        <f>$A64+Planning!$D$2</f>
        <v>42518.619872685187</v>
      </c>
    </row>
    <row r="66" spans="1:1" x14ac:dyDescent="0.25">
      <c r="A66" s="413">
        <f>$A65+Planning!$D$2</f>
        <v>42519.619872685187</v>
      </c>
    </row>
    <row r="67" spans="1:1" x14ac:dyDescent="0.25">
      <c r="A67" s="413">
        <f>$A66+Planning!$D$2</f>
        <v>42520.619872685187</v>
      </c>
    </row>
    <row r="68" spans="1:1" x14ac:dyDescent="0.25">
      <c r="A68" s="413">
        <f>$A67+Planning!$D$2</f>
        <v>42521.619872685187</v>
      </c>
    </row>
    <row r="69" spans="1:1" x14ac:dyDescent="0.25">
      <c r="A69" s="413">
        <f>$A68+Planning!$D$2</f>
        <v>42522.619872685187</v>
      </c>
    </row>
    <row r="70" spans="1:1" x14ac:dyDescent="0.25">
      <c r="A70" s="413">
        <f>$A69+Planning!$D$2</f>
        <v>42523.619872685187</v>
      </c>
    </row>
    <row r="71" spans="1:1" x14ac:dyDescent="0.25">
      <c r="A71" s="413">
        <f>$A70+Planning!$D$2</f>
        <v>42524.619872685187</v>
      </c>
    </row>
    <row r="72" spans="1:1" x14ac:dyDescent="0.25">
      <c r="A72" s="413">
        <f>$A71+Planning!$D$2</f>
        <v>42525.619872685187</v>
      </c>
    </row>
    <row r="73" spans="1:1" x14ac:dyDescent="0.25">
      <c r="A73" s="413">
        <f>$A72+Planning!$D$2</f>
        <v>42526.619872685187</v>
      </c>
    </row>
    <row r="74" spans="1:1" x14ac:dyDescent="0.25">
      <c r="A74" s="413">
        <f>$A73+Planning!$D$2</f>
        <v>42527.619872685187</v>
      </c>
    </row>
    <row r="75" spans="1:1" x14ac:dyDescent="0.25">
      <c r="A75" s="413">
        <f>$A74+Planning!$D$2</f>
        <v>42528.619872685187</v>
      </c>
    </row>
    <row r="76" spans="1:1" x14ac:dyDescent="0.25">
      <c r="A76" s="413">
        <f>$A75+Planning!$D$2</f>
        <v>42529.619872685187</v>
      </c>
    </row>
    <row r="77" spans="1:1" x14ac:dyDescent="0.25">
      <c r="A77" s="413">
        <f>$A76+Planning!$D$2</f>
        <v>42530.619872685187</v>
      </c>
    </row>
    <row r="78" spans="1:1" x14ac:dyDescent="0.25">
      <c r="A78" s="413">
        <f>$A77+Planning!$D$2</f>
        <v>42531.619872685187</v>
      </c>
    </row>
    <row r="79" spans="1:1" x14ac:dyDescent="0.25">
      <c r="A79" s="413">
        <f>$A78+Planning!$D$2</f>
        <v>42532.619872685187</v>
      </c>
    </row>
    <row r="80" spans="1:1" x14ac:dyDescent="0.25">
      <c r="A80" s="413">
        <f>$A79+Planning!$D$2</f>
        <v>42533.619872685187</v>
      </c>
    </row>
    <row r="81" spans="1:1" x14ac:dyDescent="0.25">
      <c r="A81" s="413">
        <f>$A80+Planning!$D$2</f>
        <v>42534.619872685187</v>
      </c>
    </row>
    <row r="82" spans="1:1" x14ac:dyDescent="0.25">
      <c r="A82" s="413">
        <f>$A81+Planning!$D$2</f>
        <v>42535.619872685187</v>
      </c>
    </row>
    <row r="83" spans="1:1" x14ac:dyDescent="0.25">
      <c r="A83" s="413">
        <f>$A82+Planning!$D$2</f>
        <v>42536.619872685187</v>
      </c>
    </row>
    <row r="84" spans="1:1" x14ac:dyDescent="0.25">
      <c r="A84" s="413">
        <f>$A83+Planning!$D$2</f>
        <v>42537.619872685187</v>
      </c>
    </row>
    <row r="85" spans="1:1" x14ac:dyDescent="0.25">
      <c r="A85" s="413">
        <f>$A84+Planning!$D$2</f>
        <v>42538.619872685187</v>
      </c>
    </row>
    <row r="86" spans="1:1" x14ac:dyDescent="0.25">
      <c r="A86" s="413">
        <f>$A85+Planning!$D$2</f>
        <v>42539.619872685187</v>
      </c>
    </row>
    <row r="87" spans="1:1" x14ac:dyDescent="0.25">
      <c r="A87" s="413">
        <f>$A86+Planning!$D$2</f>
        <v>42540.619872685187</v>
      </c>
    </row>
    <row r="88" spans="1:1" x14ac:dyDescent="0.25">
      <c r="A88" s="413">
        <f>$A87+Planning!$D$2</f>
        <v>42541.619872685187</v>
      </c>
    </row>
    <row r="89" spans="1:1" x14ac:dyDescent="0.25">
      <c r="A89" s="413">
        <f>$A88+Planning!$D$2</f>
        <v>42542.619872685187</v>
      </c>
    </row>
    <row r="90" spans="1:1" x14ac:dyDescent="0.25">
      <c r="A90" s="413">
        <f>$A89+Planning!$D$2</f>
        <v>42543.619872685187</v>
      </c>
    </row>
    <row r="91" spans="1:1" x14ac:dyDescent="0.25">
      <c r="A91" s="413">
        <f>$A90+Planning!$D$2</f>
        <v>42544.619872685187</v>
      </c>
    </row>
    <row r="92" spans="1:1" x14ac:dyDescent="0.25">
      <c r="A92" s="413">
        <f>$A91+Planning!$D$2</f>
        <v>42545.619872685187</v>
      </c>
    </row>
    <row r="93" spans="1:1" x14ac:dyDescent="0.25">
      <c r="A93" s="413">
        <f>$A92+Planning!$D$2</f>
        <v>42546.619872685187</v>
      </c>
    </row>
    <row r="94" spans="1:1" x14ac:dyDescent="0.25">
      <c r="A94" s="413">
        <f>$A93+Planning!$D$2</f>
        <v>42547.619872685187</v>
      </c>
    </row>
    <row r="95" spans="1:1" x14ac:dyDescent="0.25">
      <c r="A95" s="413">
        <f>$A94+Planning!$D$2</f>
        <v>42548.619872685187</v>
      </c>
    </row>
    <row r="96" spans="1:1" x14ac:dyDescent="0.25">
      <c r="A96" s="413">
        <f>$A95+Planning!$D$2</f>
        <v>42549.619872685187</v>
      </c>
    </row>
    <row r="97" spans="1:1" x14ac:dyDescent="0.25">
      <c r="A97" s="413">
        <f>$A96+Planning!$D$2</f>
        <v>42550.619872685187</v>
      </c>
    </row>
    <row r="98" spans="1:1" x14ac:dyDescent="0.25">
      <c r="A98" s="413">
        <f>$A97+Planning!$D$2</f>
        <v>42551.619872685187</v>
      </c>
    </row>
    <row r="99" spans="1:1" x14ac:dyDescent="0.25">
      <c r="A99" s="413">
        <f>$A98+Planning!$D$2</f>
        <v>42552.619872685187</v>
      </c>
    </row>
    <row r="100" spans="1:1" x14ac:dyDescent="0.25">
      <c r="A100" s="413">
        <f>$A99+Planning!$D$2</f>
        <v>42553.619872685187</v>
      </c>
    </row>
    <row r="101" spans="1:1" x14ac:dyDescent="0.25">
      <c r="A101" s="413">
        <f>$A100+Planning!$D$2</f>
        <v>42554.619872685187</v>
      </c>
    </row>
    <row r="102" spans="1:1" x14ac:dyDescent="0.25">
      <c r="A102" s="413">
        <f>$A101+Planning!$D$2</f>
        <v>42555.619872685187</v>
      </c>
    </row>
    <row r="103" spans="1:1" x14ac:dyDescent="0.25">
      <c r="A103" s="413">
        <f>$A102+Planning!$D$2</f>
        <v>42556.619872685187</v>
      </c>
    </row>
    <row r="104" spans="1:1" x14ac:dyDescent="0.25">
      <c r="A104" s="413">
        <f>$A103+Planning!$D$2</f>
        <v>42557.619872685187</v>
      </c>
    </row>
    <row r="105" spans="1:1" x14ac:dyDescent="0.25">
      <c r="A105" s="413">
        <f>$A104+Planning!$D$2</f>
        <v>42558.619872685187</v>
      </c>
    </row>
    <row r="106" spans="1:1" x14ac:dyDescent="0.25">
      <c r="A106" s="413">
        <f>$A105+Planning!$D$2</f>
        <v>42559.619872685187</v>
      </c>
    </row>
    <row r="107" spans="1:1" x14ac:dyDescent="0.25">
      <c r="A107" s="413">
        <f>$A106+Planning!$D$2</f>
        <v>42560.619872685187</v>
      </c>
    </row>
    <row r="108" spans="1:1" x14ac:dyDescent="0.25">
      <c r="A108" s="413">
        <f>$A107+Planning!$D$2</f>
        <v>42561.619872685187</v>
      </c>
    </row>
    <row r="109" spans="1:1" x14ac:dyDescent="0.25">
      <c r="A109" s="413">
        <f>$A108+Planning!$D$2</f>
        <v>42562.619872685187</v>
      </c>
    </row>
    <row r="110" spans="1:1" x14ac:dyDescent="0.25">
      <c r="A110" s="413">
        <f>$A109+Planning!$D$2</f>
        <v>42563.619872685187</v>
      </c>
    </row>
    <row r="111" spans="1:1" x14ac:dyDescent="0.25">
      <c r="A111" s="413">
        <f>$A110+Planning!$D$2</f>
        <v>42564.619872685187</v>
      </c>
    </row>
    <row r="112" spans="1:1" x14ac:dyDescent="0.25">
      <c r="A112" s="413">
        <f>$A111+Planning!$D$2</f>
        <v>42565.619872685187</v>
      </c>
    </row>
    <row r="113" spans="1:1" x14ac:dyDescent="0.25">
      <c r="A113" s="413">
        <f>$A112+Planning!$D$2</f>
        <v>42566.619872685187</v>
      </c>
    </row>
    <row r="114" spans="1:1" x14ac:dyDescent="0.25">
      <c r="A114" s="413">
        <f>$A113+Planning!$D$2</f>
        <v>42567.619872685187</v>
      </c>
    </row>
    <row r="115" spans="1:1" x14ac:dyDescent="0.25">
      <c r="A115" s="413">
        <f>$A114+Planning!$D$2</f>
        <v>42568.619872685187</v>
      </c>
    </row>
    <row r="116" spans="1:1" x14ac:dyDescent="0.25">
      <c r="A116" s="413">
        <f>$A115+Planning!$D$2</f>
        <v>42569.619872685187</v>
      </c>
    </row>
    <row r="117" spans="1:1" x14ac:dyDescent="0.25">
      <c r="A117" s="413">
        <f>$A116+Planning!$D$2</f>
        <v>42570.619872685187</v>
      </c>
    </row>
    <row r="118" spans="1:1" x14ac:dyDescent="0.25">
      <c r="A118" s="413">
        <f>$A117+Planning!$D$2</f>
        <v>42571.619872685187</v>
      </c>
    </row>
    <row r="119" spans="1:1" x14ac:dyDescent="0.25">
      <c r="A119" s="413">
        <f>$A118+Planning!$D$2</f>
        <v>42572.619872685187</v>
      </c>
    </row>
    <row r="120" spans="1:1" x14ac:dyDescent="0.25">
      <c r="A120" s="413">
        <f>$A119+Planning!$D$2</f>
        <v>42573.619872685187</v>
      </c>
    </row>
    <row r="121" spans="1:1" x14ac:dyDescent="0.25">
      <c r="A121" s="413">
        <f>$A120+Planning!$D$2</f>
        <v>42574.619872685187</v>
      </c>
    </row>
    <row r="122" spans="1:1" x14ac:dyDescent="0.25">
      <c r="A122" s="413">
        <f>$A121+Planning!$D$2</f>
        <v>42575.619872685187</v>
      </c>
    </row>
    <row r="123" spans="1:1" x14ac:dyDescent="0.25">
      <c r="A123" s="413">
        <f>$A122+Planning!$D$2</f>
        <v>42576.619872685187</v>
      </c>
    </row>
    <row r="124" spans="1:1" x14ac:dyDescent="0.25">
      <c r="A124" s="413">
        <f>$A123+Planning!$D$2</f>
        <v>42577.619872685187</v>
      </c>
    </row>
    <row r="125" spans="1:1" x14ac:dyDescent="0.25">
      <c r="A125" s="413">
        <f>$A124+Planning!$D$2</f>
        <v>42578.619872685187</v>
      </c>
    </row>
    <row r="126" spans="1:1" x14ac:dyDescent="0.25">
      <c r="A126" s="413">
        <f>$A125+Planning!$D$2</f>
        <v>42579.619872685187</v>
      </c>
    </row>
    <row r="127" spans="1:1" x14ac:dyDescent="0.25">
      <c r="A127" s="413">
        <f>$A126+Planning!$D$2</f>
        <v>42580.619872685187</v>
      </c>
    </row>
    <row r="128" spans="1:1" x14ac:dyDescent="0.25">
      <c r="A128" s="413">
        <f>$A127+Planning!$D$2</f>
        <v>42581.619872685187</v>
      </c>
    </row>
    <row r="129" spans="1:1" x14ac:dyDescent="0.25">
      <c r="A129" s="413">
        <f>$A128+Planning!$D$2</f>
        <v>42582.619872685187</v>
      </c>
    </row>
    <row r="130" spans="1:1" x14ac:dyDescent="0.25">
      <c r="A130" s="413">
        <f>$A129+Planning!$D$2</f>
        <v>42583.619872685187</v>
      </c>
    </row>
    <row r="131" spans="1:1" x14ac:dyDescent="0.25">
      <c r="A131" s="413">
        <f>$A130+Planning!$D$2</f>
        <v>42584.619872685187</v>
      </c>
    </row>
    <row r="132" spans="1:1" x14ac:dyDescent="0.25">
      <c r="A132" s="413">
        <f>$A131+Planning!$D$2</f>
        <v>42585.619872685187</v>
      </c>
    </row>
    <row r="133" spans="1:1" x14ac:dyDescent="0.25">
      <c r="A133" s="413">
        <f>$A132+Planning!$D$2</f>
        <v>42586.619872685187</v>
      </c>
    </row>
    <row r="134" spans="1:1" x14ac:dyDescent="0.25">
      <c r="A134" s="413">
        <f>$A133+Planning!$D$2</f>
        <v>42587.619872685187</v>
      </c>
    </row>
    <row r="135" spans="1:1" x14ac:dyDescent="0.25">
      <c r="A135" s="413">
        <f>$A134+Planning!$D$2</f>
        <v>42588.619872685187</v>
      </c>
    </row>
    <row r="136" spans="1:1" x14ac:dyDescent="0.25">
      <c r="A136" s="413">
        <f>$A135+Planning!$D$2</f>
        <v>42589.619872685187</v>
      </c>
    </row>
    <row r="137" spans="1:1" x14ac:dyDescent="0.25">
      <c r="A137" s="413">
        <f>$A136+Planning!$D$2</f>
        <v>42590.619872685187</v>
      </c>
    </row>
    <row r="138" spans="1:1" x14ac:dyDescent="0.25">
      <c r="A138" s="413">
        <f>$A137+Planning!$D$2</f>
        <v>42591.619872685187</v>
      </c>
    </row>
    <row r="139" spans="1:1" x14ac:dyDescent="0.25">
      <c r="A139" s="413">
        <f>$A138+Planning!$D$2</f>
        <v>42592.619872685187</v>
      </c>
    </row>
    <row r="140" spans="1:1" x14ac:dyDescent="0.25">
      <c r="A140" s="413">
        <f>$A139+Planning!$D$2</f>
        <v>42593.619872685187</v>
      </c>
    </row>
    <row r="141" spans="1:1" x14ac:dyDescent="0.25">
      <c r="A141" s="413">
        <f>$A140+Planning!$D$2</f>
        <v>42594.619872685187</v>
      </c>
    </row>
    <row r="142" spans="1:1" x14ac:dyDescent="0.25">
      <c r="A142" s="413">
        <f>$A141+Planning!$D$2</f>
        <v>42595.619872685187</v>
      </c>
    </row>
    <row r="143" spans="1:1" x14ac:dyDescent="0.25">
      <c r="A143" s="413">
        <f>$A142+Planning!$D$2</f>
        <v>42596.619872685187</v>
      </c>
    </row>
    <row r="144" spans="1:1" x14ac:dyDescent="0.25">
      <c r="A144" s="413">
        <f>$A143+Planning!$D$2</f>
        <v>42597.619872685187</v>
      </c>
    </row>
    <row r="145" spans="1:1" x14ac:dyDescent="0.25">
      <c r="A145" s="413">
        <f>$A144+Planning!$D$2</f>
        <v>42598.619872685187</v>
      </c>
    </row>
    <row r="146" spans="1:1" x14ac:dyDescent="0.25">
      <c r="A146" s="413">
        <f>$A145+Planning!$D$2</f>
        <v>42599.619872685187</v>
      </c>
    </row>
    <row r="147" spans="1:1" x14ac:dyDescent="0.25">
      <c r="A147" s="413">
        <f>$A146+Planning!$D$2</f>
        <v>42600.619872685187</v>
      </c>
    </row>
    <row r="148" spans="1:1" x14ac:dyDescent="0.25">
      <c r="A148" s="413">
        <f>$A147+Planning!$D$2</f>
        <v>42601.619872685187</v>
      </c>
    </row>
    <row r="149" spans="1:1" x14ac:dyDescent="0.25">
      <c r="A149" s="413">
        <f>$A148+Planning!$D$2</f>
        <v>42602.619872685187</v>
      </c>
    </row>
    <row r="150" spans="1:1" x14ac:dyDescent="0.25">
      <c r="A150" s="413">
        <f>$A149+Planning!$D$2</f>
        <v>42603.619872685187</v>
      </c>
    </row>
    <row r="151" spans="1:1" x14ac:dyDescent="0.25">
      <c r="A151" s="413">
        <f>$A150+Planning!$D$2</f>
        <v>42604.619872685187</v>
      </c>
    </row>
    <row r="152" spans="1:1" x14ac:dyDescent="0.25">
      <c r="A152" s="413">
        <f>$A151+Planning!$D$2</f>
        <v>42605.619872685187</v>
      </c>
    </row>
    <row r="153" spans="1:1" x14ac:dyDescent="0.25">
      <c r="A153" s="413">
        <f>$A152+Planning!$D$2</f>
        <v>42606.619872685187</v>
      </c>
    </row>
    <row r="154" spans="1:1" x14ac:dyDescent="0.25">
      <c r="A154" s="413">
        <f>$A153+Planning!$D$2</f>
        <v>42607.619872685187</v>
      </c>
    </row>
    <row r="155" spans="1:1" x14ac:dyDescent="0.25">
      <c r="A155" s="413">
        <f>$A154+Planning!$D$2</f>
        <v>42608.619872685187</v>
      </c>
    </row>
    <row r="156" spans="1:1" x14ac:dyDescent="0.25">
      <c r="A156" s="413">
        <f>$A155+Planning!$D$2</f>
        <v>42609.619872685187</v>
      </c>
    </row>
    <row r="157" spans="1:1" x14ac:dyDescent="0.25">
      <c r="A157" s="413">
        <f>$A156+Planning!$D$2</f>
        <v>42610.619872685187</v>
      </c>
    </row>
    <row r="158" spans="1:1" x14ac:dyDescent="0.25">
      <c r="A158" s="413">
        <f>$A157+Planning!$D$2</f>
        <v>42611.619872685187</v>
      </c>
    </row>
    <row r="159" spans="1:1" x14ac:dyDescent="0.25">
      <c r="A159" s="413">
        <f>$A158+Planning!$D$2</f>
        <v>42612.619872685187</v>
      </c>
    </row>
    <row r="160" spans="1:1" x14ac:dyDescent="0.25">
      <c r="A160" s="413">
        <f>$A159+Planning!$D$2</f>
        <v>42613.619872685187</v>
      </c>
    </row>
    <row r="161" spans="1:1" x14ac:dyDescent="0.25">
      <c r="A161" s="413">
        <f>$A160+Planning!$D$2</f>
        <v>42614.619872685187</v>
      </c>
    </row>
    <row r="162" spans="1:1" x14ac:dyDescent="0.25">
      <c r="A162" s="413">
        <f>$A161+Planning!$D$2</f>
        <v>42615.619872685187</v>
      </c>
    </row>
    <row r="163" spans="1:1" x14ac:dyDescent="0.25">
      <c r="A163" s="413">
        <f>$A162+Planning!$D$2</f>
        <v>42616.619872685187</v>
      </c>
    </row>
    <row r="164" spans="1:1" x14ac:dyDescent="0.25">
      <c r="A164" s="413">
        <f>$A163+Planning!$D$2</f>
        <v>42617.619872685187</v>
      </c>
    </row>
    <row r="165" spans="1:1" x14ac:dyDescent="0.25">
      <c r="A165" s="413">
        <f>$A164+Planning!$D$2</f>
        <v>42618.619872685187</v>
      </c>
    </row>
    <row r="166" spans="1:1" x14ac:dyDescent="0.25">
      <c r="A166" s="413">
        <f>$A165+Planning!$D$2</f>
        <v>42619.619872685187</v>
      </c>
    </row>
    <row r="167" spans="1:1" x14ac:dyDescent="0.25">
      <c r="A167" s="413">
        <f>$A166+Planning!$D$2</f>
        <v>42620.619872685187</v>
      </c>
    </row>
    <row r="168" spans="1:1" x14ac:dyDescent="0.25">
      <c r="A168" s="413">
        <f>$A167+Planning!$D$2</f>
        <v>42621.619872685187</v>
      </c>
    </row>
    <row r="169" spans="1:1" x14ac:dyDescent="0.25">
      <c r="A169" s="413">
        <f>$A168+Planning!$D$2</f>
        <v>42622.619872685187</v>
      </c>
    </row>
    <row r="170" spans="1:1" x14ac:dyDescent="0.25">
      <c r="A170" s="413">
        <f>$A169+Planning!$D$2</f>
        <v>42623.619872685187</v>
      </c>
    </row>
    <row r="171" spans="1:1" x14ac:dyDescent="0.25">
      <c r="A171" s="413">
        <f>$A170+Planning!$D$2</f>
        <v>42624.619872685187</v>
      </c>
    </row>
    <row r="172" spans="1:1" x14ac:dyDescent="0.25">
      <c r="A172" s="413">
        <f>$A171+Planning!$D$2</f>
        <v>42625.619872685187</v>
      </c>
    </row>
    <row r="173" spans="1:1" x14ac:dyDescent="0.25">
      <c r="A173" s="413">
        <f>$A172+Planning!$D$2</f>
        <v>42626.619872685187</v>
      </c>
    </row>
    <row r="174" spans="1:1" x14ac:dyDescent="0.25">
      <c r="A174" s="413">
        <f>$A173+Planning!$D$2</f>
        <v>42627.619872685187</v>
      </c>
    </row>
    <row r="175" spans="1:1" x14ac:dyDescent="0.25">
      <c r="A175" s="413">
        <f>$A174+Planning!$D$2</f>
        <v>42628.619872685187</v>
      </c>
    </row>
    <row r="176" spans="1:1" x14ac:dyDescent="0.25">
      <c r="A176" s="413">
        <f>$A175+Planning!$D$2</f>
        <v>42629.619872685187</v>
      </c>
    </row>
    <row r="177" spans="1:1" x14ac:dyDescent="0.25">
      <c r="A177" s="413">
        <f>$A176+Planning!$D$2</f>
        <v>42630.619872685187</v>
      </c>
    </row>
    <row r="178" spans="1:1" x14ac:dyDescent="0.25">
      <c r="A178" s="413">
        <f>$A177+Planning!$D$2</f>
        <v>42631.619872685187</v>
      </c>
    </row>
    <row r="179" spans="1:1" x14ac:dyDescent="0.25">
      <c r="A179" s="413">
        <f>$A178+Planning!$D$2</f>
        <v>42632.619872685187</v>
      </c>
    </row>
    <row r="180" spans="1:1" x14ac:dyDescent="0.25">
      <c r="A180" s="413">
        <f>$A179+Planning!$D$2</f>
        <v>42633.619872685187</v>
      </c>
    </row>
    <row r="181" spans="1:1" x14ac:dyDescent="0.25">
      <c r="A181" s="413">
        <f>$A180+Planning!$D$2</f>
        <v>42634.619872685187</v>
      </c>
    </row>
    <row r="182" spans="1:1" x14ac:dyDescent="0.25">
      <c r="A182" s="413">
        <f>$A181+Planning!$D$2</f>
        <v>42635.619872685187</v>
      </c>
    </row>
    <row r="183" spans="1:1" x14ac:dyDescent="0.25">
      <c r="A183" s="413">
        <f>$A182+Planning!$D$2</f>
        <v>42636.619872685187</v>
      </c>
    </row>
    <row r="184" spans="1:1" x14ac:dyDescent="0.25">
      <c r="A184" s="413">
        <f>$A183+Planning!$D$2</f>
        <v>42637.619872685187</v>
      </c>
    </row>
    <row r="185" spans="1:1" x14ac:dyDescent="0.25">
      <c r="A185" s="413">
        <f>$A184+Planning!$D$2</f>
        <v>42638.619872685187</v>
      </c>
    </row>
    <row r="186" spans="1:1" x14ac:dyDescent="0.25">
      <c r="A186" s="413">
        <f>$A185+Planning!$D$2</f>
        <v>42639.619872685187</v>
      </c>
    </row>
    <row r="187" spans="1:1" x14ac:dyDescent="0.25">
      <c r="A187" s="413">
        <f>$A186+Planning!$D$2</f>
        <v>42640.619872685187</v>
      </c>
    </row>
    <row r="188" spans="1:1" x14ac:dyDescent="0.25">
      <c r="A188" s="413">
        <f>$A187+Planning!$D$2</f>
        <v>42641.619872685187</v>
      </c>
    </row>
    <row r="189" spans="1:1" x14ac:dyDescent="0.25">
      <c r="A189" s="413">
        <f>$A188+Planning!$D$2</f>
        <v>42642.619872685187</v>
      </c>
    </row>
    <row r="190" spans="1:1" x14ac:dyDescent="0.25">
      <c r="A190" s="413">
        <f>$A189+Planning!$D$2</f>
        <v>42643.619872685187</v>
      </c>
    </row>
    <row r="191" spans="1:1" x14ac:dyDescent="0.25">
      <c r="A191" s="413">
        <f>$A190+Planning!$D$2</f>
        <v>42644.619872685187</v>
      </c>
    </row>
    <row r="192" spans="1:1" x14ac:dyDescent="0.25">
      <c r="A192" s="413">
        <f>$A191+Planning!$D$2</f>
        <v>42645.619872685187</v>
      </c>
    </row>
    <row r="193" spans="1:1" x14ac:dyDescent="0.25">
      <c r="A193" s="413">
        <f>$A192+Planning!$D$2</f>
        <v>42646.619872685187</v>
      </c>
    </row>
    <row r="194" spans="1:1" x14ac:dyDescent="0.25">
      <c r="A194" s="413">
        <f>$A193+Planning!$D$2</f>
        <v>42647.619872685187</v>
      </c>
    </row>
    <row r="195" spans="1:1" x14ac:dyDescent="0.25">
      <c r="A195" s="413">
        <f>$A194+Planning!$D$2</f>
        <v>42648.619872685187</v>
      </c>
    </row>
    <row r="196" spans="1:1" x14ac:dyDescent="0.25">
      <c r="A196" s="413">
        <f>$A195+Planning!$D$2</f>
        <v>42649.619872685187</v>
      </c>
    </row>
    <row r="197" spans="1:1" x14ac:dyDescent="0.25">
      <c r="A197" s="413">
        <f>$A196+Planning!$D$2</f>
        <v>42650.619872685187</v>
      </c>
    </row>
    <row r="198" spans="1:1" x14ac:dyDescent="0.25">
      <c r="A198" s="413">
        <f>$A197+Planning!$D$2</f>
        <v>42651.619872685187</v>
      </c>
    </row>
    <row r="199" spans="1:1" x14ac:dyDescent="0.25">
      <c r="A199" s="413">
        <f>$A198+Planning!$D$2</f>
        <v>42652.619872685187</v>
      </c>
    </row>
    <row r="200" spans="1:1" x14ac:dyDescent="0.25">
      <c r="A200" s="413">
        <f>$A199+Planning!$D$2</f>
        <v>42653.619872685187</v>
      </c>
    </row>
    <row r="201" spans="1:1" x14ac:dyDescent="0.25">
      <c r="A201" s="413">
        <f>$A200+Planning!$D$2</f>
        <v>42654.619872685187</v>
      </c>
    </row>
    <row r="202" spans="1:1" x14ac:dyDescent="0.25">
      <c r="A202" s="413">
        <f>$A201+Planning!$D$2</f>
        <v>42655.619872685187</v>
      </c>
    </row>
    <row r="203" spans="1:1" x14ac:dyDescent="0.25">
      <c r="A203" s="413">
        <f>$A202+Planning!$D$2</f>
        <v>42656.619872685187</v>
      </c>
    </row>
    <row r="204" spans="1:1" x14ac:dyDescent="0.25">
      <c r="A204" s="413">
        <f>$A203+Planning!$D$2</f>
        <v>42657.619872685187</v>
      </c>
    </row>
    <row r="205" spans="1:1" x14ac:dyDescent="0.25">
      <c r="A205" s="413">
        <f>$A204+Planning!$D$2</f>
        <v>42658.619872685187</v>
      </c>
    </row>
    <row r="206" spans="1:1" x14ac:dyDescent="0.25">
      <c r="A206" s="413">
        <f>$A205+Planning!$D$2</f>
        <v>42659.619872685187</v>
      </c>
    </row>
    <row r="207" spans="1:1" x14ac:dyDescent="0.25">
      <c r="A207" s="413">
        <f>$A206+Planning!$D$2</f>
        <v>42660.619872685187</v>
      </c>
    </row>
    <row r="208" spans="1:1" x14ac:dyDescent="0.25">
      <c r="A208" s="413">
        <f>$A207+Planning!$D$2</f>
        <v>42661.619872685187</v>
      </c>
    </row>
    <row r="209" spans="1:1" x14ac:dyDescent="0.25">
      <c r="A209" s="413">
        <f>$A208+Planning!$D$2</f>
        <v>42662.619872685187</v>
      </c>
    </row>
    <row r="210" spans="1:1" x14ac:dyDescent="0.25">
      <c r="A210" s="413">
        <f>$A209+Planning!$D$2</f>
        <v>42663.619872685187</v>
      </c>
    </row>
    <row r="211" spans="1:1" x14ac:dyDescent="0.25">
      <c r="A211" s="413">
        <f>$A210+Planning!$D$2</f>
        <v>42664.619872685187</v>
      </c>
    </row>
    <row r="212" spans="1:1" x14ac:dyDescent="0.25">
      <c r="A212" s="413">
        <f>$A211+Planning!$D$2</f>
        <v>42665.619872685187</v>
      </c>
    </row>
    <row r="213" spans="1:1" x14ac:dyDescent="0.25">
      <c r="A213" s="413">
        <f>$A212+Planning!$D$2</f>
        <v>42666.619872685187</v>
      </c>
    </row>
    <row r="214" spans="1:1" x14ac:dyDescent="0.25">
      <c r="A214" s="413">
        <f>$A213+Planning!$D$2</f>
        <v>42667.619872685187</v>
      </c>
    </row>
    <row r="215" spans="1:1" x14ac:dyDescent="0.25">
      <c r="A215" s="413">
        <f>$A214+Planning!$D$2</f>
        <v>42668.619872685187</v>
      </c>
    </row>
    <row r="216" spans="1:1" x14ac:dyDescent="0.25">
      <c r="A216" s="413">
        <f>$A215+Planning!$D$2</f>
        <v>42669.619872685187</v>
      </c>
    </row>
    <row r="217" spans="1:1" x14ac:dyDescent="0.25">
      <c r="A217" s="413">
        <f>$A216+Planning!$D$2</f>
        <v>42670.619872685187</v>
      </c>
    </row>
    <row r="218" spans="1:1" x14ac:dyDescent="0.25">
      <c r="A218" s="413">
        <f>$A217+Planning!$D$2</f>
        <v>42671.619872685187</v>
      </c>
    </row>
    <row r="219" spans="1:1" x14ac:dyDescent="0.25">
      <c r="A219" s="413">
        <f>$A218+Planning!$D$2</f>
        <v>42672.619872685187</v>
      </c>
    </row>
    <row r="220" spans="1:1" x14ac:dyDescent="0.25">
      <c r="A220" s="413">
        <f>$A219+Planning!$D$2</f>
        <v>42673.619872685187</v>
      </c>
    </row>
    <row r="221" spans="1:1" x14ac:dyDescent="0.25">
      <c r="A221" s="413">
        <f>$A220+Planning!$D$2</f>
        <v>42674.619872685187</v>
      </c>
    </row>
    <row r="222" spans="1:1" x14ac:dyDescent="0.25">
      <c r="A222" s="413">
        <f>$A221+Planning!$D$2</f>
        <v>42675.619872685187</v>
      </c>
    </row>
    <row r="223" spans="1:1" x14ac:dyDescent="0.25">
      <c r="A223" s="413">
        <f>$A222+Planning!$D$2</f>
        <v>42676.619872685187</v>
      </c>
    </row>
    <row r="224" spans="1:1" x14ac:dyDescent="0.25">
      <c r="A224" s="413">
        <f>$A223+Planning!$D$2</f>
        <v>42677.619872685187</v>
      </c>
    </row>
    <row r="225" spans="1:1" x14ac:dyDescent="0.25">
      <c r="A225" s="413">
        <f>$A224+Planning!$D$2</f>
        <v>42678.619872685187</v>
      </c>
    </row>
    <row r="226" spans="1:1" x14ac:dyDescent="0.25">
      <c r="A226" s="413">
        <f>$A225+Planning!$D$2</f>
        <v>42679.619872685187</v>
      </c>
    </row>
    <row r="227" spans="1:1" x14ac:dyDescent="0.25">
      <c r="A227" s="413">
        <f>$A226+Planning!$D$2</f>
        <v>42680.619872685187</v>
      </c>
    </row>
    <row r="228" spans="1:1" x14ac:dyDescent="0.25">
      <c r="A228" s="413">
        <f>$A227+Planning!$D$2</f>
        <v>42681.619872685187</v>
      </c>
    </row>
    <row r="229" spans="1:1" x14ac:dyDescent="0.25">
      <c r="A229" s="413">
        <f>$A228+Planning!$D$2</f>
        <v>42682.619872685187</v>
      </c>
    </row>
    <row r="230" spans="1:1" x14ac:dyDescent="0.25">
      <c r="A230" s="413">
        <f>$A229+Planning!$D$2</f>
        <v>42683.619872685187</v>
      </c>
    </row>
    <row r="231" spans="1:1" x14ac:dyDescent="0.25">
      <c r="A231" s="413">
        <f>$A230+Planning!$D$2</f>
        <v>42684.619872685187</v>
      </c>
    </row>
    <row r="232" spans="1:1" x14ac:dyDescent="0.25">
      <c r="A232" s="413">
        <f>$A231+Planning!$D$2</f>
        <v>42685.619872685187</v>
      </c>
    </row>
    <row r="233" spans="1:1" x14ac:dyDescent="0.25">
      <c r="A233" s="413">
        <f>$A232+Planning!$D$2</f>
        <v>42686.619872685187</v>
      </c>
    </row>
    <row r="234" spans="1:1" x14ac:dyDescent="0.25">
      <c r="A234" s="413">
        <f>$A233+Planning!$D$2</f>
        <v>42687.619872685187</v>
      </c>
    </row>
    <row r="235" spans="1:1" x14ac:dyDescent="0.25">
      <c r="A235" s="413">
        <f>$A234+Planning!$D$2</f>
        <v>42688.619872685187</v>
      </c>
    </row>
    <row r="236" spans="1:1" x14ac:dyDescent="0.25">
      <c r="A236" s="413">
        <f>$A235+Planning!$D$2</f>
        <v>42689.619872685187</v>
      </c>
    </row>
    <row r="237" spans="1:1" x14ac:dyDescent="0.25">
      <c r="A237" s="413">
        <f>$A236+Planning!$D$2</f>
        <v>42690.619872685187</v>
      </c>
    </row>
    <row r="238" spans="1:1" x14ac:dyDescent="0.25">
      <c r="A238" s="413">
        <f>$A237+Planning!$D$2</f>
        <v>42691.619872685187</v>
      </c>
    </row>
    <row r="239" spans="1:1" x14ac:dyDescent="0.25">
      <c r="A239" s="413">
        <f>$A238+Planning!$D$2</f>
        <v>42692.619872685187</v>
      </c>
    </row>
    <row r="240" spans="1:1" x14ac:dyDescent="0.25">
      <c r="A240" s="413">
        <f>$A239+Planning!$D$2</f>
        <v>42693.619872685187</v>
      </c>
    </row>
    <row r="241" spans="1:1" x14ac:dyDescent="0.25">
      <c r="A241" s="413">
        <f>$A240+Planning!$D$2</f>
        <v>42694.619872685187</v>
      </c>
    </row>
    <row r="242" spans="1:1" x14ac:dyDescent="0.25">
      <c r="A242" s="413">
        <f>$A241+Planning!$D$2</f>
        <v>42695.619872685187</v>
      </c>
    </row>
    <row r="243" spans="1:1" x14ac:dyDescent="0.25">
      <c r="A243" s="413">
        <f>$A242+Planning!$D$2</f>
        <v>42696.619872685187</v>
      </c>
    </row>
    <row r="244" spans="1:1" x14ac:dyDescent="0.25">
      <c r="A244" s="413">
        <f>$A243+Planning!$D$2</f>
        <v>42697.619872685187</v>
      </c>
    </row>
    <row r="245" spans="1:1" x14ac:dyDescent="0.25">
      <c r="A245" s="413">
        <f>$A244+Planning!$D$2</f>
        <v>42698.619872685187</v>
      </c>
    </row>
    <row r="246" spans="1:1" x14ac:dyDescent="0.25">
      <c r="A246" s="413">
        <f>$A245+Planning!$D$2</f>
        <v>42699.619872685187</v>
      </c>
    </row>
    <row r="247" spans="1:1" x14ac:dyDescent="0.25">
      <c r="A247" s="413">
        <f>$A246+Planning!$D$2</f>
        <v>42700.619872685187</v>
      </c>
    </row>
    <row r="248" spans="1:1" x14ac:dyDescent="0.25">
      <c r="A248" s="413">
        <f>$A247+Planning!$D$2</f>
        <v>42701.619872685187</v>
      </c>
    </row>
    <row r="249" spans="1:1" x14ac:dyDescent="0.25">
      <c r="A249" s="413">
        <f>$A248+Planning!$D$2</f>
        <v>42702.619872685187</v>
      </c>
    </row>
    <row r="250" spans="1:1" x14ac:dyDescent="0.25">
      <c r="A250" s="413">
        <f>$A249+Planning!$D$2</f>
        <v>42703.619872685187</v>
      </c>
    </row>
    <row r="251" spans="1:1" x14ac:dyDescent="0.25">
      <c r="A251" s="413">
        <f>$A250+Planning!$D$2</f>
        <v>42704.619872685187</v>
      </c>
    </row>
    <row r="252" spans="1:1" x14ac:dyDescent="0.25">
      <c r="A252" s="413">
        <f>$A251+Planning!$D$2</f>
        <v>42705.619872685187</v>
      </c>
    </row>
    <row r="253" spans="1:1" x14ac:dyDescent="0.25">
      <c r="A253" s="413">
        <f>$A252+Planning!$D$2</f>
        <v>42706.619872685187</v>
      </c>
    </row>
    <row r="254" spans="1:1" x14ac:dyDescent="0.25">
      <c r="A254" s="413">
        <f>$A253+Planning!$D$2</f>
        <v>42707.619872685187</v>
      </c>
    </row>
    <row r="255" spans="1:1" x14ac:dyDescent="0.25">
      <c r="A255" s="413">
        <f>$A254+Planning!$D$2</f>
        <v>42708.619872685187</v>
      </c>
    </row>
    <row r="256" spans="1:1" x14ac:dyDescent="0.25">
      <c r="A256" s="413">
        <f>$A255+Planning!$D$2</f>
        <v>42709.619872685187</v>
      </c>
    </row>
    <row r="257" spans="1:1" x14ac:dyDescent="0.25">
      <c r="A257" s="413">
        <f>$A256+Planning!$D$2</f>
        <v>42710.619872685187</v>
      </c>
    </row>
    <row r="258" spans="1:1" x14ac:dyDescent="0.25">
      <c r="A258" s="413">
        <f>$A257+Planning!$D$2</f>
        <v>42711.619872685187</v>
      </c>
    </row>
    <row r="259" spans="1:1" x14ac:dyDescent="0.25">
      <c r="A259" s="413">
        <f>$A258+Planning!$D$2</f>
        <v>42712.619872685187</v>
      </c>
    </row>
    <row r="260" spans="1:1" x14ac:dyDescent="0.25">
      <c r="A260" s="413">
        <f>$A259+Planning!$D$2</f>
        <v>42713.619872685187</v>
      </c>
    </row>
    <row r="261" spans="1:1" x14ac:dyDescent="0.25">
      <c r="A261" s="413">
        <f>$A260+Planning!$D$2</f>
        <v>42714.619872685187</v>
      </c>
    </row>
    <row r="262" spans="1:1" x14ac:dyDescent="0.25">
      <c r="A262" s="413">
        <f>$A261+Planning!$D$2</f>
        <v>42715.619872685187</v>
      </c>
    </row>
    <row r="263" spans="1:1" x14ac:dyDescent="0.25">
      <c r="A263" s="413">
        <f>$A262+Planning!$D$2</f>
        <v>42716.619872685187</v>
      </c>
    </row>
    <row r="264" spans="1:1" x14ac:dyDescent="0.25">
      <c r="A264" s="413">
        <f>$A263+Planning!$D$2</f>
        <v>42717.619872685187</v>
      </c>
    </row>
    <row r="265" spans="1:1" x14ac:dyDescent="0.25">
      <c r="A265" s="413">
        <f>$A264+Planning!$D$2</f>
        <v>42718.619872685187</v>
      </c>
    </row>
    <row r="266" spans="1:1" x14ac:dyDescent="0.25">
      <c r="A266" s="413">
        <f>$A265+Planning!$D$2</f>
        <v>42719.619872685187</v>
      </c>
    </row>
    <row r="267" spans="1:1" x14ac:dyDescent="0.25">
      <c r="A267" s="413">
        <f>$A266+Planning!$D$2</f>
        <v>42720.619872685187</v>
      </c>
    </row>
    <row r="268" spans="1:1" x14ac:dyDescent="0.25">
      <c r="A268" s="413">
        <f>$A267+Planning!$D$2</f>
        <v>42721.619872685187</v>
      </c>
    </row>
    <row r="269" spans="1:1" x14ac:dyDescent="0.25">
      <c r="A269" s="413">
        <f>$A268+Planning!$D$2</f>
        <v>42722.619872685187</v>
      </c>
    </row>
    <row r="270" spans="1:1" x14ac:dyDescent="0.25">
      <c r="A270" s="413">
        <f>$A269+Planning!$D$2</f>
        <v>42723.619872685187</v>
      </c>
    </row>
    <row r="271" spans="1:1" x14ac:dyDescent="0.25">
      <c r="A271" s="413">
        <f>$A270+Planning!$D$2</f>
        <v>42724.619872685187</v>
      </c>
    </row>
    <row r="272" spans="1:1" x14ac:dyDescent="0.25">
      <c r="A272" s="413">
        <f>$A271+Planning!$D$2</f>
        <v>42725.619872685187</v>
      </c>
    </row>
    <row r="273" spans="1:1" x14ac:dyDescent="0.25">
      <c r="A273" s="413">
        <f>$A272+Planning!$D$2</f>
        <v>42726.619872685187</v>
      </c>
    </row>
    <row r="274" spans="1:1" x14ac:dyDescent="0.25">
      <c r="A274" s="413">
        <f>$A273+Planning!$D$2</f>
        <v>42727.619872685187</v>
      </c>
    </row>
    <row r="275" spans="1:1" x14ac:dyDescent="0.25">
      <c r="A275" s="413">
        <f>$A274+Planning!$D$2</f>
        <v>42728.619872685187</v>
      </c>
    </row>
    <row r="276" spans="1:1" x14ac:dyDescent="0.25">
      <c r="A276" s="413">
        <f>$A275+Planning!$D$2</f>
        <v>42729.619872685187</v>
      </c>
    </row>
    <row r="277" spans="1:1" x14ac:dyDescent="0.25">
      <c r="A277" s="413">
        <f>$A276+Planning!$D$2</f>
        <v>42730.619872685187</v>
      </c>
    </row>
    <row r="278" spans="1:1" x14ac:dyDescent="0.25">
      <c r="A278" s="413">
        <f>$A277+Planning!$D$2</f>
        <v>42731.619872685187</v>
      </c>
    </row>
    <row r="279" spans="1:1" x14ac:dyDescent="0.25">
      <c r="A279" s="413">
        <f>$A278+Planning!$D$2</f>
        <v>42732.619872685187</v>
      </c>
    </row>
    <row r="280" spans="1:1" x14ac:dyDescent="0.25">
      <c r="A280" s="413">
        <f>$A279+Planning!$D$2</f>
        <v>42733.619872685187</v>
      </c>
    </row>
    <row r="281" spans="1:1" x14ac:dyDescent="0.25">
      <c r="A281" s="413">
        <f>$A280+Planning!$D$2</f>
        <v>42734.619872685187</v>
      </c>
    </row>
    <row r="282" spans="1:1" x14ac:dyDescent="0.25">
      <c r="A282" s="413">
        <f>$A281+Planning!$D$2</f>
        <v>42735.619872685187</v>
      </c>
    </row>
    <row r="283" spans="1:1" x14ac:dyDescent="0.25">
      <c r="A283" s="413">
        <f>$A282+Planning!$D$2</f>
        <v>42736.619872685187</v>
      </c>
    </row>
    <row r="284" spans="1:1" x14ac:dyDescent="0.25">
      <c r="A284" s="413">
        <f>$A283+Planning!$D$2</f>
        <v>42737.619872685187</v>
      </c>
    </row>
    <row r="285" spans="1:1" x14ac:dyDescent="0.25">
      <c r="A285" s="413">
        <f>$A284+Planning!$D$2</f>
        <v>42738.619872685187</v>
      </c>
    </row>
    <row r="286" spans="1:1" x14ac:dyDescent="0.25">
      <c r="A286" s="413">
        <f>$A285+Planning!$D$2</f>
        <v>42739.619872685187</v>
      </c>
    </row>
    <row r="287" spans="1:1" x14ac:dyDescent="0.25">
      <c r="A287" s="413">
        <f>$A286+Planning!$D$2</f>
        <v>42740.619872685187</v>
      </c>
    </row>
    <row r="288" spans="1:1" x14ac:dyDescent="0.25">
      <c r="A288" s="413">
        <f>$A287+Planning!$D$2</f>
        <v>42741.619872685187</v>
      </c>
    </row>
    <row r="289" spans="1:1" x14ac:dyDescent="0.25">
      <c r="A289" s="413">
        <f>$A288+Planning!$D$2</f>
        <v>42742.619872685187</v>
      </c>
    </row>
    <row r="290" spans="1:1" x14ac:dyDescent="0.25">
      <c r="A290" s="413">
        <f>$A289+Planning!$D$2</f>
        <v>42743.619872685187</v>
      </c>
    </row>
    <row r="291" spans="1:1" x14ac:dyDescent="0.25">
      <c r="A291" s="413">
        <f>$A290+Planning!$D$2</f>
        <v>42744.619872685187</v>
      </c>
    </row>
    <row r="292" spans="1:1" x14ac:dyDescent="0.25">
      <c r="A292" s="413">
        <f>$A291+Planning!$D$2</f>
        <v>42745.619872685187</v>
      </c>
    </row>
    <row r="293" spans="1:1" x14ac:dyDescent="0.25">
      <c r="A293" s="413">
        <f>$A292+Planning!$D$2</f>
        <v>42746.619872685187</v>
      </c>
    </row>
    <row r="294" spans="1:1" x14ac:dyDescent="0.25">
      <c r="A294" s="413">
        <f>$A293+Planning!$D$2</f>
        <v>42747.619872685187</v>
      </c>
    </row>
    <row r="295" spans="1:1" x14ac:dyDescent="0.25">
      <c r="A295" s="413">
        <f>$A294+Planning!$D$2</f>
        <v>42748.619872685187</v>
      </c>
    </row>
    <row r="296" spans="1:1" x14ac:dyDescent="0.25">
      <c r="A296" s="413">
        <f>$A295+Planning!$D$2</f>
        <v>42749.619872685187</v>
      </c>
    </row>
    <row r="297" spans="1:1" x14ac:dyDescent="0.25">
      <c r="A297" s="413">
        <f>$A296+Planning!$D$2</f>
        <v>42750.619872685187</v>
      </c>
    </row>
    <row r="298" spans="1:1" x14ac:dyDescent="0.25">
      <c r="A298" s="413">
        <f>$A297+Planning!$D$2</f>
        <v>42751.619872685187</v>
      </c>
    </row>
    <row r="299" spans="1:1" x14ac:dyDescent="0.25">
      <c r="A299" s="413">
        <f>$A298+Planning!$D$2</f>
        <v>42752.619872685187</v>
      </c>
    </row>
    <row r="300" spans="1:1" x14ac:dyDescent="0.25">
      <c r="A300" s="413">
        <f>$A299+Planning!$D$2</f>
        <v>42753.619872685187</v>
      </c>
    </row>
    <row r="301" spans="1:1" x14ac:dyDescent="0.25">
      <c r="A301" s="413">
        <f>$A300+Planning!$D$2</f>
        <v>42754.619872685187</v>
      </c>
    </row>
    <row r="302" spans="1:1" x14ac:dyDescent="0.25">
      <c r="A302" s="413">
        <f>$A301+Planning!$D$2</f>
        <v>42755.619872685187</v>
      </c>
    </row>
    <row r="303" spans="1:1" x14ac:dyDescent="0.25">
      <c r="A303" s="413">
        <f>$A302+Planning!$D$2</f>
        <v>42756.619872685187</v>
      </c>
    </row>
    <row r="304" spans="1:1" x14ac:dyDescent="0.25">
      <c r="A304" s="413">
        <f>$A303+Planning!$D$2</f>
        <v>42757.619872685187</v>
      </c>
    </row>
    <row r="305" spans="1:1" x14ac:dyDescent="0.25">
      <c r="A305" s="413">
        <f>$A304+Planning!$D$2</f>
        <v>42758.619872685187</v>
      </c>
    </row>
    <row r="306" spans="1:1" x14ac:dyDescent="0.25">
      <c r="A306" s="413">
        <f>$A305+Planning!$D$2</f>
        <v>42759.619872685187</v>
      </c>
    </row>
    <row r="307" spans="1:1" x14ac:dyDescent="0.25">
      <c r="A307" s="413">
        <f>$A306+Planning!$D$2</f>
        <v>42760.619872685187</v>
      </c>
    </row>
    <row r="308" spans="1:1" x14ac:dyDescent="0.25">
      <c r="A308" s="413">
        <f>$A307+Planning!$D$2</f>
        <v>42761.619872685187</v>
      </c>
    </row>
    <row r="309" spans="1:1" x14ac:dyDescent="0.25">
      <c r="A309" s="413">
        <f>$A308+Planning!$D$2</f>
        <v>42762.619872685187</v>
      </c>
    </row>
    <row r="310" spans="1:1" x14ac:dyDescent="0.25">
      <c r="A310" s="413">
        <f>$A309+Planning!$D$2</f>
        <v>42763.619872685187</v>
      </c>
    </row>
    <row r="311" spans="1:1" x14ac:dyDescent="0.25">
      <c r="A311" s="413">
        <f>$A310+Planning!$D$2</f>
        <v>42764.619872685187</v>
      </c>
    </row>
    <row r="312" spans="1:1" x14ac:dyDescent="0.25">
      <c r="A312" s="413">
        <f>$A311+Planning!$D$2</f>
        <v>42765.619872685187</v>
      </c>
    </row>
    <row r="313" spans="1:1" x14ac:dyDescent="0.25">
      <c r="A313" s="413">
        <f>$A312+Planning!$D$2</f>
        <v>42766.619872685187</v>
      </c>
    </row>
    <row r="314" spans="1:1" x14ac:dyDescent="0.25">
      <c r="A314" s="413">
        <f>$A313+Planning!$D$2</f>
        <v>42767.619872685187</v>
      </c>
    </row>
    <row r="315" spans="1:1" x14ac:dyDescent="0.25">
      <c r="A315" s="413">
        <f>$A314+Planning!$D$2</f>
        <v>42768.619872685187</v>
      </c>
    </row>
    <row r="316" spans="1:1" x14ac:dyDescent="0.25">
      <c r="A316" s="413">
        <f>$A315+Planning!$D$2</f>
        <v>42769.619872685187</v>
      </c>
    </row>
    <row r="317" spans="1:1" x14ac:dyDescent="0.25">
      <c r="A317" s="413">
        <f>$A316+Planning!$D$2</f>
        <v>42770.619872685187</v>
      </c>
    </row>
    <row r="318" spans="1:1" x14ac:dyDescent="0.25">
      <c r="A318" s="413">
        <f>$A317+Planning!$D$2</f>
        <v>42771.619872685187</v>
      </c>
    </row>
    <row r="319" spans="1:1" x14ac:dyDescent="0.25">
      <c r="A319" s="413">
        <f>$A318+Planning!$D$2</f>
        <v>42772.619872685187</v>
      </c>
    </row>
    <row r="320" spans="1:1" x14ac:dyDescent="0.25">
      <c r="A320" s="413">
        <f>$A319+Planning!$D$2</f>
        <v>42773.619872685187</v>
      </c>
    </row>
    <row r="321" spans="1:1" x14ac:dyDescent="0.25">
      <c r="A321" s="413">
        <f>$A320+Planning!$D$2</f>
        <v>42774.619872685187</v>
      </c>
    </row>
    <row r="322" spans="1:1" x14ac:dyDescent="0.25">
      <c r="A322" s="413">
        <f>$A321+Planning!$D$2</f>
        <v>42775.619872685187</v>
      </c>
    </row>
    <row r="323" spans="1:1" x14ac:dyDescent="0.25">
      <c r="A323" s="413">
        <f>$A322+Planning!$D$2</f>
        <v>42776.619872685187</v>
      </c>
    </row>
    <row r="324" spans="1:1" x14ac:dyDescent="0.25">
      <c r="A324" s="413">
        <f>$A323+Planning!$D$2</f>
        <v>42777.619872685187</v>
      </c>
    </row>
    <row r="325" spans="1:1" x14ac:dyDescent="0.25">
      <c r="A325" s="413">
        <f>$A324+Planning!$D$2</f>
        <v>42778.619872685187</v>
      </c>
    </row>
    <row r="326" spans="1:1" x14ac:dyDescent="0.25">
      <c r="A326" s="413">
        <f>$A325+Planning!$D$2</f>
        <v>42779.619872685187</v>
      </c>
    </row>
    <row r="327" spans="1:1" x14ac:dyDescent="0.25">
      <c r="A327" s="413">
        <f>$A326+Planning!$D$2</f>
        <v>42780.619872685187</v>
      </c>
    </row>
    <row r="328" spans="1:1" x14ac:dyDescent="0.25">
      <c r="A328" s="413">
        <f>$A327+Planning!$D$2</f>
        <v>42781.619872685187</v>
      </c>
    </row>
    <row r="329" spans="1:1" x14ac:dyDescent="0.25">
      <c r="A329" s="413">
        <f>$A328+Planning!$D$2</f>
        <v>42782.619872685187</v>
      </c>
    </row>
    <row r="330" spans="1:1" x14ac:dyDescent="0.25">
      <c r="A330" s="413">
        <f>$A329+Planning!$D$2</f>
        <v>42783.619872685187</v>
      </c>
    </row>
    <row r="331" spans="1:1" x14ac:dyDescent="0.25">
      <c r="A331" s="413">
        <f>$A330+Planning!$D$2</f>
        <v>42784.619872685187</v>
      </c>
    </row>
    <row r="332" spans="1:1" x14ac:dyDescent="0.25">
      <c r="A332" s="413">
        <f>$A331+Planning!$D$2</f>
        <v>42785.619872685187</v>
      </c>
    </row>
    <row r="333" spans="1:1" x14ac:dyDescent="0.25">
      <c r="A333" s="413">
        <f>$A332+Planning!$D$2</f>
        <v>42786.619872685187</v>
      </c>
    </row>
    <row r="334" spans="1:1" x14ac:dyDescent="0.25">
      <c r="A334" s="413">
        <f>$A333+Planning!$D$2</f>
        <v>42787.619872685187</v>
      </c>
    </row>
    <row r="335" spans="1:1" x14ac:dyDescent="0.25">
      <c r="A335" s="413">
        <f>$A334+Planning!$D$2</f>
        <v>42788.619872685187</v>
      </c>
    </row>
    <row r="336" spans="1:1" x14ac:dyDescent="0.25">
      <c r="A336" s="413">
        <f>$A335+Planning!$D$2</f>
        <v>42789.619872685187</v>
      </c>
    </row>
    <row r="337" spans="1:1" x14ac:dyDescent="0.25">
      <c r="A337" s="413">
        <f>$A336+Planning!$D$2</f>
        <v>42790.619872685187</v>
      </c>
    </row>
    <row r="338" spans="1:1" x14ac:dyDescent="0.25">
      <c r="A338" s="413">
        <f>$A337+Planning!$D$2</f>
        <v>42791.619872685187</v>
      </c>
    </row>
    <row r="339" spans="1:1" x14ac:dyDescent="0.25">
      <c r="A339" s="413">
        <f>$A338+Planning!$D$2</f>
        <v>42792.619872685187</v>
      </c>
    </row>
    <row r="340" spans="1:1" x14ac:dyDescent="0.25">
      <c r="A340" s="413">
        <f>$A339+Planning!$D$2</f>
        <v>42793.619872685187</v>
      </c>
    </row>
    <row r="341" spans="1:1" x14ac:dyDescent="0.25">
      <c r="A341" s="413">
        <f>$A340+Planning!$D$2</f>
        <v>42794.619872685187</v>
      </c>
    </row>
    <row r="342" spans="1:1" x14ac:dyDescent="0.25">
      <c r="A342" s="413">
        <f>$A341+Planning!$D$2</f>
        <v>42795.619872685187</v>
      </c>
    </row>
    <row r="343" spans="1:1" x14ac:dyDescent="0.25">
      <c r="A343" s="413">
        <f>$A342+Planning!$D$2</f>
        <v>42796.619872685187</v>
      </c>
    </row>
    <row r="344" spans="1:1" x14ac:dyDescent="0.25">
      <c r="A344" s="413">
        <f>$A343+Planning!$D$2</f>
        <v>42797.619872685187</v>
      </c>
    </row>
    <row r="345" spans="1:1" x14ac:dyDescent="0.25">
      <c r="A345" s="413">
        <f>$A344+Planning!$D$2</f>
        <v>42798.619872685187</v>
      </c>
    </row>
    <row r="346" spans="1:1" x14ac:dyDescent="0.25">
      <c r="A346" s="413">
        <f>$A345+Planning!$D$2</f>
        <v>42799.619872685187</v>
      </c>
    </row>
    <row r="347" spans="1:1" x14ac:dyDescent="0.25">
      <c r="A347" s="413">
        <f>$A346+Planning!$D$2</f>
        <v>42800.619872685187</v>
      </c>
    </row>
    <row r="348" spans="1:1" x14ac:dyDescent="0.25">
      <c r="A348" s="413">
        <f>$A347+Planning!$D$2</f>
        <v>42801.619872685187</v>
      </c>
    </row>
    <row r="349" spans="1:1" x14ac:dyDescent="0.25">
      <c r="A349" s="413">
        <f>$A348+Planning!$D$2</f>
        <v>42802.619872685187</v>
      </c>
    </row>
    <row r="350" spans="1:1" x14ac:dyDescent="0.25">
      <c r="A350" s="413">
        <f>$A349+Planning!$D$2</f>
        <v>42803.619872685187</v>
      </c>
    </row>
    <row r="351" spans="1:1" x14ac:dyDescent="0.25">
      <c r="A351" s="413">
        <f>$A350+Planning!$D$2</f>
        <v>42804.619872685187</v>
      </c>
    </row>
    <row r="352" spans="1:1" x14ac:dyDescent="0.25">
      <c r="A352" s="413">
        <f>$A351+Planning!$D$2</f>
        <v>42805.619872685187</v>
      </c>
    </row>
    <row r="353" spans="1:1" x14ac:dyDescent="0.25">
      <c r="A353" s="413">
        <f>$A352+Planning!$D$2</f>
        <v>42806.619872685187</v>
      </c>
    </row>
    <row r="354" spans="1:1" x14ac:dyDescent="0.25">
      <c r="A354" s="413">
        <f>$A353+Planning!$D$2</f>
        <v>42807.619872685187</v>
      </c>
    </row>
    <row r="355" spans="1:1" x14ac:dyDescent="0.25">
      <c r="A355" s="413">
        <f>$A354+Planning!$D$2</f>
        <v>42808.619872685187</v>
      </c>
    </row>
    <row r="356" spans="1:1" x14ac:dyDescent="0.25">
      <c r="A356" s="413">
        <f>$A355+Planning!$D$2</f>
        <v>42809.619872685187</v>
      </c>
    </row>
    <row r="357" spans="1:1" x14ac:dyDescent="0.25">
      <c r="A357" s="413">
        <f>$A356+Planning!$D$2</f>
        <v>42810.619872685187</v>
      </c>
    </row>
    <row r="358" spans="1:1" x14ac:dyDescent="0.25">
      <c r="A358" s="413">
        <f>$A357+Planning!$D$2</f>
        <v>42811.619872685187</v>
      </c>
    </row>
    <row r="359" spans="1:1" x14ac:dyDescent="0.25">
      <c r="A359" s="413">
        <f>$A358+Planning!$D$2</f>
        <v>42812.619872685187</v>
      </c>
    </row>
    <row r="360" spans="1:1" x14ac:dyDescent="0.25">
      <c r="A360" s="413">
        <f>$A359+Planning!$D$2</f>
        <v>42813.619872685187</v>
      </c>
    </row>
    <row r="361" spans="1:1" x14ac:dyDescent="0.25">
      <c r="A361" s="413">
        <f>$A360+Planning!$D$2</f>
        <v>42814.619872685187</v>
      </c>
    </row>
    <row r="362" spans="1:1" x14ac:dyDescent="0.25">
      <c r="A362" s="413">
        <f>$A361+Planning!$D$2</f>
        <v>42815.619872685187</v>
      </c>
    </row>
    <row r="363" spans="1:1" x14ac:dyDescent="0.25">
      <c r="A363" s="413">
        <f>$A362+Planning!$D$2</f>
        <v>42816.619872685187</v>
      </c>
    </row>
    <row r="364" spans="1:1" x14ac:dyDescent="0.25">
      <c r="A364" s="413">
        <f>$A363+Planning!$D$2</f>
        <v>42817.619872685187</v>
      </c>
    </row>
    <row r="365" spans="1:1" x14ac:dyDescent="0.25">
      <c r="A365" s="413">
        <f>$A364+Planning!$D$2</f>
        <v>42818.619872685187</v>
      </c>
    </row>
    <row r="366" spans="1:1" x14ac:dyDescent="0.25">
      <c r="A366" s="413">
        <f>$A365+Planning!$D$2</f>
        <v>42819.619872685187</v>
      </c>
    </row>
    <row r="367" spans="1:1" x14ac:dyDescent="0.25">
      <c r="A367" s="413">
        <f>$A366+Planning!$D$2</f>
        <v>42820.619872685187</v>
      </c>
    </row>
    <row r="368" spans="1:1" x14ac:dyDescent="0.25">
      <c r="A368" s="413">
        <f>$A367+Planning!$D$2</f>
        <v>42821.619872685187</v>
      </c>
    </row>
    <row r="369" spans="1:1" x14ac:dyDescent="0.25">
      <c r="A369" s="413">
        <f>$A368+Planning!$D$2</f>
        <v>42822.619872685187</v>
      </c>
    </row>
    <row r="370" spans="1:1" x14ac:dyDescent="0.25">
      <c r="A370" s="413">
        <f>$A369+Planning!$D$2</f>
        <v>42823.619872685187</v>
      </c>
    </row>
    <row r="371" spans="1:1" x14ac:dyDescent="0.25">
      <c r="A371" s="413">
        <f>$A370+Planning!$D$2</f>
        <v>42824.619872685187</v>
      </c>
    </row>
    <row r="372" spans="1:1" x14ac:dyDescent="0.25">
      <c r="A372" s="413">
        <f>$A371+Planning!$D$2</f>
        <v>42825.619872685187</v>
      </c>
    </row>
    <row r="373" spans="1:1" x14ac:dyDescent="0.25">
      <c r="A373" s="413">
        <f>$A372+Planning!$D$2</f>
        <v>42826.619872685187</v>
      </c>
    </row>
    <row r="374" spans="1:1" x14ac:dyDescent="0.25">
      <c r="A374" s="413">
        <f>$A373+Planning!$D$2</f>
        <v>42827.619872685187</v>
      </c>
    </row>
    <row r="375" spans="1:1" x14ac:dyDescent="0.25">
      <c r="A375" s="413">
        <f>$A374+Planning!$D$2</f>
        <v>42828.619872685187</v>
      </c>
    </row>
    <row r="376" spans="1:1" x14ac:dyDescent="0.25">
      <c r="A376" s="413">
        <f>$A375+Planning!$D$2</f>
        <v>42829.619872685187</v>
      </c>
    </row>
    <row r="377" spans="1:1" x14ac:dyDescent="0.25">
      <c r="A377" s="413">
        <f>$A376+Planning!$D$2</f>
        <v>42830.619872685187</v>
      </c>
    </row>
    <row r="378" spans="1:1" x14ac:dyDescent="0.25">
      <c r="A378" s="413">
        <f>$A377+Planning!$D$2</f>
        <v>42831.619872685187</v>
      </c>
    </row>
    <row r="379" spans="1:1" x14ac:dyDescent="0.25">
      <c r="A379" s="413">
        <f>$A378+Planning!$D$2</f>
        <v>42832.619872685187</v>
      </c>
    </row>
    <row r="380" spans="1:1" x14ac:dyDescent="0.25">
      <c r="A380" s="413">
        <f>$A379+Planning!$D$2</f>
        <v>42833.619872685187</v>
      </c>
    </row>
    <row r="381" spans="1:1" x14ac:dyDescent="0.25">
      <c r="A381" s="413">
        <f>$A380+Planning!$D$2</f>
        <v>42834.619872685187</v>
      </c>
    </row>
    <row r="382" spans="1:1" x14ac:dyDescent="0.25">
      <c r="A382" s="413">
        <f>$A381+Planning!$D$2</f>
        <v>42835.619872685187</v>
      </c>
    </row>
    <row r="383" spans="1:1" x14ac:dyDescent="0.25">
      <c r="A383" s="413">
        <f>$A382+Planning!$D$2</f>
        <v>42836.619872685187</v>
      </c>
    </row>
    <row r="384" spans="1:1" x14ac:dyDescent="0.25">
      <c r="A384" s="413">
        <f>$A383+Planning!$D$2</f>
        <v>42837.619872685187</v>
      </c>
    </row>
    <row r="385" spans="1:1" x14ac:dyDescent="0.25">
      <c r="A385" s="413">
        <f>$A384+Planning!$D$2</f>
        <v>42838.619872685187</v>
      </c>
    </row>
    <row r="386" spans="1:1" x14ac:dyDescent="0.25">
      <c r="A386" s="413">
        <f>$A385+Planning!$D$2</f>
        <v>42839.619872685187</v>
      </c>
    </row>
    <row r="387" spans="1:1" x14ac:dyDescent="0.25">
      <c r="A387" s="413">
        <f>$A386+Planning!$D$2</f>
        <v>42840.619872685187</v>
      </c>
    </row>
    <row r="388" spans="1:1" x14ac:dyDescent="0.25">
      <c r="A388" s="413">
        <f>$A387+Planning!$D$2</f>
        <v>42841.619872685187</v>
      </c>
    </row>
    <row r="389" spans="1:1" x14ac:dyDescent="0.25">
      <c r="A389" s="413">
        <f>$A388+Planning!$D$2</f>
        <v>42842.619872685187</v>
      </c>
    </row>
    <row r="390" spans="1:1" x14ac:dyDescent="0.25">
      <c r="A390" s="413">
        <f>$A389+Planning!$D$2</f>
        <v>42843.619872685187</v>
      </c>
    </row>
    <row r="391" spans="1:1" x14ac:dyDescent="0.25">
      <c r="A391" s="413">
        <f>$A390+Planning!$D$2</f>
        <v>42844.619872685187</v>
      </c>
    </row>
    <row r="392" spans="1:1" x14ac:dyDescent="0.25">
      <c r="A392" s="413">
        <f>$A391+Planning!$D$2</f>
        <v>42845.619872685187</v>
      </c>
    </row>
    <row r="393" spans="1:1" x14ac:dyDescent="0.25">
      <c r="A393" s="413">
        <f>$A392+Planning!$D$2</f>
        <v>42846.619872685187</v>
      </c>
    </row>
    <row r="394" spans="1:1" x14ac:dyDescent="0.25">
      <c r="A394" s="413">
        <f>$A393+Planning!$D$2</f>
        <v>42847.619872685187</v>
      </c>
    </row>
    <row r="395" spans="1:1" x14ac:dyDescent="0.25">
      <c r="A395" s="413">
        <f>$A394+Planning!$D$2</f>
        <v>42848.619872685187</v>
      </c>
    </row>
    <row r="396" spans="1:1" x14ac:dyDescent="0.25">
      <c r="A396" s="413">
        <f>$A395+Planning!$D$2</f>
        <v>42849.619872685187</v>
      </c>
    </row>
    <row r="397" spans="1:1" x14ac:dyDescent="0.25">
      <c r="A397" s="413">
        <f>$A396+Planning!$D$2</f>
        <v>42850.619872685187</v>
      </c>
    </row>
    <row r="398" spans="1:1" x14ac:dyDescent="0.25">
      <c r="A398" s="413">
        <f>$A397+Planning!$D$2</f>
        <v>42851.619872685187</v>
      </c>
    </row>
    <row r="399" spans="1:1" x14ac:dyDescent="0.25">
      <c r="A399" s="413">
        <f>$A398+Planning!$D$2</f>
        <v>42852.619872685187</v>
      </c>
    </row>
    <row r="400" spans="1:1" x14ac:dyDescent="0.25">
      <c r="A400" s="413">
        <f>$A399+Planning!$D$2</f>
        <v>42853.619872685187</v>
      </c>
    </row>
    <row r="401" spans="1:1" x14ac:dyDescent="0.25">
      <c r="A401" s="413">
        <f>$A400+Planning!$D$2</f>
        <v>42854.619872685187</v>
      </c>
    </row>
    <row r="402" spans="1:1" x14ac:dyDescent="0.25">
      <c r="A402" s="413">
        <f>$A401+Planning!$D$2</f>
        <v>42855.619872685187</v>
      </c>
    </row>
    <row r="403" spans="1:1" x14ac:dyDescent="0.25">
      <c r="A403" s="413">
        <f>$A402+Planning!$D$2</f>
        <v>42856.619872685187</v>
      </c>
    </row>
    <row r="404" spans="1:1" x14ac:dyDescent="0.25">
      <c r="A404" s="413">
        <f>$A403+Planning!$D$2</f>
        <v>42857.619872685187</v>
      </c>
    </row>
    <row r="405" spans="1:1" x14ac:dyDescent="0.25">
      <c r="A405" s="413">
        <f>$A404+Planning!$D$2</f>
        <v>42858.619872685187</v>
      </c>
    </row>
    <row r="406" spans="1:1" x14ac:dyDescent="0.25">
      <c r="A406" s="413">
        <f>$A405+Planning!$D$2</f>
        <v>42859.619872685187</v>
      </c>
    </row>
    <row r="407" spans="1:1" x14ac:dyDescent="0.25">
      <c r="A407" s="413">
        <f>$A406+Planning!$D$2</f>
        <v>42860.619872685187</v>
      </c>
    </row>
    <row r="408" spans="1:1" x14ac:dyDescent="0.25">
      <c r="A408" s="413">
        <f>$A407+Planning!$D$2</f>
        <v>42861.619872685187</v>
      </c>
    </row>
    <row r="409" spans="1:1" x14ac:dyDescent="0.25">
      <c r="A409" s="413">
        <f>$A408+Planning!$D$2</f>
        <v>42862.619872685187</v>
      </c>
    </row>
    <row r="410" spans="1:1" x14ac:dyDescent="0.25">
      <c r="A410" s="413">
        <f>$A409+Planning!$D$2</f>
        <v>42863.619872685187</v>
      </c>
    </row>
    <row r="411" spans="1:1" x14ac:dyDescent="0.25">
      <c r="A411" s="413">
        <f>$A410+Planning!$D$2</f>
        <v>42864.619872685187</v>
      </c>
    </row>
    <row r="412" spans="1:1" x14ac:dyDescent="0.25">
      <c r="A412" s="413">
        <f>$A411+Planning!$D$2</f>
        <v>42865.619872685187</v>
      </c>
    </row>
    <row r="413" spans="1:1" x14ac:dyDescent="0.25">
      <c r="A413" s="413">
        <f>$A412+Planning!$D$2</f>
        <v>42866.619872685187</v>
      </c>
    </row>
    <row r="414" spans="1:1" x14ac:dyDescent="0.25">
      <c r="A414" s="413">
        <f>$A413+Planning!$D$2</f>
        <v>42867.619872685187</v>
      </c>
    </row>
    <row r="415" spans="1:1" x14ac:dyDescent="0.25">
      <c r="A415" s="413">
        <f>$A414+Planning!$D$2</f>
        <v>42868.619872685187</v>
      </c>
    </row>
    <row r="416" spans="1:1" x14ac:dyDescent="0.25">
      <c r="A416" s="413">
        <f>$A415+Planning!$D$2</f>
        <v>42869.619872685187</v>
      </c>
    </row>
    <row r="417" spans="1:1" x14ac:dyDescent="0.25">
      <c r="A417" s="413">
        <f>$A416+Planning!$D$2</f>
        <v>42870.619872685187</v>
      </c>
    </row>
    <row r="418" spans="1:1" x14ac:dyDescent="0.25">
      <c r="A418" s="413">
        <f>$A417+Planning!$D$2</f>
        <v>42871.619872685187</v>
      </c>
    </row>
    <row r="419" spans="1:1" x14ac:dyDescent="0.25">
      <c r="A419" s="413">
        <f>$A418+Planning!$D$2</f>
        <v>42872.619872685187</v>
      </c>
    </row>
    <row r="420" spans="1:1" x14ac:dyDescent="0.25">
      <c r="A420" s="413">
        <f>$A419+Planning!$D$2</f>
        <v>42873.619872685187</v>
      </c>
    </row>
    <row r="421" spans="1:1" x14ac:dyDescent="0.25">
      <c r="A421" s="413">
        <f>$A420+Planning!$D$2</f>
        <v>42874.619872685187</v>
      </c>
    </row>
    <row r="422" spans="1:1" x14ac:dyDescent="0.25">
      <c r="A422" s="413">
        <f>$A421+Planning!$D$2</f>
        <v>42875.619872685187</v>
      </c>
    </row>
    <row r="423" spans="1:1" x14ac:dyDescent="0.25">
      <c r="A423" s="413">
        <f>$A422+Planning!$D$2</f>
        <v>42876.619872685187</v>
      </c>
    </row>
    <row r="424" spans="1:1" x14ac:dyDescent="0.25">
      <c r="A424" s="413">
        <f>$A423+Planning!$D$2</f>
        <v>42877.619872685187</v>
      </c>
    </row>
    <row r="425" spans="1:1" x14ac:dyDescent="0.25">
      <c r="A425" s="413">
        <f>$A424+Planning!$D$2</f>
        <v>42878.619872685187</v>
      </c>
    </row>
    <row r="426" spans="1:1" x14ac:dyDescent="0.25">
      <c r="A426" s="413">
        <f>$A425+Planning!$D$2</f>
        <v>42879.619872685187</v>
      </c>
    </row>
    <row r="427" spans="1:1" x14ac:dyDescent="0.25">
      <c r="A427" s="413">
        <f>$A426+Planning!$D$2</f>
        <v>42880.619872685187</v>
      </c>
    </row>
    <row r="428" spans="1:1" x14ac:dyDescent="0.25">
      <c r="A428" s="413">
        <f>$A427+Planning!$D$2</f>
        <v>42881.619872685187</v>
      </c>
    </row>
    <row r="429" spans="1:1" x14ac:dyDescent="0.25">
      <c r="A429" s="413">
        <f>$A428+Planning!$D$2</f>
        <v>42882.619872685187</v>
      </c>
    </row>
    <row r="430" spans="1:1" x14ac:dyDescent="0.25">
      <c r="A430" s="413">
        <f>$A429+Planning!$D$2</f>
        <v>42883.619872685187</v>
      </c>
    </row>
    <row r="431" spans="1:1" x14ac:dyDescent="0.25">
      <c r="A431" s="413">
        <f>$A430+Planning!$D$2</f>
        <v>42884.619872685187</v>
      </c>
    </row>
    <row r="432" spans="1:1" x14ac:dyDescent="0.25">
      <c r="A432" s="413">
        <f>$A431+Planning!$D$2</f>
        <v>42885.619872685187</v>
      </c>
    </row>
    <row r="433" spans="1:1" x14ac:dyDescent="0.25">
      <c r="A433" s="413">
        <f>$A432+Planning!$D$2</f>
        <v>42886.619872685187</v>
      </c>
    </row>
    <row r="434" spans="1:1" x14ac:dyDescent="0.25">
      <c r="A434" s="413">
        <f>$A433+Planning!$D$2</f>
        <v>42887.619872685187</v>
      </c>
    </row>
    <row r="435" spans="1:1" x14ac:dyDescent="0.25">
      <c r="A435" s="413">
        <f>$A434+Planning!$D$2</f>
        <v>42888.619872685187</v>
      </c>
    </row>
    <row r="436" spans="1:1" x14ac:dyDescent="0.25">
      <c r="A436" s="413">
        <f>$A435+Planning!$D$2</f>
        <v>42889.619872685187</v>
      </c>
    </row>
    <row r="437" spans="1:1" x14ac:dyDescent="0.25">
      <c r="A437" s="413">
        <f>$A436+Planning!$D$2</f>
        <v>42890.619872685187</v>
      </c>
    </row>
    <row r="438" spans="1:1" x14ac:dyDescent="0.25">
      <c r="A438" s="413">
        <f>$A437+Planning!$D$2</f>
        <v>42891.619872685187</v>
      </c>
    </row>
    <row r="439" spans="1:1" x14ac:dyDescent="0.25">
      <c r="A439" s="413">
        <f>$A438+Planning!$D$2</f>
        <v>42892.619872685187</v>
      </c>
    </row>
    <row r="440" spans="1:1" x14ac:dyDescent="0.25">
      <c r="A440" s="413">
        <f>$A439+Planning!$D$2</f>
        <v>42893.619872685187</v>
      </c>
    </row>
    <row r="441" spans="1:1" x14ac:dyDescent="0.25">
      <c r="A441" s="413">
        <f>$A440+Planning!$D$2</f>
        <v>42894.619872685187</v>
      </c>
    </row>
    <row r="442" spans="1:1" x14ac:dyDescent="0.25">
      <c r="A442" s="413">
        <f>$A441+Planning!$D$2</f>
        <v>42895.619872685187</v>
      </c>
    </row>
    <row r="443" spans="1:1" x14ac:dyDescent="0.25">
      <c r="A443" s="413">
        <f>$A442+Planning!$D$2</f>
        <v>42896.619872685187</v>
      </c>
    </row>
    <row r="444" spans="1:1" x14ac:dyDescent="0.25">
      <c r="A444" s="413">
        <f>$A443+Planning!$D$2</f>
        <v>42897.619872685187</v>
      </c>
    </row>
    <row r="445" spans="1:1" x14ac:dyDescent="0.25">
      <c r="A445" s="413">
        <f>$A444+Planning!$D$2</f>
        <v>42898.619872685187</v>
      </c>
    </row>
    <row r="446" spans="1:1" x14ac:dyDescent="0.25">
      <c r="A446" s="413">
        <f>$A445+Planning!$D$2</f>
        <v>42899.619872685187</v>
      </c>
    </row>
    <row r="447" spans="1:1" x14ac:dyDescent="0.25">
      <c r="A447" s="413">
        <f>$A446+Planning!$D$2</f>
        <v>42900.619872685187</v>
      </c>
    </row>
    <row r="448" spans="1:1" x14ac:dyDescent="0.25">
      <c r="A448" s="413">
        <f>$A447+Planning!$D$2</f>
        <v>42901.619872685187</v>
      </c>
    </row>
    <row r="449" spans="1:1" x14ac:dyDescent="0.25">
      <c r="A449" s="413">
        <f>$A448+Planning!$D$2</f>
        <v>42902.619872685187</v>
      </c>
    </row>
    <row r="450" spans="1:1" x14ac:dyDescent="0.25">
      <c r="A450" s="413">
        <f>$A449+Planning!$D$2</f>
        <v>42903.619872685187</v>
      </c>
    </row>
    <row r="451" spans="1:1" x14ac:dyDescent="0.25">
      <c r="A451" s="413">
        <f>$A450+Planning!$D$2</f>
        <v>42904.619872685187</v>
      </c>
    </row>
    <row r="452" spans="1:1" x14ac:dyDescent="0.25">
      <c r="A452" s="413">
        <f>$A451+Planning!$D$2</f>
        <v>42905.619872685187</v>
      </c>
    </row>
    <row r="453" spans="1:1" x14ac:dyDescent="0.25">
      <c r="A453" s="413">
        <f>$A452+Planning!$D$2</f>
        <v>42906.619872685187</v>
      </c>
    </row>
    <row r="454" spans="1:1" x14ac:dyDescent="0.25">
      <c r="A454" s="413">
        <f>$A453+Planning!$D$2</f>
        <v>42907.619872685187</v>
      </c>
    </row>
    <row r="455" spans="1:1" x14ac:dyDescent="0.25">
      <c r="A455" s="413">
        <f>$A454+Planning!$D$2</f>
        <v>42908.619872685187</v>
      </c>
    </row>
    <row r="456" spans="1:1" x14ac:dyDescent="0.25">
      <c r="A456" s="413">
        <f>$A455+Planning!$D$2</f>
        <v>42909.619872685187</v>
      </c>
    </row>
    <row r="457" spans="1:1" x14ac:dyDescent="0.25">
      <c r="A457" s="413">
        <f>$A456+Planning!$D$2</f>
        <v>42910.619872685187</v>
      </c>
    </row>
    <row r="458" spans="1:1" x14ac:dyDescent="0.25">
      <c r="A458" s="413">
        <f>$A457+Planning!$D$2</f>
        <v>42911.619872685187</v>
      </c>
    </row>
    <row r="459" spans="1:1" x14ac:dyDescent="0.25">
      <c r="A459" s="413">
        <f>$A458+Planning!$D$2</f>
        <v>42912.619872685187</v>
      </c>
    </row>
    <row r="460" spans="1:1" x14ac:dyDescent="0.25">
      <c r="A460" s="413">
        <f>$A459+Planning!$D$2</f>
        <v>42913.619872685187</v>
      </c>
    </row>
    <row r="461" spans="1:1" x14ac:dyDescent="0.25">
      <c r="A461" s="413">
        <f>$A460+Planning!$D$2</f>
        <v>42914.619872685187</v>
      </c>
    </row>
    <row r="462" spans="1:1" x14ac:dyDescent="0.25">
      <c r="A462" s="413">
        <f>$A461+Planning!$D$2</f>
        <v>42915.619872685187</v>
      </c>
    </row>
    <row r="463" spans="1:1" x14ac:dyDescent="0.25">
      <c r="A463" s="413">
        <f>$A462+Planning!$D$2</f>
        <v>42916.619872685187</v>
      </c>
    </row>
    <row r="464" spans="1:1" x14ac:dyDescent="0.25">
      <c r="A464" s="413">
        <f>$A463+Planning!$D$2</f>
        <v>42917.619872685187</v>
      </c>
    </row>
    <row r="465" spans="1:1" x14ac:dyDescent="0.25">
      <c r="A465" s="413">
        <f>$A464+Planning!$D$2</f>
        <v>42918.619872685187</v>
      </c>
    </row>
    <row r="466" spans="1:1" x14ac:dyDescent="0.25">
      <c r="A466" s="413">
        <f>$A465+Planning!$D$2</f>
        <v>42919.619872685187</v>
      </c>
    </row>
    <row r="467" spans="1:1" x14ac:dyDescent="0.25">
      <c r="A467" s="413">
        <f>$A466+Planning!$D$2</f>
        <v>42920.619872685187</v>
      </c>
    </row>
    <row r="468" spans="1:1" x14ac:dyDescent="0.25">
      <c r="A468" s="413">
        <f>$A467+Planning!$D$2</f>
        <v>42921.619872685187</v>
      </c>
    </row>
    <row r="469" spans="1:1" x14ac:dyDescent="0.25">
      <c r="A469" s="413">
        <f>$A468+Planning!$D$2</f>
        <v>42922.619872685187</v>
      </c>
    </row>
    <row r="470" spans="1:1" x14ac:dyDescent="0.25">
      <c r="A470" s="413">
        <f>$A469+Planning!$D$2</f>
        <v>42923.619872685187</v>
      </c>
    </row>
    <row r="471" spans="1:1" x14ac:dyDescent="0.25">
      <c r="A471" s="413">
        <f>$A470+Planning!$D$2</f>
        <v>42924.619872685187</v>
      </c>
    </row>
    <row r="472" spans="1:1" x14ac:dyDescent="0.25">
      <c r="A472" s="413">
        <f>$A471+Planning!$D$2</f>
        <v>42925.619872685187</v>
      </c>
    </row>
    <row r="473" spans="1:1" x14ac:dyDescent="0.25">
      <c r="A473" s="413">
        <f>$A472+Planning!$D$2</f>
        <v>42926.619872685187</v>
      </c>
    </row>
    <row r="474" spans="1:1" x14ac:dyDescent="0.25">
      <c r="A474" s="413">
        <f>$A473+Planning!$D$2</f>
        <v>42927.619872685187</v>
      </c>
    </row>
    <row r="475" spans="1:1" x14ac:dyDescent="0.25">
      <c r="A475" s="413">
        <f>$A474+Planning!$D$2</f>
        <v>42928.619872685187</v>
      </c>
    </row>
    <row r="476" spans="1:1" x14ac:dyDescent="0.25">
      <c r="A476" s="413">
        <f>$A475+Planning!$D$2</f>
        <v>42929.619872685187</v>
      </c>
    </row>
    <row r="477" spans="1:1" x14ac:dyDescent="0.25">
      <c r="A477" s="413">
        <f>$A476+Planning!$D$2</f>
        <v>42930.619872685187</v>
      </c>
    </row>
    <row r="478" spans="1:1" x14ac:dyDescent="0.25">
      <c r="A478" s="413">
        <f>$A477+Planning!$D$2</f>
        <v>42931.619872685187</v>
      </c>
    </row>
    <row r="479" spans="1:1" x14ac:dyDescent="0.25">
      <c r="A479" s="413">
        <f>$A478+Planning!$D$2</f>
        <v>42932.619872685187</v>
      </c>
    </row>
    <row r="480" spans="1:1" x14ac:dyDescent="0.25">
      <c r="A480" s="413">
        <f>$A479+Planning!$D$2</f>
        <v>42933.619872685187</v>
      </c>
    </row>
    <row r="481" spans="1:1" x14ac:dyDescent="0.25">
      <c r="A481" s="413">
        <f>$A480+Planning!$D$2</f>
        <v>42934.619872685187</v>
      </c>
    </row>
    <row r="482" spans="1:1" x14ac:dyDescent="0.25">
      <c r="A482" s="413">
        <f>$A481+Planning!$D$2</f>
        <v>42935.619872685187</v>
      </c>
    </row>
    <row r="483" spans="1:1" x14ac:dyDescent="0.25">
      <c r="A483" s="413">
        <f>$A482+Planning!$D$2</f>
        <v>42936.619872685187</v>
      </c>
    </row>
    <row r="484" spans="1:1" x14ac:dyDescent="0.25">
      <c r="A484" s="413">
        <f>$A483+Planning!$D$2</f>
        <v>42937.619872685187</v>
      </c>
    </row>
    <row r="485" spans="1:1" x14ac:dyDescent="0.25">
      <c r="A485" s="413">
        <f>$A484+Planning!$D$2</f>
        <v>42938.619872685187</v>
      </c>
    </row>
    <row r="486" spans="1:1" x14ac:dyDescent="0.25">
      <c r="A486" s="413">
        <f>$A485+Planning!$D$2</f>
        <v>42939.619872685187</v>
      </c>
    </row>
    <row r="487" spans="1:1" x14ac:dyDescent="0.25">
      <c r="A487" s="413">
        <f>$A486+Planning!$D$2</f>
        <v>42940.619872685187</v>
      </c>
    </row>
    <row r="488" spans="1:1" x14ac:dyDescent="0.25">
      <c r="A488" s="413">
        <f>$A487+Planning!$D$2</f>
        <v>42941.619872685187</v>
      </c>
    </row>
    <row r="489" spans="1:1" x14ac:dyDescent="0.25">
      <c r="A489" s="413">
        <f>$A488+Planning!$D$2</f>
        <v>42942.619872685187</v>
      </c>
    </row>
    <row r="490" spans="1:1" x14ac:dyDescent="0.25">
      <c r="A490" s="413">
        <f>$A489+Planning!$D$2</f>
        <v>42943.619872685187</v>
      </c>
    </row>
    <row r="491" spans="1:1" x14ac:dyDescent="0.25">
      <c r="A491" s="413">
        <f>$A490+Planning!$D$2</f>
        <v>42944.619872685187</v>
      </c>
    </row>
    <row r="492" spans="1:1" x14ac:dyDescent="0.25">
      <c r="A492" s="413">
        <f>$A491+Planning!$D$2</f>
        <v>42945.619872685187</v>
      </c>
    </row>
    <row r="493" spans="1:1" x14ac:dyDescent="0.25">
      <c r="A493" s="413">
        <f>$A492+Planning!$D$2</f>
        <v>42946.619872685187</v>
      </c>
    </row>
    <row r="494" spans="1:1" x14ac:dyDescent="0.25">
      <c r="A494" s="413">
        <f>$A493+Planning!$D$2</f>
        <v>42947.619872685187</v>
      </c>
    </row>
    <row r="495" spans="1:1" x14ac:dyDescent="0.25">
      <c r="A495" s="413">
        <f>$A494+Planning!$D$2</f>
        <v>42948.619872685187</v>
      </c>
    </row>
    <row r="496" spans="1:1" x14ac:dyDescent="0.25">
      <c r="A496" s="413">
        <f>$A495+Planning!$D$2</f>
        <v>42949.619872685187</v>
      </c>
    </row>
    <row r="497" spans="1:1" x14ac:dyDescent="0.25">
      <c r="A497" s="413">
        <f>$A496+Planning!$D$2</f>
        <v>42950.619872685187</v>
      </c>
    </row>
    <row r="498" spans="1:1" x14ac:dyDescent="0.25">
      <c r="A498" s="413">
        <f>$A497+Planning!$D$2</f>
        <v>42951.619872685187</v>
      </c>
    </row>
    <row r="499" spans="1:1" x14ac:dyDescent="0.25">
      <c r="A499" s="413">
        <f>$A498+Planning!$D$2</f>
        <v>42952.619872685187</v>
      </c>
    </row>
    <row r="500" spans="1:1" x14ac:dyDescent="0.25">
      <c r="A500" s="413">
        <f>$A499+Planning!$D$2</f>
        <v>42953.619872685187</v>
      </c>
    </row>
    <row r="501" spans="1:1" x14ac:dyDescent="0.25">
      <c r="A501" s="413">
        <f>$A500+Planning!$D$2</f>
        <v>42954.619872685187</v>
      </c>
    </row>
    <row r="502" spans="1:1" x14ac:dyDescent="0.25">
      <c r="A502" s="413">
        <f>$A501+Planning!$D$2</f>
        <v>42955.619872685187</v>
      </c>
    </row>
    <row r="503" spans="1:1" x14ac:dyDescent="0.25">
      <c r="A503" s="413">
        <f>$A502+Planning!$D$2</f>
        <v>42956.619872685187</v>
      </c>
    </row>
    <row r="504" spans="1:1" x14ac:dyDescent="0.25">
      <c r="A504" s="413">
        <f>$A503+Planning!$D$2</f>
        <v>42957.619872685187</v>
      </c>
    </row>
    <row r="505" spans="1:1" x14ac:dyDescent="0.25">
      <c r="A505" s="413">
        <f>$A504+Planning!$D$2</f>
        <v>42958.619872685187</v>
      </c>
    </row>
    <row r="506" spans="1:1" x14ac:dyDescent="0.25">
      <c r="A506" s="413">
        <f>$A505+Planning!$D$2</f>
        <v>42959.619872685187</v>
      </c>
    </row>
    <row r="507" spans="1:1" x14ac:dyDescent="0.25">
      <c r="A507" s="413">
        <f>$A506+Planning!$D$2</f>
        <v>42960.619872685187</v>
      </c>
    </row>
    <row r="508" spans="1:1" x14ac:dyDescent="0.25">
      <c r="A508" s="413">
        <f>$A507+Planning!$D$2</f>
        <v>42961.619872685187</v>
      </c>
    </row>
    <row r="509" spans="1:1" x14ac:dyDescent="0.25">
      <c r="A509" s="413">
        <f>$A508+Planning!$D$2</f>
        <v>42962.619872685187</v>
      </c>
    </row>
    <row r="510" spans="1:1" x14ac:dyDescent="0.25">
      <c r="A510" s="413">
        <f>$A509+Planning!$D$2</f>
        <v>42963.619872685187</v>
      </c>
    </row>
    <row r="511" spans="1:1" x14ac:dyDescent="0.25">
      <c r="A511" s="413">
        <f>$A510+Planning!$D$2</f>
        <v>42964.619872685187</v>
      </c>
    </row>
    <row r="512" spans="1:1" x14ac:dyDescent="0.25">
      <c r="A512" s="413">
        <f>$A511+Planning!$D$2</f>
        <v>42965.619872685187</v>
      </c>
    </row>
    <row r="513" spans="1:1" x14ac:dyDescent="0.25">
      <c r="A513" s="413">
        <f>$A512+Planning!$D$2</f>
        <v>42966.619872685187</v>
      </c>
    </row>
    <row r="514" spans="1:1" x14ac:dyDescent="0.25">
      <c r="A514" s="413">
        <f>$A513+Planning!$D$2</f>
        <v>42967.619872685187</v>
      </c>
    </row>
    <row r="515" spans="1:1" x14ac:dyDescent="0.25">
      <c r="A515" s="413">
        <f>$A514+Planning!$D$2</f>
        <v>42968.619872685187</v>
      </c>
    </row>
    <row r="516" spans="1:1" x14ac:dyDescent="0.25">
      <c r="A516" s="413">
        <f>$A515+Planning!$D$2</f>
        <v>42969.619872685187</v>
      </c>
    </row>
    <row r="517" spans="1:1" x14ac:dyDescent="0.25">
      <c r="A517" s="413">
        <f>$A516+Planning!$D$2</f>
        <v>42970.619872685187</v>
      </c>
    </row>
    <row r="518" spans="1:1" x14ac:dyDescent="0.25">
      <c r="A518" s="413">
        <f>$A517+Planning!$D$2</f>
        <v>42971.619872685187</v>
      </c>
    </row>
    <row r="519" spans="1:1" x14ac:dyDescent="0.25">
      <c r="A519" s="413">
        <f>$A518+Planning!$D$2</f>
        <v>42972.619872685187</v>
      </c>
    </row>
    <row r="520" spans="1:1" x14ac:dyDescent="0.25">
      <c r="A520" s="413">
        <f>$A519+Planning!$D$2</f>
        <v>42973.619872685187</v>
      </c>
    </row>
    <row r="521" spans="1:1" x14ac:dyDescent="0.25">
      <c r="A521" s="413">
        <f>$A520+Planning!$D$2</f>
        <v>42974.619872685187</v>
      </c>
    </row>
    <row r="522" spans="1:1" x14ac:dyDescent="0.25">
      <c r="A522" s="413">
        <f>$A521+Planning!$D$2</f>
        <v>42975.619872685187</v>
      </c>
    </row>
    <row r="523" spans="1:1" x14ac:dyDescent="0.25">
      <c r="A523" s="413">
        <f>$A522+Planning!$D$2</f>
        <v>42976.619872685187</v>
      </c>
    </row>
    <row r="524" spans="1:1" x14ac:dyDescent="0.25">
      <c r="A524" s="413">
        <f>$A523+Planning!$D$2</f>
        <v>42977.619872685187</v>
      </c>
    </row>
    <row r="525" spans="1:1" x14ac:dyDescent="0.25">
      <c r="A525" s="413">
        <f>$A524+Planning!$D$2</f>
        <v>42978.619872685187</v>
      </c>
    </row>
    <row r="526" spans="1:1" x14ac:dyDescent="0.25">
      <c r="A526" s="413">
        <f>$A525+Planning!$D$2</f>
        <v>42979.619872685187</v>
      </c>
    </row>
    <row r="527" spans="1:1" x14ac:dyDescent="0.25">
      <c r="A527" s="413">
        <f>$A526+Planning!$D$2</f>
        <v>42980.619872685187</v>
      </c>
    </row>
    <row r="528" spans="1:1" x14ac:dyDescent="0.25">
      <c r="A528" s="413">
        <f>$A527+Planning!$D$2</f>
        <v>42981.619872685187</v>
      </c>
    </row>
    <row r="529" spans="1:1" x14ac:dyDescent="0.25">
      <c r="A529" s="413">
        <f>$A528+Planning!$D$2</f>
        <v>42982.619872685187</v>
      </c>
    </row>
    <row r="530" spans="1:1" x14ac:dyDescent="0.25">
      <c r="A530" s="413">
        <f>$A529+Planning!$D$2</f>
        <v>42983.619872685187</v>
      </c>
    </row>
    <row r="531" spans="1:1" x14ac:dyDescent="0.25">
      <c r="A531" s="413">
        <f>$A530+Planning!$D$2</f>
        <v>42984.619872685187</v>
      </c>
    </row>
    <row r="532" spans="1:1" x14ac:dyDescent="0.25">
      <c r="A532" s="413">
        <f>$A531+Planning!$D$2</f>
        <v>42985.619872685187</v>
      </c>
    </row>
    <row r="533" spans="1:1" x14ac:dyDescent="0.25">
      <c r="A533" s="413">
        <f>$A532+Planning!$D$2</f>
        <v>42986.619872685187</v>
      </c>
    </row>
    <row r="534" spans="1:1" x14ac:dyDescent="0.25">
      <c r="A534" s="413">
        <f>$A533+Planning!$D$2</f>
        <v>42987.619872685187</v>
      </c>
    </row>
    <row r="535" spans="1:1" x14ac:dyDescent="0.25">
      <c r="A535" s="413">
        <f>$A534+Planning!$D$2</f>
        <v>42988.619872685187</v>
      </c>
    </row>
    <row r="536" spans="1:1" x14ac:dyDescent="0.25">
      <c r="A536" s="413">
        <f>$A535+Planning!$D$2</f>
        <v>42989.619872685187</v>
      </c>
    </row>
    <row r="537" spans="1:1" x14ac:dyDescent="0.25">
      <c r="A537" s="413">
        <f>$A536+Planning!$D$2</f>
        <v>42990.619872685187</v>
      </c>
    </row>
    <row r="538" spans="1:1" x14ac:dyDescent="0.25">
      <c r="A538" s="413">
        <f>$A537+Planning!$D$2</f>
        <v>42991.619872685187</v>
      </c>
    </row>
    <row r="539" spans="1:1" x14ac:dyDescent="0.25">
      <c r="A539" s="413">
        <f>$A538+Planning!$D$2</f>
        <v>42992.619872685187</v>
      </c>
    </row>
    <row r="540" spans="1:1" x14ac:dyDescent="0.25">
      <c r="A540" s="413">
        <f>$A539+Planning!$D$2</f>
        <v>42993.619872685187</v>
      </c>
    </row>
    <row r="541" spans="1:1" x14ac:dyDescent="0.25">
      <c r="A541" s="413">
        <f>$A540+Planning!$D$2</f>
        <v>42994.619872685187</v>
      </c>
    </row>
    <row r="542" spans="1:1" x14ac:dyDescent="0.25">
      <c r="A542" s="413">
        <f>$A541+Planning!$D$2</f>
        <v>42995.619872685187</v>
      </c>
    </row>
    <row r="543" spans="1:1" x14ac:dyDescent="0.25">
      <c r="A543" s="413">
        <f>$A542+Planning!$D$2</f>
        <v>42996.619872685187</v>
      </c>
    </row>
    <row r="544" spans="1:1" x14ac:dyDescent="0.25">
      <c r="A544" s="413">
        <f>$A543+Planning!$D$2</f>
        <v>42997.619872685187</v>
      </c>
    </row>
    <row r="545" spans="1:1" x14ac:dyDescent="0.25">
      <c r="A545" s="413">
        <f>$A544+Planning!$D$2</f>
        <v>42998.619872685187</v>
      </c>
    </row>
    <row r="546" spans="1:1" x14ac:dyDescent="0.25">
      <c r="A546" s="413">
        <f>$A545+Planning!$D$2</f>
        <v>42999.619872685187</v>
      </c>
    </row>
    <row r="547" spans="1:1" x14ac:dyDescent="0.25">
      <c r="A547" s="413">
        <f>$A546+Planning!$D$2</f>
        <v>43000.619872685187</v>
      </c>
    </row>
    <row r="548" spans="1:1" x14ac:dyDescent="0.25">
      <c r="A548" s="413">
        <f>$A547+Planning!$D$2</f>
        <v>43001.619872685187</v>
      </c>
    </row>
    <row r="549" spans="1:1" x14ac:dyDescent="0.25">
      <c r="A549" s="413">
        <f>$A548+Planning!$D$2</f>
        <v>43002.619872685187</v>
      </c>
    </row>
    <row r="550" spans="1:1" x14ac:dyDescent="0.25">
      <c r="A550" s="413">
        <f>$A549+Planning!$D$2</f>
        <v>43003.619872685187</v>
      </c>
    </row>
    <row r="551" spans="1:1" x14ac:dyDescent="0.25">
      <c r="A551" s="413">
        <f>$A550+Planning!$D$2</f>
        <v>43004.619872685187</v>
      </c>
    </row>
    <row r="552" spans="1:1" x14ac:dyDescent="0.25">
      <c r="A552" s="413">
        <f>$A551+Planning!$D$2</f>
        <v>43005.619872685187</v>
      </c>
    </row>
    <row r="553" spans="1:1" x14ac:dyDescent="0.25">
      <c r="A553" s="413">
        <f>$A552+Planning!$D$2</f>
        <v>43006.619872685187</v>
      </c>
    </row>
    <row r="554" spans="1:1" x14ac:dyDescent="0.25">
      <c r="A554" s="413">
        <f>$A553+Planning!$D$2</f>
        <v>43007.619872685187</v>
      </c>
    </row>
    <row r="555" spans="1:1" x14ac:dyDescent="0.25">
      <c r="A555" s="413">
        <f>$A554+Planning!$D$2</f>
        <v>43008.619872685187</v>
      </c>
    </row>
    <row r="556" spans="1:1" x14ac:dyDescent="0.25">
      <c r="A556" s="413">
        <f>$A555+Planning!$D$2</f>
        <v>43009.619872685187</v>
      </c>
    </row>
    <row r="557" spans="1:1" x14ac:dyDescent="0.25">
      <c r="A557" s="413">
        <f>$A556+Planning!$D$2</f>
        <v>43010.619872685187</v>
      </c>
    </row>
    <row r="558" spans="1:1" x14ac:dyDescent="0.25">
      <c r="A558" s="413">
        <f>$A557+Planning!$D$2</f>
        <v>43011.619872685187</v>
      </c>
    </row>
    <row r="559" spans="1:1" x14ac:dyDescent="0.25">
      <c r="A559" s="413">
        <f>$A558+Planning!$D$2</f>
        <v>43012.619872685187</v>
      </c>
    </row>
    <row r="560" spans="1:1" x14ac:dyDescent="0.25">
      <c r="A560" s="413">
        <f>$A559+Planning!$D$2</f>
        <v>43013.619872685187</v>
      </c>
    </row>
    <row r="561" spans="1:1" x14ac:dyDescent="0.25">
      <c r="A561" s="413">
        <f>$A560+Planning!$D$2</f>
        <v>43014.619872685187</v>
      </c>
    </row>
    <row r="562" spans="1:1" x14ac:dyDescent="0.25">
      <c r="A562" s="413">
        <f>$A561+Planning!$D$2</f>
        <v>43015.619872685187</v>
      </c>
    </row>
    <row r="563" spans="1:1" x14ac:dyDescent="0.25">
      <c r="A563" s="413">
        <f>$A562+Planning!$D$2</f>
        <v>43016.619872685187</v>
      </c>
    </row>
    <row r="564" spans="1:1" x14ac:dyDescent="0.25">
      <c r="A564" s="413">
        <f>$A563+Planning!$D$2</f>
        <v>43017.619872685187</v>
      </c>
    </row>
    <row r="565" spans="1:1" x14ac:dyDescent="0.25">
      <c r="A565" s="413">
        <f>$A564+Planning!$D$2</f>
        <v>43018.619872685187</v>
      </c>
    </row>
    <row r="566" spans="1:1" x14ac:dyDescent="0.25">
      <c r="A566" s="413">
        <f>$A565+Planning!$D$2</f>
        <v>43019.619872685187</v>
      </c>
    </row>
    <row r="567" spans="1:1" x14ac:dyDescent="0.25">
      <c r="A567" s="413">
        <f>$A566+Planning!$D$2</f>
        <v>43020.619872685187</v>
      </c>
    </row>
    <row r="568" spans="1:1" x14ac:dyDescent="0.25">
      <c r="A568" s="413">
        <f>$A567+Planning!$D$2</f>
        <v>43021.619872685187</v>
      </c>
    </row>
    <row r="569" spans="1:1" x14ac:dyDescent="0.25">
      <c r="A569" s="413">
        <f>$A568+Planning!$D$2</f>
        <v>43022.619872685187</v>
      </c>
    </row>
    <row r="570" spans="1:1" x14ac:dyDescent="0.25">
      <c r="A570" s="413">
        <f>$A569+Planning!$D$2</f>
        <v>43023.619872685187</v>
      </c>
    </row>
    <row r="571" spans="1:1" x14ac:dyDescent="0.25">
      <c r="A571" s="413">
        <f>$A570+Planning!$D$2</f>
        <v>43024.619872685187</v>
      </c>
    </row>
    <row r="572" spans="1:1" x14ac:dyDescent="0.25">
      <c r="A572" s="413">
        <f>$A571+Planning!$D$2</f>
        <v>43025.619872685187</v>
      </c>
    </row>
    <row r="573" spans="1:1" x14ac:dyDescent="0.25">
      <c r="A573" s="413">
        <f>$A572+Planning!$D$2</f>
        <v>43026.619872685187</v>
      </c>
    </row>
    <row r="574" spans="1:1" x14ac:dyDescent="0.25">
      <c r="A574" s="413">
        <f>$A573+Planning!$D$2</f>
        <v>43027.619872685187</v>
      </c>
    </row>
    <row r="575" spans="1:1" x14ac:dyDescent="0.25">
      <c r="A575" s="413">
        <f>$A574+Planning!$D$2</f>
        <v>43028.619872685187</v>
      </c>
    </row>
    <row r="576" spans="1:1" x14ac:dyDescent="0.25">
      <c r="A576" s="413">
        <f>$A575+Planning!$D$2</f>
        <v>43029.619872685187</v>
      </c>
    </row>
    <row r="577" spans="1:1" x14ac:dyDescent="0.25">
      <c r="A577" s="413">
        <f>$A576+Planning!$D$2</f>
        <v>43030.619872685187</v>
      </c>
    </row>
    <row r="578" spans="1:1" x14ac:dyDescent="0.25">
      <c r="A578" s="413">
        <f>$A577+Planning!$D$2</f>
        <v>43031.619872685187</v>
      </c>
    </row>
    <row r="579" spans="1:1" x14ac:dyDescent="0.25">
      <c r="A579" s="413">
        <f>$A578+Planning!$D$2</f>
        <v>43032.619872685187</v>
      </c>
    </row>
    <row r="580" spans="1:1" x14ac:dyDescent="0.25">
      <c r="A580" s="413">
        <f>$A579+Planning!$D$2</f>
        <v>43033.619872685187</v>
      </c>
    </row>
    <row r="581" spans="1:1" x14ac:dyDescent="0.25">
      <c r="A581" s="413">
        <f>$A580+Planning!$D$2</f>
        <v>43034.619872685187</v>
      </c>
    </row>
    <row r="582" spans="1:1" x14ac:dyDescent="0.25">
      <c r="A582" s="413">
        <f>$A581+Planning!$D$2</f>
        <v>43035.619872685187</v>
      </c>
    </row>
    <row r="583" spans="1:1" x14ac:dyDescent="0.25">
      <c r="A583" s="413">
        <f>$A582+Planning!$D$2</f>
        <v>43036.619872685187</v>
      </c>
    </row>
    <row r="584" spans="1:1" x14ac:dyDescent="0.25">
      <c r="A584" s="413">
        <f>$A583+Planning!$D$2</f>
        <v>43037.619872685187</v>
      </c>
    </row>
    <row r="585" spans="1:1" x14ac:dyDescent="0.25">
      <c r="A585" s="413">
        <f>$A584+Planning!$D$2</f>
        <v>43038.619872685187</v>
      </c>
    </row>
    <row r="586" spans="1:1" x14ac:dyDescent="0.25">
      <c r="A586" s="413">
        <f>$A585+Planning!$D$2</f>
        <v>43039.619872685187</v>
      </c>
    </row>
    <row r="587" spans="1:1" x14ac:dyDescent="0.25">
      <c r="A587" s="413">
        <f>$A586+Planning!$D$2</f>
        <v>43040.619872685187</v>
      </c>
    </row>
    <row r="588" spans="1:1" x14ac:dyDescent="0.25">
      <c r="A588" s="413">
        <f>$A587+Planning!$D$2</f>
        <v>43041.619872685187</v>
      </c>
    </row>
    <row r="589" spans="1:1" x14ac:dyDescent="0.25">
      <c r="A589" s="413">
        <f>$A588+Planning!$D$2</f>
        <v>43042.619872685187</v>
      </c>
    </row>
    <row r="590" spans="1:1" x14ac:dyDescent="0.25">
      <c r="A590" s="413">
        <f>$A589+Planning!$D$2</f>
        <v>43043.619872685187</v>
      </c>
    </row>
    <row r="591" spans="1:1" x14ac:dyDescent="0.25">
      <c r="A591" s="413">
        <f>$A590+Planning!$D$2</f>
        <v>43044.619872685187</v>
      </c>
    </row>
    <row r="592" spans="1:1" x14ac:dyDescent="0.25">
      <c r="A592" s="413">
        <f>$A591+Planning!$D$2</f>
        <v>43045.619872685187</v>
      </c>
    </row>
    <row r="593" spans="1:1" x14ac:dyDescent="0.25">
      <c r="A593" s="413">
        <f>$A592+Planning!$D$2</f>
        <v>43046.619872685187</v>
      </c>
    </row>
    <row r="594" spans="1:1" x14ac:dyDescent="0.25">
      <c r="A594" s="413">
        <f>$A593+Planning!$D$2</f>
        <v>43047.619872685187</v>
      </c>
    </row>
    <row r="595" spans="1:1" x14ac:dyDescent="0.25">
      <c r="A595" s="413">
        <f>$A594+Planning!$D$2</f>
        <v>43048.619872685187</v>
      </c>
    </row>
    <row r="596" spans="1:1" x14ac:dyDescent="0.25">
      <c r="A596" s="413">
        <f>$A595+Planning!$D$2</f>
        <v>43049.619872685187</v>
      </c>
    </row>
    <row r="597" spans="1:1" x14ac:dyDescent="0.25">
      <c r="A597" s="413">
        <f>$A596+Planning!$D$2</f>
        <v>43050.619872685187</v>
      </c>
    </row>
    <row r="598" spans="1:1" x14ac:dyDescent="0.25">
      <c r="A598" s="413">
        <f>$A597+Planning!$D$2</f>
        <v>43051.619872685187</v>
      </c>
    </row>
    <row r="599" spans="1:1" x14ac:dyDescent="0.25">
      <c r="A599" s="413">
        <f>$A598+Planning!$D$2</f>
        <v>43052.619872685187</v>
      </c>
    </row>
    <row r="600" spans="1:1" x14ac:dyDescent="0.25">
      <c r="A600" s="413">
        <f>$A599+Planning!$D$2</f>
        <v>43053.619872685187</v>
      </c>
    </row>
    <row r="601" spans="1:1" x14ac:dyDescent="0.25">
      <c r="A601" s="413">
        <f>$A600+Planning!$D$2</f>
        <v>43054.619872685187</v>
      </c>
    </row>
    <row r="602" spans="1:1" x14ac:dyDescent="0.25">
      <c r="A602" s="413">
        <f>$A601+Planning!$D$2</f>
        <v>43055.619872685187</v>
      </c>
    </row>
    <row r="603" spans="1:1" x14ac:dyDescent="0.25">
      <c r="A603" s="413">
        <f>$A602+Planning!$D$2</f>
        <v>43056.619872685187</v>
      </c>
    </row>
    <row r="604" spans="1:1" x14ac:dyDescent="0.25">
      <c r="A604" s="413">
        <f>$A603+Planning!$D$2</f>
        <v>43057.619872685187</v>
      </c>
    </row>
    <row r="605" spans="1:1" x14ac:dyDescent="0.25">
      <c r="A605" s="413">
        <f>$A604+Planning!$D$2</f>
        <v>43058.619872685187</v>
      </c>
    </row>
    <row r="606" spans="1:1" x14ac:dyDescent="0.25">
      <c r="A606" s="413">
        <f>$A605+Planning!$D$2</f>
        <v>43059.619872685187</v>
      </c>
    </row>
    <row r="607" spans="1:1" x14ac:dyDescent="0.25">
      <c r="A607" s="413">
        <f>$A606+Planning!$D$2</f>
        <v>43060.619872685187</v>
      </c>
    </row>
    <row r="608" spans="1:1" x14ac:dyDescent="0.25">
      <c r="A608" s="413">
        <f>$A607+Planning!$D$2</f>
        <v>43061.619872685187</v>
      </c>
    </row>
    <row r="609" spans="1:1" x14ac:dyDescent="0.25">
      <c r="A609" s="413">
        <f>$A608+Planning!$D$2</f>
        <v>43062.619872685187</v>
      </c>
    </row>
    <row r="610" spans="1:1" x14ac:dyDescent="0.25">
      <c r="A610" s="413">
        <f>$A609+Planning!$D$2</f>
        <v>43063.619872685187</v>
      </c>
    </row>
    <row r="611" spans="1:1" x14ac:dyDescent="0.25">
      <c r="A611" s="413">
        <f>$A610+Planning!$D$2</f>
        <v>43064.619872685187</v>
      </c>
    </row>
    <row r="612" spans="1:1" x14ac:dyDescent="0.25">
      <c r="A612" s="413">
        <f>$A611+Planning!$D$2</f>
        <v>43065.619872685187</v>
      </c>
    </row>
    <row r="613" spans="1:1" x14ac:dyDescent="0.25">
      <c r="A613" s="413">
        <f>$A612+Planning!$D$2</f>
        <v>43066.619872685187</v>
      </c>
    </row>
    <row r="614" spans="1:1" x14ac:dyDescent="0.25">
      <c r="A614" s="413">
        <f>$A613+Planning!$D$2</f>
        <v>43067.619872685187</v>
      </c>
    </row>
    <row r="615" spans="1:1" x14ac:dyDescent="0.25">
      <c r="A615" s="413">
        <f>$A614+Planning!$D$2</f>
        <v>43068.619872685187</v>
      </c>
    </row>
    <row r="616" spans="1:1" x14ac:dyDescent="0.25">
      <c r="A616" s="413">
        <f>$A615+Planning!$D$2</f>
        <v>43069.619872685187</v>
      </c>
    </row>
    <row r="617" spans="1:1" x14ac:dyDescent="0.25">
      <c r="A617" s="413">
        <f>$A616+Planning!$D$2</f>
        <v>43070.619872685187</v>
      </c>
    </row>
    <row r="618" spans="1:1" x14ac:dyDescent="0.25">
      <c r="A618" s="413">
        <f>$A617+Planning!$D$2</f>
        <v>43071.619872685187</v>
      </c>
    </row>
    <row r="619" spans="1:1" x14ac:dyDescent="0.25">
      <c r="A619" s="413">
        <f>$A618+Planning!$D$2</f>
        <v>43072.619872685187</v>
      </c>
    </row>
    <row r="620" spans="1:1" x14ac:dyDescent="0.25">
      <c r="A620" s="413">
        <f>$A619+Planning!$D$2</f>
        <v>43073.619872685187</v>
      </c>
    </row>
    <row r="621" spans="1:1" x14ac:dyDescent="0.25">
      <c r="A621" s="413">
        <f>$A620+Planning!$D$2</f>
        <v>43074.619872685187</v>
      </c>
    </row>
    <row r="622" spans="1:1" x14ac:dyDescent="0.25">
      <c r="A622" s="413">
        <f>$A621+Planning!$D$2</f>
        <v>43075.619872685187</v>
      </c>
    </row>
    <row r="623" spans="1:1" x14ac:dyDescent="0.25">
      <c r="A623" s="413">
        <f>$A622+Planning!$D$2</f>
        <v>43076.619872685187</v>
      </c>
    </row>
    <row r="624" spans="1:1" x14ac:dyDescent="0.25">
      <c r="A624" s="413">
        <f>$A623+Planning!$D$2</f>
        <v>43077.619872685187</v>
      </c>
    </row>
    <row r="625" spans="1:1" x14ac:dyDescent="0.25">
      <c r="A625" s="413">
        <f>$A624+Planning!$D$2</f>
        <v>43078.619872685187</v>
      </c>
    </row>
    <row r="626" spans="1:1" x14ac:dyDescent="0.25">
      <c r="A626" s="413">
        <f>$A625+Planning!$D$2</f>
        <v>43079.619872685187</v>
      </c>
    </row>
    <row r="627" spans="1:1" x14ac:dyDescent="0.25">
      <c r="A627" s="413">
        <f>$A626+Planning!$D$2</f>
        <v>43080.619872685187</v>
      </c>
    </row>
    <row r="628" spans="1:1" x14ac:dyDescent="0.25">
      <c r="A628" s="413">
        <f>$A627+Planning!$D$2</f>
        <v>43081.619872685187</v>
      </c>
    </row>
    <row r="629" spans="1:1" x14ac:dyDescent="0.25">
      <c r="A629" s="413">
        <f>$A628+Planning!$D$2</f>
        <v>43082.619872685187</v>
      </c>
    </row>
    <row r="630" spans="1:1" x14ac:dyDescent="0.25">
      <c r="A630" s="413">
        <f>$A629+Planning!$D$2</f>
        <v>43083.619872685187</v>
      </c>
    </row>
    <row r="631" spans="1:1" x14ac:dyDescent="0.25">
      <c r="A631" s="413">
        <f>$A630+Planning!$D$2</f>
        <v>43084.619872685187</v>
      </c>
    </row>
    <row r="632" spans="1:1" x14ac:dyDescent="0.25">
      <c r="A632" s="413">
        <f>$A631+Planning!$D$2</f>
        <v>43085.619872685187</v>
      </c>
    </row>
    <row r="633" spans="1:1" x14ac:dyDescent="0.25">
      <c r="A633" s="413">
        <f>$A632+Planning!$D$2</f>
        <v>43086.619872685187</v>
      </c>
    </row>
    <row r="634" spans="1:1" x14ac:dyDescent="0.25">
      <c r="A634" s="413">
        <f>$A633+Planning!$D$2</f>
        <v>43087.619872685187</v>
      </c>
    </row>
    <row r="635" spans="1:1" x14ac:dyDescent="0.25">
      <c r="A635" s="413">
        <f>$A634+Planning!$D$2</f>
        <v>43088.619872685187</v>
      </c>
    </row>
    <row r="636" spans="1:1" x14ac:dyDescent="0.25">
      <c r="A636" s="413">
        <f>$A635+Planning!$D$2</f>
        <v>43089.619872685187</v>
      </c>
    </row>
    <row r="637" spans="1:1" x14ac:dyDescent="0.25">
      <c r="A637" s="413">
        <f>$A636+Planning!$D$2</f>
        <v>43090.619872685187</v>
      </c>
    </row>
    <row r="638" spans="1:1" x14ac:dyDescent="0.25">
      <c r="A638" s="413">
        <f>$A637+Planning!$D$2</f>
        <v>43091.619872685187</v>
      </c>
    </row>
    <row r="639" spans="1:1" x14ac:dyDescent="0.25">
      <c r="A639" s="413">
        <f>$A638+Planning!$D$2</f>
        <v>43092.619872685187</v>
      </c>
    </row>
    <row r="640" spans="1:1" x14ac:dyDescent="0.25">
      <c r="A640" s="413">
        <f>$A639+Planning!$D$2</f>
        <v>43093.619872685187</v>
      </c>
    </row>
    <row r="641" spans="1:1" x14ac:dyDescent="0.25">
      <c r="A641" s="413">
        <f>$A640+Planning!$D$2</f>
        <v>43094.619872685187</v>
      </c>
    </row>
    <row r="642" spans="1:1" x14ac:dyDescent="0.25">
      <c r="A642" s="413">
        <f>$A641+Planning!$D$2</f>
        <v>43095.619872685187</v>
      </c>
    </row>
    <row r="643" spans="1:1" x14ac:dyDescent="0.25">
      <c r="A643" s="413">
        <f>$A642+Planning!$D$2</f>
        <v>43096.619872685187</v>
      </c>
    </row>
    <row r="644" spans="1:1" x14ac:dyDescent="0.25">
      <c r="A644" s="413">
        <f>$A643+Planning!$D$2</f>
        <v>43097.619872685187</v>
      </c>
    </row>
    <row r="645" spans="1:1" x14ac:dyDescent="0.25">
      <c r="A645" s="413">
        <f>$A644+Planning!$D$2</f>
        <v>43098.619872685187</v>
      </c>
    </row>
    <row r="646" spans="1:1" x14ac:dyDescent="0.25">
      <c r="A646" s="413">
        <f>$A645+Planning!$D$2</f>
        <v>43099.619872685187</v>
      </c>
    </row>
    <row r="647" spans="1:1" x14ac:dyDescent="0.25">
      <c r="A647" s="413">
        <f>$A646+Planning!$D$2</f>
        <v>43100.619872685187</v>
      </c>
    </row>
    <row r="648" spans="1:1" x14ac:dyDescent="0.25">
      <c r="A648" s="413">
        <f>$A647+Planning!$D$2</f>
        <v>43101.619872685187</v>
      </c>
    </row>
    <row r="649" spans="1:1" x14ac:dyDescent="0.25">
      <c r="A649" s="413">
        <f>$A648+Planning!$D$2</f>
        <v>43102.619872685187</v>
      </c>
    </row>
    <row r="650" spans="1:1" x14ac:dyDescent="0.25">
      <c r="A650" s="413">
        <f>$A649+Planning!$D$2</f>
        <v>43103.619872685187</v>
      </c>
    </row>
    <row r="651" spans="1:1" x14ac:dyDescent="0.25">
      <c r="A651" s="413">
        <f>$A650+Planning!$D$2</f>
        <v>43104.619872685187</v>
      </c>
    </row>
    <row r="652" spans="1:1" x14ac:dyDescent="0.25">
      <c r="A652" s="413">
        <f>$A651+Planning!$D$2</f>
        <v>43105.619872685187</v>
      </c>
    </row>
    <row r="653" spans="1:1" x14ac:dyDescent="0.25">
      <c r="A653" s="413">
        <f>$A652+Planning!$D$2</f>
        <v>43106.619872685187</v>
      </c>
    </row>
    <row r="654" spans="1:1" x14ac:dyDescent="0.25">
      <c r="A654" s="413">
        <f>$A653+Planning!$D$2</f>
        <v>43107.619872685187</v>
      </c>
    </row>
    <row r="655" spans="1:1" x14ac:dyDescent="0.25">
      <c r="A655" s="413">
        <f>$A654+Planning!$D$2</f>
        <v>43108.619872685187</v>
      </c>
    </row>
    <row r="656" spans="1:1" x14ac:dyDescent="0.25">
      <c r="A656" s="413">
        <f>$A655+Planning!$D$2</f>
        <v>43109.619872685187</v>
      </c>
    </row>
    <row r="657" spans="1:1" x14ac:dyDescent="0.25">
      <c r="A657" s="413">
        <f>$A656+Planning!$D$2</f>
        <v>43110.619872685187</v>
      </c>
    </row>
    <row r="658" spans="1:1" x14ac:dyDescent="0.25">
      <c r="A658" s="413">
        <f>$A657+Planning!$D$2</f>
        <v>43111.619872685187</v>
      </c>
    </row>
    <row r="659" spans="1:1" x14ac:dyDescent="0.25">
      <c r="A659" s="413">
        <f>$A658+Planning!$D$2</f>
        <v>43112.619872685187</v>
      </c>
    </row>
    <row r="660" spans="1:1" x14ac:dyDescent="0.25">
      <c r="A660" s="413">
        <f>$A659+Planning!$D$2</f>
        <v>43113.619872685187</v>
      </c>
    </row>
    <row r="661" spans="1:1" x14ac:dyDescent="0.25">
      <c r="A661" s="413">
        <f>$A660+Planning!$D$2</f>
        <v>43114.619872685187</v>
      </c>
    </row>
    <row r="662" spans="1:1" x14ac:dyDescent="0.25">
      <c r="A662" s="413">
        <f>$A661+Planning!$D$2</f>
        <v>43115.619872685187</v>
      </c>
    </row>
    <row r="663" spans="1:1" x14ac:dyDescent="0.25">
      <c r="A663" s="413">
        <f>$A662+Planning!$D$2</f>
        <v>43116.619872685187</v>
      </c>
    </row>
    <row r="664" spans="1:1" x14ac:dyDescent="0.25">
      <c r="A664" s="413">
        <f>$A663+Planning!$D$2</f>
        <v>43117.619872685187</v>
      </c>
    </row>
    <row r="665" spans="1:1" x14ac:dyDescent="0.25">
      <c r="A665" s="413">
        <f>$A664+Planning!$D$2</f>
        <v>43118.619872685187</v>
      </c>
    </row>
    <row r="666" spans="1:1" x14ac:dyDescent="0.25">
      <c r="A666" s="413">
        <f>$A665+Planning!$D$2</f>
        <v>43119.619872685187</v>
      </c>
    </row>
    <row r="667" spans="1:1" x14ac:dyDescent="0.25">
      <c r="A667" s="413">
        <f>$A666+Planning!$D$2</f>
        <v>43120.619872685187</v>
      </c>
    </row>
    <row r="668" spans="1:1" x14ac:dyDescent="0.25">
      <c r="A668" s="413">
        <f>$A667+Planning!$D$2</f>
        <v>43121.619872685187</v>
      </c>
    </row>
    <row r="669" spans="1:1" x14ac:dyDescent="0.25">
      <c r="A669" s="413">
        <f>$A668+Planning!$D$2</f>
        <v>43122.619872685187</v>
      </c>
    </row>
    <row r="670" spans="1:1" x14ac:dyDescent="0.25">
      <c r="A670" s="413">
        <f>$A669+Planning!$D$2</f>
        <v>43123.619872685187</v>
      </c>
    </row>
    <row r="671" spans="1:1" x14ac:dyDescent="0.25">
      <c r="A671" s="413">
        <f>$A670+Planning!$D$2</f>
        <v>43124.619872685187</v>
      </c>
    </row>
    <row r="672" spans="1:1" x14ac:dyDescent="0.25">
      <c r="A672" s="413">
        <f>$A671+Planning!$D$2</f>
        <v>43125.619872685187</v>
      </c>
    </row>
    <row r="673" spans="1:1" x14ac:dyDescent="0.25">
      <c r="A673" s="413">
        <f>$A672+Planning!$D$2</f>
        <v>43126.619872685187</v>
      </c>
    </row>
    <row r="674" spans="1:1" x14ac:dyDescent="0.25">
      <c r="A674" s="413">
        <f>$A673+Planning!$D$2</f>
        <v>43127.619872685187</v>
      </c>
    </row>
    <row r="675" spans="1:1" x14ac:dyDescent="0.25">
      <c r="A675" s="413">
        <f>$A674+Planning!$D$2</f>
        <v>43128.619872685187</v>
      </c>
    </row>
    <row r="676" spans="1:1" x14ac:dyDescent="0.25">
      <c r="A676" s="413">
        <f>$A675+Planning!$D$2</f>
        <v>43129.619872685187</v>
      </c>
    </row>
    <row r="677" spans="1:1" x14ac:dyDescent="0.25">
      <c r="A677" s="413">
        <f>$A676+Planning!$D$2</f>
        <v>43130.619872685187</v>
      </c>
    </row>
    <row r="678" spans="1:1" x14ac:dyDescent="0.25">
      <c r="A678" s="413">
        <f>$A677+Planning!$D$2</f>
        <v>43131.619872685187</v>
      </c>
    </row>
    <row r="679" spans="1:1" x14ac:dyDescent="0.25">
      <c r="A679" s="413">
        <f>$A678+Planning!$D$2</f>
        <v>43132.619872685187</v>
      </c>
    </row>
    <row r="680" spans="1:1" x14ac:dyDescent="0.25">
      <c r="A680" s="413">
        <f>$A679+Planning!$D$2</f>
        <v>43133.619872685187</v>
      </c>
    </row>
    <row r="681" spans="1:1" x14ac:dyDescent="0.25">
      <c r="A681" s="413">
        <f>$A680+Planning!$D$2</f>
        <v>43134.619872685187</v>
      </c>
    </row>
    <row r="682" spans="1:1" x14ac:dyDescent="0.25">
      <c r="A682" s="413">
        <f>$A681+Planning!$D$2</f>
        <v>43135.619872685187</v>
      </c>
    </row>
    <row r="683" spans="1:1" x14ac:dyDescent="0.25">
      <c r="A683" s="413">
        <f>$A682+Planning!$D$2</f>
        <v>43136.619872685187</v>
      </c>
    </row>
    <row r="684" spans="1:1" x14ac:dyDescent="0.25">
      <c r="A684" s="413">
        <f>$A683+Planning!$D$2</f>
        <v>43137.619872685187</v>
      </c>
    </row>
    <row r="685" spans="1:1" x14ac:dyDescent="0.25">
      <c r="A685" s="413">
        <f>$A684+Planning!$D$2</f>
        <v>43138.619872685187</v>
      </c>
    </row>
    <row r="686" spans="1:1" x14ac:dyDescent="0.25">
      <c r="A686" s="413">
        <f>$A685+Planning!$D$2</f>
        <v>43139.619872685187</v>
      </c>
    </row>
    <row r="687" spans="1:1" x14ac:dyDescent="0.25">
      <c r="A687" s="413">
        <f>$A686+Planning!$D$2</f>
        <v>43140.619872685187</v>
      </c>
    </row>
    <row r="688" spans="1:1" x14ac:dyDescent="0.25">
      <c r="A688" s="413">
        <f>$A687+Planning!$D$2</f>
        <v>43141.619872685187</v>
      </c>
    </row>
    <row r="689" spans="1:1" x14ac:dyDescent="0.25">
      <c r="A689" s="413">
        <f>$A688+Planning!$D$2</f>
        <v>43142.619872685187</v>
      </c>
    </row>
    <row r="690" spans="1:1" x14ac:dyDescent="0.25">
      <c r="A690" s="413">
        <f>$A689+Planning!$D$2</f>
        <v>43143.619872685187</v>
      </c>
    </row>
    <row r="691" spans="1:1" x14ac:dyDescent="0.25">
      <c r="A691" s="413">
        <f>$A690+Planning!$D$2</f>
        <v>43144.619872685187</v>
      </c>
    </row>
    <row r="692" spans="1:1" x14ac:dyDescent="0.25">
      <c r="A692" s="413">
        <f>$A691+Planning!$D$2</f>
        <v>43145.619872685187</v>
      </c>
    </row>
    <row r="693" spans="1:1" x14ac:dyDescent="0.25">
      <c r="A693" s="413">
        <f>$A692+Planning!$D$2</f>
        <v>43146.619872685187</v>
      </c>
    </row>
    <row r="694" spans="1:1" x14ac:dyDescent="0.25">
      <c r="A694" s="413">
        <f>$A693+Planning!$D$2</f>
        <v>43147.619872685187</v>
      </c>
    </row>
    <row r="695" spans="1:1" x14ac:dyDescent="0.25">
      <c r="A695" s="413">
        <f>$A694+Planning!$D$2</f>
        <v>43148.619872685187</v>
      </c>
    </row>
    <row r="696" spans="1:1" x14ac:dyDescent="0.25">
      <c r="A696" s="413">
        <f>$A695+Planning!$D$2</f>
        <v>43149.619872685187</v>
      </c>
    </row>
    <row r="697" spans="1:1" x14ac:dyDescent="0.25">
      <c r="A697" s="413">
        <f>$A696+Planning!$D$2</f>
        <v>43150.619872685187</v>
      </c>
    </row>
    <row r="698" spans="1:1" x14ac:dyDescent="0.25">
      <c r="A698" s="413">
        <f>$A697+Planning!$D$2</f>
        <v>43151.619872685187</v>
      </c>
    </row>
    <row r="699" spans="1:1" x14ac:dyDescent="0.25">
      <c r="A699" s="413">
        <f>$A698+Planning!$D$2</f>
        <v>43152.619872685187</v>
      </c>
    </row>
    <row r="700" spans="1:1" x14ac:dyDescent="0.25">
      <c r="A700" s="413">
        <f>$A699+Planning!$D$2</f>
        <v>43153.619872685187</v>
      </c>
    </row>
    <row r="701" spans="1:1" x14ac:dyDescent="0.25">
      <c r="A701" s="413">
        <f>$A700+Planning!$D$2</f>
        <v>43154.619872685187</v>
      </c>
    </row>
    <row r="702" spans="1:1" x14ac:dyDescent="0.25">
      <c r="A702" s="413">
        <f>$A701+Planning!$D$2</f>
        <v>43155.619872685187</v>
      </c>
    </row>
    <row r="703" spans="1:1" x14ac:dyDescent="0.25">
      <c r="A703" s="413">
        <f>$A702+Planning!$D$2</f>
        <v>43156.619872685187</v>
      </c>
    </row>
    <row r="704" spans="1:1" x14ac:dyDescent="0.25">
      <c r="A704" s="413">
        <f>$A703+Planning!$D$2</f>
        <v>43157.619872685187</v>
      </c>
    </row>
    <row r="705" spans="1:1" x14ac:dyDescent="0.25">
      <c r="A705" s="413">
        <f>$A704+Planning!$D$2</f>
        <v>43158.619872685187</v>
      </c>
    </row>
    <row r="706" spans="1:1" x14ac:dyDescent="0.25">
      <c r="A706" s="413">
        <f>$A705+Planning!$D$2</f>
        <v>43159.619872685187</v>
      </c>
    </row>
    <row r="707" spans="1:1" x14ac:dyDescent="0.25">
      <c r="A707" s="413">
        <f>$A706+Planning!$D$2</f>
        <v>43160.619872685187</v>
      </c>
    </row>
    <row r="708" spans="1:1" x14ac:dyDescent="0.25">
      <c r="A708" s="413">
        <f>$A707+Planning!$D$2</f>
        <v>43161.619872685187</v>
      </c>
    </row>
    <row r="709" spans="1:1" x14ac:dyDescent="0.25">
      <c r="A709" s="413">
        <f>$A708+Planning!$D$2</f>
        <v>43162.619872685187</v>
      </c>
    </row>
    <row r="710" spans="1:1" x14ac:dyDescent="0.25">
      <c r="A710" s="413">
        <f>$A709+Planning!$D$2</f>
        <v>43163.619872685187</v>
      </c>
    </row>
    <row r="711" spans="1:1" x14ac:dyDescent="0.25">
      <c r="A711" s="413">
        <f>$A710+Planning!$D$2</f>
        <v>43164.619872685187</v>
      </c>
    </row>
    <row r="712" spans="1:1" x14ac:dyDescent="0.25">
      <c r="A712" s="413">
        <f>$A711+Planning!$D$2</f>
        <v>43165.619872685187</v>
      </c>
    </row>
    <row r="713" spans="1:1" x14ac:dyDescent="0.25">
      <c r="A713" s="413">
        <f>$A712+Planning!$D$2</f>
        <v>43166.619872685187</v>
      </c>
    </row>
    <row r="714" spans="1:1" x14ac:dyDescent="0.25">
      <c r="A714" s="413">
        <f>$A713+Planning!$D$2</f>
        <v>43167.619872685187</v>
      </c>
    </row>
    <row r="715" spans="1:1" x14ac:dyDescent="0.25">
      <c r="A715" s="413">
        <f>$A714+Planning!$D$2</f>
        <v>43168.619872685187</v>
      </c>
    </row>
    <row r="716" spans="1:1" x14ac:dyDescent="0.25">
      <c r="A716" s="413">
        <f>$A715+Planning!$D$2</f>
        <v>43169.619872685187</v>
      </c>
    </row>
    <row r="717" spans="1:1" x14ac:dyDescent="0.25">
      <c r="A717" s="413">
        <f>$A716+Planning!$D$2</f>
        <v>43170.619872685187</v>
      </c>
    </row>
    <row r="718" spans="1:1" x14ac:dyDescent="0.25">
      <c r="A718" s="413">
        <f>$A717+Planning!$D$2</f>
        <v>43171.619872685187</v>
      </c>
    </row>
    <row r="719" spans="1:1" x14ac:dyDescent="0.25">
      <c r="A719" s="413">
        <f>$A718+Planning!$D$2</f>
        <v>43172.619872685187</v>
      </c>
    </row>
    <row r="720" spans="1:1" x14ac:dyDescent="0.25">
      <c r="A720" s="413">
        <f>$A719+Planning!$D$2</f>
        <v>43173.619872685187</v>
      </c>
    </row>
    <row r="721" spans="1:1" x14ac:dyDescent="0.25">
      <c r="A721" s="413">
        <f>$A720+Planning!$D$2</f>
        <v>43174.619872685187</v>
      </c>
    </row>
    <row r="722" spans="1:1" x14ac:dyDescent="0.25">
      <c r="A722" s="413">
        <f>$A721+Planning!$D$2</f>
        <v>43175.619872685187</v>
      </c>
    </row>
    <row r="723" spans="1:1" x14ac:dyDescent="0.25">
      <c r="A723" s="413">
        <f>$A722+Planning!$D$2</f>
        <v>43176.619872685187</v>
      </c>
    </row>
    <row r="724" spans="1:1" x14ac:dyDescent="0.25">
      <c r="A724" s="413">
        <f>$A723+Planning!$D$2</f>
        <v>43177.619872685187</v>
      </c>
    </row>
    <row r="725" spans="1:1" x14ac:dyDescent="0.25">
      <c r="A725" s="413">
        <f>$A724+Planning!$D$2</f>
        <v>43178.619872685187</v>
      </c>
    </row>
    <row r="726" spans="1:1" x14ac:dyDescent="0.25">
      <c r="A726" s="413">
        <f>$A725+Planning!$D$2</f>
        <v>43179.619872685187</v>
      </c>
    </row>
    <row r="727" spans="1:1" x14ac:dyDescent="0.25">
      <c r="A727" s="413">
        <f>$A726+Planning!$D$2</f>
        <v>43180.619872685187</v>
      </c>
    </row>
    <row r="728" spans="1:1" x14ac:dyDescent="0.25">
      <c r="A728" s="413">
        <f>$A727+Planning!$D$2</f>
        <v>43181.619872685187</v>
      </c>
    </row>
    <row r="729" spans="1:1" x14ac:dyDescent="0.25">
      <c r="A729" s="413">
        <f>$A728+Planning!$D$2</f>
        <v>43182.619872685187</v>
      </c>
    </row>
    <row r="730" spans="1:1" x14ac:dyDescent="0.25">
      <c r="A730" s="413">
        <f>$A729+Planning!$D$2</f>
        <v>43183.619872685187</v>
      </c>
    </row>
    <row r="731" spans="1:1" x14ac:dyDescent="0.25">
      <c r="A731" s="413">
        <f>$A730+Planning!$D$2</f>
        <v>43184.619872685187</v>
      </c>
    </row>
    <row r="732" spans="1:1" x14ac:dyDescent="0.25">
      <c r="A732" s="413">
        <f>$A731+Planning!$D$2</f>
        <v>43185.619872685187</v>
      </c>
    </row>
    <row r="733" spans="1:1" x14ac:dyDescent="0.25">
      <c r="A733" s="413">
        <f>$A732+Planning!$D$2</f>
        <v>43186.619872685187</v>
      </c>
    </row>
    <row r="734" spans="1:1" x14ac:dyDescent="0.25">
      <c r="A734" s="413">
        <f>$A733+Planning!$D$2</f>
        <v>43187.619872685187</v>
      </c>
    </row>
    <row r="735" spans="1:1" x14ac:dyDescent="0.25">
      <c r="A735" s="413">
        <f>$A734+Planning!$D$2</f>
        <v>43188.619872685187</v>
      </c>
    </row>
    <row r="736" spans="1:1" x14ac:dyDescent="0.25">
      <c r="A736" s="413">
        <f>$A735+Planning!$D$2</f>
        <v>43189.619872685187</v>
      </c>
    </row>
    <row r="737" spans="1:1" x14ac:dyDescent="0.25">
      <c r="A737" s="413">
        <f>$A736+Planning!$D$2</f>
        <v>43190.619872685187</v>
      </c>
    </row>
    <row r="738" spans="1:1" x14ac:dyDescent="0.25">
      <c r="A738" s="413">
        <f>$A737+Planning!$D$2</f>
        <v>43191.619872685187</v>
      </c>
    </row>
    <row r="739" spans="1:1" x14ac:dyDescent="0.25">
      <c r="A739" s="413">
        <f>$A738+Planning!$D$2</f>
        <v>43192.619872685187</v>
      </c>
    </row>
    <row r="740" spans="1:1" x14ac:dyDescent="0.25">
      <c r="A740" s="413">
        <f>$A739+Planning!$D$2</f>
        <v>43193.619872685187</v>
      </c>
    </row>
    <row r="741" spans="1:1" x14ac:dyDescent="0.25">
      <c r="A741" s="413">
        <f>$A740+Planning!$D$2</f>
        <v>43194.619872685187</v>
      </c>
    </row>
    <row r="742" spans="1:1" x14ac:dyDescent="0.25">
      <c r="A742" s="413">
        <f>$A741+Planning!$D$2</f>
        <v>43195.619872685187</v>
      </c>
    </row>
    <row r="743" spans="1:1" x14ac:dyDescent="0.25">
      <c r="A743" s="413">
        <f>$A742+Planning!$D$2</f>
        <v>43196.619872685187</v>
      </c>
    </row>
    <row r="744" spans="1:1" x14ac:dyDescent="0.25">
      <c r="A744" s="413">
        <f>$A743+Planning!$D$2</f>
        <v>43197.619872685187</v>
      </c>
    </row>
    <row r="745" spans="1:1" x14ac:dyDescent="0.25">
      <c r="A745" s="413">
        <f>$A744+Planning!$D$2</f>
        <v>43198.619872685187</v>
      </c>
    </row>
    <row r="746" spans="1:1" x14ac:dyDescent="0.25">
      <c r="A746" s="413">
        <f>$A745+Planning!$D$2</f>
        <v>43199.619872685187</v>
      </c>
    </row>
    <row r="747" spans="1:1" x14ac:dyDescent="0.25">
      <c r="A747" s="413">
        <f>$A746+Planning!$D$2</f>
        <v>43200.619872685187</v>
      </c>
    </row>
    <row r="748" spans="1:1" x14ac:dyDescent="0.25">
      <c r="A748" s="413">
        <f>$A747+Planning!$D$2</f>
        <v>43201.619872685187</v>
      </c>
    </row>
    <row r="749" spans="1:1" x14ac:dyDescent="0.25">
      <c r="A749" s="413">
        <f>$A748+Planning!$D$2</f>
        <v>43202.619872685187</v>
      </c>
    </row>
    <row r="750" spans="1:1" x14ac:dyDescent="0.25">
      <c r="A750" s="413">
        <f>$A749+Planning!$D$2</f>
        <v>43203.619872685187</v>
      </c>
    </row>
    <row r="751" spans="1:1" x14ac:dyDescent="0.25">
      <c r="A751" s="413">
        <f>$A750+Planning!$D$2</f>
        <v>43204.619872685187</v>
      </c>
    </row>
    <row r="752" spans="1:1" x14ac:dyDescent="0.25">
      <c r="A752" s="413">
        <f>$A751+Planning!$D$2</f>
        <v>43205.619872685187</v>
      </c>
    </row>
    <row r="753" spans="1:1" x14ac:dyDescent="0.25">
      <c r="A753" s="413">
        <f>$A752+Planning!$D$2</f>
        <v>43206.619872685187</v>
      </c>
    </row>
    <row r="754" spans="1:1" x14ac:dyDescent="0.25">
      <c r="A754" s="413">
        <f>$A753+Planning!$D$2</f>
        <v>43207.619872685187</v>
      </c>
    </row>
    <row r="755" spans="1:1" x14ac:dyDescent="0.25">
      <c r="A755" s="413">
        <f>$A754+Planning!$D$2</f>
        <v>43208.619872685187</v>
      </c>
    </row>
    <row r="756" spans="1:1" x14ac:dyDescent="0.25">
      <c r="A756" s="413">
        <f>$A755+Planning!$D$2</f>
        <v>43209.619872685187</v>
      </c>
    </row>
    <row r="757" spans="1:1" x14ac:dyDescent="0.25">
      <c r="A757" s="413">
        <f>$A756+Planning!$D$2</f>
        <v>43210.619872685187</v>
      </c>
    </row>
    <row r="758" spans="1:1" x14ac:dyDescent="0.25">
      <c r="A758" s="413">
        <f>$A757+Planning!$D$2</f>
        <v>43211.619872685187</v>
      </c>
    </row>
    <row r="759" spans="1:1" x14ac:dyDescent="0.25">
      <c r="A759" s="413">
        <f>$A758+Planning!$D$2</f>
        <v>43212.619872685187</v>
      </c>
    </row>
    <row r="760" spans="1:1" x14ac:dyDescent="0.25">
      <c r="A760" s="413">
        <f>$A759+Planning!$D$2</f>
        <v>43213.619872685187</v>
      </c>
    </row>
    <row r="761" spans="1:1" x14ac:dyDescent="0.25">
      <c r="A761" s="413">
        <f>$A760+Planning!$D$2</f>
        <v>43214.619872685187</v>
      </c>
    </row>
    <row r="762" spans="1:1" x14ac:dyDescent="0.25">
      <c r="A762" s="413">
        <f>$A761+Planning!$D$2</f>
        <v>43215.619872685187</v>
      </c>
    </row>
    <row r="763" spans="1:1" x14ac:dyDescent="0.25">
      <c r="A763" s="413">
        <f>$A762+Planning!$D$2</f>
        <v>43216.619872685187</v>
      </c>
    </row>
    <row r="764" spans="1:1" x14ac:dyDescent="0.25">
      <c r="A764" s="413">
        <f>$A763+Planning!$D$2</f>
        <v>43217.619872685187</v>
      </c>
    </row>
    <row r="765" spans="1:1" x14ac:dyDescent="0.25">
      <c r="A765" s="413">
        <f>$A764+Planning!$D$2</f>
        <v>43218.619872685187</v>
      </c>
    </row>
    <row r="766" spans="1:1" x14ac:dyDescent="0.25">
      <c r="A766" s="413">
        <f>$A765+Planning!$D$2</f>
        <v>43219.619872685187</v>
      </c>
    </row>
    <row r="767" spans="1:1" x14ac:dyDescent="0.25">
      <c r="A767" s="413">
        <f>$A766+Planning!$D$2</f>
        <v>43220.619872685187</v>
      </c>
    </row>
    <row r="768" spans="1:1" x14ac:dyDescent="0.25">
      <c r="A768" s="413">
        <f>$A767+Planning!$D$2</f>
        <v>43221.619872685187</v>
      </c>
    </row>
    <row r="769" spans="1:1" x14ac:dyDescent="0.25">
      <c r="A769" s="413">
        <f>$A768+Planning!$D$2</f>
        <v>43222.619872685187</v>
      </c>
    </row>
    <row r="770" spans="1:1" x14ac:dyDescent="0.25">
      <c r="A770" s="413">
        <f>$A769+Planning!$D$2</f>
        <v>43223.619872685187</v>
      </c>
    </row>
    <row r="771" spans="1:1" x14ac:dyDescent="0.25">
      <c r="A771" s="413">
        <f>$A770+Planning!$D$2</f>
        <v>43224.619872685187</v>
      </c>
    </row>
    <row r="772" spans="1:1" x14ac:dyDescent="0.25">
      <c r="A772" s="413">
        <f>$A771+Planning!$D$2</f>
        <v>43225.619872685187</v>
      </c>
    </row>
    <row r="773" spans="1:1" x14ac:dyDescent="0.25">
      <c r="A773" s="413">
        <f>$A772+Planning!$D$2</f>
        <v>43226.619872685187</v>
      </c>
    </row>
    <row r="774" spans="1:1" x14ac:dyDescent="0.25">
      <c r="A774" s="413">
        <f>$A773+Planning!$D$2</f>
        <v>43227.619872685187</v>
      </c>
    </row>
    <row r="775" spans="1:1" x14ac:dyDescent="0.25">
      <c r="A775" s="413">
        <f>$A774+Planning!$D$2</f>
        <v>43228.619872685187</v>
      </c>
    </row>
    <row r="776" spans="1:1" x14ac:dyDescent="0.25">
      <c r="A776" s="413">
        <f>$A775+Planning!$D$2</f>
        <v>43229.619872685187</v>
      </c>
    </row>
    <row r="777" spans="1:1" x14ac:dyDescent="0.25">
      <c r="A777" s="413">
        <f>$A776+Planning!$D$2</f>
        <v>43230.619872685187</v>
      </c>
    </row>
    <row r="778" spans="1:1" x14ac:dyDescent="0.25">
      <c r="A778" s="413">
        <f>$A777+Planning!$D$2</f>
        <v>43231.619872685187</v>
      </c>
    </row>
    <row r="779" spans="1:1" x14ac:dyDescent="0.25">
      <c r="A779" s="413">
        <f>$A778+Planning!$D$2</f>
        <v>43232.619872685187</v>
      </c>
    </row>
    <row r="780" spans="1:1" x14ac:dyDescent="0.25">
      <c r="A780" s="413">
        <f>$A779+Planning!$D$2</f>
        <v>43233.619872685187</v>
      </c>
    </row>
    <row r="781" spans="1:1" x14ac:dyDescent="0.25">
      <c r="A781" s="413">
        <f>$A780+Planning!$D$2</f>
        <v>43234.619872685187</v>
      </c>
    </row>
    <row r="782" spans="1:1" x14ac:dyDescent="0.25">
      <c r="A782" s="413">
        <f>$A781+Planning!$D$2</f>
        <v>43235.619872685187</v>
      </c>
    </row>
    <row r="783" spans="1:1" x14ac:dyDescent="0.25">
      <c r="A783" s="413">
        <f>$A782+Planning!$D$2</f>
        <v>43236.619872685187</v>
      </c>
    </row>
    <row r="784" spans="1:1" x14ac:dyDescent="0.25">
      <c r="A784" s="413">
        <f>$A783+Planning!$D$2</f>
        <v>43237.619872685187</v>
      </c>
    </row>
    <row r="785" spans="1:1" x14ac:dyDescent="0.25">
      <c r="A785" s="413">
        <f>$A784+Planning!$D$2</f>
        <v>43238.619872685187</v>
      </c>
    </row>
    <row r="786" spans="1:1" x14ac:dyDescent="0.25">
      <c r="A786" s="413">
        <f>$A785+Planning!$D$2</f>
        <v>43239.619872685187</v>
      </c>
    </row>
    <row r="787" spans="1:1" x14ac:dyDescent="0.25">
      <c r="A787" s="413">
        <f>$A786+Planning!$D$2</f>
        <v>43240.619872685187</v>
      </c>
    </row>
    <row r="788" spans="1:1" x14ac:dyDescent="0.25">
      <c r="A788" s="413">
        <f>$A787+Planning!$D$2</f>
        <v>43241.619872685187</v>
      </c>
    </row>
    <row r="789" spans="1:1" x14ac:dyDescent="0.25">
      <c r="A789" s="413">
        <f>$A788+Planning!$D$2</f>
        <v>43242.619872685187</v>
      </c>
    </row>
    <row r="790" spans="1:1" x14ac:dyDescent="0.25">
      <c r="A790" s="413">
        <f>$A789+Planning!$D$2</f>
        <v>43243.619872685187</v>
      </c>
    </row>
    <row r="791" spans="1:1" x14ac:dyDescent="0.25">
      <c r="A791" s="413">
        <f>$A790+Planning!$D$2</f>
        <v>43244.619872685187</v>
      </c>
    </row>
    <row r="792" spans="1:1" x14ac:dyDescent="0.25">
      <c r="A792" s="413">
        <f>$A791+Planning!$D$2</f>
        <v>43245.619872685187</v>
      </c>
    </row>
    <row r="793" spans="1:1" x14ac:dyDescent="0.25">
      <c r="A793" s="413">
        <f>$A792+Planning!$D$2</f>
        <v>43246.619872685187</v>
      </c>
    </row>
    <row r="794" spans="1:1" x14ac:dyDescent="0.25">
      <c r="A794" s="413">
        <f>$A793+Planning!$D$2</f>
        <v>43247.619872685187</v>
      </c>
    </row>
    <row r="795" spans="1:1" x14ac:dyDescent="0.25">
      <c r="A795" s="413">
        <f>$A794+Planning!$D$2</f>
        <v>43248.619872685187</v>
      </c>
    </row>
    <row r="796" spans="1:1" x14ac:dyDescent="0.25">
      <c r="A796" s="413">
        <f>$A795+Planning!$D$2</f>
        <v>43249.619872685187</v>
      </c>
    </row>
    <row r="797" spans="1:1" x14ac:dyDescent="0.25">
      <c r="A797" s="413">
        <f>$A796+Planning!$D$2</f>
        <v>43250.619872685187</v>
      </c>
    </row>
    <row r="798" spans="1:1" x14ac:dyDescent="0.25">
      <c r="A798" s="413">
        <f>$A797+Planning!$D$2</f>
        <v>43251.619872685187</v>
      </c>
    </row>
    <row r="799" spans="1:1" x14ac:dyDescent="0.25">
      <c r="A799" s="413">
        <f>$A798+Planning!$D$2</f>
        <v>43252.619872685187</v>
      </c>
    </row>
    <row r="800" spans="1:1" x14ac:dyDescent="0.25">
      <c r="A800" s="413">
        <f>$A799+Planning!$D$2</f>
        <v>43253.619872685187</v>
      </c>
    </row>
    <row r="801" spans="1:1" x14ac:dyDescent="0.25">
      <c r="A801" s="413">
        <f>$A800+Planning!$D$2</f>
        <v>43254.619872685187</v>
      </c>
    </row>
    <row r="802" spans="1:1" x14ac:dyDescent="0.25">
      <c r="A802" s="413">
        <f>$A801+Planning!$D$2</f>
        <v>43255.619872685187</v>
      </c>
    </row>
    <row r="803" spans="1:1" x14ac:dyDescent="0.25">
      <c r="A803" s="413">
        <f>$A802+Planning!$D$2</f>
        <v>43256.619872685187</v>
      </c>
    </row>
    <row r="804" spans="1:1" x14ac:dyDescent="0.25">
      <c r="A804" s="413">
        <f>$A803+Planning!$D$2</f>
        <v>43257.619872685187</v>
      </c>
    </row>
    <row r="805" spans="1:1" x14ac:dyDescent="0.25">
      <c r="A805" s="413">
        <f>$A804+Planning!$D$2</f>
        <v>43258.619872685187</v>
      </c>
    </row>
    <row r="806" spans="1:1" x14ac:dyDescent="0.25">
      <c r="A806" s="413">
        <f>$A805+Planning!$D$2</f>
        <v>43259.619872685187</v>
      </c>
    </row>
    <row r="807" spans="1:1" x14ac:dyDescent="0.25">
      <c r="A807" s="413">
        <f>$A806+Planning!$D$2</f>
        <v>43260.619872685187</v>
      </c>
    </row>
    <row r="808" spans="1:1" x14ac:dyDescent="0.25">
      <c r="A808" s="413">
        <f>$A807+Planning!$D$2</f>
        <v>43261.619872685187</v>
      </c>
    </row>
    <row r="809" spans="1:1" x14ac:dyDescent="0.25">
      <c r="A809" s="413">
        <f>$A808+Planning!$D$2</f>
        <v>43262.619872685187</v>
      </c>
    </row>
    <row r="810" spans="1:1" x14ac:dyDescent="0.25">
      <c r="A810" s="413">
        <f>$A809+Planning!$D$2</f>
        <v>43263.619872685187</v>
      </c>
    </row>
    <row r="811" spans="1:1" x14ac:dyDescent="0.25">
      <c r="A811" s="413">
        <f>$A810+Planning!$D$2</f>
        <v>43264.619872685187</v>
      </c>
    </row>
    <row r="812" spans="1:1" x14ac:dyDescent="0.25">
      <c r="A812" s="413">
        <f>$A811+Planning!$D$2</f>
        <v>43265.619872685187</v>
      </c>
    </row>
    <row r="813" spans="1:1" x14ac:dyDescent="0.25">
      <c r="A813" s="413">
        <f>$A812+Planning!$D$2</f>
        <v>43266.619872685187</v>
      </c>
    </row>
    <row r="814" spans="1:1" x14ac:dyDescent="0.25">
      <c r="A814" s="413">
        <f>$A813+Planning!$D$2</f>
        <v>43267.619872685187</v>
      </c>
    </row>
    <row r="815" spans="1:1" x14ac:dyDescent="0.25">
      <c r="A815" s="413">
        <f>$A814+Planning!$D$2</f>
        <v>43268.619872685187</v>
      </c>
    </row>
    <row r="816" spans="1:1" x14ac:dyDescent="0.25">
      <c r="A816" s="413">
        <f>$A815+Planning!$D$2</f>
        <v>43269.619872685187</v>
      </c>
    </row>
    <row r="817" spans="1:1" x14ac:dyDescent="0.25">
      <c r="A817" s="413">
        <f>$A816+Planning!$D$2</f>
        <v>43270.619872685187</v>
      </c>
    </row>
    <row r="818" spans="1:1" x14ac:dyDescent="0.25">
      <c r="A818" s="413">
        <f>$A817+Planning!$D$2</f>
        <v>43271.619872685187</v>
      </c>
    </row>
    <row r="819" spans="1:1" x14ac:dyDescent="0.25">
      <c r="A819" s="413">
        <f>$A818+Planning!$D$2</f>
        <v>43272.619872685187</v>
      </c>
    </row>
    <row r="820" spans="1:1" x14ac:dyDescent="0.25">
      <c r="A820" s="413">
        <f>$A819+Planning!$D$2</f>
        <v>43273.619872685187</v>
      </c>
    </row>
    <row r="821" spans="1:1" x14ac:dyDescent="0.25">
      <c r="A821" s="413">
        <f>$A820+Planning!$D$2</f>
        <v>43274.619872685187</v>
      </c>
    </row>
    <row r="822" spans="1:1" x14ac:dyDescent="0.25">
      <c r="A822" s="413">
        <f>$A821+Planning!$D$2</f>
        <v>43275.619872685187</v>
      </c>
    </row>
    <row r="823" spans="1:1" x14ac:dyDescent="0.25">
      <c r="A823" s="413">
        <f>$A822+Planning!$D$2</f>
        <v>43276.619872685187</v>
      </c>
    </row>
    <row r="824" spans="1:1" x14ac:dyDescent="0.25">
      <c r="A824" s="413">
        <f>$A823+Planning!$D$2</f>
        <v>43277.619872685187</v>
      </c>
    </row>
    <row r="825" spans="1:1" x14ac:dyDescent="0.25">
      <c r="A825" s="413">
        <f>$A824+Planning!$D$2</f>
        <v>43278.619872685187</v>
      </c>
    </row>
    <row r="826" spans="1:1" x14ac:dyDescent="0.25">
      <c r="A826" s="413">
        <f>$A825+Planning!$D$2</f>
        <v>43279.619872685187</v>
      </c>
    </row>
    <row r="827" spans="1:1" x14ac:dyDescent="0.25">
      <c r="A827" s="413">
        <f>$A826+Planning!$D$2</f>
        <v>43280.619872685187</v>
      </c>
    </row>
    <row r="828" spans="1:1" x14ac:dyDescent="0.25">
      <c r="A828" s="413">
        <f>$A827+Planning!$D$2</f>
        <v>43281.619872685187</v>
      </c>
    </row>
    <row r="829" spans="1:1" x14ac:dyDescent="0.25">
      <c r="A829" s="413">
        <f>$A828+Planning!$D$2</f>
        <v>43282.619872685187</v>
      </c>
    </row>
    <row r="830" spans="1:1" x14ac:dyDescent="0.25">
      <c r="A830" s="413">
        <f>$A829+Planning!$D$2</f>
        <v>43283.619872685187</v>
      </c>
    </row>
    <row r="831" spans="1:1" x14ac:dyDescent="0.25">
      <c r="A831" s="413">
        <f>$A830+Planning!$D$2</f>
        <v>43284.619872685187</v>
      </c>
    </row>
    <row r="832" spans="1:1" x14ac:dyDescent="0.25">
      <c r="A832" s="413">
        <f>$A831+Planning!$D$2</f>
        <v>43285.619872685187</v>
      </c>
    </row>
    <row r="833" spans="1:1" x14ac:dyDescent="0.25">
      <c r="A833" s="413">
        <f>$A832+Planning!$D$2</f>
        <v>43286.619872685187</v>
      </c>
    </row>
    <row r="834" spans="1:1" x14ac:dyDescent="0.25">
      <c r="A834" s="413">
        <f>$A833+Planning!$D$2</f>
        <v>43287.619872685187</v>
      </c>
    </row>
    <row r="835" spans="1:1" x14ac:dyDescent="0.25">
      <c r="A835" s="413">
        <f>$A834+Planning!$D$2</f>
        <v>43288.619872685187</v>
      </c>
    </row>
    <row r="836" spans="1:1" x14ac:dyDescent="0.25">
      <c r="A836" s="413">
        <f>$A835+Planning!$D$2</f>
        <v>43289.619872685187</v>
      </c>
    </row>
    <row r="837" spans="1:1" x14ac:dyDescent="0.25">
      <c r="A837" s="413">
        <f>$A836+Planning!$D$2</f>
        <v>43290.619872685187</v>
      </c>
    </row>
    <row r="838" spans="1:1" x14ac:dyDescent="0.25">
      <c r="A838" s="413">
        <f>$A837+Planning!$D$2</f>
        <v>43291.619872685187</v>
      </c>
    </row>
    <row r="839" spans="1:1" x14ac:dyDescent="0.25">
      <c r="A839" s="413">
        <f>$A838+Planning!$D$2</f>
        <v>43292.619872685187</v>
      </c>
    </row>
    <row r="840" spans="1:1" x14ac:dyDescent="0.25">
      <c r="A840" s="413">
        <f>$A839+Planning!$D$2</f>
        <v>43293.619872685187</v>
      </c>
    </row>
    <row r="841" spans="1:1" x14ac:dyDescent="0.25">
      <c r="A841" s="413">
        <f>$A840+Planning!$D$2</f>
        <v>43294.619872685187</v>
      </c>
    </row>
    <row r="842" spans="1:1" x14ac:dyDescent="0.25">
      <c r="A842" s="413">
        <f>$A841+Planning!$D$2</f>
        <v>43295.619872685187</v>
      </c>
    </row>
    <row r="843" spans="1:1" x14ac:dyDescent="0.25">
      <c r="A843" s="413">
        <f>$A842+Planning!$D$2</f>
        <v>43296.619872685187</v>
      </c>
    </row>
    <row r="844" spans="1:1" x14ac:dyDescent="0.25">
      <c r="A844" s="413">
        <f>$A843+Planning!$D$2</f>
        <v>43297.619872685187</v>
      </c>
    </row>
    <row r="845" spans="1:1" x14ac:dyDescent="0.25">
      <c r="A845" s="413">
        <f>$A844+Planning!$D$2</f>
        <v>43298.619872685187</v>
      </c>
    </row>
    <row r="846" spans="1:1" x14ac:dyDescent="0.25">
      <c r="A846" s="413">
        <f>$A845+Planning!$D$2</f>
        <v>43299.619872685187</v>
      </c>
    </row>
    <row r="847" spans="1:1" x14ac:dyDescent="0.25">
      <c r="A847" s="413">
        <f>$A846+Planning!$D$2</f>
        <v>43300.619872685187</v>
      </c>
    </row>
    <row r="848" spans="1:1" x14ac:dyDescent="0.25">
      <c r="A848" s="413">
        <f>$A847+Planning!$D$2</f>
        <v>43301.619872685187</v>
      </c>
    </row>
    <row r="849" spans="1:1" x14ac:dyDescent="0.25">
      <c r="A849" s="413">
        <f>$A848+Planning!$D$2</f>
        <v>43302.619872685187</v>
      </c>
    </row>
    <row r="850" spans="1:1" x14ac:dyDescent="0.25">
      <c r="A850" s="413">
        <f>$A849+Planning!$D$2</f>
        <v>43303.619872685187</v>
      </c>
    </row>
    <row r="851" spans="1:1" x14ac:dyDescent="0.25">
      <c r="A851" s="413">
        <f>$A850+Planning!$D$2</f>
        <v>43304.619872685187</v>
      </c>
    </row>
    <row r="852" spans="1:1" x14ac:dyDescent="0.25">
      <c r="A852" s="413">
        <f>$A851+Planning!$D$2</f>
        <v>43305.619872685187</v>
      </c>
    </row>
    <row r="853" spans="1:1" x14ac:dyDescent="0.25">
      <c r="A853" s="413">
        <f>$A852+Planning!$D$2</f>
        <v>43306.619872685187</v>
      </c>
    </row>
    <row r="854" spans="1:1" x14ac:dyDescent="0.25">
      <c r="A854" s="413">
        <f>$A853+Planning!$D$2</f>
        <v>43307.619872685187</v>
      </c>
    </row>
    <row r="855" spans="1:1" x14ac:dyDescent="0.25">
      <c r="A855" s="413">
        <f>$A854+Planning!$D$2</f>
        <v>43308.619872685187</v>
      </c>
    </row>
    <row r="856" spans="1:1" x14ac:dyDescent="0.25">
      <c r="A856" s="413">
        <f>$A855+Planning!$D$2</f>
        <v>43309.619872685187</v>
      </c>
    </row>
    <row r="857" spans="1:1" x14ac:dyDescent="0.25">
      <c r="A857" s="413">
        <f>$A856+Planning!$D$2</f>
        <v>43310.619872685187</v>
      </c>
    </row>
    <row r="858" spans="1:1" x14ac:dyDescent="0.25">
      <c r="A858" s="413">
        <f>$A857+Planning!$D$2</f>
        <v>43311.619872685187</v>
      </c>
    </row>
    <row r="859" spans="1:1" x14ac:dyDescent="0.25">
      <c r="A859" s="413">
        <f>$A858+Planning!$D$2</f>
        <v>43312.619872685187</v>
      </c>
    </row>
    <row r="860" spans="1:1" x14ac:dyDescent="0.25">
      <c r="A860" s="413">
        <f>$A859+Planning!$D$2</f>
        <v>43313.619872685187</v>
      </c>
    </row>
    <row r="861" spans="1:1" x14ac:dyDescent="0.25">
      <c r="A861" s="413">
        <f>$A860+Planning!$D$2</f>
        <v>43314.619872685187</v>
      </c>
    </row>
    <row r="862" spans="1:1" x14ac:dyDescent="0.25">
      <c r="A862" s="413">
        <f>$A861+Planning!$D$2</f>
        <v>43315.619872685187</v>
      </c>
    </row>
    <row r="863" spans="1:1" x14ac:dyDescent="0.25">
      <c r="A863" s="413">
        <f>$A862+Planning!$D$2</f>
        <v>43316.619872685187</v>
      </c>
    </row>
    <row r="864" spans="1:1" x14ac:dyDescent="0.25">
      <c r="A864" s="413">
        <f>$A863+Planning!$D$2</f>
        <v>43317.619872685187</v>
      </c>
    </row>
    <row r="865" spans="1:1" x14ac:dyDescent="0.25">
      <c r="A865" s="413">
        <f>$A864+Planning!$D$2</f>
        <v>43318.619872685187</v>
      </c>
    </row>
    <row r="866" spans="1:1" x14ac:dyDescent="0.25">
      <c r="A866" s="413">
        <f>$A865+Planning!$D$2</f>
        <v>43319.619872685187</v>
      </c>
    </row>
    <row r="867" spans="1:1" x14ac:dyDescent="0.25">
      <c r="A867" s="413">
        <f>$A866+Planning!$D$2</f>
        <v>43320.619872685187</v>
      </c>
    </row>
    <row r="868" spans="1:1" x14ac:dyDescent="0.25">
      <c r="A868" s="413">
        <f>$A867+Planning!$D$2</f>
        <v>43321.619872685187</v>
      </c>
    </row>
    <row r="869" spans="1:1" x14ac:dyDescent="0.25">
      <c r="A869" s="413">
        <f>$A868+Planning!$D$2</f>
        <v>43322.619872685187</v>
      </c>
    </row>
    <row r="870" spans="1:1" x14ac:dyDescent="0.25">
      <c r="A870" s="413">
        <f>$A869+Planning!$D$2</f>
        <v>43323.619872685187</v>
      </c>
    </row>
    <row r="871" spans="1:1" x14ac:dyDescent="0.25">
      <c r="A871" s="413">
        <f>$A870+Planning!$D$2</f>
        <v>43324.619872685187</v>
      </c>
    </row>
    <row r="872" spans="1:1" x14ac:dyDescent="0.25">
      <c r="A872" s="413">
        <f>$A871+Planning!$D$2</f>
        <v>43325.619872685187</v>
      </c>
    </row>
    <row r="873" spans="1:1" x14ac:dyDescent="0.25">
      <c r="A873" s="413">
        <f>$A872+Planning!$D$2</f>
        <v>43326.619872685187</v>
      </c>
    </row>
    <row r="874" spans="1:1" x14ac:dyDescent="0.25">
      <c r="A874" s="413">
        <f>$A873+Planning!$D$2</f>
        <v>43327.619872685187</v>
      </c>
    </row>
    <row r="875" spans="1:1" x14ac:dyDescent="0.25">
      <c r="A875" s="413">
        <f>$A874+Planning!$D$2</f>
        <v>43328.619872685187</v>
      </c>
    </row>
    <row r="876" spans="1:1" x14ac:dyDescent="0.25">
      <c r="A876" s="413">
        <f>$A875+Planning!$D$2</f>
        <v>43329.619872685187</v>
      </c>
    </row>
    <row r="877" spans="1:1" x14ac:dyDescent="0.25">
      <c r="A877" s="413">
        <f>$A876+Planning!$D$2</f>
        <v>43330.619872685187</v>
      </c>
    </row>
    <row r="878" spans="1:1" x14ac:dyDescent="0.25">
      <c r="A878" s="413">
        <f>$A877+Planning!$D$2</f>
        <v>43331.619872685187</v>
      </c>
    </row>
    <row r="879" spans="1:1" x14ac:dyDescent="0.25">
      <c r="A879" s="413">
        <f>$A878+Planning!$D$2</f>
        <v>43332.619872685187</v>
      </c>
    </row>
    <row r="880" spans="1:1" x14ac:dyDescent="0.25">
      <c r="A880" s="413">
        <f>$A879+Planning!$D$2</f>
        <v>43333.619872685187</v>
      </c>
    </row>
    <row r="881" spans="1:1" x14ac:dyDescent="0.25">
      <c r="A881" s="413">
        <f>$A880+Planning!$D$2</f>
        <v>43334.619872685187</v>
      </c>
    </row>
    <row r="882" spans="1:1" x14ac:dyDescent="0.25">
      <c r="A882" s="413">
        <f>$A881+Planning!$D$2</f>
        <v>43335.619872685187</v>
      </c>
    </row>
    <row r="883" spans="1:1" x14ac:dyDescent="0.25">
      <c r="A883" s="413">
        <f>$A882+Planning!$D$2</f>
        <v>43336.619872685187</v>
      </c>
    </row>
    <row r="884" spans="1:1" x14ac:dyDescent="0.25">
      <c r="A884" s="413">
        <f>$A883+Planning!$D$2</f>
        <v>43337.619872685187</v>
      </c>
    </row>
    <row r="885" spans="1:1" x14ac:dyDescent="0.25">
      <c r="A885" s="413">
        <f>$A884+Planning!$D$2</f>
        <v>43338.619872685187</v>
      </c>
    </row>
    <row r="886" spans="1:1" x14ac:dyDescent="0.25">
      <c r="A886" s="413">
        <f>$A885+Planning!$D$2</f>
        <v>43339.619872685187</v>
      </c>
    </row>
    <row r="887" spans="1:1" x14ac:dyDescent="0.25">
      <c r="A887" s="413">
        <f>$A886+Planning!$D$2</f>
        <v>43340.619872685187</v>
      </c>
    </row>
    <row r="888" spans="1:1" x14ac:dyDescent="0.25">
      <c r="A888" s="413">
        <f>$A887+Planning!$D$2</f>
        <v>43341.619872685187</v>
      </c>
    </row>
    <row r="889" spans="1:1" x14ac:dyDescent="0.25">
      <c r="A889" s="413">
        <f>$A888+Planning!$D$2</f>
        <v>43342.619872685187</v>
      </c>
    </row>
    <row r="890" spans="1:1" x14ac:dyDescent="0.25">
      <c r="A890" s="413">
        <f>$A889+Planning!$D$2</f>
        <v>43343.619872685187</v>
      </c>
    </row>
    <row r="891" spans="1:1" x14ac:dyDescent="0.25">
      <c r="A891" s="413">
        <f>$A890+Planning!$D$2</f>
        <v>43344.619872685187</v>
      </c>
    </row>
    <row r="892" spans="1:1" x14ac:dyDescent="0.25">
      <c r="A892" s="413">
        <f>$A891+Planning!$D$2</f>
        <v>43345.619872685187</v>
      </c>
    </row>
    <row r="893" spans="1:1" x14ac:dyDescent="0.25">
      <c r="A893" s="413">
        <f>$A892+Planning!$D$2</f>
        <v>43346.619872685187</v>
      </c>
    </row>
    <row r="894" spans="1:1" x14ac:dyDescent="0.25">
      <c r="A894" s="413">
        <f>$A893+Planning!$D$2</f>
        <v>43347.619872685187</v>
      </c>
    </row>
    <row r="895" spans="1:1" x14ac:dyDescent="0.25">
      <c r="A895" s="413">
        <f>$A894+Planning!$D$2</f>
        <v>43348.619872685187</v>
      </c>
    </row>
    <row r="896" spans="1:1" x14ac:dyDescent="0.25">
      <c r="A896" s="413">
        <f>$A895+Planning!$D$2</f>
        <v>43349.619872685187</v>
      </c>
    </row>
    <row r="897" spans="1:1" x14ac:dyDescent="0.25">
      <c r="A897" s="413">
        <f>$A896+Planning!$D$2</f>
        <v>43350.619872685187</v>
      </c>
    </row>
    <row r="898" spans="1:1" x14ac:dyDescent="0.25">
      <c r="A898" s="413">
        <f>$A897+Planning!$D$2</f>
        <v>43351.619872685187</v>
      </c>
    </row>
    <row r="899" spans="1:1" x14ac:dyDescent="0.25">
      <c r="A899" s="413">
        <f>$A898+Planning!$D$2</f>
        <v>43352.619872685187</v>
      </c>
    </row>
    <row r="900" spans="1:1" x14ac:dyDescent="0.25">
      <c r="A900" s="413">
        <f>$A899+Planning!$D$2</f>
        <v>43353.619872685187</v>
      </c>
    </row>
    <row r="901" spans="1:1" x14ac:dyDescent="0.25">
      <c r="A901" s="413">
        <f>$A900+Planning!$D$2</f>
        <v>43354.619872685187</v>
      </c>
    </row>
    <row r="902" spans="1:1" x14ac:dyDescent="0.25">
      <c r="A902" s="413">
        <f>$A901+Planning!$D$2</f>
        <v>43355.619872685187</v>
      </c>
    </row>
    <row r="903" spans="1:1" x14ac:dyDescent="0.25">
      <c r="A903" s="413">
        <f>$A902+Planning!$D$2</f>
        <v>43356.619872685187</v>
      </c>
    </row>
    <row r="904" spans="1:1" x14ac:dyDescent="0.25">
      <c r="A904" s="413">
        <f>$A903+Planning!$D$2</f>
        <v>43357.619872685187</v>
      </c>
    </row>
    <row r="905" spans="1:1" x14ac:dyDescent="0.25">
      <c r="A905" s="413">
        <f>$A904+Planning!$D$2</f>
        <v>43358.619872685187</v>
      </c>
    </row>
    <row r="906" spans="1:1" x14ac:dyDescent="0.25">
      <c r="A906" s="413">
        <f>$A905+Planning!$D$2</f>
        <v>43359.619872685187</v>
      </c>
    </row>
    <row r="907" spans="1:1" x14ac:dyDescent="0.25">
      <c r="A907" s="413">
        <f>$A906+Planning!$D$2</f>
        <v>43360.619872685187</v>
      </c>
    </row>
    <row r="908" spans="1:1" x14ac:dyDescent="0.25">
      <c r="A908" s="413">
        <f>$A907+Planning!$D$2</f>
        <v>43361.619872685187</v>
      </c>
    </row>
    <row r="909" spans="1:1" x14ac:dyDescent="0.25">
      <c r="A909" s="413">
        <f>$A908+Planning!$D$2</f>
        <v>43362.619872685187</v>
      </c>
    </row>
    <row r="910" spans="1:1" x14ac:dyDescent="0.25">
      <c r="A910" s="413">
        <f>$A909+Planning!$D$2</f>
        <v>43363.619872685187</v>
      </c>
    </row>
    <row r="911" spans="1:1" x14ac:dyDescent="0.25">
      <c r="A911" s="413">
        <f>$A910+Planning!$D$2</f>
        <v>43364.619872685187</v>
      </c>
    </row>
    <row r="912" spans="1:1" x14ac:dyDescent="0.25">
      <c r="A912" s="413">
        <f>$A911+Planning!$D$2</f>
        <v>43365.619872685187</v>
      </c>
    </row>
    <row r="913" spans="1:1" x14ac:dyDescent="0.25">
      <c r="A913" s="413">
        <f>$A912+Planning!$D$2</f>
        <v>43366.619872685187</v>
      </c>
    </row>
    <row r="914" spans="1:1" x14ac:dyDescent="0.25">
      <c r="A914" s="413">
        <f>$A913+Planning!$D$2</f>
        <v>43367.619872685187</v>
      </c>
    </row>
    <row r="915" spans="1:1" x14ac:dyDescent="0.25">
      <c r="A915" s="413">
        <f>$A914+Planning!$D$2</f>
        <v>43368.619872685187</v>
      </c>
    </row>
    <row r="916" spans="1:1" x14ac:dyDescent="0.25">
      <c r="A916" s="413">
        <f>$A915+Planning!$D$2</f>
        <v>43369.619872685187</v>
      </c>
    </row>
    <row r="917" spans="1:1" x14ac:dyDescent="0.25">
      <c r="A917" s="413">
        <f>$A916+Planning!$D$2</f>
        <v>43370.619872685187</v>
      </c>
    </row>
    <row r="918" spans="1:1" x14ac:dyDescent="0.25">
      <c r="A918" s="413">
        <f>$A917+Planning!$D$2</f>
        <v>43371.619872685187</v>
      </c>
    </row>
    <row r="919" spans="1:1" x14ac:dyDescent="0.25">
      <c r="A919" s="413">
        <f>$A918+Planning!$D$2</f>
        <v>43372.619872685187</v>
      </c>
    </row>
    <row r="920" spans="1:1" x14ac:dyDescent="0.25">
      <c r="A920" s="413">
        <f>$A919+Planning!$D$2</f>
        <v>43373.619872685187</v>
      </c>
    </row>
    <row r="921" spans="1:1" x14ac:dyDescent="0.25">
      <c r="A921" s="413">
        <f>$A920+Planning!$D$2</f>
        <v>43374.619872685187</v>
      </c>
    </row>
    <row r="922" spans="1:1" x14ac:dyDescent="0.25">
      <c r="A922" s="413">
        <f>$A921+Planning!$D$2</f>
        <v>43375.619872685187</v>
      </c>
    </row>
    <row r="923" spans="1:1" x14ac:dyDescent="0.25">
      <c r="A923" s="413">
        <f>$A922+Planning!$D$2</f>
        <v>43376.619872685187</v>
      </c>
    </row>
    <row r="924" spans="1:1" x14ac:dyDescent="0.25">
      <c r="A924" s="413">
        <f>$A923+Planning!$D$2</f>
        <v>43377.619872685187</v>
      </c>
    </row>
    <row r="925" spans="1:1" x14ac:dyDescent="0.25">
      <c r="A925" s="413">
        <f>$A924+Planning!$D$2</f>
        <v>43378.619872685187</v>
      </c>
    </row>
    <row r="926" spans="1:1" x14ac:dyDescent="0.25">
      <c r="A926" s="413">
        <f>$A925+Planning!$D$2</f>
        <v>43379.619872685187</v>
      </c>
    </row>
    <row r="927" spans="1:1" x14ac:dyDescent="0.25">
      <c r="A927" s="413">
        <f>$A926+Planning!$D$2</f>
        <v>43380.619872685187</v>
      </c>
    </row>
    <row r="928" spans="1:1" x14ac:dyDescent="0.25">
      <c r="A928" s="413">
        <f>$A927+Planning!$D$2</f>
        <v>43381.619872685187</v>
      </c>
    </row>
    <row r="929" spans="1:1" x14ac:dyDescent="0.25">
      <c r="A929" s="413">
        <f>$A928+Planning!$D$2</f>
        <v>43382.619872685187</v>
      </c>
    </row>
    <row r="930" spans="1:1" x14ac:dyDescent="0.25">
      <c r="A930" s="413">
        <f>$A929+Planning!$D$2</f>
        <v>43383.619872685187</v>
      </c>
    </row>
    <row r="931" spans="1:1" x14ac:dyDescent="0.25">
      <c r="A931" s="413">
        <f>$A930+Planning!$D$2</f>
        <v>43384.619872685187</v>
      </c>
    </row>
    <row r="932" spans="1:1" x14ac:dyDescent="0.25">
      <c r="A932" s="413">
        <f>$A931+Planning!$D$2</f>
        <v>43385.619872685187</v>
      </c>
    </row>
    <row r="933" spans="1:1" x14ac:dyDescent="0.25">
      <c r="A933" s="413">
        <f>$A932+Planning!$D$2</f>
        <v>43386.619872685187</v>
      </c>
    </row>
    <row r="934" spans="1:1" x14ac:dyDescent="0.25">
      <c r="A934" s="413">
        <f>$A933+Planning!$D$2</f>
        <v>43387.619872685187</v>
      </c>
    </row>
    <row r="935" spans="1:1" x14ac:dyDescent="0.25">
      <c r="A935" s="413">
        <f>$A934+Planning!$D$2</f>
        <v>43388.619872685187</v>
      </c>
    </row>
    <row r="936" spans="1:1" x14ac:dyDescent="0.25">
      <c r="A936" s="413">
        <f>$A935+Planning!$D$2</f>
        <v>43389.619872685187</v>
      </c>
    </row>
    <row r="937" spans="1:1" x14ac:dyDescent="0.25">
      <c r="A937" s="413">
        <f>$A936+Planning!$D$2</f>
        <v>43390.619872685187</v>
      </c>
    </row>
    <row r="938" spans="1:1" x14ac:dyDescent="0.25">
      <c r="A938" s="413">
        <f>$A937+Planning!$D$2</f>
        <v>43391.619872685187</v>
      </c>
    </row>
    <row r="939" spans="1:1" x14ac:dyDescent="0.25">
      <c r="A939" s="413">
        <f>$A938+Planning!$D$2</f>
        <v>43392.619872685187</v>
      </c>
    </row>
    <row r="940" spans="1:1" x14ac:dyDescent="0.25">
      <c r="A940" s="413">
        <f>$A939+Planning!$D$2</f>
        <v>43393.619872685187</v>
      </c>
    </row>
    <row r="941" spans="1:1" x14ac:dyDescent="0.25">
      <c r="A941" s="413">
        <f>$A940+Planning!$D$2</f>
        <v>43394.619872685187</v>
      </c>
    </row>
    <row r="942" spans="1:1" x14ac:dyDescent="0.25">
      <c r="A942" s="413">
        <f>$A941+Planning!$D$2</f>
        <v>43395.619872685187</v>
      </c>
    </row>
    <row r="943" spans="1:1" x14ac:dyDescent="0.25">
      <c r="A943" s="413">
        <f>$A942+Planning!$D$2</f>
        <v>43396.619872685187</v>
      </c>
    </row>
    <row r="944" spans="1:1" x14ac:dyDescent="0.25">
      <c r="A944" s="413">
        <f>$A943+Planning!$D$2</f>
        <v>43397.619872685187</v>
      </c>
    </row>
    <row r="945" spans="1:1" x14ac:dyDescent="0.25">
      <c r="A945" s="413">
        <f>$A944+Planning!$D$2</f>
        <v>43398.619872685187</v>
      </c>
    </row>
    <row r="946" spans="1:1" x14ac:dyDescent="0.25">
      <c r="A946" s="413">
        <f>$A945+Planning!$D$2</f>
        <v>43399.619872685187</v>
      </c>
    </row>
    <row r="947" spans="1:1" x14ac:dyDescent="0.25">
      <c r="A947" s="413">
        <f>$A946+Planning!$D$2</f>
        <v>43400.619872685187</v>
      </c>
    </row>
    <row r="948" spans="1:1" x14ac:dyDescent="0.25">
      <c r="A948" s="413">
        <f>$A947+Planning!$D$2</f>
        <v>43401.619872685187</v>
      </c>
    </row>
    <row r="949" spans="1:1" x14ac:dyDescent="0.25">
      <c r="A949" s="413">
        <f>$A948+Planning!$D$2</f>
        <v>43402.619872685187</v>
      </c>
    </row>
    <row r="950" spans="1:1" x14ac:dyDescent="0.25">
      <c r="A950" s="413">
        <f>$A949+Planning!$D$2</f>
        <v>43403.619872685187</v>
      </c>
    </row>
    <row r="951" spans="1:1" x14ac:dyDescent="0.25">
      <c r="A951" s="413">
        <f>$A950+Planning!$D$2</f>
        <v>43404.619872685187</v>
      </c>
    </row>
    <row r="952" spans="1:1" x14ac:dyDescent="0.25">
      <c r="A952" s="413">
        <f>$A951+Planning!$D$2</f>
        <v>43405.619872685187</v>
      </c>
    </row>
    <row r="953" spans="1:1" x14ac:dyDescent="0.25">
      <c r="A953" s="413">
        <f>$A952+Planning!$D$2</f>
        <v>43406.619872685187</v>
      </c>
    </row>
    <row r="954" spans="1:1" x14ac:dyDescent="0.25">
      <c r="A954" s="413">
        <f>$A953+Planning!$D$2</f>
        <v>43407.619872685187</v>
      </c>
    </row>
    <row r="955" spans="1:1" x14ac:dyDescent="0.25">
      <c r="A955" s="413">
        <f>$A954+Planning!$D$2</f>
        <v>43408.619872685187</v>
      </c>
    </row>
    <row r="956" spans="1:1" x14ac:dyDescent="0.25">
      <c r="A956" s="413">
        <f>$A955+Planning!$D$2</f>
        <v>43409.619872685187</v>
      </c>
    </row>
    <row r="957" spans="1:1" x14ac:dyDescent="0.25">
      <c r="A957" s="413">
        <f>$A956+Planning!$D$2</f>
        <v>43410.619872685187</v>
      </c>
    </row>
    <row r="958" spans="1:1" x14ac:dyDescent="0.25">
      <c r="A958" s="413">
        <f>$A957+Planning!$D$2</f>
        <v>43411.619872685187</v>
      </c>
    </row>
    <row r="959" spans="1:1" x14ac:dyDescent="0.25">
      <c r="A959" s="413">
        <f>$A958+Planning!$D$2</f>
        <v>43412.619872685187</v>
      </c>
    </row>
    <row r="960" spans="1:1" x14ac:dyDescent="0.25">
      <c r="A960" s="413">
        <f>$A959+Planning!$D$2</f>
        <v>43413.619872685187</v>
      </c>
    </row>
    <row r="961" spans="1:1" x14ac:dyDescent="0.25">
      <c r="A961" s="413">
        <f>$A960+Planning!$D$2</f>
        <v>43414.619872685187</v>
      </c>
    </row>
    <row r="962" spans="1:1" x14ac:dyDescent="0.25">
      <c r="A962" s="413">
        <f>$A961+Planning!$D$2</f>
        <v>43415.619872685187</v>
      </c>
    </row>
    <row r="963" spans="1:1" x14ac:dyDescent="0.25">
      <c r="A963" s="413">
        <f>$A962+Planning!$D$2</f>
        <v>43416.619872685187</v>
      </c>
    </row>
    <row r="964" spans="1:1" x14ac:dyDescent="0.25">
      <c r="A964" s="413">
        <f>$A963+Planning!$D$2</f>
        <v>43417.619872685187</v>
      </c>
    </row>
    <row r="965" spans="1:1" x14ac:dyDescent="0.25">
      <c r="A965" s="413">
        <f>$A964+Planning!$D$2</f>
        <v>43418.619872685187</v>
      </c>
    </row>
    <row r="966" spans="1:1" x14ac:dyDescent="0.25">
      <c r="A966" s="413">
        <f>$A965+Planning!$D$2</f>
        <v>43419.619872685187</v>
      </c>
    </row>
    <row r="967" spans="1:1" x14ac:dyDescent="0.25">
      <c r="A967" s="413">
        <f>$A966+Planning!$D$2</f>
        <v>43420.619872685187</v>
      </c>
    </row>
    <row r="968" spans="1:1" x14ac:dyDescent="0.25">
      <c r="A968" s="413">
        <f>$A967+Planning!$D$2</f>
        <v>43421.619872685187</v>
      </c>
    </row>
    <row r="969" spans="1:1" x14ac:dyDescent="0.25">
      <c r="A969" s="413">
        <f>$A968+Planning!$D$2</f>
        <v>43422.619872685187</v>
      </c>
    </row>
    <row r="970" spans="1:1" x14ac:dyDescent="0.25">
      <c r="A970" s="413">
        <f>$A969+Planning!$D$2</f>
        <v>43423.619872685187</v>
      </c>
    </row>
    <row r="971" spans="1:1" x14ac:dyDescent="0.25">
      <c r="A971" s="413">
        <f>$A970+Planning!$D$2</f>
        <v>43424.619872685187</v>
      </c>
    </row>
    <row r="972" spans="1:1" x14ac:dyDescent="0.25">
      <c r="A972" s="413">
        <f>$A971+Planning!$D$2</f>
        <v>43425.619872685187</v>
      </c>
    </row>
    <row r="973" spans="1:1" x14ac:dyDescent="0.25">
      <c r="A973" s="413">
        <f>$A972+Planning!$D$2</f>
        <v>43426.619872685187</v>
      </c>
    </row>
    <row r="974" spans="1:1" x14ac:dyDescent="0.25">
      <c r="A974" s="413">
        <f>$A973+Planning!$D$2</f>
        <v>43427.619872685187</v>
      </c>
    </row>
    <row r="975" spans="1:1" x14ac:dyDescent="0.25">
      <c r="A975" s="413">
        <f>$A974+Planning!$D$2</f>
        <v>43428.619872685187</v>
      </c>
    </row>
    <row r="976" spans="1:1" x14ac:dyDescent="0.25">
      <c r="A976" s="413">
        <f>$A975+Planning!$D$2</f>
        <v>43429.619872685187</v>
      </c>
    </row>
    <row r="977" spans="1:1" x14ac:dyDescent="0.25">
      <c r="A977" s="413">
        <f>$A976+Planning!$D$2</f>
        <v>43430.619872685187</v>
      </c>
    </row>
    <row r="978" spans="1:1" x14ac:dyDescent="0.25">
      <c r="A978" s="413">
        <f>$A977+Planning!$D$2</f>
        <v>43431.619872685187</v>
      </c>
    </row>
    <row r="979" spans="1:1" x14ac:dyDescent="0.25">
      <c r="A979" s="413">
        <f>$A978+Planning!$D$2</f>
        <v>43432.619872685187</v>
      </c>
    </row>
    <row r="980" spans="1:1" x14ac:dyDescent="0.25">
      <c r="A980" s="413">
        <f>$A979+Planning!$D$2</f>
        <v>43433.619872685187</v>
      </c>
    </row>
    <row r="981" spans="1:1" x14ac:dyDescent="0.25">
      <c r="A981" s="413">
        <f>$A980+Planning!$D$2</f>
        <v>43434.619872685187</v>
      </c>
    </row>
    <row r="982" spans="1:1" x14ac:dyDescent="0.25">
      <c r="A982" s="413">
        <f>$A981+Planning!$D$2</f>
        <v>43435.619872685187</v>
      </c>
    </row>
    <row r="983" spans="1:1" x14ac:dyDescent="0.25">
      <c r="A983" s="413">
        <f>$A982+Planning!$D$2</f>
        <v>43436.619872685187</v>
      </c>
    </row>
    <row r="984" spans="1:1" x14ac:dyDescent="0.25">
      <c r="A984" s="413">
        <f>$A983+Planning!$D$2</f>
        <v>43437.619872685187</v>
      </c>
    </row>
    <row r="985" spans="1:1" x14ac:dyDescent="0.25">
      <c r="A985" s="413">
        <f>$A984+Planning!$D$2</f>
        <v>43438.619872685187</v>
      </c>
    </row>
    <row r="986" spans="1:1" x14ac:dyDescent="0.25">
      <c r="A986" s="413">
        <f>$A985+Planning!$D$2</f>
        <v>43439.619872685187</v>
      </c>
    </row>
    <row r="987" spans="1:1" x14ac:dyDescent="0.25">
      <c r="A987" s="413">
        <f>$A986+Planning!$D$2</f>
        <v>43440.619872685187</v>
      </c>
    </row>
    <row r="988" spans="1:1" x14ac:dyDescent="0.25">
      <c r="A988" s="413">
        <f>$A987+Planning!$D$2</f>
        <v>43441.619872685187</v>
      </c>
    </row>
    <row r="989" spans="1:1" x14ac:dyDescent="0.25">
      <c r="A989" s="413">
        <f>$A988+Planning!$D$2</f>
        <v>43442.619872685187</v>
      </c>
    </row>
    <row r="990" spans="1:1" x14ac:dyDescent="0.25">
      <c r="A990" s="413">
        <f>$A989+Planning!$D$2</f>
        <v>43443.619872685187</v>
      </c>
    </row>
    <row r="991" spans="1:1" x14ac:dyDescent="0.25">
      <c r="A991" s="413">
        <f>$A990+Planning!$D$2</f>
        <v>43444.619872685187</v>
      </c>
    </row>
    <row r="992" spans="1:1" x14ac:dyDescent="0.25">
      <c r="A992" s="413">
        <f>$A991+Planning!$D$2</f>
        <v>43445.619872685187</v>
      </c>
    </row>
    <row r="993" spans="1:1" x14ac:dyDescent="0.25">
      <c r="A993" s="413">
        <f>$A992+Planning!$D$2</f>
        <v>43446.619872685187</v>
      </c>
    </row>
    <row r="994" spans="1:1" x14ac:dyDescent="0.25">
      <c r="A994" s="413">
        <f>$A993+Planning!$D$2</f>
        <v>43447.619872685187</v>
      </c>
    </row>
    <row r="995" spans="1:1" x14ac:dyDescent="0.25">
      <c r="A995" s="413">
        <f>$A994+Planning!$D$2</f>
        <v>43448.619872685187</v>
      </c>
    </row>
    <row r="996" spans="1:1" x14ac:dyDescent="0.25">
      <c r="A996" s="413">
        <f>$A995+Planning!$D$2</f>
        <v>43449.619872685187</v>
      </c>
    </row>
    <row r="997" spans="1:1" x14ac:dyDescent="0.25">
      <c r="A997" s="413">
        <f>$A996+Planning!$D$2</f>
        <v>43450.619872685187</v>
      </c>
    </row>
    <row r="998" spans="1:1" x14ac:dyDescent="0.25">
      <c r="A998" s="413">
        <f>$A997+Planning!$D$2</f>
        <v>43451.619872685187</v>
      </c>
    </row>
    <row r="999" spans="1:1" x14ac:dyDescent="0.25">
      <c r="A999" s="413">
        <f>$A998+Planning!$D$2</f>
        <v>43452.619872685187</v>
      </c>
    </row>
    <row r="1000" spans="1:1" x14ac:dyDescent="0.25">
      <c r="A1000" s="413">
        <f>$A999+Planning!$D$2</f>
        <v>43453.619872685187</v>
      </c>
    </row>
  </sheetData>
  <sheetProtection sheet="1" objects="1" scenarios="1" selectLockedCells="1"/>
  <pageMargins left="0.7" right="0.7" top="0.75" bottom="0.75" header="0.3" footer="0.3"/>
  <ignoredErrors>
    <ignoredError sqref="A659:A1000 A3:B658 B2" calculatedColumn="1"/>
  </ignoredErrors>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A1:B270"/>
  <sheetViews>
    <sheetView showGridLines="0" topLeftCell="A259" workbookViewId="0">
      <selection activeCell="B267" sqref="B267"/>
    </sheetView>
  </sheetViews>
  <sheetFormatPr baseColWidth="10" defaultColWidth="11.42578125" defaultRowHeight="15" x14ac:dyDescent="0.25"/>
  <cols>
    <col min="1" max="1" width="47.5703125" style="185" customWidth="1"/>
    <col min="2" max="2" width="36.85546875" style="185" customWidth="1"/>
    <col min="3" max="4" width="11.42578125" style="185"/>
    <col min="5" max="6" width="43.42578125" style="185" customWidth="1"/>
    <col min="7" max="16384" width="11.42578125" style="185"/>
  </cols>
  <sheetData>
    <row r="1" spans="1:2" ht="21.75" thickBot="1" x14ac:dyDescent="0.3">
      <c r="A1" s="1309" t="s">
        <v>174</v>
      </c>
      <c r="B1" s="1310"/>
    </row>
    <row r="2" spans="1:2" x14ac:dyDescent="0.25">
      <c r="A2" s="314" t="s">
        <v>416</v>
      </c>
      <c r="B2" s="315" t="s">
        <v>417</v>
      </c>
    </row>
    <row r="3" spans="1:2" x14ac:dyDescent="0.25">
      <c r="A3" s="316" t="s">
        <v>485</v>
      </c>
      <c r="B3" s="316" t="s">
        <v>467</v>
      </c>
    </row>
    <row r="4" spans="1:2" x14ac:dyDescent="0.25">
      <c r="A4" s="316" t="s">
        <v>487</v>
      </c>
      <c r="B4" s="316" t="s">
        <v>473</v>
      </c>
    </row>
    <row r="5" spans="1:2" x14ac:dyDescent="0.25">
      <c r="A5" s="337" t="s">
        <v>357</v>
      </c>
      <c r="B5" s="337" t="s">
        <v>359</v>
      </c>
    </row>
    <row r="6" spans="1:2" x14ac:dyDescent="0.25">
      <c r="A6" s="316" t="s">
        <v>275</v>
      </c>
      <c r="B6" s="316" t="s">
        <v>265</v>
      </c>
    </row>
    <row r="7" spans="1:2" x14ac:dyDescent="0.25">
      <c r="A7" s="316" t="s">
        <v>280</v>
      </c>
      <c r="B7" s="316" t="s">
        <v>146</v>
      </c>
    </row>
    <row r="8" spans="1:2" x14ac:dyDescent="0.25">
      <c r="A8" s="317" t="s">
        <v>284</v>
      </c>
      <c r="B8" s="316" t="s">
        <v>273</v>
      </c>
    </row>
    <row r="9" spans="1:2" x14ac:dyDescent="0.25">
      <c r="A9" s="316" t="s">
        <v>283</v>
      </c>
      <c r="B9" s="316" t="s">
        <v>272</v>
      </c>
    </row>
    <row r="10" spans="1:2" x14ac:dyDescent="0.25">
      <c r="A10" s="316" t="s">
        <v>279</v>
      </c>
      <c r="B10" s="316" t="s">
        <v>269</v>
      </c>
    </row>
    <row r="11" spans="1:2" x14ac:dyDescent="0.25">
      <c r="A11" s="316" t="s">
        <v>276</v>
      </c>
      <c r="B11" s="316" t="s">
        <v>266</v>
      </c>
    </row>
    <row r="12" spans="1:2" x14ac:dyDescent="0.25">
      <c r="A12" s="316" t="s">
        <v>281</v>
      </c>
      <c r="B12" s="316" t="s">
        <v>270</v>
      </c>
    </row>
    <row r="13" spans="1:2" x14ac:dyDescent="0.25">
      <c r="A13" s="317" t="s">
        <v>282</v>
      </c>
      <c r="B13" s="316" t="s">
        <v>271</v>
      </c>
    </row>
    <row r="14" spans="1:2" ht="56.25" x14ac:dyDescent="0.25">
      <c r="A14" s="316" t="s">
        <v>353</v>
      </c>
      <c r="B14" s="316" t="s">
        <v>352</v>
      </c>
    </row>
    <row r="15" spans="1:2" x14ac:dyDescent="0.25">
      <c r="A15" s="316" t="s">
        <v>277</v>
      </c>
      <c r="B15" s="316" t="s">
        <v>267</v>
      </c>
    </row>
    <row r="16" spans="1:2" x14ac:dyDescent="0.25">
      <c r="A16" s="316" t="s">
        <v>278</v>
      </c>
      <c r="B16" s="316" t="s">
        <v>268</v>
      </c>
    </row>
    <row r="17" spans="1:2" x14ac:dyDescent="0.25">
      <c r="A17" s="316" t="s">
        <v>361</v>
      </c>
      <c r="B17" s="316" t="s">
        <v>40</v>
      </c>
    </row>
    <row r="18" spans="1:2" x14ac:dyDescent="0.25">
      <c r="A18" s="316" t="s">
        <v>256</v>
      </c>
      <c r="B18" s="316" t="s">
        <v>37</v>
      </c>
    </row>
    <row r="19" spans="1:2" x14ac:dyDescent="0.25">
      <c r="A19" s="316" t="s">
        <v>331</v>
      </c>
      <c r="B19" s="316" t="s">
        <v>152</v>
      </c>
    </row>
    <row r="20" spans="1:2" x14ac:dyDescent="0.25">
      <c r="A20" s="316" t="s">
        <v>228</v>
      </c>
      <c r="B20" s="316" t="s">
        <v>225</v>
      </c>
    </row>
    <row r="21" spans="1:2" x14ac:dyDescent="0.25">
      <c r="A21" s="316" t="s">
        <v>456</v>
      </c>
      <c r="B21" s="316" t="s">
        <v>458</v>
      </c>
    </row>
    <row r="22" spans="1:2" x14ac:dyDescent="0.25">
      <c r="A22" s="317" t="s">
        <v>349</v>
      </c>
      <c r="B22" s="316" t="s">
        <v>102</v>
      </c>
    </row>
    <row r="23" spans="1:2" x14ac:dyDescent="0.25">
      <c r="A23" s="316" t="s">
        <v>257</v>
      </c>
      <c r="B23" s="316" t="s">
        <v>20</v>
      </c>
    </row>
    <row r="24" spans="1:2" x14ac:dyDescent="0.25">
      <c r="A24" s="317" t="s">
        <v>226</v>
      </c>
      <c r="B24" s="316" t="s">
        <v>105</v>
      </c>
    </row>
    <row r="25" spans="1:2" x14ac:dyDescent="0.25">
      <c r="A25" s="316" t="s">
        <v>369</v>
      </c>
      <c r="B25" s="316" t="s">
        <v>107</v>
      </c>
    </row>
    <row r="26" spans="1:2" x14ac:dyDescent="0.25">
      <c r="A26" s="316" t="s">
        <v>402</v>
      </c>
      <c r="B26" s="316" t="s">
        <v>106</v>
      </c>
    </row>
    <row r="27" spans="1:2" x14ac:dyDescent="0.25">
      <c r="A27" s="316" t="s">
        <v>240</v>
      </c>
      <c r="B27" s="316" t="s">
        <v>104</v>
      </c>
    </row>
    <row r="28" spans="1:2" x14ac:dyDescent="0.25">
      <c r="A28" s="316" t="s">
        <v>227</v>
      </c>
      <c r="B28" s="316" t="s">
        <v>100</v>
      </c>
    </row>
    <row r="29" spans="1:2" x14ac:dyDescent="0.25">
      <c r="A29" s="317" t="s">
        <v>372</v>
      </c>
      <c r="B29" s="316" t="s">
        <v>111</v>
      </c>
    </row>
    <row r="30" spans="1:2" x14ac:dyDescent="0.25">
      <c r="A30" s="316" t="s">
        <v>399</v>
      </c>
      <c r="B30" s="316" t="s">
        <v>110</v>
      </c>
    </row>
    <row r="31" spans="1:2" x14ac:dyDescent="0.25">
      <c r="A31" s="316" t="s">
        <v>370</v>
      </c>
      <c r="B31" s="316" t="s">
        <v>109</v>
      </c>
    </row>
    <row r="32" spans="1:2" x14ac:dyDescent="0.25">
      <c r="A32" s="316" t="s">
        <v>401</v>
      </c>
      <c r="B32" s="316" t="s">
        <v>108</v>
      </c>
    </row>
    <row r="33" spans="1:2" x14ac:dyDescent="0.25">
      <c r="A33" s="316" t="s">
        <v>255</v>
      </c>
      <c r="B33" s="316" t="s">
        <v>249</v>
      </c>
    </row>
    <row r="34" spans="1:2" x14ac:dyDescent="0.25">
      <c r="A34" s="316" t="s">
        <v>50</v>
      </c>
      <c r="B34" s="316" t="s">
        <v>50</v>
      </c>
    </row>
    <row r="35" spans="1:2" x14ac:dyDescent="0.25">
      <c r="A35" s="316" t="s">
        <v>200</v>
      </c>
      <c r="B35" s="316" t="s">
        <v>7</v>
      </c>
    </row>
    <row r="36" spans="1:2" x14ac:dyDescent="0.25">
      <c r="A36" s="316" t="s">
        <v>289</v>
      </c>
      <c r="B36" s="316" t="s">
        <v>159</v>
      </c>
    </row>
    <row r="37" spans="1:2" x14ac:dyDescent="0.25">
      <c r="A37" s="316" t="s">
        <v>286</v>
      </c>
      <c r="B37" s="316" t="s">
        <v>287</v>
      </c>
    </row>
    <row r="38" spans="1:2" x14ac:dyDescent="0.25">
      <c r="A38" s="316" t="s">
        <v>186</v>
      </c>
      <c r="B38" s="316" t="s">
        <v>54</v>
      </c>
    </row>
    <row r="39" spans="1:2" x14ac:dyDescent="0.25">
      <c r="A39" s="316" t="s">
        <v>195</v>
      </c>
      <c r="B39" s="316" t="s">
        <v>49</v>
      </c>
    </row>
    <row r="40" spans="1:2" x14ac:dyDescent="0.25">
      <c r="A40" s="316" t="s">
        <v>231</v>
      </c>
      <c r="B40" s="316" t="s">
        <v>69</v>
      </c>
    </row>
    <row r="41" spans="1:2" x14ac:dyDescent="0.25">
      <c r="A41" s="317" t="s">
        <v>308</v>
      </c>
      <c r="B41" s="316" t="s">
        <v>147</v>
      </c>
    </row>
    <row r="42" spans="1:2" x14ac:dyDescent="0.25">
      <c r="A42" s="316" t="s">
        <v>252</v>
      </c>
      <c r="B42" s="316" t="s">
        <v>253</v>
      </c>
    </row>
    <row r="43" spans="1:2" x14ac:dyDescent="0.25">
      <c r="A43" s="317" t="s">
        <v>180</v>
      </c>
      <c r="B43" s="316" t="s">
        <v>76</v>
      </c>
    </row>
    <row r="44" spans="1:2" x14ac:dyDescent="0.25">
      <c r="A44" s="317" t="s">
        <v>368</v>
      </c>
      <c r="B44" s="316" t="s">
        <v>75</v>
      </c>
    </row>
    <row r="45" spans="1:2" x14ac:dyDescent="0.25">
      <c r="A45" s="317" t="s">
        <v>405</v>
      </c>
      <c r="B45" s="316" t="s">
        <v>409</v>
      </c>
    </row>
    <row r="46" spans="1:2" x14ac:dyDescent="0.25">
      <c r="A46" s="317" t="s">
        <v>364</v>
      </c>
      <c r="B46" s="316" t="s">
        <v>87</v>
      </c>
    </row>
    <row r="47" spans="1:2" x14ac:dyDescent="0.25">
      <c r="A47" s="317" t="s">
        <v>403</v>
      </c>
      <c r="B47" s="316" t="s">
        <v>407</v>
      </c>
    </row>
    <row r="48" spans="1:2" x14ac:dyDescent="0.25">
      <c r="A48" s="317" t="s">
        <v>181</v>
      </c>
      <c r="B48" s="316" t="s">
        <v>91</v>
      </c>
    </row>
    <row r="49" spans="1:2" x14ac:dyDescent="0.25">
      <c r="A49" s="317" t="s">
        <v>366</v>
      </c>
      <c r="B49" s="316" t="s">
        <v>88</v>
      </c>
    </row>
    <row r="50" spans="1:2" x14ac:dyDescent="0.25">
      <c r="A50" s="317" t="s">
        <v>404</v>
      </c>
      <c r="B50" s="316" t="s">
        <v>408</v>
      </c>
    </row>
    <row r="51" spans="1:2" x14ac:dyDescent="0.25">
      <c r="A51" s="317" t="s">
        <v>447</v>
      </c>
      <c r="B51" s="316" t="s">
        <v>85</v>
      </c>
    </row>
    <row r="52" spans="1:2" x14ac:dyDescent="0.25">
      <c r="A52" s="317" t="s">
        <v>362</v>
      </c>
      <c r="B52" s="316" t="s">
        <v>86</v>
      </c>
    </row>
    <row r="53" spans="1:2" x14ac:dyDescent="0.25">
      <c r="A53" s="317" t="s">
        <v>406</v>
      </c>
      <c r="B53" s="316" t="s">
        <v>410</v>
      </c>
    </row>
    <row r="54" spans="1:2" x14ac:dyDescent="0.25">
      <c r="A54" s="317" t="s">
        <v>179</v>
      </c>
      <c r="B54" s="316" t="s">
        <v>92</v>
      </c>
    </row>
    <row r="55" spans="1:2" x14ac:dyDescent="0.25">
      <c r="A55" s="317" t="s">
        <v>500</v>
      </c>
      <c r="B55" s="316" t="s">
        <v>497</v>
      </c>
    </row>
    <row r="56" spans="1:2" x14ac:dyDescent="0.25">
      <c r="A56" s="317" t="s">
        <v>501</v>
      </c>
      <c r="B56" s="316" t="s">
        <v>508</v>
      </c>
    </row>
    <row r="57" spans="1:2" ht="22.5" x14ac:dyDescent="0.25">
      <c r="A57" s="317" t="s">
        <v>498</v>
      </c>
      <c r="B57" s="316" t="s">
        <v>499</v>
      </c>
    </row>
    <row r="58" spans="1:2" x14ac:dyDescent="0.25">
      <c r="A58" s="317" t="s">
        <v>561</v>
      </c>
      <c r="B58" s="316" t="s">
        <v>597</v>
      </c>
    </row>
    <row r="59" spans="1:2" x14ac:dyDescent="0.25">
      <c r="A59" s="317" t="s">
        <v>560</v>
      </c>
      <c r="B59" s="316" t="s">
        <v>600</v>
      </c>
    </row>
    <row r="60" spans="1:2" x14ac:dyDescent="0.25">
      <c r="A60" s="317" t="s">
        <v>558</v>
      </c>
      <c r="B60" s="316" t="s">
        <v>599</v>
      </c>
    </row>
    <row r="61" spans="1:2" x14ac:dyDescent="0.25">
      <c r="A61" s="317" t="s">
        <v>306</v>
      </c>
      <c r="B61" s="316" t="s">
        <v>305</v>
      </c>
    </row>
    <row r="62" spans="1:2" x14ac:dyDescent="0.25">
      <c r="A62" s="317" t="s">
        <v>383</v>
      </c>
      <c r="B62" s="316" t="s">
        <v>393</v>
      </c>
    </row>
    <row r="63" spans="1:2" x14ac:dyDescent="0.25">
      <c r="A63" s="317" t="s">
        <v>386</v>
      </c>
      <c r="B63" s="317" t="s">
        <v>131</v>
      </c>
    </row>
    <row r="64" spans="1:2" x14ac:dyDescent="0.25">
      <c r="A64" s="317" t="s">
        <v>387</v>
      </c>
      <c r="B64" s="317" t="s">
        <v>132</v>
      </c>
    </row>
    <row r="65" spans="1:2" x14ac:dyDescent="0.25">
      <c r="A65" s="317" t="s">
        <v>385</v>
      </c>
      <c r="B65" s="317" t="s">
        <v>130</v>
      </c>
    </row>
    <row r="66" spans="1:2" x14ac:dyDescent="0.25">
      <c r="A66" s="317" t="s">
        <v>492</v>
      </c>
      <c r="B66" s="317" t="s">
        <v>469</v>
      </c>
    </row>
    <row r="67" spans="1:2" x14ac:dyDescent="0.25">
      <c r="A67" s="317" t="s">
        <v>338</v>
      </c>
      <c r="B67" s="317" t="s">
        <v>12</v>
      </c>
    </row>
    <row r="68" spans="1:2" x14ac:dyDescent="0.25">
      <c r="A68" s="317" t="s">
        <v>339</v>
      </c>
      <c r="B68" s="317" t="s">
        <v>161</v>
      </c>
    </row>
    <row r="69" spans="1:2" ht="22.5" x14ac:dyDescent="0.25">
      <c r="A69" s="317" t="s">
        <v>346</v>
      </c>
      <c r="B69" s="317" t="s">
        <v>337</v>
      </c>
    </row>
    <row r="70" spans="1:2" x14ac:dyDescent="0.25">
      <c r="A70" s="317" t="s">
        <v>205</v>
      </c>
      <c r="B70" s="317" t="s">
        <v>3</v>
      </c>
    </row>
    <row r="71" spans="1:2" x14ac:dyDescent="0.25">
      <c r="A71" s="317" t="s">
        <v>382</v>
      </c>
      <c r="B71" s="317" t="s">
        <v>120</v>
      </c>
    </row>
    <row r="72" spans="1:2" x14ac:dyDescent="0.25">
      <c r="A72" s="317" t="s">
        <v>392</v>
      </c>
      <c r="B72" s="317" t="s">
        <v>363</v>
      </c>
    </row>
    <row r="73" spans="1:2" x14ac:dyDescent="0.25">
      <c r="A73" s="317" t="s">
        <v>207</v>
      </c>
      <c r="B73" s="317" t="s">
        <v>517</v>
      </c>
    </row>
    <row r="74" spans="1:2" x14ac:dyDescent="0.25">
      <c r="A74" s="317" t="s">
        <v>322</v>
      </c>
      <c r="B74" s="317" t="s">
        <v>518</v>
      </c>
    </row>
    <row r="75" spans="1:2" x14ac:dyDescent="0.25">
      <c r="A75" s="317" t="s">
        <v>321</v>
      </c>
      <c r="B75" s="317" t="s">
        <v>522</v>
      </c>
    </row>
    <row r="76" spans="1:2" x14ac:dyDescent="0.25">
      <c r="A76" s="317" t="s">
        <v>320</v>
      </c>
      <c r="B76" s="317" t="s">
        <v>524</v>
      </c>
    </row>
    <row r="77" spans="1:2" x14ac:dyDescent="0.25">
      <c r="A77" s="317" t="s">
        <v>343</v>
      </c>
      <c r="B77" s="317" t="s">
        <v>527</v>
      </c>
    </row>
    <row r="78" spans="1:2" x14ac:dyDescent="0.25">
      <c r="A78" s="317" t="s">
        <v>329</v>
      </c>
      <c r="B78" s="317" t="s">
        <v>528</v>
      </c>
    </row>
    <row r="79" spans="1:2" x14ac:dyDescent="0.25">
      <c r="A79" s="317" t="s">
        <v>330</v>
      </c>
      <c r="B79" s="317" t="s">
        <v>530</v>
      </c>
    </row>
    <row r="80" spans="1:2" ht="22.5" x14ac:dyDescent="0.25">
      <c r="A80" s="317" t="s">
        <v>336</v>
      </c>
      <c r="B80" s="317" t="s">
        <v>526</v>
      </c>
    </row>
    <row r="81" spans="1:2" x14ac:dyDescent="0.25">
      <c r="A81" s="316" t="s">
        <v>358</v>
      </c>
      <c r="B81" s="316" t="s">
        <v>520</v>
      </c>
    </row>
    <row r="82" spans="1:2" x14ac:dyDescent="0.25">
      <c r="A82" s="317" t="s">
        <v>299</v>
      </c>
      <c r="B82" s="317" t="s">
        <v>297</v>
      </c>
    </row>
    <row r="83" spans="1:2" x14ac:dyDescent="0.25">
      <c r="A83" s="317" t="s">
        <v>298</v>
      </c>
      <c r="B83" s="317" t="s">
        <v>296</v>
      </c>
    </row>
    <row r="84" spans="1:2" x14ac:dyDescent="0.25">
      <c r="A84" s="317" t="s">
        <v>455</v>
      </c>
      <c r="B84" s="317" t="s">
        <v>457</v>
      </c>
    </row>
    <row r="85" spans="1:2" x14ac:dyDescent="0.25">
      <c r="A85" s="317" t="s">
        <v>250</v>
      </c>
      <c r="B85" s="317" t="s">
        <v>274</v>
      </c>
    </row>
    <row r="86" spans="1:2" x14ac:dyDescent="0.25">
      <c r="A86" s="317" t="s">
        <v>198</v>
      </c>
      <c r="B86" s="317" t="s">
        <v>16</v>
      </c>
    </row>
    <row r="87" spans="1:2" x14ac:dyDescent="0.25">
      <c r="A87" s="317" t="s">
        <v>245</v>
      </c>
      <c r="B87" s="317" t="s">
        <v>65</v>
      </c>
    </row>
    <row r="88" spans="1:2" x14ac:dyDescent="0.25">
      <c r="A88" s="317" t="s">
        <v>384</v>
      </c>
      <c r="B88" s="317" t="s">
        <v>133</v>
      </c>
    </row>
    <row r="89" spans="1:2" x14ac:dyDescent="0.25">
      <c r="A89" s="317" t="s">
        <v>335</v>
      </c>
      <c r="B89" s="317" t="s">
        <v>347</v>
      </c>
    </row>
    <row r="90" spans="1:2" x14ac:dyDescent="0.25">
      <c r="A90" s="317" t="s">
        <v>333</v>
      </c>
      <c r="B90" s="317" t="s">
        <v>153</v>
      </c>
    </row>
    <row r="91" spans="1:2" x14ac:dyDescent="0.25">
      <c r="A91" s="317" t="s">
        <v>421</v>
      </c>
      <c r="B91" s="317" t="s">
        <v>420</v>
      </c>
    </row>
    <row r="92" spans="1:2" x14ac:dyDescent="0.25">
      <c r="A92" s="317" t="s">
        <v>301</v>
      </c>
      <c r="B92" s="317" t="s">
        <v>138</v>
      </c>
    </row>
    <row r="93" spans="1:2" x14ac:dyDescent="0.25">
      <c r="A93" s="316" t="s">
        <v>300</v>
      </c>
      <c r="B93" s="316" t="s">
        <v>137</v>
      </c>
    </row>
    <row r="94" spans="1:2" x14ac:dyDescent="0.25">
      <c r="A94" s="316" t="s">
        <v>422</v>
      </c>
      <c r="B94" s="316" t="s">
        <v>418</v>
      </c>
    </row>
    <row r="95" spans="1:2" x14ac:dyDescent="0.25">
      <c r="A95" s="316" t="s">
        <v>481</v>
      </c>
      <c r="B95" s="316" t="s">
        <v>480</v>
      </c>
    </row>
    <row r="96" spans="1:2" x14ac:dyDescent="0.25">
      <c r="A96" s="316" t="s">
        <v>258</v>
      </c>
      <c r="B96" s="316" t="s">
        <v>18</v>
      </c>
    </row>
    <row r="97" spans="1:2" x14ac:dyDescent="0.25">
      <c r="A97" s="316" t="s">
        <v>232</v>
      </c>
      <c r="B97" s="316" t="s">
        <v>42</v>
      </c>
    </row>
    <row r="98" spans="1:2" x14ac:dyDescent="0.25">
      <c r="A98" s="316" t="s">
        <v>377</v>
      </c>
      <c r="B98" s="316" t="s">
        <v>63</v>
      </c>
    </row>
    <row r="99" spans="1:2" x14ac:dyDescent="0.25">
      <c r="A99" s="316" t="s">
        <v>379</v>
      </c>
      <c r="B99" s="316" t="s">
        <v>84</v>
      </c>
    </row>
    <row r="100" spans="1:2" x14ac:dyDescent="0.25">
      <c r="A100" s="316" t="s">
        <v>378</v>
      </c>
      <c r="B100" s="316" t="s">
        <v>83</v>
      </c>
    </row>
    <row r="101" spans="1:2" x14ac:dyDescent="0.25">
      <c r="A101" s="316" t="s">
        <v>376</v>
      </c>
      <c r="B101" s="316" t="s">
        <v>78</v>
      </c>
    </row>
    <row r="102" spans="1:2" x14ac:dyDescent="0.25">
      <c r="A102" s="316" t="s">
        <v>374</v>
      </c>
      <c r="B102" s="316" t="s">
        <v>89</v>
      </c>
    </row>
    <row r="103" spans="1:2" x14ac:dyDescent="0.25">
      <c r="A103" s="317" t="s">
        <v>375</v>
      </c>
      <c r="B103" s="317" t="s">
        <v>90</v>
      </c>
    </row>
    <row r="104" spans="1:2" x14ac:dyDescent="0.25">
      <c r="A104" s="317" t="s">
        <v>373</v>
      </c>
      <c r="B104" s="317" t="s">
        <v>93</v>
      </c>
    </row>
    <row r="105" spans="1:2" x14ac:dyDescent="0.25">
      <c r="A105" s="317" t="s">
        <v>391</v>
      </c>
      <c r="B105" s="317" t="s">
        <v>150</v>
      </c>
    </row>
    <row r="106" spans="1:2" x14ac:dyDescent="0.25">
      <c r="A106" s="317" t="s">
        <v>389</v>
      </c>
      <c r="B106" s="317" t="s">
        <v>149</v>
      </c>
    </row>
    <row r="107" spans="1:2" x14ac:dyDescent="0.25">
      <c r="A107" s="317" t="s">
        <v>380</v>
      </c>
      <c r="B107" s="317" t="s">
        <v>46</v>
      </c>
    </row>
    <row r="108" spans="1:2" x14ac:dyDescent="0.25">
      <c r="A108" s="316" t="s">
        <v>672</v>
      </c>
      <c r="B108" s="316" t="s">
        <v>673</v>
      </c>
    </row>
    <row r="109" spans="1:2" x14ac:dyDescent="0.25">
      <c r="A109" s="317" t="s">
        <v>668</v>
      </c>
      <c r="B109" s="317" t="s">
        <v>634</v>
      </c>
    </row>
    <row r="110" spans="1:2" x14ac:dyDescent="0.25">
      <c r="A110" s="317" t="s">
        <v>312</v>
      </c>
      <c r="B110" s="317" t="s">
        <v>154</v>
      </c>
    </row>
    <row r="111" spans="1:2" x14ac:dyDescent="0.25">
      <c r="A111" s="317" t="s">
        <v>494</v>
      </c>
      <c r="B111" s="317" t="s">
        <v>495</v>
      </c>
    </row>
    <row r="112" spans="1:2" x14ac:dyDescent="0.25">
      <c r="A112" s="317" t="s">
        <v>165</v>
      </c>
      <c r="B112" s="317" t="s">
        <v>165</v>
      </c>
    </row>
    <row r="113" spans="1:2" x14ac:dyDescent="0.25">
      <c r="A113" s="317" t="s">
        <v>477</v>
      </c>
      <c r="B113" s="317" t="s">
        <v>468</v>
      </c>
    </row>
    <row r="114" spans="1:2" x14ac:dyDescent="0.25">
      <c r="A114" s="317" t="s">
        <v>483</v>
      </c>
      <c r="B114" s="317" t="s">
        <v>464</v>
      </c>
    </row>
    <row r="115" spans="1:2" x14ac:dyDescent="0.25">
      <c r="A115" s="317" t="s">
        <v>484</v>
      </c>
      <c r="B115" s="317" t="s">
        <v>465</v>
      </c>
    </row>
    <row r="116" spans="1:2" x14ac:dyDescent="0.25">
      <c r="A116" s="317" t="s">
        <v>290</v>
      </c>
      <c r="B116" s="317" t="s">
        <v>288</v>
      </c>
    </row>
    <row r="117" spans="1:2" x14ac:dyDescent="0.25">
      <c r="A117" s="317" t="s">
        <v>202</v>
      </c>
      <c r="B117" s="317" t="s">
        <v>35</v>
      </c>
    </row>
    <row r="118" spans="1:2" x14ac:dyDescent="0.25">
      <c r="A118" s="317" t="s">
        <v>95</v>
      </c>
      <c r="B118" s="317" t="s">
        <v>95</v>
      </c>
    </row>
    <row r="119" spans="1:2" x14ac:dyDescent="0.25">
      <c r="A119" s="317" t="s">
        <v>388</v>
      </c>
      <c r="B119" s="317" t="s">
        <v>394</v>
      </c>
    </row>
    <row r="120" spans="1:2" x14ac:dyDescent="0.25">
      <c r="A120" s="317" t="s">
        <v>293</v>
      </c>
      <c r="B120" s="317" t="s">
        <v>411</v>
      </c>
    </row>
    <row r="121" spans="1:2" x14ac:dyDescent="0.25">
      <c r="A121" s="317" t="s">
        <v>57</v>
      </c>
      <c r="B121" s="317" t="s">
        <v>57</v>
      </c>
    </row>
    <row r="122" spans="1:2" x14ac:dyDescent="0.25">
      <c r="A122" s="317" t="s">
        <v>482</v>
      </c>
      <c r="B122" s="317" t="s">
        <v>471</v>
      </c>
    </row>
    <row r="123" spans="1:2" x14ac:dyDescent="0.25">
      <c r="A123" s="317" t="s">
        <v>489</v>
      </c>
      <c r="B123" s="317" t="s">
        <v>466</v>
      </c>
    </row>
    <row r="124" spans="1:2" x14ac:dyDescent="0.25">
      <c r="A124" s="317" t="s">
        <v>247</v>
      </c>
      <c r="B124" s="317" t="s">
        <v>32</v>
      </c>
    </row>
    <row r="125" spans="1:2" x14ac:dyDescent="0.25">
      <c r="A125" s="317" t="s">
        <v>248</v>
      </c>
      <c r="B125" s="317" t="s">
        <v>68</v>
      </c>
    </row>
    <row r="126" spans="1:2" x14ac:dyDescent="0.25">
      <c r="A126" s="317" t="s">
        <v>260</v>
      </c>
      <c r="B126" s="317" t="s">
        <v>242</v>
      </c>
    </row>
    <row r="127" spans="1:2" x14ac:dyDescent="0.25">
      <c r="A127" s="317" t="s">
        <v>241</v>
      </c>
      <c r="B127" s="317" t="s">
        <v>239</v>
      </c>
    </row>
    <row r="128" spans="1:2" ht="22.5" x14ac:dyDescent="0.25">
      <c r="A128" s="317" t="s">
        <v>342</v>
      </c>
      <c r="B128" s="317" t="s">
        <v>395</v>
      </c>
    </row>
    <row r="129" spans="1:2" ht="22.5" x14ac:dyDescent="0.25">
      <c r="A129" s="317" t="s">
        <v>341</v>
      </c>
      <c r="B129" s="317" t="s">
        <v>163</v>
      </c>
    </row>
    <row r="130" spans="1:2" ht="22.5" x14ac:dyDescent="0.25">
      <c r="A130" s="317" t="s">
        <v>334</v>
      </c>
      <c r="B130" s="317" t="s">
        <v>532</v>
      </c>
    </row>
    <row r="131" spans="1:2" x14ac:dyDescent="0.25">
      <c r="A131" s="317" t="s">
        <v>488</v>
      </c>
      <c r="B131" s="317" t="s">
        <v>474</v>
      </c>
    </row>
    <row r="132" spans="1:2" ht="22.5" x14ac:dyDescent="0.25">
      <c r="A132" s="317" t="s">
        <v>350</v>
      </c>
      <c r="B132" s="317" t="s">
        <v>103</v>
      </c>
    </row>
    <row r="133" spans="1:2" x14ac:dyDescent="0.25">
      <c r="A133" s="317" t="s">
        <v>390</v>
      </c>
      <c r="B133" s="317" t="s">
        <v>148</v>
      </c>
    </row>
    <row r="134" spans="1:2" x14ac:dyDescent="0.25">
      <c r="A134" s="317" t="s">
        <v>316</v>
      </c>
      <c r="B134" s="317" t="s">
        <v>158</v>
      </c>
    </row>
    <row r="135" spans="1:2" x14ac:dyDescent="0.25">
      <c r="A135" s="317" t="s">
        <v>317</v>
      </c>
      <c r="B135" s="317" t="s">
        <v>157</v>
      </c>
    </row>
    <row r="136" spans="1:2" x14ac:dyDescent="0.25">
      <c r="A136" s="317" t="s">
        <v>210</v>
      </c>
      <c r="B136" s="317" t="s">
        <v>1</v>
      </c>
    </row>
    <row r="137" spans="1:2" x14ac:dyDescent="0.25">
      <c r="A137" s="317" t="s">
        <v>211</v>
      </c>
      <c r="B137" s="317" t="s">
        <v>8</v>
      </c>
    </row>
    <row r="138" spans="1:2" x14ac:dyDescent="0.25">
      <c r="A138" s="317" t="s">
        <v>314</v>
      </c>
      <c r="B138" s="317" t="s">
        <v>156</v>
      </c>
    </row>
    <row r="139" spans="1:2" x14ac:dyDescent="0.25">
      <c r="A139" s="317" t="s">
        <v>313</v>
      </c>
      <c r="B139" s="317" t="s">
        <v>155</v>
      </c>
    </row>
    <row r="140" spans="1:2" x14ac:dyDescent="0.25">
      <c r="A140" s="317" t="s">
        <v>295</v>
      </c>
      <c r="B140" s="317" t="s">
        <v>128</v>
      </c>
    </row>
    <row r="141" spans="1:2" x14ac:dyDescent="0.25">
      <c r="A141" s="317" t="s">
        <v>381</v>
      </c>
      <c r="B141" s="317" t="s">
        <v>121</v>
      </c>
    </row>
    <row r="142" spans="1:2" x14ac:dyDescent="0.25">
      <c r="A142" s="317" t="s">
        <v>188</v>
      </c>
      <c r="B142" s="317" t="s">
        <v>52</v>
      </c>
    </row>
    <row r="143" spans="1:2" x14ac:dyDescent="0.25">
      <c r="A143" s="317" t="s">
        <v>189</v>
      </c>
      <c r="B143" s="317" t="s">
        <v>51</v>
      </c>
    </row>
    <row r="144" spans="1:2" x14ac:dyDescent="0.25">
      <c r="A144" s="317" t="s">
        <v>67</v>
      </c>
      <c r="B144" s="317" t="s">
        <v>67</v>
      </c>
    </row>
    <row r="145" spans="1:2" x14ac:dyDescent="0.25">
      <c r="A145" s="317" t="s">
        <v>184</v>
      </c>
      <c r="B145" s="317" t="s">
        <v>56</v>
      </c>
    </row>
    <row r="146" spans="1:2" x14ac:dyDescent="0.25">
      <c r="A146" s="317" t="s">
        <v>160</v>
      </c>
      <c r="B146" s="317" t="s">
        <v>160</v>
      </c>
    </row>
    <row r="147" spans="1:2" x14ac:dyDescent="0.25">
      <c r="A147" s="317" t="s">
        <v>178</v>
      </c>
      <c r="B147" s="317" t="s">
        <v>79</v>
      </c>
    </row>
    <row r="148" spans="1:2" x14ac:dyDescent="0.25">
      <c r="A148" s="317" t="s">
        <v>178</v>
      </c>
      <c r="B148" s="317" t="s">
        <v>43</v>
      </c>
    </row>
    <row r="149" spans="1:2" x14ac:dyDescent="0.25">
      <c r="A149" s="317" t="s">
        <v>371</v>
      </c>
      <c r="B149" s="317" t="s">
        <v>48</v>
      </c>
    </row>
    <row r="150" spans="1:2" x14ac:dyDescent="0.25">
      <c r="A150" s="317" t="s">
        <v>400</v>
      </c>
      <c r="B150" s="317" t="s">
        <v>47</v>
      </c>
    </row>
    <row r="151" spans="1:2" x14ac:dyDescent="0.25">
      <c r="A151" s="317" t="s">
        <v>251</v>
      </c>
      <c r="B151" s="317" t="s">
        <v>254</v>
      </c>
    </row>
    <row r="152" spans="1:2" x14ac:dyDescent="0.25">
      <c r="A152" s="317" t="s">
        <v>218</v>
      </c>
      <c r="B152" s="317" t="s">
        <v>216</v>
      </c>
    </row>
    <row r="153" spans="1:2" x14ac:dyDescent="0.25">
      <c r="A153" s="317" t="s">
        <v>197</v>
      </c>
      <c r="B153" s="317" t="s">
        <v>509</v>
      </c>
    </row>
    <row r="154" spans="1:2" x14ac:dyDescent="0.25">
      <c r="A154" s="317" t="s">
        <v>345</v>
      </c>
      <c r="B154" s="317" t="s">
        <v>510</v>
      </c>
    </row>
    <row r="155" spans="1:2" x14ac:dyDescent="0.25">
      <c r="A155" s="317" t="s">
        <v>344</v>
      </c>
      <c r="B155" s="317" t="s">
        <v>511</v>
      </c>
    </row>
    <row r="156" spans="1:2" x14ac:dyDescent="0.25">
      <c r="A156" s="317" t="s">
        <v>223</v>
      </c>
      <c r="B156" s="317" t="s">
        <v>223</v>
      </c>
    </row>
    <row r="157" spans="1:2" ht="56.25" x14ac:dyDescent="0.25">
      <c r="A157" s="317" t="s">
        <v>412</v>
      </c>
      <c r="B157" s="317" t="s">
        <v>512</v>
      </c>
    </row>
    <row r="158" spans="1:2" x14ac:dyDescent="0.25">
      <c r="A158" s="317" t="s">
        <v>222</v>
      </c>
      <c r="B158" s="317" t="s">
        <v>114</v>
      </c>
    </row>
    <row r="159" spans="1:2" x14ac:dyDescent="0.25">
      <c r="A159" s="317" t="s">
        <v>354</v>
      </c>
      <c r="B159" s="317" t="s">
        <v>113</v>
      </c>
    </row>
    <row r="160" spans="1:2" x14ac:dyDescent="0.25">
      <c r="A160" s="317" t="s">
        <v>221</v>
      </c>
      <c r="B160" s="317" t="s">
        <v>220</v>
      </c>
    </row>
    <row r="161" spans="1:2" x14ac:dyDescent="0.25">
      <c r="A161" s="317" t="s">
        <v>208</v>
      </c>
      <c r="B161" s="317" t="s">
        <v>0</v>
      </c>
    </row>
    <row r="162" spans="1:2" x14ac:dyDescent="0.25">
      <c r="A162" s="317" t="s">
        <v>448</v>
      </c>
      <c r="B162" s="317" t="s">
        <v>164</v>
      </c>
    </row>
    <row r="163" spans="1:2" x14ac:dyDescent="0.25">
      <c r="A163" s="317" t="s">
        <v>414</v>
      </c>
      <c r="B163" s="317" t="s">
        <v>415</v>
      </c>
    </row>
    <row r="164" spans="1:2" x14ac:dyDescent="0.25">
      <c r="A164" s="317" t="s">
        <v>514</v>
      </c>
      <c r="B164" s="317" t="s">
        <v>502</v>
      </c>
    </row>
    <row r="165" spans="1:2" x14ac:dyDescent="0.25">
      <c r="A165" s="317" t="s">
        <v>340</v>
      </c>
      <c r="B165" s="317" t="s">
        <v>162</v>
      </c>
    </row>
    <row r="166" spans="1:2" x14ac:dyDescent="0.25">
      <c r="A166" s="317" t="s">
        <v>310</v>
      </c>
      <c r="B166" s="317" t="s">
        <v>439</v>
      </c>
    </row>
    <row r="167" spans="1:2" x14ac:dyDescent="0.25">
      <c r="A167" s="317" t="s">
        <v>311</v>
      </c>
      <c r="B167" s="317" t="s">
        <v>309</v>
      </c>
    </row>
    <row r="168" spans="1:2" x14ac:dyDescent="0.25">
      <c r="A168" s="317" t="s">
        <v>17</v>
      </c>
      <c r="B168" s="317" t="s">
        <v>17</v>
      </c>
    </row>
    <row r="169" spans="1:2" x14ac:dyDescent="0.25">
      <c r="A169" s="317" t="s">
        <v>291</v>
      </c>
      <c r="B169" s="317" t="s">
        <v>177</v>
      </c>
    </row>
    <row r="170" spans="1:2" x14ac:dyDescent="0.25">
      <c r="A170" s="317" t="s">
        <v>292</v>
      </c>
      <c r="B170" s="317" t="s">
        <v>413</v>
      </c>
    </row>
    <row r="171" spans="1:2" x14ac:dyDescent="0.25">
      <c r="A171" s="317" t="s">
        <v>15</v>
      </c>
      <c r="B171" s="317" t="s">
        <v>397</v>
      </c>
    </row>
    <row r="172" spans="1:2" ht="22.5" x14ac:dyDescent="0.25">
      <c r="A172" s="317" t="s">
        <v>315</v>
      </c>
      <c r="B172" s="317" t="s">
        <v>398</v>
      </c>
    </row>
    <row r="173" spans="1:2" ht="22.5" x14ac:dyDescent="0.25">
      <c r="A173" s="317" t="s">
        <v>323</v>
      </c>
      <c r="B173" s="317" t="s">
        <v>519</v>
      </c>
    </row>
    <row r="174" spans="1:2" ht="22.5" x14ac:dyDescent="0.25">
      <c r="A174" s="317" t="s">
        <v>324</v>
      </c>
      <c r="B174" s="317" t="s">
        <v>521</v>
      </c>
    </row>
    <row r="175" spans="1:2" ht="22.5" x14ac:dyDescent="0.25">
      <c r="A175" s="317" t="s">
        <v>325</v>
      </c>
      <c r="B175" s="317" t="s">
        <v>523</v>
      </c>
    </row>
    <row r="176" spans="1:2" ht="22.5" x14ac:dyDescent="0.25">
      <c r="A176" s="316" t="s">
        <v>326</v>
      </c>
      <c r="B176" s="316" t="s">
        <v>525</v>
      </c>
    </row>
    <row r="177" spans="1:2" ht="22.5" x14ac:dyDescent="0.25">
      <c r="A177" s="316" t="s">
        <v>327</v>
      </c>
      <c r="B177" s="316" t="s">
        <v>529</v>
      </c>
    </row>
    <row r="178" spans="1:2" ht="22.5" x14ac:dyDescent="0.25">
      <c r="A178" s="316" t="s">
        <v>328</v>
      </c>
      <c r="B178" s="316" t="s">
        <v>531</v>
      </c>
    </row>
    <row r="179" spans="1:2" x14ac:dyDescent="0.25">
      <c r="A179" s="316" t="s">
        <v>176</v>
      </c>
      <c r="B179" s="316" t="s">
        <v>2</v>
      </c>
    </row>
    <row r="180" spans="1:2" x14ac:dyDescent="0.25">
      <c r="A180" s="316" t="s">
        <v>304</v>
      </c>
      <c r="B180" s="316" t="s">
        <v>303</v>
      </c>
    </row>
    <row r="181" spans="1:2" x14ac:dyDescent="0.25">
      <c r="A181" s="316" t="s">
        <v>224</v>
      </c>
      <c r="B181" s="316" t="s">
        <v>224</v>
      </c>
    </row>
    <row r="182" spans="1:2" x14ac:dyDescent="0.25">
      <c r="A182" s="316" t="s">
        <v>214</v>
      </c>
      <c r="B182" s="316" t="s">
        <v>214</v>
      </c>
    </row>
    <row r="183" spans="1:2" x14ac:dyDescent="0.25">
      <c r="A183" s="316" t="s">
        <v>219</v>
      </c>
      <c r="B183" s="316" t="s">
        <v>217</v>
      </c>
    </row>
    <row r="184" spans="1:2" x14ac:dyDescent="0.25">
      <c r="A184" s="316" t="s">
        <v>573</v>
      </c>
      <c r="B184" s="316" t="s">
        <v>596</v>
      </c>
    </row>
    <row r="185" spans="1:2" x14ac:dyDescent="0.25">
      <c r="A185" s="316" t="s">
        <v>423</v>
      </c>
      <c r="B185" s="316" t="s">
        <v>419</v>
      </c>
    </row>
    <row r="186" spans="1:2" x14ac:dyDescent="0.25">
      <c r="A186" s="316" t="s">
        <v>203</v>
      </c>
      <c r="B186" s="316" t="s">
        <v>5</v>
      </c>
    </row>
    <row r="187" spans="1:2" x14ac:dyDescent="0.25">
      <c r="A187" s="316" t="s">
        <v>307</v>
      </c>
      <c r="B187" s="316" t="s">
        <v>136</v>
      </c>
    </row>
    <row r="188" spans="1:2" x14ac:dyDescent="0.25">
      <c r="A188" s="316" t="s">
        <v>714</v>
      </c>
      <c r="B188" s="316" t="s">
        <v>716</v>
      </c>
    </row>
    <row r="189" spans="1:2" x14ac:dyDescent="0.25">
      <c r="A189" s="316" t="s">
        <v>715</v>
      </c>
      <c r="B189" s="316" t="s">
        <v>717</v>
      </c>
    </row>
    <row r="190" spans="1:2" x14ac:dyDescent="0.25">
      <c r="A190" s="316" t="s">
        <v>355</v>
      </c>
      <c r="B190" s="316" t="s">
        <v>97</v>
      </c>
    </row>
    <row r="191" spans="1:2" x14ac:dyDescent="0.25">
      <c r="A191" s="316" t="s">
        <v>246</v>
      </c>
      <c r="B191" s="316" t="s">
        <v>33</v>
      </c>
    </row>
    <row r="192" spans="1:2" x14ac:dyDescent="0.25">
      <c r="A192" s="316" t="s">
        <v>237</v>
      </c>
      <c r="B192" s="316" t="s">
        <v>238</v>
      </c>
    </row>
    <row r="193" spans="1:2" x14ac:dyDescent="0.25">
      <c r="A193" s="316" t="s">
        <v>351</v>
      </c>
      <c r="B193" s="316" t="s">
        <v>80</v>
      </c>
    </row>
    <row r="194" spans="1:2" x14ac:dyDescent="0.25">
      <c r="A194" s="316" t="s">
        <v>504</v>
      </c>
      <c r="B194" s="316" t="s">
        <v>503</v>
      </c>
    </row>
    <row r="195" spans="1:2" x14ac:dyDescent="0.25">
      <c r="A195" s="316" t="s">
        <v>58</v>
      </c>
      <c r="B195" s="316" t="s">
        <v>58</v>
      </c>
    </row>
    <row r="196" spans="1:2" x14ac:dyDescent="0.25">
      <c r="A196" s="316" t="s">
        <v>478</v>
      </c>
      <c r="B196" s="316" t="s">
        <v>475</v>
      </c>
    </row>
    <row r="197" spans="1:2" x14ac:dyDescent="0.25">
      <c r="A197" s="316" t="s">
        <v>261</v>
      </c>
      <c r="B197" s="316" t="s">
        <v>122</v>
      </c>
    </row>
    <row r="198" spans="1:2" x14ac:dyDescent="0.25">
      <c r="A198" s="316" t="s">
        <v>479</v>
      </c>
      <c r="B198" s="316" t="s">
        <v>476</v>
      </c>
    </row>
    <row r="199" spans="1:2" x14ac:dyDescent="0.25">
      <c r="A199" s="316" t="s">
        <v>559</v>
      </c>
      <c r="B199" s="316" t="s">
        <v>598</v>
      </c>
    </row>
    <row r="200" spans="1:2" x14ac:dyDescent="0.25">
      <c r="A200" s="316" t="s">
        <v>564</v>
      </c>
      <c r="B200" s="316" t="s">
        <v>601</v>
      </c>
    </row>
    <row r="201" spans="1:2" x14ac:dyDescent="0.25">
      <c r="A201" s="316" t="s">
        <v>367</v>
      </c>
      <c r="B201" s="316" t="s">
        <v>74</v>
      </c>
    </row>
    <row r="202" spans="1:2" x14ac:dyDescent="0.25">
      <c r="A202" s="316" t="s">
        <v>365</v>
      </c>
      <c r="B202" s="316" t="s">
        <v>73</v>
      </c>
    </row>
    <row r="203" spans="1:2" x14ac:dyDescent="0.25">
      <c r="A203" s="316" t="s">
        <v>582</v>
      </c>
      <c r="B203" s="316" t="s">
        <v>633</v>
      </c>
    </row>
    <row r="204" spans="1:2" x14ac:dyDescent="0.25">
      <c r="A204" s="316" t="s">
        <v>490</v>
      </c>
      <c r="B204" s="316" t="s">
        <v>461</v>
      </c>
    </row>
    <row r="205" spans="1:2" x14ac:dyDescent="0.25">
      <c r="A205" s="316" t="s">
        <v>470</v>
      </c>
      <c r="B205" s="316" t="s">
        <v>470</v>
      </c>
    </row>
    <row r="206" spans="1:2" x14ac:dyDescent="0.25">
      <c r="A206" s="316" t="s">
        <v>119</v>
      </c>
      <c r="B206" s="316" t="s">
        <v>119</v>
      </c>
    </row>
    <row r="207" spans="1:2" x14ac:dyDescent="0.25">
      <c r="A207" s="316" t="s">
        <v>262</v>
      </c>
      <c r="B207" s="316" t="s">
        <v>125</v>
      </c>
    </row>
    <row r="208" spans="1:2" x14ac:dyDescent="0.25">
      <c r="A208" s="316" t="s">
        <v>263</v>
      </c>
      <c r="B208" s="316" t="s">
        <v>126</v>
      </c>
    </row>
    <row r="209" spans="1:2" x14ac:dyDescent="0.25">
      <c r="A209" s="316" t="s">
        <v>643</v>
      </c>
      <c r="B209" s="316" t="s">
        <v>648</v>
      </c>
    </row>
    <row r="210" spans="1:2" x14ac:dyDescent="0.25">
      <c r="A210" s="316" t="s">
        <v>491</v>
      </c>
      <c r="B210" s="316" t="s">
        <v>462</v>
      </c>
    </row>
    <row r="211" spans="1:2" x14ac:dyDescent="0.25">
      <c r="A211" s="317" t="s">
        <v>486</v>
      </c>
      <c r="B211" s="317" t="s">
        <v>472</v>
      </c>
    </row>
    <row r="212" spans="1:2" x14ac:dyDescent="0.25">
      <c r="A212" s="317" t="s">
        <v>182</v>
      </c>
      <c r="B212" s="317" t="s">
        <v>45</v>
      </c>
    </row>
    <row r="213" spans="1:2" x14ac:dyDescent="0.25">
      <c r="A213" s="316" t="s">
        <v>493</v>
      </c>
      <c r="B213" s="316" t="s">
        <v>496</v>
      </c>
    </row>
    <row r="214" spans="1:2" x14ac:dyDescent="0.25">
      <c r="A214" s="316" t="s">
        <v>206</v>
      </c>
      <c r="B214" s="316" t="s">
        <v>4</v>
      </c>
    </row>
    <row r="215" spans="1:2" x14ac:dyDescent="0.25">
      <c r="A215" s="316" t="s">
        <v>212</v>
      </c>
      <c r="B215" s="316" t="s">
        <v>9</v>
      </c>
    </row>
    <row r="216" spans="1:2" x14ac:dyDescent="0.25">
      <c r="A216" s="317" t="s">
        <v>452</v>
      </c>
      <c r="B216" s="317" t="s">
        <v>10</v>
      </c>
    </row>
    <row r="217" spans="1:2" x14ac:dyDescent="0.25">
      <c r="A217" s="317" t="s">
        <v>451</v>
      </c>
      <c r="B217" s="317" t="s">
        <v>11</v>
      </c>
    </row>
    <row r="218" spans="1:2" x14ac:dyDescent="0.25">
      <c r="A218" s="317" t="s">
        <v>230</v>
      </c>
      <c r="B218" s="317" t="s">
        <v>229</v>
      </c>
    </row>
    <row r="219" spans="1:2" x14ac:dyDescent="0.25">
      <c r="A219" s="317" t="s">
        <v>196</v>
      </c>
      <c r="B219" s="317" t="s">
        <v>44</v>
      </c>
    </row>
    <row r="220" spans="1:2" x14ac:dyDescent="0.25">
      <c r="A220" s="317" t="s">
        <v>187</v>
      </c>
      <c r="B220" s="317" t="s">
        <v>53</v>
      </c>
    </row>
    <row r="221" spans="1:2" x14ac:dyDescent="0.25">
      <c r="A221" s="316" t="s">
        <v>215</v>
      </c>
      <c r="B221" s="316" t="s">
        <v>213</v>
      </c>
    </row>
    <row r="222" spans="1:2" x14ac:dyDescent="0.25">
      <c r="A222" s="316" t="s">
        <v>183</v>
      </c>
      <c r="B222" s="316" t="s">
        <v>64</v>
      </c>
    </row>
    <row r="223" spans="1:2" x14ac:dyDescent="0.25">
      <c r="A223" s="316" t="s">
        <v>185</v>
      </c>
      <c r="B223" s="316" t="s">
        <v>55</v>
      </c>
    </row>
    <row r="224" spans="1:2" x14ac:dyDescent="0.25">
      <c r="A224" s="316" t="s">
        <v>536</v>
      </c>
      <c r="B224" s="316" t="s">
        <v>535</v>
      </c>
    </row>
    <row r="225" spans="1:2" x14ac:dyDescent="0.25">
      <c r="A225" s="316" t="s">
        <v>234</v>
      </c>
      <c r="B225" s="316" t="s">
        <v>71</v>
      </c>
    </row>
    <row r="226" spans="1:2" x14ac:dyDescent="0.25">
      <c r="A226" s="316" t="s">
        <v>190</v>
      </c>
      <c r="B226" s="316" t="s">
        <v>59</v>
      </c>
    </row>
    <row r="227" spans="1:2" x14ac:dyDescent="0.25">
      <c r="A227" s="316" t="s">
        <v>194</v>
      </c>
      <c r="B227" s="316" t="s">
        <v>72</v>
      </c>
    </row>
    <row r="228" spans="1:2" x14ac:dyDescent="0.25">
      <c r="A228" s="316" t="s">
        <v>191</v>
      </c>
      <c r="B228" s="316" t="s">
        <v>60</v>
      </c>
    </row>
    <row r="229" spans="1:2" x14ac:dyDescent="0.25">
      <c r="A229" s="316" t="s">
        <v>707</v>
      </c>
      <c r="B229" s="316" t="s">
        <v>721</v>
      </c>
    </row>
    <row r="230" spans="1:2" x14ac:dyDescent="0.25">
      <c r="A230" s="316" t="s">
        <v>706</v>
      </c>
      <c r="B230" s="316" t="s">
        <v>719</v>
      </c>
    </row>
    <row r="231" spans="1:2" x14ac:dyDescent="0.25">
      <c r="A231" s="316" t="s">
        <v>192</v>
      </c>
      <c r="B231" s="316" t="s">
        <v>61</v>
      </c>
    </row>
    <row r="232" spans="1:2" x14ac:dyDescent="0.25">
      <c r="A232" s="316" t="s">
        <v>193</v>
      </c>
      <c r="B232" s="316" t="s">
        <v>62</v>
      </c>
    </row>
    <row r="233" spans="1:2" x14ac:dyDescent="0.25">
      <c r="A233" s="316" t="s">
        <v>718</v>
      </c>
      <c r="B233" s="316" t="s">
        <v>720</v>
      </c>
    </row>
    <row r="234" spans="1:2" x14ac:dyDescent="0.25">
      <c r="A234" s="316" t="s">
        <v>285</v>
      </c>
      <c r="B234" s="316" t="s">
        <v>139</v>
      </c>
    </row>
    <row r="235" spans="1:2" x14ac:dyDescent="0.25">
      <c r="A235" s="316" t="s">
        <v>453</v>
      </c>
      <c r="B235" s="316" t="s">
        <v>302</v>
      </c>
    </row>
    <row r="236" spans="1:2" x14ac:dyDescent="0.25">
      <c r="A236" s="317" t="s">
        <v>175</v>
      </c>
      <c r="B236" s="317" t="s">
        <v>112</v>
      </c>
    </row>
    <row r="237" spans="1:2" x14ac:dyDescent="0.25">
      <c r="A237" s="317" t="s">
        <v>356</v>
      </c>
      <c r="B237" s="317" t="s">
        <v>96</v>
      </c>
    </row>
    <row r="238" spans="1:2" x14ac:dyDescent="0.25">
      <c r="A238" s="317" t="s">
        <v>259</v>
      </c>
      <c r="B238" s="317" t="s">
        <v>19</v>
      </c>
    </row>
    <row r="239" spans="1:2" x14ac:dyDescent="0.25">
      <c r="A239" s="317" t="s">
        <v>264</v>
      </c>
      <c r="B239" s="317" t="s">
        <v>124</v>
      </c>
    </row>
    <row r="240" spans="1:2" x14ac:dyDescent="0.25">
      <c r="A240" s="317" t="s">
        <v>233</v>
      </c>
      <c r="B240" s="317" t="s">
        <v>41</v>
      </c>
    </row>
    <row r="241" spans="1:2" x14ac:dyDescent="0.25">
      <c r="A241" s="317" t="s">
        <v>244</v>
      </c>
      <c r="B241" s="317" t="s">
        <v>243</v>
      </c>
    </row>
    <row r="242" spans="1:2" x14ac:dyDescent="0.25">
      <c r="A242" s="317" t="s">
        <v>201</v>
      </c>
      <c r="B242" s="317" t="s">
        <v>36</v>
      </c>
    </row>
    <row r="243" spans="1:2" x14ac:dyDescent="0.25">
      <c r="A243" s="317" t="s">
        <v>562</v>
      </c>
      <c r="B243" s="317" t="s">
        <v>602</v>
      </c>
    </row>
    <row r="244" spans="1:2" x14ac:dyDescent="0.25">
      <c r="A244" s="317" t="s">
        <v>31</v>
      </c>
      <c r="B244" s="317" t="s">
        <v>31</v>
      </c>
    </row>
    <row r="245" spans="1:2" x14ac:dyDescent="0.25">
      <c r="A245" s="317" t="s">
        <v>204</v>
      </c>
      <c r="B245" s="317" t="s">
        <v>34</v>
      </c>
    </row>
    <row r="246" spans="1:2" x14ac:dyDescent="0.25">
      <c r="A246" s="316" t="s">
        <v>199</v>
      </c>
      <c r="B246" s="316" t="s">
        <v>14</v>
      </c>
    </row>
    <row r="247" spans="1:2" x14ac:dyDescent="0.25">
      <c r="A247" s="316" t="s">
        <v>454</v>
      </c>
      <c r="B247" s="316" t="s">
        <v>6</v>
      </c>
    </row>
    <row r="248" spans="1:2" x14ac:dyDescent="0.25">
      <c r="A248" s="316" t="s">
        <v>294</v>
      </c>
      <c r="B248" s="316" t="s">
        <v>134</v>
      </c>
    </row>
    <row r="249" spans="1:2" x14ac:dyDescent="0.25">
      <c r="A249" s="316" t="s">
        <v>236</v>
      </c>
      <c r="B249" s="316" t="s">
        <v>82</v>
      </c>
    </row>
    <row r="250" spans="1:2" x14ac:dyDescent="0.25">
      <c r="A250" s="316" t="s">
        <v>235</v>
      </c>
      <c r="B250" s="316" t="s">
        <v>81</v>
      </c>
    </row>
    <row r="251" spans="1:2" x14ac:dyDescent="0.25">
      <c r="A251" s="316" t="s">
        <v>332</v>
      </c>
      <c r="B251" s="316" t="s">
        <v>396</v>
      </c>
    </row>
    <row r="252" spans="1:2" x14ac:dyDescent="0.25">
      <c r="A252" s="316" t="s">
        <v>123</v>
      </c>
      <c r="B252" s="316" t="s">
        <v>123</v>
      </c>
    </row>
    <row r="253" spans="1:2" x14ac:dyDescent="0.25">
      <c r="A253" s="316" t="s">
        <v>70</v>
      </c>
      <c r="B253" s="316" t="s">
        <v>70</v>
      </c>
    </row>
    <row r="254" spans="1:2" x14ac:dyDescent="0.25">
      <c r="A254" s="316" t="s">
        <v>209</v>
      </c>
      <c r="B254" s="316" t="s">
        <v>13</v>
      </c>
    </row>
    <row r="255" spans="1:2" x14ac:dyDescent="0.25">
      <c r="A255" s="316" t="s">
        <v>701</v>
      </c>
      <c r="B255" s="316" t="s">
        <v>702</v>
      </c>
    </row>
    <row r="256" spans="1:2" x14ac:dyDescent="0.25">
      <c r="A256" s="316" t="s">
        <v>697</v>
      </c>
      <c r="B256" s="316" t="s">
        <v>698</v>
      </c>
    </row>
    <row r="257" spans="1:2" x14ac:dyDescent="0.25">
      <c r="A257" s="316" t="s">
        <v>682</v>
      </c>
      <c r="B257" s="316" t="s">
        <v>684</v>
      </c>
    </row>
    <row r="258" spans="1:2" x14ac:dyDescent="0.25">
      <c r="A258" s="316" t="s">
        <v>679</v>
      </c>
      <c r="B258" s="316" t="s">
        <v>685</v>
      </c>
    </row>
    <row r="259" spans="1:2" x14ac:dyDescent="0.25">
      <c r="A259" s="316" t="s">
        <v>680</v>
      </c>
      <c r="B259" s="316" t="s">
        <v>686</v>
      </c>
    </row>
    <row r="260" spans="1:2" x14ac:dyDescent="0.25">
      <c r="A260" s="316" t="s">
        <v>678</v>
      </c>
      <c r="B260" s="316" t="s">
        <v>687</v>
      </c>
    </row>
    <row r="261" spans="1:2" x14ac:dyDescent="0.25">
      <c r="A261" s="316" t="s">
        <v>683</v>
      </c>
      <c r="B261" s="316" t="s">
        <v>688</v>
      </c>
    </row>
    <row r="262" spans="1:2" x14ac:dyDescent="0.25">
      <c r="A262" s="316" t="s">
        <v>681</v>
      </c>
      <c r="B262" s="316" t="s">
        <v>695</v>
      </c>
    </row>
    <row r="263" spans="1:2" x14ac:dyDescent="0.25">
      <c r="A263" s="316" t="s">
        <v>689</v>
      </c>
      <c r="B263" s="316" t="s">
        <v>690</v>
      </c>
    </row>
    <row r="264" spans="1:2" x14ac:dyDescent="0.25">
      <c r="A264" s="316" t="s">
        <v>692</v>
      </c>
      <c r="B264" s="316" t="s">
        <v>694</v>
      </c>
    </row>
    <row r="265" spans="1:2" x14ac:dyDescent="0.25">
      <c r="A265" s="316" t="s">
        <v>693</v>
      </c>
      <c r="B265" s="316" t="s">
        <v>691</v>
      </c>
    </row>
    <row r="266" spans="1:2" x14ac:dyDescent="0.25">
      <c r="A266" s="317" t="s">
        <v>66</v>
      </c>
      <c r="B266" s="317" t="s">
        <v>66</v>
      </c>
    </row>
    <row r="267" spans="1:2" x14ac:dyDescent="0.25">
      <c r="A267" s="317" t="s">
        <v>94</v>
      </c>
      <c r="B267" s="317" t="s">
        <v>94</v>
      </c>
    </row>
    <row r="268" spans="1:2" x14ac:dyDescent="0.25">
      <c r="A268" s="316" t="s">
        <v>818</v>
      </c>
      <c r="B268" s="316" t="s">
        <v>818</v>
      </c>
    </row>
    <row r="269" spans="1:2" x14ac:dyDescent="0.25">
      <c r="A269" s="317" t="s">
        <v>745</v>
      </c>
      <c r="B269" s="317" t="s">
        <v>744</v>
      </c>
    </row>
    <row r="270" spans="1:2" x14ac:dyDescent="0.25">
      <c r="A270" s="317" t="s">
        <v>738</v>
      </c>
      <c r="B270" s="317" t="s">
        <v>743</v>
      </c>
    </row>
  </sheetData>
  <sheetProtection selectLockedCells="1"/>
  <mergeCells count="1">
    <mergeCell ref="A1:B1"/>
  </mergeCells>
  <pageMargins left="0.7" right="0.7" top="0.75" bottom="0.75" header="0.3" footer="0.3"/>
  <pageSetup paperSize="9" orientation="portrait"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rgb="FFFF0000"/>
  </sheetPr>
  <dimension ref="A1:G46"/>
  <sheetViews>
    <sheetView showGridLines="0" workbookViewId="0">
      <selection activeCell="E9" sqref="E9"/>
    </sheetView>
  </sheetViews>
  <sheetFormatPr baseColWidth="10" defaultColWidth="11.42578125" defaultRowHeight="15" x14ac:dyDescent="0.25"/>
  <cols>
    <col min="1" max="1" width="11.42578125" style="129" customWidth="1"/>
    <col min="2" max="3" width="15" style="334" customWidth="1"/>
    <col min="4" max="4" width="15.42578125" style="334" customWidth="1"/>
    <col min="5" max="16384" width="11.42578125" style="334"/>
  </cols>
  <sheetData>
    <row r="1" spans="1:7" ht="30.75" thickBot="1" x14ac:dyDescent="0.3">
      <c r="A1" s="322" t="s">
        <v>30</v>
      </c>
      <c r="B1" s="188" t="s">
        <v>228</v>
      </c>
      <c r="C1" s="319" t="s">
        <v>228</v>
      </c>
      <c r="D1" s="319" t="s">
        <v>250</v>
      </c>
      <c r="E1" s="188" t="s">
        <v>261</v>
      </c>
      <c r="F1" s="188" t="s">
        <v>286</v>
      </c>
      <c r="G1" s="188" t="s">
        <v>478</v>
      </c>
    </row>
    <row r="2" spans="1:7" x14ac:dyDescent="0.25">
      <c r="A2" s="221">
        <v>0</v>
      </c>
      <c r="B2" s="323" t="s">
        <v>215</v>
      </c>
      <c r="C2" s="320" t="s">
        <v>215</v>
      </c>
      <c r="D2" s="320" t="s">
        <v>224</v>
      </c>
      <c r="E2" s="221" t="s">
        <v>275</v>
      </c>
      <c r="F2" s="221" t="s">
        <v>289</v>
      </c>
      <c r="G2" s="421">
        <v>0.25</v>
      </c>
    </row>
    <row r="3" spans="1:7" ht="15.75" thickBot="1" x14ac:dyDescent="0.3">
      <c r="A3" s="198">
        <f t="shared" ref="A3:A42" si="0">A2+1</f>
        <v>1</v>
      </c>
      <c r="B3" s="324" t="s">
        <v>214</v>
      </c>
      <c r="C3" s="321" t="s">
        <v>214</v>
      </c>
      <c r="D3" s="321" t="s">
        <v>223</v>
      </c>
      <c r="E3" s="198" t="s">
        <v>276</v>
      </c>
      <c r="F3" s="199" t="s">
        <v>290</v>
      </c>
      <c r="G3" s="422">
        <v>0.5</v>
      </c>
    </row>
    <row r="4" spans="1:7" x14ac:dyDescent="0.25">
      <c r="A4" s="198">
        <f t="shared" si="0"/>
        <v>2</v>
      </c>
      <c r="B4" s="324" t="s">
        <v>218</v>
      </c>
      <c r="C4" s="321" t="s">
        <v>218</v>
      </c>
      <c r="D4" s="321" t="s">
        <v>221</v>
      </c>
      <c r="E4" s="198" t="s">
        <v>277</v>
      </c>
      <c r="G4" s="422">
        <v>0.75</v>
      </c>
    </row>
    <row r="5" spans="1:7" ht="15.75" thickBot="1" x14ac:dyDescent="0.3">
      <c r="A5" s="198">
        <f t="shared" si="0"/>
        <v>3</v>
      </c>
      <c r="B5" s="321" t="s">
        <v>221</v>
      </c>
      <c r="C5" s="318" t="s">
        <v>160</v>
      </c>
      <c r="D5" s="321" t="s">
        <v>348</v>
      </c>
      <c r="E5" s="198" t="s">
        <v>278</v>
      </c>
      <c r="G5" s="423">
        <v>1</v>
      </c>
    </row>
    <row r="6" spans="1:7" x14ac:dyDescent="0.25">
      <c r="A6" s="198">
        <f t="shared" si="0"/>
        <v>4</v>
      </c>
      <c r="B6" s="321" t="s">
        <v>219</v>
      </c>
      <c r="D6" s="321" t="s">
        <v>251</v>
      </c>
      <c r="E6" s="198" t="s">
        <v>664</v>
      </c>
    </row>
    <row r="7" spans="1:7" ht="15.75" thickBot="1" x14ac:dyDescent="0.3">
      <c r="A7" s="198">
        <f t="shared" si="0"/>
        <v>5</v>
      </c>
      <c r="B7" s="318" t="s">
        <v>222</v>
      </c>
      <c r="D7" s="318" t="s">
        <v>252</v>
      </c>
      <c r="E7" s="198" t="s">
        <v>279</v>
      </c>
    </row>
    <row r="8" spans="1:7" x14ac:dyDescent="0.25">
      <c r="A8" s="198">
        <f t="shared" si="0"/>
        <v>6</v>
      </c>
      <c r="E8" s="198" t="s">
        <v>280</v>
      </c>
    </row>
    <row r="9" spans="1:7" x14ac:dyDescent="0.25">
      <c r="A9" s="198">
        <f t="shared" si="0"/>
        <v>7</v>
      </c>
      <c r="E9" s="198" t="s">
        <v>281</v>
      </c>
    </row>
    <row r="10" spans="1:7" x14ac:dyDescent="0.25">
      <c r="A10" s="198">
        <f t="shared" si="0"/>
        <v>8</v>
      </c>
      <c r="E10" s="198" t="s">
        <v>282</v>
      </c>
    </row>
    <row r="11" spans="1:7" x14ac:dyDescent="0.25">
      <c r="A11" s="198">
        <f t="shared" si="0"/>
        <v>9</v>
      </c>
      <c r="E11" s="198" t="s">
        <v>283</v>
      </c>
    </row>
    <row r="12" spans="1:7" ht="15.75" thickBot="1" x14ac:dyDescent="0.3">
      <c r="A12" s="198">
        <f t="shared" si="0"/>
        <v>10</v>
      </c>
      <c r="E12" s="199" t="s">
        <v>284</v>
      </c>
    </row>
    <row r="13" spans="1:7" x14ac:dyDescent="0.25">
      <c r="A13" s="198">
        <f t="shared" si="0"/>
        <v>11</v>
      </c>
    </row>
    <row r="14" spans="1:7" x14ac:dyDescent="0.25">
      <c r="A14" s="198">
        <f t="shared" si="0"/>
        <v>12</v>
      </c>
    </row>
    <row r="15" spans="1:7" x14ac:dyDescent="0.25">
      <c r="A15" s="198">
        <f t="shared" si="0"/>
        <v>13</v>
      </c>
    </row>
    <row r="16" spans="1:7" x14ac:dyDescent="0.25">
      <c r="A16" s="198">
        <f t="shared" si="0"/>
        <v>14</v>
      </c>
    </row>
    <row r="17" spans="1:1" x14ac:dyDescent="0.25">
      <c r="A17" s="198">
        <f t="shared" si="0"/>
        <v>15</v>
      </c>
    </row>
    <row r="18" spans="1:1" x14ac:dyDescent="0.25">
      <c r="A18" s="198">
        <f t="shared" si="0"/>
        <v>16</v>
      </c>
    </row>
    <row r="19" spans="1:1" x14ac:dyDescent="0.25">
      <c r="A19" s="198">
        <f t="shared" si="0"/>
        <v>17</v>
      </c>
    </row>
    <row r="20" spans="1:1" x14ac:dyDescent="0.25">
      <c r="A20" s="198">
        <f t="shared" si="0"/>
        <v>18</v>
      </c>
    </row>
    <row r="21" spans="1:1" x14ac:dyDescent="0.25">
      <c r="A21" s="198">
        <f t="shared" si="0"/>
        <v>19</v>
      </c>
    </row>
    <row r="22" spans="1:1" x14ac:dyDescent="0.25">
      <c r="A22" s="198">
        <f t="shared" si="0"/>
        <v>20</v>
      </c>
    </row>
    <row r="23" spans="1:1" x14ac:dyDescent="0.25">
      <c r="A23" s="198">
        <f t="shared" si="0"/>
        <v>21</v>
      </c>
    </row>
    <row r="24" spans="1:1" x14ac:dyDescent="0.25">
      <c r="A24" s="198">
        <f t="shared" si="0"/>
        <v>22</v>
      </c>
    </row>
    <row r="25" spans="1:1" x14ac:dyDescent="0.25">
      <c r="A25" s="198">
        <f t="shared" si="0"/>
        <v>23</v>
      </c>
    </row>
    <row r="26" spans="1:1" x14ac:dyDescent="0.25">
      <c r="A26" s="198">
        <f t="shared" si="0"/>
        <v>24</v>
      </c>
    </row>
    <row r="27" spans="1:1" x14ac:dyDescent="0.25">
      <c r="A27" s="198">
        <f t="shared" si="0"/>
        <v>25</v>
      </c>
    </row>
    <row r="28" spans="1:1" x14ac:dyDescent="0.25">
      <c r="A28" s="198">
        <f t="shared" si="0"/>
        <v>26</v>
      </c>
    </row>
    <row r="29" spans="1:1" x14ac:dyDescent="0.25">
      <c r="A29" s="198">
        <f t="shared" si="0"/>
        <v>27</v>
      </c>
    </row>
    <row r="30" spans="1:1" x14ac:dyDescent="0.25">
      <c r="A30" s="198">
        <f t="shared" si="0"/>
        <v>28</v>
      </c>
    </row>
    <row r="31" spans="1:1" x14ac:dyDescent="0.25">
      <c r="A31" s="198">
        <f t="shared" si="0"/>
        <v>29</v>
      </c>
    </row>
    <row r="32" spans="1:1" x14ac:dyDescent="0.25">
      <c r="A32" s="198">
        <f t="shared" si="0"/>
        <v>30</v>
      </c>
    </row>
    <row r="33" spans="1:1" x14ac:dyDescent="0.25">
      <c r="A33" s="198">
        <f t="shared" si="0"/>
        <v>31</v>
      </c>
    </row>
    <row r="34" spans="1:1" x14ac:dyDescent="0.25">
      <c r="A34" s="198">
        <f t="shared" si="0"/>
        <v>32</v>
      </c>
    </row>
    <row r="35" spans="1:1" x14ac:dyDescent="0.25">
      <c r="A35" s="198">
        <f t="shared" si="0"/>
        <v>33</v>
      </c>
    </row>
    <row r="36" spans="1:1" x14ac:dyDescent="0.25">
      <c r="A36" s="198">
        <f t="shared" si="0"/>
        <v>34</v>
      </c>
    </row>
    <row r="37" spans="1:1" x14ac:dyDescent="0.25">
      <c r="A37" s="198">
        <f t="shared" si="0"/>
        <v>35</v>
      </c>
    </row>
    <row r="38" spans="1:1" x14ac:dyDescent="0.25">
      <c r="A38" s="198">
        <f t="shared" si="0"/>
        <v>36</v>
      </c>
    </row>
    <row r="39" spans="1:1" x14ac:dyDescent="0.25">
      <c r="A39" s="198">
        <f t="shared" si="0"/>
        <v>37</v>
      </c>
    </row>
    <row r="40" spans="1:1" x14ac:dyDescent="0.25">
      <c r="A40" s="198">
        <f t="shared" si="0"/>
        <v>38</v>
      </c>
    </row>
    <row r="41" spans="1:1" x14ac:dyDescent="0.25">
      <c r="A41" s="198">
        <f t="shared" si="0"/>
        <v>39</v>
      </c>
    </row>
    <row r="42" spans="1:1" ht="15.75" thickBot="1" x14ac:dyDescent="0.3">
      <c r="A42" s="199">
        <f t="shared" si="0"/>
        <v>40</v>
      </c>
    </row>
    <row r="43" spans="1:1" x14ac:dyDescent="0.25">
      <c r="A43" s="128"/>
    </row>
    <row r="44" spans="1:1" x14ac:dyDescent="0.25">
      <c r="A44" s="128"/>
    </row>
    <row r="45" spans="1:1" x14ac:dyDescent="0.25">
      <c r="A45" s="128"/>
    </row>
    <row r="46" spans="1:1" x14ac:dyDescent="0.25">
      <c r="A46" s="128"/>
    </row>
  </sheetData>
  <sheetProtection sheet="1" objects="1" scenarios="1" selectLockedCells="1"/>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1"/>
  </sheetPr>
  <dimension ref="A1:BM89"/>
  <sheetViews>
    <sheetView showGridLines="0" zoomScaleNormal="100" workbookViewId="0">
      <pane xSplit="1" ySplit="2" topLeftCell="C3" activePane="bottomRight" state="frozen"/>
      <selection activeCell="A3" sqref="A3:H6"/>
      <selection pane="topRight" activeCell="A3" sqref="A3:H6"/>
      <selection pane="bottomLeft" activeCell="A3" sqref="A3:H6"/>
      <selection pane="bottomRight" activeCell="F34" sqref="F34"/>
    </sheetView>
  </sheetViews>
  <sheetFormatPr baseColWidth="10" defaultColWidth="11.42578125" defaultRowHeight="15" x14ac:dyDescent="0.25"/>
  <cols>
    <col min="1" max="60" width="3.28515625" style="132" customWidth="1"/>
    <col min="61" max="61" width="4.7109375" style="525" customWidth="1"/>
    <col min="62" max="62" width="11.85546875" style="129" bestFit="1" customWidth="1"/>
    <col min="63" max="63" width="10.85546875" style="525" customWidth="1"/>
    <col min="64" max="64" width="8.140625" style="946" bestFit="1" customWidth="1"/>
    <col min="65" max="65" width="7.140625" style="525" bestFit="1" customWidth="1"/>
    <col min="66" max="16384" width="11.42578125" style="525"/>
  </cols>
  <sheetData>
    <row r="1" spans="1:65" ht="30" customHeight="1" thickBot="1" x14ac:dyDescent="0.3">
      <c r="A1" s="1335" t="s">
        <v>30</v>
      </c>
      <c r="B1" s="1318" t="s">
        <v>447</v>
      </c>
      <c r="C1" s="1319"/>
      <c r="D1" s="1319"/>
      <c r="E1" s="1319"/>
      <c r="F1" s="1319"/>
      <c r="G1" s="1320"/>
      <c r="H1" s="1311" t="s">
        <v>181</v>
      </c>
      <c r="I1" s="1312"/>
      <c r="J1" s="1312"/>
      <c r="K1" s="1312"/>
      <c r="L1" s="1312"/>
      <c r="M1" s="1313"/>
      <c r="N1" s="1318" t="s">
        <v>179</v>
      </c>
      <c r="O1" s="1319"/>
      <c r="P1" s="1319"/>
      <c r="Q1" s="1319"/>
      <c r="R1" s="1319"/>
      <c r="S1" s="1319"/>
      <c r="T1" s="1319"/>
      <c r="U1" s="1319"/>
      <c r="V1" s="1319"/>
      <c r="W1" s="1339"/>
      <c r="X1" s="1320"/>
      <c r="Y1" s="1318" t="s">
        <v>582</v>
      </c>
      <c r="Z1" s="1319"/>
      <c r="AA1" s="1319"/>
      <c r="AB1" s="1319"/>
      <c r="AC1" s="1319"/>
      <c r="AD1" s="1320"/>
      <c r="AE1" s="1337" t="s">
        <v>180</v>
      </c>
      <c r="AF1" s="1338"/>
      <c r="AG1" s="1311" t="s">
        <v>226</v>
      </c>
      <c r="AH1" s="1312"/>
      <c r="AI1" s="1312"/>
      <c r="AJ1" s="1312"/>
      <c r="AK1" s="1312"/>
      <c r="AL1" s="1312"/>
      <c r="AM1" s="1312"/>
      <c r="AN1" s="1313"/>
      <c r="AO1" s="1318" t="s">
        <v>240</v>
      </c>
      <c r="AP1" s="1319"/>
      <c r="AQ1" s="1319"/>
      <c r="AR1" s="1319"/>
      <c r="AS1" s="1319"/>
      <c r="AT1" s="1319"/>
      <c r="AU1" s="1319"/>
      <c r="AV1" s="1319"/>
      <c r="AW1" s="1319"/>
      <c r="AX1" s="1320"/>
      <c r="AY1" s="1311" t="s">
        <v>227</v>
      </c>
      <c r="AZ1" s="1312"/>
      <c r="BA1" s="1312"/>
      <c r="BB1" s="1312"/>
      <c r="BC1" s="1312"/>
      <c r="BD1" s="1312"/>
      <c r="BE1" s="1313"/>
      <c r="BF1" s="1311" t="s">
        <v>178</v>
      </c>
      <c r="BG1" s="1312"/>
      <c r="BH1" s="1313"/>
      <c r="BJ1" s="200" t="s">
        <v>291</v>
      </c>
      <c r="BK1" s="200" t="s">
        <v>351</v>
      </c>
      <c r="BL1" s="200" t="s">
        <v>414</v>
      </c>
      <c r="BM1" s="345" t="s">
        <v>294</v>
      </c>
    </row>
    <row r="2" spans="1:65" ht="95.1" customHeight="1" thickTop="1" thickBot="1" x14ac:dyDescent="0.3">
      <c r="A2" s="1336"/>
      <c r="B2" s="673" t="s">
        <v>176</v>
      </c>
      <c r="C2" s="674" t="s">
        <v>210</v>
      </c>
      <c r="D2" s="674" t="s">
        <v>211</v>
      </c>
      <c r="E2" s="674" t="s">
        <v>212</v>
      </c>
      <c r="F2" s="674" t="s">
        <v>452</v>
      </c>
      <c r="G2" s="675" t="s">
        <v>451</v>
      </c>
      <c r="H2" s="673" t="s">
        <v>207</v>
      </c>
      <c r="I2" s="674" t="s">
        <v>343</v>
      </c>
      <c r="J2" s="674" t="s">
        <v>338</v>
      </c>
      <c r="K2" s="674" t="s">
        <v>208</v>
      </c>
      <c r="L2" s="674" t="s">
        <v>209</v>
      </c>
      <c r="M2" s="675" t="s">
        <v>701</v>
      </c>
      <c r="N2" s="673" t="s">
        <v>206</v>
      </c>
      <c r="O2" s="674" t="s">
        <v>205</v>
      </c>
      <c r="P2" s="674" t="s">
        <v>204</v>
      </c>
      <c r="Q2" s="674" t="s">
        <v>203</v>
      </c>
      <c r="R2" s="674" t="s">
        <v>202</v>
      </c>
      <c r="S2" s="674" t="s">
        <v>454</v>
      </c>
      <c r="T2" s="674" t="s">
        <v>643</v>
      </c>
      <c r="U2" s="674" t="s">
        <v>201</v>
      </c>
      <c r="V2" s="674" t="s">
        <v>200</v>
      </c>
      <c r="W2" s="674" t="s">
        <v>199</v>
      </c>
      <c r="X2" s="675" t="s">
        <v>745</v>
      </c>
      <c r="Y2" s="673" t="s">
        <v>561</v>
      </c>
      <c r="Z2" s="674" t="s">
        <v>559</v>
      </c>
      <c r="AA2" s="674" t="s">
        <v>558</v>
      </c>
      <c r="AB2" s="674" t="s">
        <v>560</v>
      </c>
      <c r="AC2" s="674" t="s">
        <v>562</v>
      </c>
      <c r="AD2" s="675" t="s">
        <v>564</v>
      </c>
      <c r="AE2" s="673" t="s">
        <v>198</v>
      </c>
      <c r="AF2" s="675" t="s">
        <v>197</v>
      </c>
      <c r="AG2" s="673" t="s">
        <v>190</v>
      </c>
      <c r="AH2" s="674" t="s">
        <v>191</v>
      </c>
      <c r="AI2" s="674" t="s">
        <v>192</v>
      </c>
      <c r="AJ2" s="674" t="s">
        <v>193</v>
      </c>
      <c r="AK2" s="674" t="s">
        <v>194</v>
      </c>
      <c r="AL2" s="674" t="s">
        <v>706</v>
      </c>
      <c r="AM2" s="674" t="s">
        <v>718</v>
      </c>
      <c r="AN2" s="675" t="s">
        <v>707</v>
      </c>
      <c r="AO2" s="673" t="s">
        <v>195</v>
      </c>
      <c r="AP2" s="674" t="s">
        <v>50</v>
      </c>
      <c r="AQ2" s="674" t="s">
        <v>188</v>
      </c>
      <c r="AR2" s="674" t="s">
        <v>189</v>
      </c>
      <c r="AS2" s="674" t="s">
        <v>187</v>
      </c>
      <c r="AT2" s="674" t="s">
        <v>186</v>
      </c>
      <c r="AU2" s="674" t="s">
        <v>185</v>
      </c>
      <c r="AV2" s="674" t="s">
        <v>184</v>
      </c>
      <c r="AW2" s="674" t="s">
        <v>57</v>
      </c>
      <c r="AX2" s="675" t="s">
        <v>58</v>
      </c>
      <c r="AY2" s="673" t="s">
        <v>183</v>
      </c>
      <c r="AZ2" s="674" t="s">
        <v>245</v>
      </c>
      <c r="BA2" s="674" t="s">
        <v>66</v>
      </c>
      <c r="BB2" s="674" t="s">
        <v>67</v>
      </c>
      <c r="BC2" s="674" t="s">
        <v>536</v>
      </c>
      <c r="BD2" s="674" t="s">
        <v>573</v>
      </c>
      <c r="BE2" s="675" t="s">
        <v>818</v>
      </c>
      <c r="BF2" s="673" t="s">
        <v>196</v>
      </c>
      <c r="BG2" s="674" t="s">
        <v>182</v>
      </c>
      <c r="BH2" s="675" t="s">
        <v>738</v>
      </c>
      <c r="BJ2" s="353">
        <v>1</v>
      </c>
      <c r="BK2" s="354">
        <v>2</v>
      </c>
      <c r="BL2" s="354" t="s">
        <v>653</v>
      </c>
      <c r="BM2" s="668">
        <v>100</v>
      </c>
    </row>
    <row r="3" spans="1:65" ht="15" customHeight="1" thickTop="1" x14ac:dyDescent="0.25">
      <c r="A3" s="678" t="s">
        <v>38</v>
      </c>
      <c r="B3" s="680">
        <f>VLOOKUP($BJ$2,AVAILABLE_Buildings_Resource[#All],MATCH(B$2,AVAILABLE_Buildings_Resource[#Headers],0))</f>
        <v>1</v>
      </c>
      <c r="C3" s="676">
        <f>VLOOKUP($BJ$2,AVAILABLE_Buildings_Resource[#All],MATCH(C$2,AVAILABLE_Buildings_Resource[#Headers],0))</f>
        <v>1</v>
      </c>
      <c r="D3" s="676">
        <f>VLOOKUP($BJ$2,AVAILABLE_Buildings_Resource[#All],MATCH(D$2,AVAILABLE_Buildings_Resource[#Headers],0))</f>
        <v>0</v>
      </c>
      <c r="E3" s="676">
        <f>VLOOKUP($BJ$2,AVAILABLE_Buildings_Resource[#All],MATCH(E$2,AVAILABLE_Buildings_Resource[#Headers],0))</f>
        <v>1</v>
      </c>
      <c r="F3" s="676">
        <f>VLOOKUP($BJ$2,AVAILABLE_Buildings_Resource[#All],MATCH(F$2,AVAILABLE_Buildings_Resource[#Headers],0))</f>
        <v>1</v>
      </c>
      <c r="G3" s="681">
        <f>VLOOKUP($BJ$2,AVAILABLE_Buildings_Resource[#All],MATCH(G$2,AVAILABLE_Buildings_Resource[#Headers],0))</f>
        <v>0</v>
      </c>
      <c r="H3" s="680">
        <f>VLOOKUP($BJ$2,AVAILABLE_Buildings_Army[#All],MATCH(H$2,AVAILABLE_Buildings_Army[#Headers],0))</f>
        <v>1</v>
      </c>
      <c r="I3" s="676">
        <f>VLOOKUP($BJ$2,AVAILABLE_Buildings_Army[#All],MATCH(I$2,AVAILABLE_Buildings_Army[#Headers],0))</f>
        <v>0</v>
      </c>
      <c r="J3" s="676">
        <f>VLOOKUP($BJ$2,AVAILABLE_Buildings_Army[#All],MATCH(J$2,AVAILABLE_Buildings_Army[#Headers],0))</f>
        <v>1</v>
      </c>
      <c r="K3" s="676">
        <f>VLOOKUP($BJ$2,AVAILABLE_Buildings_Army[#All],MATCH(K$2,AVAILABLE_Buildings_Army[#Headers],0))</f>
        <v>0</v>
      </c>
      <c r="L3" s="676">
        <f>VLOOKUP($BJ$2,AVAILABLE_Buildings_Army[#All],MATCH(L$2,AVAILABLE_Buildings_Army[#Headers],0))</f>
        <v>0</v>
      </c>
      <c r="M3" s="676">
        <f>VLOOKUP($BJ$2,AVAILABLE_Buildings_Army[#All],MATCH(M$2,AVAILABLE_Buildings_Army[#Headers],0))</f>
        <v>0</v>
      </c>
      <c r="N3" s="680">
        <f>VLOOKUP($BJ$2,AVAILABLE_Buildings_Defensive[#All],MATCH(N$2,AVAILABLE_Buildings_Defensive[#Headers],0))</f>
        <v>0</v>
      </c>
      <c r="O3" s="676">
        <f>VLOOKUP($BJ$2,AVAILABLE_Buildings_Defensive[#All],MATCH(O$2,AVAILABLE_Buildings_Defensive[#Headers],0))</f>
        <v>2</v>
      </c>
      <c r="P3" s="676">
        <f>VLOOKUP($BJ$2,AVAILABLE_Buildings_Defensive[#All],MATCH(P$2,AVAILABLE_Buildings_Defensive[#Headers],0))</f>
        <v>0</v>
      </c>
      <c r="Q3" s="676">
        <f>VLOOKUP($BJ$2,AVAILABLE_Buildings_Defensive[#All],MATCH(Q$2,AVAILABLE_Buildings_Defensive[#Headers],0))</f>
        <v>0</v>
      </c>
      <c r="R3" s="676">
        <f>VLOOKUP($BJ$2,AVAILABLE_Buildings_Defensive[#All],MATCH(R$2,AVAILABLE_Buildings_Defensive[#Headers],0))</f>
        <v>0</v>
      </c>
      <c r="S3" s="676">
        <f>VLOOKUP($BJ$2,AVAILABLE_Buildings_Defensive[#All],MATCH(S$2,AVAILABLE_Buildings_Defensive[#Headers],0))</f>
        <v>0</v>
      </c>
      <c r="T3" s="676">
        <f>VLOOKUP($BJ$2,AVAILABLE_Buildings_Defensive[#All],MATCH(T$2,AVAILABLE_Buildings_Defensive[#Headers],0))</f>
        <v>0</v>
      </c>
      <c r="U3" s="676">
        <f>VLOOKUP($BJ$2,AVAILABLE_Buildings_Defensive[#All],MATCH(U$2,AVAILABLE_Buildings_Defensive[#Headers],0))</f>
        <v>0</v>
      </c>
      <c r="V3" s="676">
        <f>VLOOKUP($BJ$2,AVAILABLE_Buildings_Defensive[#All],MATCH(V$2,AVAILABLE_Buildings_Defensive[#Headers],0))</f>
        <v>0</v>
      </c>
      <c r="W3" s="676">
        <f>VLOOKUP($BJ$2,AVAILABLE_Buildings_Defensive[#All],MATCH(W$2,AVAILABLE_Buildings_Defensive[#Headers],0))</f>
        <v>0</v>
      </c>
      <c r="X3" s="681">
        <f>VLOOKUP($BJ$2,AVAILABLE_Buildings_Defensive[#All],MATCH(X$2,AVAILABLE_Buildings_Defensive[#Headers],0))</f>
        <v>0</v>
      </c>
      <c r="Y3" s="680">
        <f>VLOOKUP($BJ$2,AVAILABLE_Traps[#All],MATCH(Y$2,AVAILABLE_Traps[#Headers],0))</f>
        <v>0</v>
      </c>
      <c r="Z3" s="676">
        <f>VLOOKUP($BJ$2,AVAILABLE_Traps[#All],MATCH(Z$2,AVAILABLE_Traps[#Headers],0))</f>
        <v>0</v>
      </c>
      <c r="AA3" s="676">
        <f>VLOOKUP($BJ$2,AVAILABLE_Traps[#All],MATCH(AA$2,AVAILABLE_Traps[#Headers],0))</f>
        <v>0</v>
      </c>
      <c r="AB3" s="676">
        <f>VLOOKUP($BJ$2,AVAILABLE_Traps[#All],MATCH(AB$2,AVAILABLE_Traps[#Headers],0))</f>
        <v>0</v>
      </c>
      <c r="AC3" s="676">
        <f>VLOOKUP($BJ$2,AVAILABLE_Traps[#All],MATCH(AC$2,AVAILABLE_Traps[#Headers],0))</f>
        <v>0</v>
      </c>
      <c r="AD3" s="681">
        <f>VLOOKUP($BJ$2,AVAILABLE_Traps[#All],MATCH(AD$2,AVAILABLE_Traps[#Headers],0))</f>
        <v>0</v>
      </c>
      <c r="AE3" s="680">
        <f>VLOOKUP($BJ$2,AVAILABLE_Buildings_Other[#All],MATCH(AE$2,AVAILABLE_Buildings_Other[#Headers],0))</f>
        <v>0</v>
      </c>
      <c r="AF3" s="681">
        <f>VLOOKUP($BJ$2,AVAILABLE_Buildings_Other[#All],MATCH(AF$2,AVAILABLE_Buildings_Other[#Headers],0))</f>
        <v>1</v>
      </c>
      <c r="AG3" s="680">
        <f>IF(IF(ISERROR(LOOKUP(MATCH(4,Paramètres!$L$6:$L$45,1),Paramètres!$A$6:$A$45)),0,LOOKUP(MATCH(4,Paramètres!$L$6:$L$45,1),Paramètres!$A$6:$A$45))&gt;=1,1,0)</f>
        <v>0</v>
      </c>
      <c r="AH3" s="676">
        <f>IF(IF(ISERROR(LOOKUP(MATCH(4,Paramètres!$L$6:$L$45,1),Paramètres!$A$6:$A$45)),0,LOOKUP(MATCH(4,Paramètres!$L$6:$L$45,1),Paramètres!$A$6:$A$45))&gt;=2,1,0)</f>
        <v>0</v>
      </c>
      <c r="AI3" s="676">
        <f>IF(IF(ISERROR(LOOKUP(MATCH(4,Paramètres!$L$6:$L$45,1),Paramètres!$A$6:$A$45)),0,LOOKUP(MATCH(4,Paramètres!$L$6:$L$45,1),Paramètres!$A$6:$A$45))&gt;=3,1,0)</f>
        <v>0</v>
      </c>
      <c r="AJ3" s="676">
        <f>IF(IF(ISERROR(LOOKUP(MATCH(4,Paramètres!$L$6:$L$45,1),Paramètres!$A$6:$A$45)),0,LOOKUP(MATCH(4,Paramètres!$L$6:$L$45,1),Paramètres!$A$6:$A$45))&gt;=4,1,0)</f>
        <v>0</v>
      </c>
      <c r="AK3" s="676">
        <f>IF(IF(ISERROR(LOOKUP(MATCH(4,Paramètres!$L$6:$L$45,1),Paramètres!$A$6:$A$45)),0,LOOKUP(MATCH(4,Paramètres!$L$6:$L$45,1),Paramètres!$A$6:$A$45))&gt;=4,1,0)</f>
        <v>0</v>
      </c>
      <c r="AL3" s="676">
        <f>IF(IF(ISERROR(LOOKUP(MATCH(4,Paramètres!$M$6:$M$45,1),Paramètres!$A$6:$A$45)),0,LOOKUP(MATCH(4,Paramètres!$M$6:$M$45,1),Paramètres!$A$6:$A$45))&gt;=1,1,0)</f>
        <v>0</v>
      </c>
      <c r="AM3" s="676">
        <f>IF(IF(ISERROR(LOOKUP(MATCH(4,Paramètres!$M$6:$M$45,1),Paramètres!$A$6:$A$45)),0,LOOKUP(MATCH(4,Paramètres!$M$6:$M$45,1),Paramètres!$A$6:$A$45))&gt;=2,1,0)</f>
        <v>0</v>
      </c>
      <c r="AN3" s="681">
        <f>IF(IF(ISERROR(LOOKUP(MATCH(4,Paramètres!$M$6:$M$45,1),Paramètres!$A$6:$A$45)),0,LOOKUP(MATCH(4,Paramètres!$M$6:$M$45,1),Paramètres!$A$6:$A$45))&gt;=3,1,0)</f>
        <v>0</v>
      </c>
      <c r="AO3" s="680">
        <f>IF(IF(ISERROR(LOOKUP(MATCH(4,Paramètres!$H$6:$H$45,1),Paramètres!$A$6:$A$45)),0,LOOKUP(MATCH(4,Paramètres!$H$6:$H$45,1),Paramètres!$A$6:$A$45))&gt;=1,1,0)</f>
        <v>0</v>
      </c>
      <c r="AP3" s="676">
        <f>IF(IF(ISERROR(LOOKUP(MATCH(4,Paramètres!$H$6:$H$45,1),Paramètres!$A$6:$A$45)),0,LOOKUP(MATCH(4,Paramètres!$H$6:$H$45,1),Paramètres!$A$6:$A$45))&gt;=2,1,0)</f>
        <v>0</v>
      </c>
      <c r="AQ3" s="676">
        <f>IF(IF(ISERROR(LOOKUP(MATCH(4,Paramètres!$H$6:$H$45,1),Paramètres!$A$6:$A$45)),0,LOOKUP(MATCH(4,Paramètres!$H$6:$H$45,1),Paramètres!$A$6:$A$45))&gt;=3,1,0)</f>
        <v>0</v>
      </c>
      <c r="AR3" s="676">
        <f>IF(IF(ISERROR(LOOKUP(MATCH(4,Paramètres!$H$6:$H$45,1),Paramètres!$A$6:$A$45)),0,LOOKUP(MATCH(4,Paramètres!$H$6:$H$45,1),Paramètres!$A$6:$A$45))&gt;=4,1,0)</f>
        <v>0</v>
      </c>
      <c r="AS3" s="676">
        <f>IF(IF(ISERROR(LOOKUP(MATCH(4,Paramètres!$H$6:$H$45,1),Paramètres!$A$6:$A$45)),0,LOOKUP(MATCH(4,Paramètres!$H$6:$H$45,1),Paramètres!$A$6:$A$45))&gt;=5,1,0)</f>
        <v>0</v>
      </c>
      <c r="AT3" s="676">
        <f>IF(IF(ISERROR(LOOKUP(MATCH(4,Paramètres!$H$6:$H$45,1),Paramètres!$A$6:$A$45)),0,LOOKUP(MATCH(4,Paramètres!$H$6:$H$45,1),Paramètres!$A$6:$A$45))&gt;=6,1,0)</f>
        <v>0</v>
      </c>
      <c r="AU3" s="676">
        <f>IF(IF(ISERROR(LOOKUP(MATCH(4,Paramètres!$H$6:$H$45,1),Paramètres!$A$6:$A$45)),0,LOOKUP(MATCH(4,Paramètres!$H$6:$H$45,1),Paramètres!$A$6:$A$45))&gt;=7,1,0)</f>
        <v>0</v>
      </c>
      <c r="AV3" s="676">
        <f>IF(IF(ISERROR(LOOKUP(MATCH(4,Paramètres!$H$6:$H$45,1),Paramètres!$A$6:$A$45)),0,LOOKUP(MATCH(4,Paramètres!$H$6:$H$45,1),Paramètres!$A$6:$A$45))&gt;=8,1,0)</f>
        <v>0</v>
      </c>
      <c r="AW3" s="676">
        <f>IF(IF(ISERROR(LOOKUP(MATCH(4,Paramètres!$H$6:$H$45,1),Paramètres!$A$6:$A$45)),0,LOOKUP(MATCH(4,Paramètres!$H$6:$H$45,1),Paramètres!$A$6:$A$45))&gt;=9,1,0)</f>
        <v>0</v>
      </c>
      <c r="AX3" s="681">
        <f>IF(IF(ISERROR(LOOKUP(MATCH(4,Paramètres!$H$6:$H$45,1),Paramètres!$A$6:$A$45)),0,LOOKUP(MATCH(4,Paramètres!$H$6:$H$45,1),Paramètres!$A$6:$A$45))&gt;=10,1,0)</f>
        <v>0</v>
      </c>
      <c r="AY3" s="680">
        <f>IF(IF(ISERROR(LOOKUP(MATCH(4,Paramètres!$I$6:$I$45,1),Paramètres!$A$6:$A$45)),0,LOOKUP(MATCH(4,Paramètres!$I$6:$I$45,1),Paramètres!$A$6:$A$45))&gt;=1,1,0)</f>
        <v>0</v>
      </c>
      <c r="AZ3" s="676">
        <f>IF(IF(ISERROR(LOOKUP(MATCH(4,Paramètres!$I$6:$I$45,1),Paramètres!$A$6:$A$45)),0,LOOKUP(MATCH(4,Paramètres!$I$6:$I$45,1),Paramètres!$A$6:$A$45))&gt;=2,1,0)</f>
        <v>0</v>
      </c>
      <c r="BA3" s="676">
        <f>IF(IF(ISERROR(LOOKUP(MATCH(4,Paramètres!$I$6:$I$45,1),Paramètres!$A$6:$A$45)),0,LOOKUP(MATCH(4,Paramètres!$I$6:$I$45,1),Paramètres!$A$6:$A$45))&gt;=3,1,0)</f>
        <v>0</v>
      </c>
      <c r="BB3" s="676">
        <f>IF(IF(ISERROR(LOOKUP(MATCH(4,Paramètres!$I$6:$I$45,1),Paramètres!$A$6:$A$45)),0,LOOKUP(MATCH(4,Paramètres!$I$6:$I$45,1),Paramètres!$A$6:$A$45))&gt;=4,1,0)</f>
        <v>0</v>
      </c>
      <c r="BC3" s="676">
        <f>IF(IF(ISERROR(LOOKUP(MATCH(4,Paramètres!$I$6:$I$45,1),Paramètres!$A$6:$A$45)),0,LOOKUP(MATCH(4,Paramètres!$I$6:$I$45,1),Paramètres!$A$6:$A$45))&gt;=5,1,0)</f>
        <v>0</v>
      </c>
      <c r="BD3" s="676">
        <f>IF(IF(ISERROR(LOOKUP(MATCH(4,Paramètres!$I$6:$I$45,1),Paramètres!$A$6:$A$45)),0,LOOKUP(MATCH(4,Paramètres!$I$6:$I$45,1),Paramètres!$A$6:$A$45))&gt;=6,1,0)</f>
        <v>0</v>
      </c>
      <c r="BE3" s="681">
        <f>IF(IF(ISERROR(LOOKUP(MATCH(4,Paramètres!$I$6:$I$45,1),Paramètres!$A$6:$A$45)),0,LOOKUP(MATCH(4,Paramètres!$I$6:$I$45,1),Paramètres!$A$6:$A$45))&gt;=7,1,0)</f>
        <v>0</v>
      </c>
      <c r="BF3" s="680">
        <f>VLOOKUP($BJ$2,AVAILABLE_Heroes[#All],MATCH(BF$2,AVAILABLE_Heroes[#Headers],0))</f>
        <v>0</v>
      </c>
      <c r="BG3" s="676">
        <f>VLOOKUP($BJ$2,AVAILABLE_Heroes[#All],MATCH(BG$2,AVAILABLE_Heroes[#Headers],0))</f>
        <v>0</v>
      </c>
      <c r="BH3" s="681">
        <f>VLOOKUP($BJ$2,AVAILABLE_Heroes[#All],MATCH(BH$2,AVAILABLE_Heroes[#Headers],0))</f>
        <v>0</v>
      </c>
    </row>
    <row r="4" spans="1:65" ht="20.100000000000001" customHeight="1" x14ac:dyDescent="0.25">
      <c r="A4" s="678" t="s">
        <v>361</v>
      </c>
      <c r="B4" s="682">
        <f t="shared" ref="B4:AF4" si="0">B3-B46</f>
        <v>1</v>
      </c>
      <c r="C4" s="677">
        <f t="shared" si="0"/>
        <v>1</v>
      </c>
      <c r="D4" s="677">
        <f t="shared" si="0"/>
        <v>0</v>
      </c>
      <c r="E4" s="677">
        <f t="shared" si="0"/>
        <v>1</v>
      </c>
      <c r="F4" s="677">
        <f t="shared" si="0"/>
        <v>1</v>
      </c>
      <c r="G4" s="683">
        <f t="shared" si="0"/>
        <v>0</v>
      </c>
      <c r="H4" s="682">
        <f t="shared" si="0"/>
        <v>1</v>
      </c>
      <c r="I4" s="677">
        <f t="shared" si="0"/>
        <v>0</v>
      </c>
      <c r="J4" s="677">
        <f t="shared" si="0"/>
        <v>1</v>
      </c>
      <c r="K4" s="677">
        <f t="shared" si="0"/>
        <v>0</v>
      </c>
      <c r="L4" s="677">
        <f t="shared" si="0"/>
        <v>0</v>
      </c>
      <c r="M4" s="683">
        <f t="shared" si="0"/>
        <v>0</v>
      </c>
      <c r="N4" s="682">
        <f t="shared" si="0"/>
        <v>0</v>
      </c>
      <c r="O4" s="677">
        <f t="shared" si="0"/>
        <v>2</v>
      </c>
      <c r="P4" s="677">
        <f t="shared" si="0"/>
        <v>0</v>
      </c>
      <c r="Q4" s="677">
        <f>Q3-Q46</f>
        <v>0</v>
      </c>
      <c r="R4" s="677">
        <f>R3-R46</f>
        <v>0</v>
      </c>
      <c r="S4" s="677">
        <f t="shared" si="0"/>
        <v>0</v>
      </c>
      <c r="T4" s="677">
        <f t="shared" ref="T4" si="1">T3-T46</f>
        <v>0</v>
      </c>
      <c r="U4" s="677">
        <f t="shared" si="0"/>
        <v>0</v>
      </c>
      <c r="V4" s="677">
        <f t="shared" si="0"/>
        <v>0</v>
      </c>
      <c r="W4" s="677">
        <f t="shared" si="0"/>
        <v>0</v>
      </c>
      <c r="X4" s="683">
        <f t="shared" ref="X4:AD4" si="2">X3-X46</f>
        <v>0</v>
      </c>
      <c r="Y4" s="682">
        <f t="shared" si="2"/>
        <v>0</v>
      </c>
      <c r="Z4" s="677">
        <f t="shared" si="2"/>
        <v>0</v>
      </c>
      <c r="AA4" s="677">
        <f t="shared" si="2"/>
        <v>0</v>
      </c>
      <c r="AB4" s="677">
        <f t="shared" si="2"/>
        <v>0</v>
      </c>
      <c r="AC4" s="677">
        <f t="shared" si="2"/>
        <v>0</v>
      </c>
      <c r="AD4" s="683">
        <f t="shared" si="2"/>
        <v>0</v>
      </c>
      <c r="AE4" s="682">
        <f t="shared" si="0"/>
        <v>0</v>
      </c>
      <c r="AF4" s="683">
        <f t="shared" si="0"/>
        <v>0</v>
      </c>
      <c r="AG4" s="682">
        <f t="shared" ref="AG4:BC4" si="3">AG3-AG46</f>
        <v>0</v>
      </c>
      <c r="AH4" s="677">
        <f t="shared" si="3"/>
        <v>0</v>
      </c>
      <c r="AI4" s="677">
        <f t="shared" si="3"/>
        <v>0</v>
      </c>
      <c r="AJ4" s="677">
        <f>AJ3-AJ46</f>
        <v>0</v>
      </c>
      <c r="AK4" s="677">
        <f t="shared" si="3"/>
        <v>0</v>
      </c>
      <c r="AL4" s="677">
        <f t="shared" si="3"/>
        <v>0</v>
      </c>
      <c r="AM4" s="677">
        <f t="shared" si="3"/>
        <v>0</v>
      </c>
      <c r="AN4" s="683">
        <f>AN3-AN46</f>
        <v>0</v>
      </c>
      <c r="AO4" s="682">
        <f t="shared" si="3"/>
        <v>0</v>
      </c>
      <c r="AP4" s="677">
        <f t="shared" si="3"/>
        <v>0</v>
      </c>
      <c r="AQ4" s="677">
        <f t="shared" si="3"/>
        <v>0</v>
      </c>
      <c r="AR4" s="677">
        <f t="shared" si="3"/>
        <v>0</v>
      </c>
      <c r="AS4" s="677">
        <f t="shared" si="3"/>
        <v>0</v>
      </c>
      <c r="AT4" s="677">
        <f t="shared" si="3"/>
        <v>0</v>
      </c>
      <c r="AU4" s="677">
        <f t="shared" si="3"/>
        <v>0</v>
      </c>
      <c r="AV4" s="677">
        <f t="shared" si="3"/>
        <v>0</v>
      </c>
      <c r="AW4" s="677">
        <f t="shared" si="3"/>
        <v>0</v>
      </c>
      <c r="AX4" s="683">
        <f>AX3-AX46</f>
        <v>0</v>
      </c>
      <c r="AY4" s="682">
        <f t="shared" si="3"/>
        <v>0</v>
      </c>
      <c r="AZ4" s="677">
        <f t="shared" si="3"/>
        <v>0</v>
      </c>
      <c r="BA4" s="677">
        <f>BA3-BA46</f>
        <v>0</v>
      </c>
      <c r="BB4" s="677">
        <f t="shared" si="3"/>
        <v>0</v>
      </c>
      <c r="BC4" s="677">
        <f t="shared" si="3"/>
        <v>0</v>
      </c>
      <c r="BD4" s="677">
        <f>BD3-BD46</f>
        <v>0</v>
      </c>
      <c r="BE4" s="683">
        <f>BE3-BE46</f>
        <v>0</v>
      </c>
      <c r="BF4" s="682">
        <f>BF3-BF46</f>
        <v>0</v>
      </c>
      <c r="BG4" s="677">
        <f>BG3-BG46</f>
        <v>0</v>
      </c>
      <c r="BH4" s="683">
        <f>BH3-BH46</f>
        <v>0</v>
      </c>
      <c r="BL4" s="129"/>
      <c r="BM4" s="129"/>
    </row>
    <row r="5" spans="1:65" ht="20.100000000000001" customHeight="1" thickBot="1" x14ac:dyDescent="0.3">
      <c r="A5" s="678" t="s">
        <v>39</v>
      </c>
      <c r="B5" s="948">
        <f>VLOOKUP($BJ$2,AVAILABLE_Buildings_Resource[#All],MATCH(B$2,AVAILABLE_Buildings_Resource[#Headers],0)+1)</f>
        <v>2</v>
      </c>
      <c r="C5" s="949">
        <f>VLOOKUP($BJ$2,AVAILABLE_Buildings_Resource[#All],MATCH(C$2,AVAILABLE_Buildings_Resource[#Headers],0)+1)</f>
        <v>2</v>
      </c>
      <c r="D5" s="949">
        <f>VLOOKUP($BJ$2,AVAILABLE_Buildings_Resource[#All],MATCH(D$2,AVAILABLE_Buildings_Resource[#Headers],0)+1)</f>
        <v>0</v>
      </c>
      <c r="E5" s="949">
        <f>VLOOKUP($BJ$2,AVAILABLE_Buildings_Resource[#All],MATCH(E$2,AVAILABLE_Buildings_Resource[#Headers],0)+1)</f>
        <v>1</v>
      </c>
      <c r="F5" s="949">
        <f>VLOOKUP($BJ$2,AVAILABLE_Buildings_Resource[#All],MATCH(F$2,AVAILABLE_Buildings_Resource[#Headers],0)+1)</f>
        <v>1</v>
      </c>
      <c r="G5" s="950">
        <f>VLOOKUP($BJ$2,AVAILABLE_Buildings_Resource[#All],MATCH(G$2,AVAILABLE_Buildings_Resource[#Headers],0)+1)</f>
        <v>0</v>
      </c>
      <c r="H5" s="948">
        <f>VLOOKUP($BJ$2,AVAILABLE_Buildings_Army[#All],MATCH(H$2,AVAILABLE_Buildings_Army[#Headers],0)+1)</f>
        <v>3</v>
      </c>
      <c r="I5" s="949">
        <f>VLOOKUP($BJ$2,AVAILABLE_Buildings_Army[#All],MATCH(I$2,AVAILABLE_Buildings_Army[#Headers],0)+1)</f>
        <v>0</v>
      </c>
      <c r="J5" s="949">
        <f>VLOOKUP($BJ$2,AVAILABLE_Buildings_Army[#All],MATCH(J$2,AVAILABLE_Buildings_Army[#Headers],0)+1)</f>
        <v>1</v>
      </c>
      <c r="K5" s="949">
        <f>VLOOKUP($BJ$2,AVAILABLE_Buildings_Army[#All],MATCH(K$2,AVAILABLE_Buildings_Army[#Headers],0)+1)</f>
        <v>0</v>
      </c>
      <c r="L5" s="949">
        <f>VLOOKUP($BJ$2,AVAILABLE_Buildings_Army[#All],MATCH(L$2,AVAILABLE_Buildings_Army[#Headers],0)+1)</f>
        <v>0</v>
      </c>
      <c r="M5" s="949">
        <f>VLOOKUP($BJ$2,AVAILABLE_Buildings_Army[#All],MATCH(M$2,AVAILABLE_Buildings_Army[#Headers],0)+1)</f>
        <v>0</v>
      </c>
      <c r="N5" s="948">
        <f>VLOOKUP($BJ$2,AVAILABLE_Buildings_Defensive[#All],MATCH(N$2,AVAILABLE_Buildings_Defensive[#Headers],0)+1)</f>
        <v>0</v>
      </c>
      <c r="O5" s="949">
        <f>VLOOKUP($BJ$2,AVAILABLE_Buildings_Defensive[#All],MATCH(O$2,AVAILABLE_Buildings_Defensive[#Headers],0)+1)</f>
        <v>2</v>
      </c>
      <c r="P5" s="949">
        <f>VLOOKUP($BJ$2,AVAILABLE_Buildings_Defensive[#All],MATCH(P$2,AVAILABLE_Buildings_Defensive[#Headers],0)+1)</f>
        <v>0</v>
      </c>
      <c r="Q5" s="949">
        <f>VLOOKUP($BJ$2,AVAILABLE_Buildings_Defensive[#All],MATCH(Q$2,AVAILABLE_Buildings_Defensive[#Headers],0)+1)</f>
        <v>0</v>
      </c>
      <c r="R5" s="949">
        <f>VLOOKUP($BJ$2,AVAILABLE_Buildings_Defensive[#All],MATCH(R$2,AVAILABLE_Buildings_Defensive[#Headers],0)+1)</f>
        <v>0</v>
      </c>
      <c r="S5" s="949">
        <f>VLOOKUP($BJ$2,AVAILABLE_Buildings_Defensive[#All],MATCH(S$2,AVAILABLE_Buildings_Defensive[#Headers],0)+1)</f>
        <v>0</v>
      </c>
      <c r="T5" s="949">
        <f>VLOOKUP($BJ$2,AVAILABLE_Buildings_Defensive[#All],MATCH(T$2,AVAILABLE_Buildings_Defensive[#Headers],0)+1)</f>
        <v>0</v>
      </c>
      <c r="U5" s="949">
        <f>VLOOKUP($BJ$2,AVAILABLE_Buildings_Defensive[#All],MATCH(U$2,AVAILABLE_Buildings_Defensive[#Headers],0)+1)</f>
        <v>0</v>
      </c>
      <c r="V5" s="949">
        <f>VLOOKUP($BJ$2,AVAILABLE_Buildings_Defensive[#All],MATCH(V$2,AVAILABLE_Buildings_Defensive[#Headers],0)+1)</f>
        <v>0</v>
      </c>
      <c r="W5" s="949">
        <f>VLOOKUP($BJ$2,AVAILABLE_Buildings_Defensive[#All],MATCH(W$2,AVAILABLE_Buildings_Defensive[#Headers],0)+1)</f>
        <v>0</v>
      </c>
      <c r="X5" s="950">
        <f>VLOOKUP($BJ$2,AVAILABLE_Buildings_Defensive[#All],MATCH(X$2,AVAILABLE_Buildings_Defensive[#Headers],0)+1)</f>
        <v>0</v>
      </c>
      <c r="Y5" s="948">
        <f>VLOOKUP($BJ$2,AVAILABLE_Traps[#All],MATCH(Y$2,AVAILABLE_Traps[#Headers],0)+1)</f>
        <v>0</v>
      </c>
      <c r="Z5" s="949">
        <f>VLOOKUP($BJ$2,AVAILABLE_Traps[#All],MATCH(Z$2,AVAILABLE_Traps[#Headers],0)+1)</f>
        <v>0</v>
      </c>
      <c r="AA5" s="949">
        <f>VLOOKUP($BJ$2,AVAILABLE_Traps[#All],MATCH(AA$2,AVAILABLE_Traps[#Headers],0)+1)</f>
        <v>0</v>
      </c>
      <c r="AB5" s="949">
        <f>VLOOKUP($BJ$2,AVAILABLE_Traps[#All],MATCH(AB$2,AVAILABLE_Traps[#Headers],0)+1)</f>
        <v>0</v>
      </c>
      <c r="AC5" s="949">
        <f>VLOOKUP($BJ$2,AVAILABLE_Traps[#All],MATCH(AC$2,AVAILABLE_Traps[#Headers],0)+1)</f>
        <v>0</v>
      </c>
      <c r="AD5" s="950">
        <f>VLOOKUP($BJ$2,AVAILABLE_Traps[#All],MATCH(AD$2,AVAILABLE_Traps[#Headers],0)+1)</f>
        <v>0</v>
      </c>
      <c r="AE5" s="948">
        <f>VLOOKUP($BJ$2,AVAILABLE_Buildings_Other[#All],MATCH(AE$2,AVAILABLE_Buildings_Other[#Headers],0)+1)</f>
        <v>0</v>
      </c>
      <c r="AF5" s="950">
        <f>VLOOKUP($BJ$2,AVAILABLE_Buildings_Other[#All],MATCH(AF$2,AVAILABLE_Buildings_Other[#Headers],0)+1)</f>
        <v>2</v>
      </c>
      <c r="AG5" s="948">
        <f>VLOOKUP(IF(ISERROR(LOOKUP(MATCH(1,Paramètres!$K$6:$K$45,0),Paramètres!$A$6:$A$45)),0,LOOKUP(MATCH(1,Paramètres!$K$6:$K$45,0),Paramètres!$A$6:$A$45)),AVAILABLE_Upgrades_Spells[#All],MATCH(AG$2,AVAILABLE_Upgrades_Spells[#Headers],0)+1)</f>
        <v>0</v>
      </c>
      <c r="AH5" s="949">
        <f>VLOOKUP(IF(ISERROR(LOOKUP(MATCH(1,Paramètres!$K$6:$K$45,0),Paramètres!$A$6:$A$45)),0,LOOKUP(MATCH(1,Paramètres!$K$6:$K$45,0),Paramètres!$A$6:$A$45)),AVAILABLE_Upgrades_Spells[#All],MATCH(AH$2,AVAILABLE_Upgrades_Spells[#Headers],0)+1)</f>
        <v>0</v>
      </c>
      <c r="AI5" s="949">
        <f>VLOOKUP(IF(ISERROR(LOOKUP(MATCH(1,Paramètres!$K$6:$K$45,0),Paramètres!$A$6:$A$45)),0,LOOKUP(MATCH(1,Paramètres!$K$6:$K$45,0),Paramètres!$A$6:$A$45)),AVAILABLE_Upgrades_Spells[#All],MATCH(AI$2,AVAILABLE_Upgrades_Spells[#Headers],0)+1)</f>
        <v>0</v>
      </c>
      <c r="AJ5" s="949">
        <f>VLOOKUP(IF(ISERROR(LOOKUP(MATCH(1,Paramètres!$K$6:$K$45,0),Paramètres!$A$6:$A$45)),0,LOOKUP(MATCH(1,Paramètres!$K$6:$K$45,0),Paramètres!$A$6:$A$45)),AVAILABLE_Upgrades_Spells[#All],MATCH(AJ$2,AVAILABLE_Upgrades_Spells[#Headers],0)+1)</f>
        <v>0</v>
      </c>
      <c r="AK5" s="949">
        <f>VLOOKUP(IF(ISERROR(LOOKUP(MATCH(1,Paramètres!$K$6:$K$45,0),Paramètres!$A$6:$A$45)),0,LOOKUP(MATCH(1,Paramètres!$K$6:$K$45,0),Paramètres!$A$6:$A$45)),AVAILABLE_Upgrades_Spells[#All],MATCH(AK$2,AVAILABLE_Upgrades_Spells[#Headers],0)+1)</f>
        <v>0</v>
      </c>
      <c r="AL5" s="949">
        <f>VLOOKUP(IF(ISERROR(LOOKUP(MATCH(1,Paramètres!$K$6:$K$45,0),Paramètres!$A$6:$A$45)),0,LOOKUP(MATCH(1,Paramètres!$K$6:$K$45,0),Paramètres!$A$6:$A$45)),AVAILABLE_Upgrades_Dark_Spells[#All],MATCH(AL$2,AVAILABLE_Upgrades_Dark_Spells[#Headers],0)+1)</f>
        <v>0</v>
      </c>
      <c r="AM5" s="949">
        <f>VLOOKUP(IF(ISERROR(LOOKUP(MATCH(1,Paramètres!$K$6:$K$45,0),Paramètres!$A$6:$A$45)),0,LOOKUP(MATCH(1,Paramètres!$K$6:$K$45,0),Paramètres!$A$6:$A$45)),AVAILABLE_Upgrades_Dark_Spells[#All],MATCH(AM$2,AVAILABLE_Upgrades_Dark_Spells[#Headers],0)+1)</f>
        <v>0</v>
      </c>
      <c r="AN5" s="950">
        <f>VLOOKUP(IF(ISERROR(LOOKUP(MATCH(1,Paramètres!$K$6:$K$45,0),Paramètres!$A$6:$A$45)),0,LOOKUP(MATCH(1,Paramètres!$K$6:$K$45,0),Paramètres!$A$6:$A$45)),AVAILABLE_Upgrades_Dark_Spells[#All],MATCH(AN$2,AVAILABLE_Upgrades_Dark_Spells[#Headers],0)+1)</f>
        <v>0</v>
      </c>
      <c r="AO5" s="948">
        <f>VLOOKUP(IF(ISERROR(LOOKUP(MATCH(1,Paramètres!$K$6:$K$45,0),Paramètres!$A$6:$A$45)),0,LOOKUP(MATCH(1,Paramètres!$K$6:$K$45,0),Paramètres!$A$6:$A$45)),AVAILABLE_Upgrades_Normal_Troops[#All],MATCH(AO$2,AVAILABLE_Upgrades_Normal_Troops[#Headers],0)+1)</f>
        <v>0</v>
      </c>
      <c r="AP5" s="949">
        <f>VLOOKUP(IF(ISERROR(LOOKUP(MATCH(1,Paramètres!$K$6:$K$45,0),Paramètres!$A$6:$A$45)),0,LOOKUP(MATCH(1,Paramètres!$K$6:$K$45,0),Paramètres!$A$6:$A$45)),AVAILABLE_Upgrades_Normal_Troops[#All],MATCH(AP$2,AVAILABLE_Upgrades_Normal_Troops[#Headers],0)+1)</f>
        <v>0</v>
      </c>
      <c r="AQ5" s="949">
        <f>VLOOKUP(IF(ISERROR(LOOKUP(MATCH(1,Paramètres!$K$6:$K$45,0),Paramètres!$A$6:$A$45)),0,LOOKUP(MATCH(1,Paramètres!$K$6:$K$45,0),Paramètres!$A$6:$A$45)),AVAILABLE_Upgrades_Normal_Troops[#All],MATCH(AQ$2,AVAILABLE_Upgrades_Normal_Troops[#Headers],0)+1)</f>
        <v>0</v>
      </c>
      <c r="AR5" s="949">
        <f>VLOOKUP(IF(ISERROR(LOOKUP(MATCH(1,Paramètres!$K$6:$K$45,0),Paramètres!$A$6:$A$45)),0,LOOKUP(MATCH(1,Paramètres!$K$6:$K$45,0),Paramètres!$A$6:$A$45)),AVAILABLE_Upgrades_Normal_Troops[#All],MATCH(AR$2,AVAILABLE_Upgrades_Normal_Troops[#Headers],0)+1)</f>
        <v>0</v>
      </c>
      <c r="AS5" s="949">
        <f>VLOOKUP(IF(ISERROR(LOOKUP(MATCH(1,Paramètres!$K$6:$K$45,0),Paramètres!$A$6:$A$45)),0,LOOKUP(MATCH(1,Paramètres!$K$6:$K$45,0),Paramètres!$A$6:$A$45)),AVAILABLE_Upgrades_Normal_Troops[#All],MATCH(AS$2,AVAILABLE_Upgrades_Normal_Troops[#Headers],0)+1)</f>
        <v>0</v>
      </c>
      <c r="AT5" s="949">
        <f>VLOOKUP(IF(ISERROR(LOOKUP(MATCH(1,Paramètres!$K$6:$K$45,0),Paramètres!$A$6:$A$45)),0,LOOKUP(MATCH(1,Paramètres!$K$6:$K$45,0),Paramètres!$A$6:$A$45)),AVAILABLE_Upgrades_Normal_Troops[#All],MATCH(AT$2,AVAILABLE_Upgrades_Normal_Troops[#Headers],0)+1)</f>
        <v>0</v>
      </c>
      <c r="AU5" s="949">
        <f>VLOOKUP(IF(ISERROR(LOOKUP(MATCH(1,Paramètres!$K$6:$K$45,0),Paramètres!$A$6:$A$45)),0,LOOKUP(MATCH(1,Paramètres!$K$6:$K$45,0),Paramètres!$A$6:$A$45)),AVAILABLE_Upgrades_Normal_Troops[#All],MATCH(AU$2,AVAILABLE_Upgrades_Normal_Troops[#Headers],0)+1)</f>
        <v>0</v>
      </c>
      <c r="AV5" s="949">
        <f>VLOOKUP(IF(ISERROR(LOOKUP(MATCH(1,Paramètres!$K$6:$K$45,0),Paramètres!$A$6:$A$45)),0,LOOKUP(MATCH(1,Paramètres!$K$6:$K$45,0),Paramètres!$A$6:$A$45)),AVAILABLE_Upgrades_Normal_Troops[#All],MATCH(AV$2,AVAILABLE_Upgrades_Normal_Troops[#Headers],0)+1)</f>
        <v>0</v>
      </c>
      <c r="AW5" s="949">
        <f>VLOOKUP(IF(ISERROR(LOOKUP(MATCH(1,Paramètres!$K$6:$K$45,0),Paramètres!$A$6:$A$45)),0,LOOKUP(MATCH(1,Paramètres!$K$6:$K$45,0),Paramètres!$A$6:$A$45)),AVAILABLE_Upgrades_Normal_Troops[#All],MATCH(AW$2,AVAILABLE_Upgrades_Normal_Troops[#Headers],0)+1)</f>
        <v>0</v>
      </c>
      <c r="AX5" s="950">
        <f>VLOOKUP(IF(ISERROR(LOOKUP(MATCH(1,Paramètres!$K$6:$K$45,0),Paramètres!$A$6:$A$45)),0,LOOKUP(MATCH(1,Paramètres!$K$6:$K$45,0),Paramètres!$A$6:$A$45)),AVAILABLE_Upgrades_Normal_Troops[#All],MATCH(AX$2,AVAILABLE_Upgrades_Normal_Troops[#Headers],0)+1)</f>
        <v>0</v>
      </c>
      <c r="AY5" s="948">
        <f>VLOOKUP(IF(ISERROR(LOOKUP(MATCH(1,Paramètres!$K$6:$K$45,0),Paramètres!$A$6:$A$45)),0,LOOKUP(MATCH(1,Paramètres!$K$6:$K$45,0),Paramètres!$A$6:$A$45)),AVAILABLE_Upgrades_Dark_Troops[#All],MATCH(AY$2,AVAILABLE_Upgrades_Dark_Troops[#Headers],0)+1)</f>
        <v>0</v>
      </c>
      <c r="AZ5" s="949">
        <f>VLOOKUP(IF(ISERROR(LOOKUP(MATCH(1,Paramètres!$K$6:$K$45,0),Paramètres!$A$6:$A$45)),0,LOOKUP(MATCH(1,Paramètres!$K$6:$K$45,0),Paramètres!$A$6:$A$45)),AVAILABLE_Upgrades_Dark_Troops[#All],MATCH(AZ$2,AVAILABLE_Upgrades_Dark_Troops[#Headers],0)+1)</f>
        <v>0</v>
      </c>
      <c r="BA5" s="949">
        <f>VLOOKUP(IF(ISERROR(LOOKUP(MATCH(1,Paramètres!$K$6:$K$45,0),Paramètres!$A$6:$A$45)),0,LOOKUP(MATCH(1,Paramètres!$K$6:$K$45,0),Paramètres!$A$6:$A$45)),AVAILABLE_Upgrades_Dark_Troops[#All],MATCH(BA$2,AVAILABLE_Upgrades_Dark_Troops[#Headers],0)+1)</f>
        <v>0</v>
      </c>
      <c r="BB5" s="949">
        <f>VLOOKUP(IF(ISERROR(LOOKUP(MATCH(1,Paramètres!$K$6:$K$45,0),Paramètres!$A$6:$A$45)),0,LOOKUP(MATCH(1,Paramètres!$K$6:$K$45,0),Paramètres!$A$6:$A$45)),AVAILABLE_Upgrades_Dark_Troops[#All],MATCH(BB$2,AVAILABLE_Upgrades_Dark_Troops[#Headers],0)+1)</f>
        <v>0</v>
      </c>
      <c r="BC5" s="949">
        <f>VLOOKUP(IF(ISERROR(LOOKUP(MATCH(1,Paramètres!$K$6:$K$45,0),Paramètres!$A$6:$A$45)),0,LOOKUP(MATCH(1,Paramètres!$K$6:$K$45,0),Paramètres!$A$6:$A$45)),AVAILABLE_Upgrades_Dark_Troops[#All],MATCH(BC$2,AVAILABLE_Upgrades_Dark_Troops[#Headers],0)+1)</f>
        <v>0</v>
      </c>
      <c r="BD5" s="949">
        <f>VLOOKUP(IF(ISERROR(LOOKUP(MATCH(1,Paramètres!$K$6:$K$45,0),Paramètres!$A$6:$A$45)),0,LOOKUP(MATCH(1,Paramètres!$K$6:$K$45,0),Paramètres!$A$6:$A$45)),AVAILABLE_Upgrades_Dark_Troops[#All],MATCH(BD$2,AVAILABLE_Upgrades_Dark_Troops[#Headers],0)+1)</f>
        <v>0</v>
      </c>
      <c r="BE5" s="950">
        <f>VLOOKUP(IF(ISERROR(LOOKUP(MATCH(1,Paramètres!$K$6:$K$45,0),Paramètres!$A$6:$A$45)),0,LOOKUP(MATCH(1,Paramètres!$K$6:$K$45,0),Paramètres!$A$6:$A$45)),AVAILABLE_Upgrades_Dark_Troops[#All],MATCH(BE$2,AVAILABLE_Upgrades_Dark_Troops[#Headers],0)+1)</f>
        <v>0</v>
      </c>
      <c r="BF5" s="948">
        <f>VLOOKUP($BJ$2,AVAILABLE_Heroes[#All],MATCH(BF$2,AVAILABLE_Heroes[#Headers],0)+1)</f>
        <v>0</v>
      </c>
      <c r="BG5" s="949">
        <f>VLOOKUP($BJ$2,AVAILABLE_Heroes[#All],MATCH(BG$2,AVAILABLE_Heroes[#Headers],0)+1)</f>
        <v>0</v>
      </c>
      <c r="BH5" s="950">
        <f>VLOOKUP($BJ$2,AVAILABLE_Heroes[#All],MATCH(BH$2,AVAILABLE_Heroes[#Headers],0)+1)</f>
        <v>0</v>
      </c>
      <c r="BL5" s="947"/>
    </row>
    <row r="6" spans="1:65" ht="12" customHeight="1" x14ac:dyDescent="0.25">
      <c r="A6" s="684">
        <v>1</v>
      </c>
      <c r="B6" s="991"/>
      <c r="C6" s="992"/>
      <c r="D6" s="992"/>
      <c r="E6" s="992"/>
      <c r="F6" s="992"/>
      <c r="G6" s="976"/>
      <c r="H6" s="993"/>
      <c r="I6" s="992"/>
      <c r="J6" s="992"/>
      <c r="K6" s="992"/>
      <c r="L6" s="992"/>
      <c r="M6" s="976"/>
      <c r="N6" s="993"/>
      <c r="O6" s="992"/>
      <c r="P6" s="992"/>
      <c r="Q6" s="992"/>
      <c r="R6" s="992"/>
      <c r="S6" s="992"/>
      <c r="T6" s="992"/>
      <c r="U6" s="992"/>
      <c r="V6" s="992"/>
      <c r="W6" s="992"/>
      <c r="X6" s="976"/>
      <c r="Y6" s="993"/>
      <c r="Z6" s="992"/>
      <c r="AA6" s="992"/>
      <c r="AB6" s="992"/>
      <c r="AC6" s="992"/>
      <c r="AD6" s="976"/>
      <c r="AE6" s="993"/>
      <c r="AF6" s="977">
        <f>IF($BJ$2=1,1,0)</f>
        <v>1</v>
      </c>
      <c r="AG6" s="993"/>
      <c r="AH6" s="992"/>
      <c r="AI6" s="992"/>
      <c r="AJ6" s="992"/>
      <c r="AK6" s="992"/>
      <c r="AL6" s="992"/>
      <c r="AM6" s="992"/>
      <c r="AN6" s="976"/>
      <c r="AO6" s="993"/>
      <c r="AP6" s="992"/>
      <c r="AQ6" s="992"/>
      <c r="AR6" s="992"/>
      <c r="AS6" s="992"/>
      <c r="AT6" s="992"/>
      <c r="AU6" s="992"/>
      <c r="AV6" s="992"/>
      <c r="AW6" s="992"/>
      <c r="AX6" s="976"/>
      <c r="AY6" s="993"/>
      <c r="AZ6" s="992"/>
      <c r="BA6" s="992"/>
      <c r="BB6" s="992"/>
      <c r="BC6" s="992"/>
      <c r="BD6" s="992"/>
      <c r="BE6" s="976"/>
      <c r="BF6" s="993"/>
      <c r="BG6" s="992"/>
      <c r="BH6" s="978"/>
      <c r="BI6" s="951"/>
      <c r="BJ6" s="1215" t="s">
        <v>298</v>
      </c>
      <c r="BK6" s="1218" t="s">
        <v>656</v>
      </c>
    </row>
    <row r="7" spans="1:65" ht="11.1" customHeight="1" x14ac:dyDescent="0.25">
      <c r="A7" s="684">
        <v>2</v>
      </c>
      <c r="B7" s="979"/>
      <c r="C7" s="980"/>
      <c r="D7" s="980"/>
      <c r="E7" s="980"/>
      <c r="F7" s="980"/>
      <c r="G7" s="981"/>
      <c r="H7" s="982"/>
      <c r="I7" s="980"/>
      <c r="J7" s="980"/>
      <c r="K7" s="980"/>
      <c r="L7" s="980"/>
      <c r="M7" s="981"/>
      <c r="N7" s="982"/>
      <c r="O7" s="980"/>
      <c r="P7" s="980"/>
      <c r="Q7" s="980"/>
      <c r="R7" s="980"/>
      <c r="S7" s="980"/>
      <c r="T7" s="980"/>
      <c r="U7" s="980"/>
      <c r="V7" s="980"/>
      <c r="W7" s="980"/>
      <c r="X7" s="981"/>
      <c r="Y7" s="982"/>
      <c r="Z7" s="980"/>
      <c r="AA7" s="980"/>
      <c r="AB7" s="980"/>
      <c r="AC7" s="980"/>
      <c r="AD7" s="981"/>
      <c r="AE7" s="982"/>
      <c r="AF7" s="983">
        <f>IF($BJ$2=2,1,0)</f>
        <v>0</v>
      </c>
      <c r="AG7" s="982"/>
      <c r="AH7" s="980"/>
      <c r="AI7" s="980"/>
      <c r="AJ7" s="980"/>
      <c r="AK7" s="980"/>
      <c r="AL7" s="980"/>
      <c r="AM7" s="980"/>
      <c r="AN7" s="981"/>
      <c r="AO7" s="982"/>
      <c r="AP7" s="980"/>
      <c r="AQ7" s="980"/>
      <c r="AR7" s="980"/>
      <c r="AS7" s="980"/>
      <c r="AT7" s="980"/>
      <c r="AU7" s="980"/>
      <c r="AV7" s="980"/>
      <c r="AW7" s="980"/>
      <c r="AX7" s="981"/>
      <c r="AY7" s="982"/>
      <c r="AZ7" s="980"/>
      <c r="BA7" s="980"/>
      <c r="BB7" s="980"/>
      <c r="BC7" s="980"/>
      <c r="BD7" s="980"/>
      <c r="BE7" s="981"/>
      <c r="BF7" s="982"/>
      <c r="BG7" s="980"/>
      <c r="BH7" s="984"/>
      <c r="BI7" s="951"/>
      <c r="BJ7" s="1327"/>
      <c r="BK7" s="1328"/>
      <c r="BL7" s="947"/>
    </row>
    <row r="8" spans="1:65" ht="11.1" customHeight="1" thickBot="1" x14ac:dyDescent="0.3">
      <c r="A8" s="684">
        <v>3</v>
      </c>
      <c r="B8" s="979"/>
      <c r="C8" s="980"/>
      <c r="D8" s="980"/>
      <c r="E8" s="980"/>
      <c r="F8" s="980"/>
      <c r="G8" s="981"/>
      <c r="H8" s="982"/>
      <c r="I8" s="980"/>
      <c r="J8" s="980"/>
      <c r="K8" s="980"/>
      <c r="L8" s="980"/>
      <c r="M8" s="981"/>
      <c r="N8" s="982"/>
      <c r="O8" s="980"/>
      <c r="P8" s="980"/>
      <c r="Q8" s="980"/>
      <c r="R8" s="980"/>
      <c r="S8" s="980"/>
      <c r="T8" s="980"/>
      <c r="U8" s="980"/>
      <c r="V8" s="980"/>
      <c r="W8" s="980"/>
      <c r="X8" s="981"/>
      <c r="Y8" s="982"/>
      <c r="Z8" s="980"/>
      <c r="AA8" s="980"/>
      <c r="AB8" s="980"/>
      <c r="AC8" s="980"/>
      <c r="AD8" s="981"/>
      <c r="AE8" s="982"/>
      <c r="AF8" s="983">
        <f>IF($BJ$2=3,1,0)</f>
        <v>0</v>
      </c>
      <c r="AG8" s="982"/>
      <c r="AH8" s="980"/>
      <c r="AI8" s="980"/>
      <c r="AJ8" s="980"/>
      <c r="AK8" s="980"/>
      <c r="AL8" s="980"/>
      <c r="AM8" s="980"/>
      <c r="AN8" s="981"/>
      <c r="AO8" s="982"/>
      <c r="AP8" s="980"/>
      <c r="AQ8" s="980"/>
      <c r="AR8" s="980"/>
      <c r="AS8" s="980"/>
      <c r="AT8" s="980"/>
      <c r="AU8" s="980"/>
      <c r="AV8" s="980"/>
      <c r="AW8" s="980"/>
      <c r="AX8" s="981"/>
      <c r="AY8" s="982"/>
      <c r="AZ8" s="980"/>
      <c r="BA8" s="980"/>
      <c r="BB8" s="980"/>
      <c r="BC8" s="980"/>
      <c r="BD8" s="980"/>
      <c r="BE8" s="981"/>
      <c r="BF8" s="982"/>
      <c r="BG8" s="980"/>
      <c r="BH8" s="984"/>
      <c r="BJ8" s="1216"/>
      <c r="BK8" s="1220"/>
    </row>
    <row r="9" spans="1:65" ht="11.1" customHeight="1" thickBot="1" x14ac:dyDescent="0.3">
      <c r="A9" s="684">
        <v>4</v>
      </c>
      <c r="B9" s="979"/>
      <c r="C9" s="980"/>
      <c r="D9" s="980"/>
      <c r="E9" s="980"/>
      <c r="F9" s="980"/>
      <c r="G9" s="981"/>
      <c r="H9" s="982"/>
      <c r="I9" s="980"/>
      <c r="J9" s="980"/>
      <c r="K9" s="980"/>
      <c r="L9" s="980"/>
      <c r="M9" s="981"/>
      <c r="N9" s="982"/>
      <c r="O9" s="980"/>
      <c r="P9" s="980"/>
      <c r="Q9" s="980"/>
      <c r="R9" s="980"/>
      <c r="S9" s="980"/>
      <c r="T9" s="980"/>
      <c r="U9" s="980"/>
      <c r="V9" s="980"/>
      <c r="W9" s="980"/>
      <c r="X9" s="981"/>
      <c r="Y9" s="982"/>
      <c r="Z9" s="980"/>
      <c r="AA9" s="980"/>
      <c r="AB9" s="980"/>
      <c r="AC9" s="980"/>
      <c r="AD9" s="981"/>
      <c r="AE9" s="982"/>
      <c r="AF9" s="983">
        <f>IF($BJ$2=4,1,0)</f>
        <v>0</v>
      </c>
      <c r="AG9" s="982"/>
      <c r="AH9" s="980"/>
      <c r="AI9" s="980"/>
      <c r="AJ9" s="980"/>
      <c r="AK9" s="980"/>
      <c r="AL9" s="980"/>
      <c r="AM9" s="980"/>
      <c r="AN9" s="981"/>
      <c r="AO9" s="982"/>
      <c r="AP9" s="980"/>
      <c r="AQ9" s="980"/>
      <c r="AR9" s="980"/>
      <c r="AS9" s="980"/>
      <c r="AT9" s="980"/>
      <c r="AU9" s="980"/>
      <c r="AV9" s="980"/>
      <c r="AW9" s="980"/>
      <c r="AX9" s="981"/>
      <c r="AY9" s="982"/>
      <c r="AZ9" s="980"/>
      <c r="BA9" s="980"/>
      <c r="BB9" s="980"/>
      <c r="BC9" s="980"/>
      <c r="BD9" s="980"/>
      <c r="BE9" s="981"/>
      <c r="BF9" s="982"/>
      <c r="BG9" s="980"/>
      <c r="BH9" s="984"/>
      <c r="BJ9" s="130"/>
      <c r="BK9" s="131"/>
    </row>
    <row r="10" spans="1:65" ht="11.1" customHeight="1" x14ac:dyDescent="0.25">
      <c r="A10" s="684">
        <v>5</v>
      </c>
      <c r="B10" s="979"/>
      <c r="C10" s="980"/>
      <c r="D10" s="980"/>
      <c r="E10" s="980"/>
      <c r="F10" s="980"/>
      <c r="G10" s="981"/>
      <c r="H10" s="982"/>
      <c r="I10" s="980"/>
      <c r="J10" s="980"/>
      <c r="K10" s="980"/>
      <c r="L10" s="980"/>
      <c r="M10" s="981"/>
      <c r="N10" s="982"/>
      <c r="O10" s="980"/>
      <c r="P10" s="980"/>
      <c r="Q10" s="980"/>
      <c r="R10" s="980"/>
      <c r="S10" s="980"/>
      <c r="T10" s="980"/>
      <c r="U10" s="980"/>
      <c r="V10" s="980"/>
      <c r="W10" s="980"/>
      <c r="X10" s="981"/>
      <c r="Y10" s="982"/>
      <c r="Z10" s="980"/>
      <c r="AA10" s="980"/>
      <c r="AB10" s="980"/>
      <c r="AC10" s="980"/>
      <c r="AD10" s="981"/>
      <c r="AE10" s="982"/>
      <c r="AF10" s="983">
        <f>IF($BJ$2=5,1,0)</f>
        <v>0</v>
      </c>
      <c r="AG10" s="982"/>
      <c r="AH10" s="980"/>
      <c r="AI10" s="980"/>
      <c r="AJ10" s="980"/>
      <c r="AK10" s="980"/>
      <c r="AL10" s="980"/>
      <c r="AM10" s="980"/>
      <c r="AN10" s="981"/>
      <c r="AO10" s="982"/>
      <c r="AP10" s="980"/>
      <c r="AQ10" s="980"/>
      <c r="AR10" s="980"/>
      <c r="AS10" s="980"/>
      <c r="AT10" s="980"/>
      <c r="AU10" s="980"/>
      <c r="AV10" s="980"/>
      <c r="AW10" s="980"/>
      <c r="AX10" s="981"/>
      <c r="AY10" s="982"/>
      <c r="AZ10" s="980"/>
      <c r="BA10" s="980"/>
      <c r="BB10" s="980"/>
      <c r="BC10" s="980"/>
      <c r="BD10" s="980"/>
      <c r="BE10" s="981"/>
      <c r="BF10" s="982"/>
      <c r="BG10" s="980"/>
      <c r="BH10" s="984"/>
      <c r="BJ10" s="1329" t="s">
        <v>455</v>
      </c>
      <c r="BK10" s="1332" t="s">
        <v>456</v>
      </c>
    </row>
    <row r="11" spans="1:65" ht="11.1" customHeight="1" x14ac:dyDescent="0.25">
      <c r="A11" s="684">
        <v>6</v>
      </c>
      <c r="B11" s="979"/>
      <c r="C11" s="980"/>
      <c r="D11" s="980"/>
      <c r="E11" s="980"/>
      <c r="F11" s="980"/>
      <c r="G11" s="981"/>
      <c r="H11" s="982"/>
      <c r="I11" s="980"/>
      <c r="J11" s="980"/>
      <c r="K11" s="980"/>
      <c r="L11" s="980"/>
      <c r="M11" s="981"/>
      <c r="N11" s="982"/>
      <c r="O11" s="980"/>
      <c r="P11" s="980"/>
      <c r="Q11" s="980"/>
      <c r="R11" s="980"/>
      <c r="S11" s="980"/>
      <c r="T11" s="980"/>
      <c r="U11" s="980"/>
      <c r="V11" s="980"/>
      <c r="W11" s="980"/>
      <c r="X11" s="981"/>
      <c r="Y11" s="982"/>
      <c r="Z11" s="980"/>
      <c r="AA11" s="980"/>
      <c r="AB11" s="980"/>
      <c r="AC11" s="980"/>
      <c r="AD11" s="981"/>
      <c r="AE11" s="982"/>
      <c r="AF11" s="983">
        <f>IF($BJ$2=6,1,0)</f>
        <v>0</v>
      </c>
      <c r="AG11" s="982"/>
      <c r="AH11" s="980"/>
      <c r="AI11" s="980"/>
      <c r="AJ11" s="980"/>
      <c r="AK11" s="980"/>
      <c r="AL11" s="980"/>
      <c r="AM11" s="980"/>
      <c r="AN11" s="981"/>
      <c r="AO11" s="982"/>
      <c r="AP11" s="980"/>
      <c r="AQ11" s="980"/>
      <c r="AR11" s="980"/>
      <c r="AS11" s="980"/>
      <c r="AT11" s="980"/>
      <c r="AU11" s="980"/>
      <c r="AV11" s="980"/>
      <c r="AW11" s="980"/>
      <c r="AX11" s="981"/>
      <c r="AY11" s="982"/>
      <c r="AZ11" s="980"/>
      <c r="BA11" s="980"/>
      <c r="BB11" s="980"/>
      <c r="BC11" s="980"/>
      <c r="BD11" s="980"/>
      <c r="BE11" s="981"/>
      <c r="BF11" s="982"/>
      <c r="BG11" s="980"/>
      <c r="BH11" s="984"/>
      <c r="BJ11" s="1330"/>
      <c r="BK11" s="1333"/>
    </row>
    <row r="12" spans="1:65" ht="11.1" customHeight="1" thickBot="1" x14ac:dyDescent="0.3">
      <c r="A12" s="684">
        <v>7</v>
      </c>
      <c r="B12" s="979"/>
      <c r="C12" s="980"/>
      <c r="D12" s="980"/>
      <c r="E12" s="980"/>
      <c r="F12" s="980"/>
      <c r="G12" s="981"/>
      <c r="H12" s="982"/>
      <c r="I12" s="980"/>
      <c r="J12" s="980"/>
      <c r="K12" s="980"/>
      <c r="L12" s="980"/>
      <c r="M12" s="981"/>
      <c r="N12" s="982"/>
      <c r="O12" s="980"/>
      <c r="P12" s="980"/>
      <c r="Q12" s="980"/>
      <c r="R12" s="980"/>
      <c r="S12" s="980"/>
      <c r="T12" s="980"/>
      <c r="U12" s="980"/>
      <c r="V12" s="980"/>
      <c r="W12" s="980"/>
      <c r="X12" s="981"/>
      <c r="Y12" s="982"/>
      <c r="Z12" s="980"/>
      <c r="AA12" s="980"/>
      <c r="AB12" s="980"/>
      <c r="AC12" s="980"/>
      <c r="AD12" s="981"/>
      <c r="AE12" s="982"/>
      <c r="AF12" s="983">
        <f>IF($BJ$2=7,1,0)</f>
        <v>0</v>
      </c>
      <c r="AG12" s="982"/>
      <c r="AH12" s="980"/>
      <c r="AI12" s="980"/>
      <c r="AJ12" s="980"/>
      <c r="AK12" s="980"/>
      <c r="AL12" s="980"/>
      <c r="AM12" s="980"/>
      <c r="AN12" s="981"/>
      <c r="AO12" s="982"/>
      <c r="AP12" s="980"/>
      <c r="AQ12" s="980"/>
      <c r="AR12" s="980"/>
      <c r="AS12" s="980"/>
      <c r="AT12" s="980"/>
      <c r="AU12" s="980"/>
      <c r="AV12" s="980"/>
      <c r="AW12" s="980"/>
      <c r="AX12" s="981"/>
      <c r="AY12" s="982"/>
      <c r="AZ12" s="980"/>
      <c r="BA12" s="980"/>
      <c r="BB12" s="980"/>
      <c r="BC12" s="980"/>
      <c r="BD12" s="980"/>
      <c r="BE12" s="981"/>
      <c r="BF12" s="982"/>
      <c r="BG12" s="980"/>
      <c r="BH12" s="984"/>
      <c r="BJ12" s="1331"/>
      <c r="BK12" s="1334"/>
    </row>
    <row r="13" spans="1:65" ht="11.1" customHeight="1" thickBot="1" x14ac:dyDescent="0.3">
      <c r="A13" s="684">
        <v>8</v>
      </c>
      <c r="B13" s="979"/>
      <c r="C13" s="980"/>
      <c r="D13" s="980"/>
      <c r="E13" s="980"/>
      <c r="F13" s="980"/>
      <c r="G13" s="981"/>
      <c r="H13" s="982"/>
      <c r="I13" s="980"/>
      <c r="J13" s="980"/>
      <c r="K13" s="980"/>
      <c r="L13" s="980"/>
      <c r="M13" s="981"/>
      <c r="N13" s="982"/>
      <c r="O13" s="980"/>
      <c r="P13" s="980"/>
      <c r="Q13" s="980"/>
      <c r="R13" s="980"/>
      <c r="S13" s="980"/>
      <c r="T13" s="980"/>
      <c r="U13" s="980"/>
      <c r="V13" s="980"/>
      <c r="W13" s="980"/>
      <c r="X13" s="981"/>
      <c r="Y13" s="982"/>
      <c r="Z13" s="980"/>
      <c r="AA13" s="980"/>
      <c r="AB13" s="980"/>
      <c r="AC13" s="980"/>
      <c r="AD13" s="981"/>
      <c r="AE13" s="982"/>
      <c r="AF13" s="983">
        <f>IF($BJ$2=8,1,0)</f>
        <v>0</v>
      </c>
      <c r="AG13" s="982"/>
      <c r="AH13" s="980"/>
      <c r="AI13" s="980"/>
      <c r="AJ13" s="980"/>
      <c r="AK13" s="980"/>
      <c r="AL13" s="980"/>
      <c r="AM13" s="980"/>
      <c r="AN13" s="981"/>
      <c r="AO13" s="982"/>
      <c r="AP13" s="980"/>
      <c r="AQ13" s="980"/>
      <c r="AR13" s="980"/>
      <c r="AS13" s="980"/>
      <c r="AT13" s="980"/>
      <c r="AU13" s="980"/>
      <c r="AV13" s="980"/>
      <c r="AW13" s="980"/>
      <c r="AX13" s="981"/>
      <c r="AY13" s="982"/>
      <c r="AZ13" s="980"/>
      <c r="BA13" s="980"/>
      <c r="BB13" s="980"/>
      <c r="BC13" s="980"/>
      <c r="BD13" s="980"/>
      <c r="BE13" s="981"/>
      <c r="BF13" s="982"/>
      <c r="BG13" s="980"/>
      <c r="BH13" s="984"/>
    </row>
    <row r="14" spans="1:65" ht="11.1" customHeight="1" x14ac:dyDescent="0.25">
      <c r="A14" s="684">
        <v>9</v>
      </c>
      <c r="B14" s="979"/>
      <c r="C14" s="980"/>
      <c r="D14" s="980"/>
      <c r="E14" s="980"/>
      <c r="F14" s="980"/>
      <c r="G14" s="981"/>
      <c r="H14" s="982"/>
      <c r="I14" s="980"/>
      <c r="J14" s="980"/>
      <c r="K14" s="980"/>
      <c r="L14" s="980"/>
      <c r="M14" s="981"/>
      <c r="N14" s="982"/>
      <c r="O14" s="980"/>
      <c r="P14" s="980"/>
      <c r="Q14" s="980"/>
      <c r="R14" s="980"/>
      <c r="S14" s="980"/>
      <c r="T14" s="980"/>
      <c r="U14" s="980"/>
      <c r="V14" s="980"/>
      <c r="W14" s="980"/>
      <c r="X14" s="981"/>
      <c r="Y14" s="982"/>
      <c r="Z14" s="980"/>
      <c r="AA14" s="980"/>
      <c r="AB14" s="980"/>
      <c r="AC14" s="980"/>
      <c r="AD14" s="981"/>
      <c r="AE14" s="982"/>
      <c r="AF14" s="983">
        <f>IF($BJ$2=9,1,0)</f>
        <v>0</v>
      </c>
      <c r="AG14" s="982"/>
      <c r="AH14" s="980"/>
      <c r="AI14" s="980"/>
      <c r="AJ14" s="980"/>
      <c r="AK14" s="980"/>
      <c r="AL14" s="980"/>
      <c r="AM14" s="980"/>
      <c r="AN14" s="981"/>
      <c r="AO14" s="982"/>
      <c r="AP14" s="980"/>
      <c r="AQ14" s="980"/>
      <c r="AR14" s="980"/>
      <c r="AS14" s="980"/>
      <c r="AT14" s="980"/>
      <c r="AU14" s="980"/>
      <c r="AV14" s="980"/>
      <c r="AW14" s="980"/>
      <c r="AX14" s="981"/>
      <c r="AY14" s="982"/>
      <c r="AZ14" s="980"/>
      <c r="BA14" s="980"/>
      <c r="BB14" s="980"/>
      <c r="BC14" s="980"/>
      <c r="BD14" s="980"/>
      <c r="BE14" s="981"/>
      <c r="BF14" s="982"/>
      <c r="BG14" s="980"/>
      <c r="BH14" s="984"/>
      <c r="BJ14" s="1221" t="s">
        <v>333</v>
      </c>
      <c r="BK14" s="1224" t="s">
        <v>350</v>
      </c>
    </row>
    <row r="15" spans="1:65" ht="11.1" customHeight="1" x14ac:dyDescent="0.25">
      <c r="A15" s="684">
        <v>10</v>
      </c>
      <c r="B15" s="979"/>
      <c r="C15" s="980"/>
      <c r="D15" s="980"/>
      <c r="E15" s="980"/>
      <c r="F15" s="980"/>
      <c r="G15" s="981"/>
      <c r="H15" s="982"/>
      <c r="I15" s="980"/>
      <c r="J15" s="980"/>
      <c r="K15" s="980"/>
      <c r="L15" s="980"/>
      <c r="M15" s="981"/>
      <c r="N15" s="982"/>
      <c r="O15" s="980"/>
      <c r="P15" s="980"/>
      <c r="Q15" s="980"/>
      <c r="R15" s="980"/>
      <c r="S15" s="980"/>
      <c r="T15" s="980"/>
      <c r="U15" s="980"/>
      <c r="V15" s="980"/>
      <c r="W15" s="980"/>
      <c r="X15" s="981"/>
      <c r="Y15" s="982"/>
      <c r="Z15" s="980"/>
      <c r="AA15" s="980"/>
      <c r="AB15" s="980"/>
      <c r="AC15" s="980"/>
      <c r="AD15" s="981"/>
      <c r="AE15" s="982"/>
      <c r="AF15" s="983">
        <f>IF($BJ$2=10,1,0)</f>
        <v>0</v>
      </c>
      <c r="AG15" s="982"/>
      <c r="AH15" s="980"/>
      <c r="AI15" s="980"/>
      <c r="AJ15" s="980"/>
      <c r="AK15" s="980"/>
      <c r="AL15" s="980"/>
      <c r="AM15" s="980"/>
      <c r="AN15" s="981"/>
      <c r="AO15" s="982"/>
      <c r="AP15" s="980"/>
      <c r="AQ15" s="980"/>
      <c r="AR15" s="980"/>
      <c r="AS15" s="980"/>
      <c r="AT15" s="980"/>
      <c r="AU15" s="980"/>
      <c r="AV15" s="980"/>
      <c r="AW15" s="980"/>
      <c r="AX15" s="981"/>
      <c r="AY15" s="982"/>
      <c r="AZ15" s="980"/>
      <c r="BA15" s="980"/>
      <c r="BB15" s="980"/>
      <c r="BC15" s="980"/>
      <c r="BD15" s="980"/>
      <c r="BE15" s="981"/>
      <c r="BF15" s="982"/>
      <c r="BG15" s="980"/>
      <c r="BH15" s="984"/>
      <c r="BJ15" s="1325"/>
      <c r="BK15" s="1326"/>
    </row>
    <row r="16" spans="1:65" ht="11.1" customHeight="1" thickBot="1" x14ac:dyDescent="0.3">
      <c r="A16" s="684">
        <v>11</v>
      </c>
      <c r="B16" s="979"/>
      <c r="C16" s="980"/>
      <c r="D16" s="980"/>
      <c r="E16" s="980"/>
      <c r="F16" s="980"/>
      <c r="G16" s="981"/>
      <c r="H16" s="982"/>
      <c r="I16" s="980"/>
      <c r="J16" s="980"/>
      <c r="K16" s="980"/>
      <c r="L16" s="980"/>
      <c r="M16" s="981"/>
      <c r="N16" s="982"/>
      <c r="O16" s="980"/>
      <c r="P16" s="980"/>
      <c r="Q16" s="980"/>
      <c r="R16" s="980"/>
      <c r="S16" s="980"/>
      <c r="T16" s="980"/>
      <c r="U16" s="980"/>
      <c r="V16" s="980"/>
      <c r="W16" s="980"/>
      <c r="X16" s="981"/>
      <c r="Y16" s="982"/>
      <c r="Z16" s="980"/>
      <c r="AA16" s="980"/>
      <c r="AB16" s="980"/>
      <c r="AC16" s="980"/>
      <c r="AD16" s="981"/>
      <c r="AE16" s="982"/>
      <c r="AF16" s="983">
        <f>IF($BJ$2=11,1,0)</f>
        <v>0</v>
      </c>
      <c r="AG16" s="982"/>
      <c r="AH16" s="980"/>
      <c r="AI16" s="980"/>
      <c r="AJ16" s="980"/>
      <c r="AK16" s="980"/>
      <c r="AL16" s="980"/>
      <c r="AM16" s="980"/>
      <c r="AN16" s="981"/>
      <c r="AO16" s="982"/>
      <c r="AP16" s="980"/>
      <c r="AQ16" s="980"/>
      <c r="AR16" s="980"/>
      <c r="AS16" s="980"/>
      <c r="AT16" s="980"/>
      <c r="AU16" s="980"/>
      <c r="AV16" s="980"/>
      <c r="AW16" s="980"/>
      <c r="AX16" s="981"/>
      <c r="AY16" s="982"/>
      <c r="AZ16" s="980"/>
      <c r="BA16" s="980"/>
      <c r="BB16" s="980"/>
      <c r="BC16" s="980"/>
      <c r="BD16" s="980"/>
      <c r="BE16" s="981"/>
      <c r="BF16" s="982"/>
      <c r="BG16" s="980"/>
      <c r="BH16" s="984"/>
      <c r="BJ16" s="1222"/>
      <c r="BK16" s="1226"/>
    </row>
    <row r="17" spans="1:63" ht="11.1" customHeight="1" thickBot="1" x14ac:dyDescent="0.3">
      <c r="A17" s="684">
        <v>12</v>
      </c>
      <c r="B17" s="979"/>
      <c r="C17" s="980"/>
      <c r="D17" s="980"/>
      <c r="E17" s="980"/>
      <c r="F17" s="980"/>
      <c r="G17" s="981"/>
      <c r="H17" s="982"/>
      <c r="I17" s="980"/>
      <c r="J17" s="980"/>
      <c r="K17" s="980"/>
      <c r="L17" s="980"/>
      <c r="M17" s="981"/>
      <c r="N17" s="982"/>
      <c r="O17" s="980"/>
      <c r="P17" s="980"/>
      <c r="Q17" s="980"/>
      <c r="R17" s="980"/>
      <c r="S17" s="980"/>
      <c r="T17" s="980"/>
      <c r="U17" s="980"/>
      <c r="V17" s="980"/>
      <c r="W17" s="980"/>
      <c r="X17" s="981"/>
      <c r="Y17" s="982"/>
      <c r="Z17" s="980"/>
      <c r="AA17" s="980"/>
      <c r="AB17" s="980"/>
      <c r="AC17" s="980"/>
      <c r="AD17" s="981"/>
      <c r="AE17" s="982"/>
      <c r="AF17" s="983"/>
      <c r="AG17" s="982"/>
      <c r="AH17" s="980"/>
      <c r="AI17" s="980"/>
      <c r="AJ17" s="980"/>
      <c r="AK17" s="980"/>
      <c r="AL17" s="980"/>
      <c r="AM17" s="980"/>
      <c r="AN17" s="981"/>
      <c r="AO17" s="982"/>
      <c r="AP17" s="980"/>
      <c r="AQ17" s="980"/>
      <c r="AR17" s="980"/>
      <c r="AS17" s="980"/>
      <c r="AT17" s="980"/>
      <c r="AU17" s="980"/>
      <c r="AV17" s="980"/>
      <c r="AW17" s="980"/>
      <c r="AX17" s="981"/>
      <c r="AY17" s="982"/>
      <c r="AZ17" s="980"/>
      <c r="BA17" s="980"/>
      <c r="BB17" s="980"/>
      <c r="BC17" s="980"/>
      <c r="BD17" s="980"/>
      <c r="BE17" s="981"/>
      <c r="BF17" s="982"/>
      <c r="BG17" s="980"/>
      <c r="BH17" s="984"/>
    </row>
    <row r="18" spans="1:63" ht="11.1" customHeight="1" x14ac:dyDescent="0.25">
      <c r="A18" s="684">
        <v>13</v>
      </c>
      <c r="B18" s="979"/>
      <c r="C18" s="980"/>
      <c r="D18" s="980"/>
      <c r="E18" s="980"/>
      <c r="F18" s="980"/>
      <c r="G18" s="981"/>
      <c r="H18" s="982"/>
      <c r="I18" s="980"/>
      <c r="J18" s="980"/>
      <c r="K18" s="980"/>
      <c r="L18" s="980"/>
      <c r="M18" s="981"/>
      <c r="N18" s="982"/>
      <c r="O18" s="980"/>
      <c r="P18" s="980"/>
      <c r="Q18" s="980"/>
      <c r="R18" s="980"/>
      <c r="S18" s="980"/>
      <c r="T18" s="980"/>
      <c r="U18" s="980"/>
      <c r="V18" s="980"/>
      <c r="W18" s="980"/>
      <c r="X18" s="981"/>
      <c r="Y18" s="982"/>
      <c r="Z18" s="980"/>
      <c r="AA18" s="980"/>
      <c r="AB18" s="980"/>
      <c r="AC18" s="980"/>
      <c r="AD18" s="981"/>
      <c r="AE18" s="982"/>
      <c r="AF18" s="983"/>
      <c r="AG18" s="982"/>
      <c r="AH18" s="980"/>
      <c r="AI18" s="980"/>
      <c r="AJ18" s="980"/>
      <c r="AK18" s="980"/>
      <c r="AL18" s="980"/>
      <c r="AM18" s="980"/>
      <c r="AN18" s="981"/>
      <c r="AO18" s="982"/>
      <c r="AP18" s="980"/>
      <c r="AQ18" s="980"/>
      <c r="AR18" s="980"/>
      <c r="AS18" s="980"/>
      <c r="AT18" s="980"/>
      <c r="AU18" s="980"/>
      <c r="AV18" s="980"/>
      <c r="AW18" s="980"/>
      <c r="AX18" s="981"/>
      <c r="AY18" s="982"/>
      <c r="AZ18" s="980"/>
      <c r="BA18" s="980"/>
      <c r="BB18" s="980"/>
      <c r="BC18" s="980"/>
      <c r="BD18" s="980"/>
      <c r="BE18" s="981"/>
      <c r="BF18" s="982"/>
      <c r="BG18" s="980"/>
      <c r="BH18" s="984"/>
      <c r="BJ18" s="1321" t="s">
        <v>412</v>
      </c>
      <c r="BK18" s="1322"/>
    </row>
    <row r="19" spans="1:63" ht="11.1" customHeight="1" x14ac:dyDescent="0.25">
      <c r="A19" s="684">
        <v>14</v>
      </c>
      <c r="B19" s="979"/>
      <c r="C19" s="980"/>
      <c r="D19" s="980"/>
      <c r="E19" s="980"/>
      <c r="F19" s="980"/>
      <c r="G19" s="981"/>
      <c r="H19" s="982"/>
      <c r="I19" s="980"/>
      <c r="J19" s="980"/>
      <c r="K19" s="980"/>
      <c r="L19" s="980"/>
      <c r="M19" s="981"/>
      <c r="N19" s="982"/>
      <c r="O19" s="980"/>
      <c r="P19" s="980"/>
      <c r="Q19" s="980"/>
      <c r="R19" s="980"/>
      <c r="S19" s="980"/>
      <c r="T19" s="980"/>
      <c r="U19" s="980"/>
      <c r="V19" s="980"/>
      <c r="W19" s="980"/>
      <c r="X19" s="981"/>
      <c r="Y19" s="982"/>
      <c r="Z19" s="980"/>
      <c r="AA19" s="980"/>
      <c r="AB19" s="980"/>
      <c r="AC19" s="980"/>
      <c r="AD19" s="981"/>
      <c r="AE19" s="982"/>
      <c r="AF19" s="983"/>
      <c r="AG19" s="982"/>
      <c r="AH19" s="980"/>
      <c r="AI19" s="980"/>
      <c r="AJ19" s="980"/>
      <c r="AK19" s="980"/>
      <c r="AL19" s="980"/>
      <c r="AM19" s="980"/>
      <c r="AN19" s="981"/>
      <c r="AO19" s="982"/>
      <c r="AP19" s="980"/>
      <c r="AQ19" s="980"/>
      <c r="AR19" s="980"/>
      <c r="AS19" s="980"/>
      <c r="AT19" s="980"/>
      <c r="AU19" s="980"/>
      <c r="AV19" s="980"/>
      <c r="AW19" s="980"/>
      <c r="AX19" s="981"/>
      <c r="AY19" s="982"/>
      <c r="AZ19" s="980"/>
      <c r="BA19" s="980"/>
      <c r="BB19" s="980"/>
      <c r="BC19" s="980"/>
      <c r="BD19" s="980"/>
      <c r="BE19" s="981"/>
      <c r="BF19" s="982"/>
      <c r="BG19" s="980"/>
      <c r="BH19" s="984"/>
      <c r="BJ19" s="1323"/>
      <c r="BK19" s="1324"/>
    </row>
    <row r="20" spans="1:63" ht="11.1" customHeight="1" x14ac:dyDescent="0.25">
      <c r="A20" s="684">
        <v>15</v>
      </c>
      <c r="B20" s="979"/>
      <c r="C20" s="980"/>
      <c r="D20" s="980"/>
      <c r="E20" s="980"/>
      <c r="F20" s="980"/>
      <c r="G20" s="981"/>
      <c r="H20" s="982"/>
      <c r="I20" s="980"/>
      <c r="J20" s="980"/>
      <c r="K20" s="980"/>
      <c r="L20" s="980"/>
      <c r="M20" s="981"/>
      <c r="N20" s="982"/>
      <c r="O20" s="980"/>
      <c r="P20" s="980"/>
      <c r="Q20" s="980"/>
      <c r="R20" s="980"/>
      <c r="S20" s="980"/>
      <c r="T20" s="980"/>
      <c r="U20" s="980"/>
      <c r="V20" s="980"/>
      <c r="W20" s="980"/>
      <c r="X20" s="981"/>
      <c r="Y20" s="982"/>
      <c r="Z20" s="980"/>
      <c r="AA20" s="980"/>
      <c r="AB20" s="980"/>
      <c r="AC20" s="980"/>
      <c r="AD20" s="981"/>
      <c r="AE20" s="982"/>
      <c r="AF20" s="983"/>
      <c r="AG20" s="982"/>
      <c r="AH20" s="980"/>
      <c r="AI20" s="980"/>
      <c r="AJ20" s="980"/>
      <c r="AK20" s="980"/>
      <c r="AL20" s="980"/>
      <c r="AM20" s="980"/>
      <c r="AN20" s="981"/>
      <c r="AO20" s="982"/>
      <c r="AP20" s="980"/>
      <c r="AQ20" s="980"/>
      <c r="AR20" s="980"/>
      <c r="AS20" s="980"/>
      <c r="AT20" s="980"/>
      <c r="AU20" s="980"/>
      <c r="AV20" s="980"/>
      <c r="AW20" s="980"/>
      <c r="AX20" s="981"/>
      <c r="AY20" s="982"/>
      <c r="AZ20" s="980"/>
      <c r="BA20" s="980"/>
      <c r="BB20" s="980"/>
      <c r="BC20" s="980"/>
      <c r="BD20" s="980"/>
      <c r="BE20" s="981"/>
      <c r="BF20" s="982"/>
      <c r="BG20" s="980"/>
      <c r="BH20" s="984"/>
      <c r="BJ20" s="1323"/>
      <c r="BK20" s="1324"/>
    </row>
    <row r="21" spans="1:63" ht="11.1" customHeight="1" x14ac:dyDescent="0.25">
      <c r="A21" s="684">
        <v>16</v>
      </c>
      <c r="B21" s="979"/>
      <c r="C21" s="980"/>
      <c r="D21" s="980"/>
      <c r="E21" s="980"/>
      <c r="F21" s="980"/>
      <c r="G21" s="981"/>
      <c r="H21" s="982"/>
      <c r="I21" s="980"/>
      <c r="J21" s="980"/>
      <c r="K21" s="980"/>
      <c r="L21" s="980"/>
      <c r="M21" s="981"/>
      <c r="N21" s="982"/>
      <c r="O21" s="980"/>
      <c r="P21" s="980"/>
      <c r="Q21" s="980"/>
      <c r="R21" s="980"/>
      <c r="S21" s="980"/>
      <c r="T21" s="980"/>
      <c r="U21" s="980"/>
      <c r="V21" s="980"/>
      <c r="W21" s="980"/>
      <c r="X21" s="981"/>
      <c r="Y21" s="982"/>
      <c r="Z21" s="980"/>
      <c r="AA21" s="980"/>
      <c r="AB21" s="980"/>
      <c r="AC21" s="980"/>
      <c r="AD21" s="981"/>
      <c r="AE21" s="982"/>
      <c r="AF21" s="983"/>
      <c r="AG21" s="982"/>
      <c r="AH21" s="980"/>
      <c r="AI21" s="980"/>
      <c r="AJ21" s="980"/>
      <c r="AK21" s="980"/>
      <c r="AL21" s="980"/>
      <c r="AM21" s="980"/>
      <c r="AN21" s="981"/>
      <c r="AO21" s="982"/>
      <c r="AP21" s="980"/>
      <c r="AQ21" s="980"/>
      <c r="AR21" s="980"/>
      <c r="AS21" s="980"/>
      <c r="AT21" s="980"/>
      <c r="AU21" s="980"/>
      <c r="AV21" s="980"/>
      <c r="AW21" s="980"/>
      <c r="AX21" s="981"/>
      <c r="AY21" s="982"/>
      <c r="AZ21" s="980"/>
      <c r="BA21" s="980"/>
      <c r="BB21" s="980"/>
      <c r="BC21" s="980"/>
      <c r="BD21" s="980"/>
      <c r="BE21" s="981"/>
      <c r="BF21" s="982"/>
      <c r="BG21" s="980"/>
      <c r="BH21" s="984"/>
      <c r="BJ21" s="1323"/>
      <c r="BK21" s="1324"/>
    </row>
    <row r="22" spans="1:63" ht="11.1" customHeight="1" x14ac:dyDescent="0.25">
      <c r="A22" s="684">
        <v>17</v>
      </c>
      <c r="B22" s="979"/>
      <c r="C22" s="980"/>
      <c r="D22" s="980"/>
      <c r="E22" s="980"/>
      <c r="F22" s="980"/>
      <c r="G22" s="981"/>
      <c r="H22" s="982"/>
      <c r="I22" s="980"/>
      <c r="J22" s="980"/>
      <c r="K22" s="980"/>
      <c r="L22" s="980"/>
      <c r="M22" s="981"/>
      <c r="N22" s="982"/>
      <c r="O22" s="980"/>
      <c r="P22" s="980"/>
      <c r="Q22" s="980"/>
      <c r="R22" s="980"/>
      <c r="S22" s="980"/>
      <c r="T22" s="980"/>
      <c r="U22" s="980"/>
      <c r="V22" s="980"/>
      <c r="W22" s="980"/>
      <c r="X22" s="981"/>
      <c r="Y22" s="982"/>
      <c r="Z22" s="980"/>
      <c r="AA22" s="980"/>
      <c r="AB22" s="980"/>
      <c r="AC22" s="980"/>
      <c r="AD22" s="981"/>
      <c r="AE22" s="982"/>
      <c r="AF22" s="983"/>
      <c r="AG22" s="982"/>
      <c r="AH22" s="980"/>
      <c r="AI22" s="980"/>
      <c r="AJ22" s="980"/>
      <c r="AK22" s="980"/>
      <c r="AL22" s="980"/>
      <c r="AM22" s="980"/>
      <c r="AN22" s="981"/>
      <c r="AO22" s="982"/>
      <c r="AP22" s="980"/>
      <c r="AQ22" s="980"/>
      <c r="AR22" s="980"/>
      <c r="AS22" s="980"/>
      <c r="AT22" s="980"/>
      <c r="AU22" s="980"/>
      <c r="AV22" s="980"/>
      <c r="AW22" s="980"/>
      <c r="AX22" s="981"/>
      <c r="AY22" s="982"/>
      <c r="AZ22" s="980"/>
      <c r="BA22" s="980"/>
      <c r="BB22" s="980"/>
      <c r="BC22" s="980"/>
      <c r="BD22" s="980"/>
      <c r="BE22" s="981"/>
      <c r="BF22" s="982"/>
      <c r="BG22" s="980"/>
      <c r="BH22" s="984"/>
      <c r="BJ22" s="1323"/>
      <c r="BK22" s="1324"/>
    </row>
    <row r="23" spans="1:63" ht="11.1" customHeight="1" x14ac:dyDescent="0.25">
      <c r="A23" s="684">
        <v>18</v>
      </c>
      <c r="B23" s="979"/>
      <c r="C23" s="980"/>
      <c r="D23" s="980"/>
      <c r="E23" s="980"/>
      <c r="F23" s="980"/>
      <c r="G23" s="981"/>
      <c r="H23" s="982"/>
      <c r="I23" s="980"/>
      <c r="J23" s="980"/>
      <c r="K23" s="980"/>
      <c r="L23" s="980"/>
      <c r="M23" s="981"/>
      <c r="N23" s="982"/>
      <c r="O23" s="980"/>
      <c r="P23" s="980"/>
      <c r="Q23" s="980"/>
      <c r="R23" s="980"/>
      <c r="S23" s="980"/>
      <c r="T23" s="980"/>
      <c r="U23" s="980"/>
      <c r="V23" s="980"/>
      <c r="W23" s="980"/>
      <c r="X23" s="981"/>
      <c r="Y23" s="982"/>
      <c r="Z23" s="980"/>
      <c r="AA23" s="980"/>
      <c r="AB23" s="980"/>
      <c r="AC23" s="980"/>
      <c r="AD23" s="981"/>
      <c r="AE23" s="982"/>
      <c r="AF23" s="983"/>
      <c r="AG23" s="982"/>
      <c r="AH23" s="980"/>
      <c r="AI23" s="980"/>
      <c r="AJ23" s="980"/>
      <c r="AK23" s="980"/>
      <c r="AL23" s="980"/>
      <c r="AM23" s="980"/>
      <c r="AN23" s="981"/>
      <c r="AO23" s="982"/>
      <c r="AP23" s="980"/>
      <c r="AQ23" s="980"/>
      <c r="AR23" s="980"/>
      <c r="AS23" s="980"/>
      <c r="AT23" s="980"/>
      <c r="AU23" s="980"/>
      <c r="AV23" s="980"/>
      <c r="AW23" s="980"/>
      <c r="AX23" s="981"/>
      <c r="AY23" s="982"/>
      <c r="AZ23" s="980"/>
      <c r="BA23" s="980"/>
      <c r="BB23" s="980"/>
      <c r="BC23" s="980"/>
      <c r="BD23" s="980"/>
      <c r="BE23" s="981"/>
      <c r="BF23" s="982"/>
      <c r="BG23" s="980"/>
      <c r="BH23" s="984"/>
      <c r="BJ23" s="1323"/>
      <c r="BK23" s="1324"/>
    </row>
    <row r="24" spans="1:63" ht="11.1" customHeight="1" x14ac:dyDescent="0.25">
      <c r="A24" s="684">
        <v>19</v>
      </c>
      <c r="B24" s="979"/>
      <c r="C24" s="980"/>
      <c r="D24" s="980"/>
      <c r="E24" s="980"/>
      <c r="F24" s="980"/>
      <c r="G24" s="981"/>
      <c r="H24" s="982"/>
      <c r="I24" s="980"/>
      <c r="J24" s="980"/>
      <c r="K24" s="980"/>
      <c r="L24" s="980"/>
      <c r="M24" s="981"/>
      <c r="N24" s="982"/>
      <c r="O24" s="980"/>
      <c r="P24" s="980"/>
      <c r="Q24" s="980"/>
      <c r="R24" s="980"/>
      <c r="S24" s="980"/>
      <c r="T24" s="980"/>
      <c r="U24" s="980"/>
      <c r="V24" s="980"/>
      <c r="W24" s="980"/>
      <c r="X24" s="981"/>
      <c r="Y24" s="982"/>
      <c r="Z24" s="980"/>
      <c r="AA24" s="980"/>
      <c r="AB24" s="980"/>
      <c r="AC24" s="980"/>
      <c r="AD24" s="981"/>
      <c r="AE24" s="982"/>
      <c r="AF24" s="983"/>
      <c r="AG24" s="982"/>
      <c r="AH24" s="980"/>
      <c r="AI24" s="980"/>
      <c r="AJ24" s="980"/>
      <c r="AK24" s="980"/>
      <c r="AL24" s="980"/>
      <c r="AM24" s="980"/>
      <c r="AN24" s="981"/>
      <c r="AO24" s="982"/>
      <c r="AP24" s="980"/>
      <c r="AQ24" s="980"/>
      <c r="AR24" s="980"/>
      <c r="AS24" s="980"/>
      <c r="AT24" s="980"/>
      <c r="AU24" s="980"/>
      <c r="AV24" s="980"/>
      <c r="AW24" s="980"/>
      <c r="AX24" s="981"/>
      <c r="AY24" s="982"/>
      <c r="AZ24" s="980"/>
      <c r="BA24" s="980"/>
      <c r="BB24" s="980"/>
      <c r="BC24" s="980"/>
      <c r="BD24" s="980"/>
      <c r="BE24" s="981"/>
      <c r="BF24" s="982"/>
      <c r="BG24" s="980"/>
      <c r="BH24" s="984"/>
      <c r="BJ24" s="1323"/>
      <c r="BK24" s="1324"/>
    </row>
    <row r="25" spans="1:63" ht="11.1" customHeight="1" x14ac:dyDescent="0.25">
      <c r="A25" s="684">
        <v>20</v>
      </c>
      <c r="B25" s="979"/>
      <c r="C25" s="980"/>
      <c r="D25" s="980"/>
      <c r="E25" s="980"/>
      <c r="F25" s="980"/>
      <c r="G25" s="981"/>
      <c r="H25" s="982"/>
      <c r="I25" s="980"/>
      <c r="J25" s="980"/>
      <c r="K25" s="980"/>
      <c r="L25" s="980"/>
      <c r="M25" s="981"/>
      <c r="N25" s="982"/>
      <c r="O25" s="980"/>
      <c r="P25" s="980"/>
      <c r="Q25" s="980"/>
      <c r="R25" s="980"/>
      <c r="S25" s="980"/>
      <c r="T25" s="980"/>
      <c r="U25" s="980"/>
      <c r="V25" s="980"/>
      <c r="W25" s="980"/>
      <c r="X25" s="981"/>
      <c r="Y25" s="982"/>
      <c r="Z25" s="980"/>
      <c r="AA25" s="980"/>
      <c r="AB25" s="980"/>
      <c r="AC25" s="980"/>
      <c r="AD25" s="981"/>
      <c r="AE25" s="982"/>
      <c r="AF25" s="983"/>
      <c r="AG25" s="982"/>
      <c r="AH25" s="980"/>
      <c r="AI25" s="980"/>
      <c r="AJ25" s="980"/>
      <c r="AK25" s="980"/>
      <c r="AL25" s="980"/>
      <c r="AM25" s="980"/>
      <c r="AN25" s="981"/>
      <c r="AO25" s="982"/>
      <c r="AP25" s="980"/>
      <c r="AQ25" s="980"/>
      <c r="AR25" s="980"/>
      <c r="AS25" s="980"/>
      <c r="AT25" s="980"/>
      <c r="AU25" s="980"/>
      <c r="AV25" s="980"/>
      <c r="AW25" s="980"/>
      <c r="AX25" s="981"/>
      <c r="AY25" s="982"/>
      <c r="AZ25" s="980"/>
      <c r="BA25" s="980"/>
      <c r="BB25" s="980"/>
      <c r="BC25" s="980"/>
      <c r="BD25" s="980"/>
      <c r="BE25" s="981"/>
      <c r="BF25" s="982"/>
      <c r="BG25" s="980"/>
      <c r="BH25" s="984"/>
      <c r="BJ25" s="1323"/>
      <c r="BK25" s="1324"/>
    </row>
    <row r="26" spans="1:63" ht="11.1" customHeight="1" x14ac:dyDescent="0.25">
      <c r="A26" s="684">
        <v>21</v>
      </c>
      <c r="B26" s="979"/>
      <c r="C26" s="980"/>
      <c r="D26" s="980"/>
      <c r="E26" s="980"/>
      <c r="F26" s="980"/>
      <c r="G26" s="981"/>
      <c r="H26" s="982"/>
      <c r="I26" s="980"/>
      <c r="J26" s="980"/>
      <c r="K26" s="980"/>
      <c r="L26" s="980"/>
      <c r="M26" s="981"/>
      <c r="N26" s="982"/>
      <c r="O26" s="980"/>
      <c r="P26" s="980"/>
      <c r="Q26" s="980"/>
      <c r="R26" s="980"/>
      <c r="S26" s="980"/>
      <c r="T26" s="980"/>
      <c r="U26" s="980"/>
      <c r="V26" s="980"/>
      <c r="W26" s="980"/>
      <c r="X26" s="981"/>
      <c r="Y26" s="982"/>
      <c r="Z26" s="980"/>
      <c r="AA26" s="980"/>
      <c r="AB26" s="980"/>
      <c r="AC26" s="980"/>
      <c r="AD26" s="981"/>
      <c r="AE26" s="982"/>
      <c r="AF26" s="983"/>
      <c r="AG26" s="982"/>
      <c r="AH26" s="980"/>
      <c r="AI26" s="980"/>
      <c r="AJ26" s="980"/>
      <c r="AK26" s="980"/>
      <c r="AL26" s="980"/>
      <c r="AM26" s="980"/>
      <c r="AN26" s="981"/>
      <c r="AO26" s="982"/>
      <c r="AP26" s="980"/>
      <c r="AQ26" s="980"/>
      <c r="AR26" s="980"/>
      <c r="AS26" s="980"/>
      <c r="AT26" s="980"/>
      <c r="AU26" s="980"/>
      <c r="AV26" s="980"/>
      <c r="AW26" s="980"/>
      <c r="AX26" s="981"/>
      <c r="AY26" s="982"/>
      <c r="AZ26" s="980"/>
      <c r="BA26" s="980"/>
      <c r="BB26" s="980"/>
      <c r="BC26" s="980"/>
      <c r="BD26" s="980"/>
      <c r="BE26" s="981"/>
      <c r="BF26" s="982"/>
      <c r="BG26" s="980"/>
      <c r="BH26" s="984"/>
      <c r="BJ26" s="1314" t="s">
        <v>353</v>
      </c>
      <c r="BK26" s="1315"/>
    </row>
    <row r="27" spans="1:63" ht="11.1" customHeight="1" x14ac:dyDescent="0.25">
      <c r="A27" s="684">
        <v>22</v>
      </c>
      <c r="B27" s="979"/>
      <c r="C27" s="980"/>
      <c r="D27" s="980"/>
      <c r="E27" s="980"/>
      <c r="F27" s="980"/>
      <c r="G27" s="981"/>
      <c r="H27" s="982"/>
      <c r="I27" s="980"/>
      <c r="J27" s="980"/>
      <c r="K27" s="980"/>
      <c r="L27" s="980"/>
      <c r="M27" s="981"/>
      <c r="N27" s="982"/>
      <c r="O27" s="980"/>
      <c r="P27" s="980"/>
      <c r="Q27" s="980"/>
      <c r="R27" s="980"/>
      <c r="S27" s="980"/>
      <c r="T27" s="980"/>
      <c r="U27" s="980"/>
      <c r="V27" s="980"/>
      <c r="W27" s="980"/>
      <c r="X27" s="981"/>
      <c r="Y27" s="982"/>
      <c r="Z27" s="980"/>
      <c r="AA27" s="980"/>
      <c r="AB27" s="980"/>
      <c r="AC27" s="980"/>
      <c r="AD27" s="981"/>
      <c r="AE27" s="982"/>
      <c r="AF27" s="983"/>
      <c r="AG27" s="982"/>
      <c r="AH27" s="980"/>
      <c r="AI27" s="980"/>
      <c r="AJ27" s="980"/>
      <c r="AK27" s="980"/>
      <c r="AL27" s="980"/>
      <c r="AM27" s="980"/>
      <c r="AN27" s="981"/>
      <c r="AO27" s="982"/>
      <c r="AP27" s="980"/>
      <c r="AQ27" s="980"/>
      <c r="AR27" s="980"/>
      <c r="AS27" s="980"/>
      <c r="AT27" s="980"/>
      <c r="AU27" s="980"/>
      <c r="AV27" s="980"/>
      <c r="AW27" s="980"/>
      <c r="AX27" s="981"/>
      <c r="AY27" s="982"/>
      <c r="AZ27" s="980"/>
      <c r="BA27" s="980"/>
      <c r="BB27" s="980"/>
      <c r="BC27" s="980"/>
      <c r="BD27" s="980"/>
      <c r="BE27" s="981"/>
      <c r="BF27" s="982"/>
      <c r="BG27" s="980"/>
      <c r="BH27" s="984"/>
      <c r="BJ27" s="1314"/>
      <c r="BK27" s="1315"/>
    </row>
    <row r="28" spans="1:63" ht="11.1" customHeight="1" x14ac:dyDescent="0.25">
      <c r="A28" s="684">
        <v>23</v>
      </c>
      <c r="B28" s="979"/>
      <c r="C28" s="980"/>
      <c r="D28" s="980"/>
      <c r="E28" s="980"/>
      <c r="F28" s="980"/>
      <c r="G28" s="981"/>
      <c r="H28" s="982"/>
      <c r="I28" s="980"/>
      <c r="J28" s="980"/>
      <c r="K28" s="980"/>
      <c r="L28" s="980"/>
      <c r="M28" s="981"/>
      <c r="N28" s="982"/>
      <c r="O28" s="980"/>
      <c r="P28" s="980"/>
      <c r="Q28" s="980"/>
      <c r="R28" s="980"/>
      <c r="S28" s="980"/>
      <c r="T28" s="980"/>
      <c r="U28" s="980"/>
      <c r="V28" s="980"/>
      <c r="W28" s="980"/>
      <c r="X28" s="981"/>
      <c r="Y28" s="982"/>
      <c r="Z28" s="980"/>
      <c r="AA28" s="980"/>
      <c r="AB28" s="980"/>
      <c r="AC28" s="980"/>
      <c r="AD28" s="981"/>
      <c r="AE28" s="982"/>
      <c r="AF28" s="983"/>
      <c r="AG28" s="982"/>
      <c r="AH28" s="980"/>
      <c r="AI28" s="980"/>
      <c r="AJ28" s="980"/>
      <c r="AK28" s="980"/>
      <c r="AL28" s="980"/>
      <c r="AM28" s="980"/>
      <c r="AN28" s="981"/>
      <c r="AO28" s="982"/>
      <c r="AP28" s="980"/>
      <c r="AQ28" s="980"/>
      <c r="AR28" s="980"/>
      <c r="AS28" s="980"/>
      <c r="AT28" s="980"/>
      <c r="AU28" s="980"/>
      <c r="AV28" s="980"/>
      <c r="AW28" s="980"/>
      <c r="AX28" s="981"/>
      <c r="AY28" s="982"/>
      <c r="AZ28" s="980"/>
      <c r="BA28" s="980"/>
      <c r="BB28" s="980"/>
      <c r="BC28" s="980"/>
      <c r="BD28" s="980"/>
      <c r="BE28" s="981"/>
      <c r="BF28" s="982"/>
      <c r="BG28" s="980"/>
      <c r="BH28" s="984"/>
      <c r="BJ28" s="1314"/>
      <c r="BK28" s="1315"/>
    </row>
    <row r="29" spans="1:63" ht="11.1" customHeight="1" x14ac:dyDescent="0.25">
      <c r="A29" s="684">
        <v>24</v>
      </c>
      <c r="B29" s="979"/>
      <c r="C29" s="980"/>
      <c r="D29" s="980"/>
      <c r="E29" s="980"/>
      <c r="F29" s="980"/>
      <c r="G29" s="981"/>
      <c r="H29" s="982"/>
      <c r="I29" s="980"/>
      <c r="J29" s="980"/>
      <c r="K29" s="980"/>
      <c r="L29" s="980"/>
      <c r="M29" s="981"/>
      <c r="N29" s="982"/>
      <c r="O29" s="980"/>
      <c r="P29" s="980"/>
      <c r="Q29" s="980"/>
      <c r="R29" s="980"/>
      <c r="S29" s="980"/>
      <c r="T29" s="980"/>
      <c r="U29" s="980"/>
      <c r="V29" s="980"/>
      <c r="W29" s="980"/>
      <c r="X29" s="981"/>
      <c r="Y29" s="982"/>
      <c r="Z29" s="980"/>
      <c r="AA29" s="980"/>
      <c r="AB29" s="980"/>
      <c r="AC29" s="980"/>
      <c r="AD29" s="981"/>
      <c r="AE29" s="982"/>
      <c r="AF29" s="983"/>
      <c r="AG29" s="982"/>
      <c r="AH29" s="980"/>
      <c r="AI29" s="980"/>
      <c r="AJ29" s="980"/>
      <c r="AK29" s="980"/>
      <c r="AL29" s="980"/>
      <c r="AM29" s="980"/>
      <c r="AN29" s="981"/>
      <c r="AO29" s="982"/>
      <c r="AP29" s="980"/>
      <c r="AQ29" s="980"/>
      <c r="AR29" s="980"/>
      <c r="AS29" s="980"/>
      <c r="AT29" s="980"/>
      <c r="AU29" s="980"/>
      <c r="AV29" s="980"/>
      <c r="AW29" s="980"/>
      <c r="AX29" s="981"/>
      <c r="AY29" s="982"/>
      <c r="AZ29" s="980"/>
      <c r="BA29" s="980"/>
      <c r="BB29" s="980"/>
      <c r="BC29" s="980"/>
      <c r="BD29" s="980"/>
      <c r="BE29" s="981"/>
      <c r="BF29" s="982"/>
      <c r="BG29" s="980"/>
      <c r="BH29" s="984"/>
      <c r="BJ29" s="1314"/>
      <c r="BK29" s="1315"/>
    </row>
    <row r="30" spans="1:63" ht="11.1" customHeight="1" x14ac:dyDescent="0.25">
      <c r="A30" s="684">
        <v>25</v>
      </c>
      <c r="B30" s="979"/>
      <c r="C30" s="980"/>
      <c r="D30" s="980"/>
      <c r="E30" s="980"/>
      <c r="F30" s="980"/>
      <c r="G30" s="981"/>
      <c r="H30" s="982"/>
      <c r="I30" s="980"/>
      <c r="J30" s="980"/>
      <c r="K30" s="980"/>
      <c r="L30" s="980"/>
      <c r="M30" s="981"/>
      <c r="N30" s="982"/>
      <c r="O30" s="980"/>
      <c r="P30" s="980"/>
      <c r="Q30" s="980"/>
      <c r="R30" s="980"/>
      <c r="S30" s="980"/>
      <c r="T30" s="980"/>
      <c r="U30" s="980"/>
      <c r="V30" s="980"/>
      <c r="W30" s="980"/>
      <c r="X30" s="981"/>
      <c r="Y30" s="982"/>
      <c r="Z30" s="980"/>
      <c r="AA30" s="980"/>
      <c r="AB30" s="980"/>
      <c r="AC30" s="980"/>
      <c r="AD30" s="981"/>
      <c r="AE30" s="982"/>
      <c r="AF30" s="983"/>
      <c r="AG30" s="982"/>
      <c r="AH30" s="980"/>
      <c r="AI30" s="980"/>
      <c r="AJ30" s="980"/>
      <c r="AK30" s="980"/>
      <c r="AL30" s="980"/>
      <c r="AM30" s="980"/>
      <c r="AN30" s="981"/>
      <c r="AO30" s="982"/>
      <c r="AP30" s="980"/>
      <c r="AQ30" s="980"/>
      <c r="AR30" s="980"/>
      <c r="AS30" s="980"/>
      <c r="AT30" s="980"/>
      <c r="AU30" s="980"/>
      <c r="AV30" s="980"/>
      <c r="AW30" s="980"/>
      <c r="AX30" s="981"/>
      <c r="AY30" s="982"/>
      <c r="AZ30" s="980"/>
      <c r="BA30" s="980"/>
      <c r="BB30" s="980"/>
      <c r="BC30" s="980"/>
      <c r="BD30" s="980"/>
      <c r="BE30" s="981"/>
      <c r="BF30" s="982"/>
      <c r="BG30" s="980"/>
      <c r="BH30" s="984"/>
      <c r="BJ30" s="1314"/>
      <c r="BK30" s="1315"/>
    </row>
    <row r="31" spans="1:63" ht="11.1" customHeight="1" x14ac:dyDescent="0.25">
      <c r="A31" s="684">
        <v>26</v>
      </c>
      <c r="B31" s="979"/>
      <c r="C31" s="980"/>
      <c r="D31" s="980"/>
      <c r="E31" s="980"/>
      <c r="F31" s="980"/>
      <c r="G31" s="981"/>
      <c r="H31" s="982"/>
      <c r="I31" s="980"/>
      <c r="J31" s="980"/>
      <c r="K31" s="980"/>
      <c r="L31" s="980"/>
      <c r="M31" s="981"/>
      <c r="N31" s="982"/>
      <c r="O31" s="980"/>
      <c r="P31" s="980"/>
      <c r="Q31" s="980"/>
      <c r="R31" s="980"/>
      <c r="S31" s="980"/>
      <c r="T31" s="980"/>
      <c r="U31" s="980"/>
      <c r="V31" s="980"/>
      <c r="W31" s="980"/>
      <c r="X31" s="981"/>
      <c r="Y31" s="982"/>
      <c r="Z31" s="980"/>
      <c r="AA31" s="980"/>
      <c r="AB31" s="980"/>
      <c r="AC31" s="980"/>
      <c r="AD31" s="981"/>
      <c r="AE31" s="982"/>
      <c r="AF31" s="983"/>
      <c r="AG31" s="982"/>
      <c r="AH31" s="980"/>
      <c r="AI31" s="980"/>
      <c r="AJ31" s="980"/>
      <c r="AK31" s="980"/>
      <c r="AL31" s="980"/>
      <c r="AM31" s="980"/>
      <c r="AN31" s="981"/>
      <c r="AO31" s="982"/>
      <c r="AP31" s="980"/>
      <c r="AQ31" s="980"/>
      <c r="AR31" s="980"/>
      <c r="AS31" s="980"/>
      <c r="AT31" s="980"/>
      <c r="AU31" s="980"/>
      <c r="AV31" s="980"/>
      <c r="AW31" s="980"/>
      <c r="AX31" s="981"/>
      <c r="AY31" s="982"/>
      <c r="AZ31" s="980"/>
      <c r="BA31" s="980"/>
      <c r="BB31" s="980"/>
      <c r="BC31" s="980"/>
      <c r="BD31" s="980"/>
      <c r="BE31" s="981"/>
      <c r="BF31" s="982"/>
      <c r="BG31" s="980"/>
      <c r="BH31" s="984"/>
      <c r="BJ31" s="1314"/>
      <c r="BK31" s="1315"/>
    </row>
    <row r="32" spans="1:63" ht="11.1" customHeight="1" x14ac:dyDescent="0.25">
      <c r="A32" s="684">
        <v>27</v>
      </c>
      <c r="B32" s="979"/>
      <c r="C32" s="980"/>
      <c r="D32" s="980"/>
      <c r="E32" s="980"/>
      <c r="F32" s="980"/>
      <c r="G32" s="981"/>
      <c r="H32" s="982"/>
      <c r="I32" s="980"/>
      <c r="J32" s="980"/>
      <c r="K32" s="980"/>
      <c r="L32" s="980"/>
      <c r="M32" s="981"/>
      <c r="N32" s="982"/>
      <c r="O32" s="980"/>
      <c r="P32" s="980"/>
      <c r="Q32" s="980"/>
      <c r="R32" s="980"/>
      <c r="S32" s="980"/>
      <c r="T32" s="980"/>
      <c r="U32" s="980"/>
      <c r="V32" s="980"/>
      <c r="W32" s="980"/>
      <c r="X32" s="981"/>
      <c r="Y32" s="982"/>
      <c r="Z32" s="980"/>
      <c r="AA32" s="980"/>
      <c r="AB32" s="980"/>
      <c r="AC32" s="980"/>
      <c r="AD32" s="981"/>
      <c r="AE32" s="982"/>
      <c r="AF32" s="983"/>
      <c r="AG32" s="982"/>
      <c r="AH32" s="980"/>
      <c r="AI32" s="980"/>
      <c r="AJ32" s="980"/>
      <c r="AK32" s="980"/>
      <c r="AL32" s="980"/>
      <c r="AM32" s="980"/>
      <c r="AN32" s="981"/>
      <c r="AO32" s="982"/>
      <c r="AP32" s="980"/>
      <c r="AQ32" s="980"/>
      <c r="AR32" s="980"/>
      <c r="AS32" s="980"/>
      <c r="AT32" s="980"/>
      <c r="AU32" s="980"/>
      <c r="AV32" s="980"/>
      <c r="AW32" s="980"/>
      <c r="AX32" s="981"/>
      <c r="AY32" s="982"/>
      <c r="AZ32" s="980"/>
      <c r="BA32" s="980"/>
      <c r="BB32" s="980"/>
      <c r="BC32" s="980"/>
      <c r="BD32" s="980"/>
      <c r="BE32" s="981"/>
      <c r="BF32" s="982"/>
      <c r="BG32" s="980"/>
      <c r="BH32" s="984"/>
      <c r="BJ32" s="1314"/>
      <c r="BK32" s="1315"/>
    </row>
    <row r="33" spans="1:64" ht="11.1" customHeight="1" x14ac:dyDescent="0.25">
      <c r="A33" s="684">
        <v>28</v>
      </c>
      <c r="B33" s="979"/>
      <c r="C33" s="980"/>
      <c r="D33" s="980"/>
      <c r="E33" s="980"/>
      <c r="F33" s="980"/>
      <c r="G33" s="981"/>
      <c r="H33" s="982"/>
      <c r="I33" s="980"/>
      <c r="J33" s="980"/>
      <c r="K33" s="980"/>
      <c r="L33" s="980"/>
      <c r="M33" s="981"/>
      <c r="N33" s="982"/>
      <c r="O33" s="980"/>
      <c r="P33" s="980"/>
      <c r="Q33" s="980"/>
      <c r="R33" s="980"/>
      <c r="S33" s="980"/>
      <c r="T33" s="980"/>
      <c r="U33" s="980"/>
      <c r="V33" s="980"/>
      <c r="W33" s="980"/>
      <c r="X33" s="981"/>
      <c r="Y33" s="982"/>
      <c r="Z33" s="980"/>
      <c r="AA33" s="980"/>
      <c r="AB33" s="980"/>
      <c r="AC33" s="980"/>
      <c r="AD33" s="981"/>
      <c r="AE33" s="982"/>
      <c r="AF33" s="983"/>
      <c r="AG33" s="982"/>
      <c r="AH33" s="980"/>
      <c r="AI33" s="980"/>
      <c r="AJ33" s="980"/>
      <c r="AK33" s="980"/>
      <c r="AL33" s="980"/>
      <c r="AM33" s="980"/>
      <c r="AN33" s="981"/>
      <c r="AO33" s="982"/>
      <c r="AP33" s="980"/>
      <c r="AQ33" s="980"/>
      <c r="AR33" s="980"/>
      <c r="AS33" s="980"/>
      <c r="AT33" s="980"/>
      <c r="AU33" s="980"/>
      <c r="AV33" s="980"/>
      <c r="AW33" s="980"/>
      <c r="AX33" s="981"/>
      <c r="AY33" s="982"/>
      <c r="AZ33" s="980"/>
      <c r="BA33" s="980"/>
      <c r="BB33" s="980"/>
      <c r="BC33" s="980"/>
      <c r="BD33" s="980"/>
      <c r="BE33" s="981"/>
      <c r="BF33" s="982"/>
      <c r="BG33" s="980"/>
      <c r="BH33" s="984"/>
      <c r="BJ33" s="1314"/>
      <c r="BK33" s="1315"/>
    </row>
    <row r="34" spans="1:64" ht="11.1" customHeight="1" thickBot="1" x14ac:dyDescent="0.3">
      <c r="A34" s="684">
        <v>29</v>
      </c>
      <c r="B34" s="979"/>
      <c r="C34" s="980"/>
      <c r="D34" s="980"/>
      <c r="E34" s="980"/>
      <c r="F34" s="980"/>
      <c r="G34" s="981"/>
      <c r="H34" s="982"/>
      <c r="I34" s="980"/>
      <c r="J34" s="980"/>
      <c r="K34" s="980"/>
      <c r="L34" s="980"/>
      <c r="M34" s="981"/>
      <c r="N34" s="982"/>
      <c r="O34" s="980"/>
      <c r="P34" s="980"/>
      <c r="Q34" s="980"/>
      <c r="R34" s="980"/>
      <c r="S34" s="980"/>
      <c r="T34" s="980"/>
      <c r="U34" s="980"/>
      <c r="V34" s="980"/>
      <c r="W34" s="980"/>
      <c r="X34" s="981"/>
      <c r="Y34" s="982"/>
      <c r="Z34" s="980"/>
      <c r="AA34" s="980"/>
      <c r="AB34" s="980"/>
      <c r="AC34" s="980"/>
      <c r="AD34" s="981"/>
      <c r="AE34" s="982"/>
      <c r="AF34" s="983"/>
      <c r="AG34" s="982"/>
      <c r="AH34" s="980"/>
      <c r="AI34" s="980"/>
      <c r="AJ34" s="980"/>
      <c r="AK34" s="980"/>
      <c r="AL34" s="980"/>
      <c r="AM34" s="980"/>
      <c r="AN34" s="981"/>
      <c r="AO34" s="982"/>
      <c r="AP34" s="980"/>
      <c r="AQ34" s="980"/>
      <c r="AR34" s="980"/>
      <c r="AS34" s="980"/>
      <c r="AT34" s="980"/>
      <c r="AU34" s="980"/>
      <c r="AV34" s="980"/>
      <c r="AW34" s="980"/>
      <c r="AX34" s="981"/>
      <c r="AY34" s="982"/>
      <c r="AZ34" s="980"/>
      <c r="BA34" s="980"/>
      <c r="BB34" s="980"/>
      <c r="BC34" s="980"/>
      <c r="BD34" s="980"/>
      <c r="BE34" s="981"/>
      <c r="BF34" s="982"/>
      <c r="BG34" s="980"/>
      <c r="BH34" s="984"/>
      <c r="BJ34" s="1316"/>
      <c r="BK34" s="1317"/>
    </row>
    <row r="35" spans="1:64" ht="11.1" customHeight="1" x14ac:dyDescent="0.25">
      <c r="A35" s="684">
        <v>30</v>
      </c>
      <c r="B35" s="979"/>
      <c r="C35" s="980"/>
      <c r="D35" s="980"/>
      <c r="E35" s="980"/>
      <c r="F35" s="980"/>
      <c r="G35" s="981"/>
      <c r="H35" s="982"/>
      <c r="I35" s="980"/>
      <c r="J35" s="980"/>
      <c r="K35" s="980"/>
      <c r="L35" s="980"/>
      <c r="M35" s="981"/>
      <c r="N35" s="982"/>
      <c r="O35" s="980"/>
      <c r="P35" s="980"/>
      <c r="Q35" s="980"/>
      <c r="R35" s="980"/>
      <c r="S35" s="980"/>
      <c r="T35" s="980"/>
      <c r="U35" s="980"/>
      <c r="V35" s="980"/>
      <c r="W35" s="980"/>
      <c r="X35" s="981"/>
      <c r="Y35" s="982"/>
      <c r="Z35" s="980"/>
      <c r="AA35" s="980"/>
      <c r="AB35" s="980"/>
      <c r="AC35" s="980"/>
      <c r="AD35" s="981"/>
      <c r="AE35" s="982"/>
      <c r="AF35" s="983"/>
      <c r="AG35" s="982"/>
      <c r="AH35" s="980"/>
      <c r="AI35" s="980"/>
      <c r="AJ35" s="980"/>
      <c r="AK35" s="980"/>
      <c r="AL35" s="980"/>
      <c r="AM35" s="980"/>
      <c r="AN35" s="981"/>
      <c r="AO35" s="982"/>
      <c r="AP35" s="980"/>
      <c r="AQ35" s="980"/>
      <c r="AR35" s="980"/>
      <c r="AS35" s="980"/>
      <c r="AT35" s="980"/>
      <c r="AU35" s="980"/>
      <c r="AV35" s="980"/>
      <c r="AW35" s="980"/>
      <c r="AX35" s="981"/>
      <c r="AY35" s="982"/>
      <c r="AZ35" s="980"/>
      <c r="BA35" s="980"/>
      <c r="BB35" s="980"/>
      <c r="BC35" s="980"/>
      <c r="BD35" s="980"/>
      <c r="BE35" s="981"/>
      <c r="BF35" s="982"/>
      <c r="BG35" s="980"/>
      <c r="BH35" s="984"/>
    </row>
    <row r="36" spans="1:64" ht="11.1" customHeight="1" x14ac:dyDescent="0.25">
      <c r="A36" s="684">
        <v>31</v>
      </c>
      <c r="B36" s="979"/>
      <c r="C36" s="980"/>
      <c r="D36" s="980"/>
      <c r="E36" s="980"/>
      <c r="F36" s="980"/>
      <c r="G36" s="981"/>
      <c r="H36" s="982"/>
      <c r="I36" s="980"/>
      <c r="J36" s="980"/>
      <c r="K36" s="980"/>
      <c r="L36" s="980"/>
      <c r="M36" s="981"/>
      <c r="N36" s="982"/>
      <c r="O36" s="980"/>
      <c r="P36" s="980"/>
      <c r="Q36" s="980"/>
      <c r="R36" s="980"/>
      <c r="S36" s="980"/>
      <c r="T36" s="980"/>
      <c r="U36" s="980"/>
      <c r="V36" s="980"/>
      <c r="W36" s="980"/>
      <c r="X36" s="981"/>
      <c r="Y36" s="982"/>
      <c r="Z36" s="980"/>
      <c r="AA36" s="980"/>
      <c r="AB36" s="980"/>
      <c r="AC36" s="980"/>
      <c r="AD36" s="981"/>
      <c r="AE36" s="982"/>
      <c r="AF36" s="983"/>
      <c r="AG36" s="982"/>
      <c r="AH36" s="980"/>
      <c r="AI36" s="980"/>
      <c r="AJ36" s="980"/>
      <c r="AK36" s="980"/>
      <c r="AL36" s="980"/>
      <c r="AM36" s="980"/>
      <c r="AN36" s="981"/>
      <c r="AO36" s="982"/>
      <c r="AP36" s="980"/>
      <c r="AQ36" s="980"/>
      <c r="AR36" s="980"/>
      <c r="AS36" s="980"/>
      <c r="AT36" s="980"/>
      <c r="AU36" s="980"/>
      <c r="AV36" s="980"/>
      <c r="AW36" s="980"/>
      <c r="AX36" s="981"/>
      <c r="AY36" s="982"/>
      <c r="AZ36" s="980"/>
      <c r="BA36" s="980"/>
      <c r="BB36" s="980"/>
      <c r="BC36" s="980"/>
      <c r="BD36" s="980"/>
      <c r="BE36" s="981"/>
      <c r="BF36" s="982"/>
      <c r="BG36" s="980"/>
      <c r="BH36" s="984"/>
    </row>
    <row r="37" spans="1:64" ht="11.1" customHeight="1" x14ac:dyDescent="0.25">
      <c r="A37" s="684">
        <v>32</v>
      </c>
      <c r="B37" s="979"/>
      <c r="C37" s="980"/>
      <c r="D37" s="980"/>
      <c r="E37" s="980"/>
      <c r="F37" s="980"/>
      <c r="G37" s="981"/>
      <c r="H37" s="982"/>
      <c r="I37" s="980"/>
      <c r="J37" s="980"/>
      <c r="K37" s="980"/>
      <c r="L37" s="980"/>
      <c r="M37" s="981"/>
      <c r="N37" s="982"/>
      <c r="O37" s="980"/>
      <c r="P37" s="980"/>
      <c r="Q37" s="980"/>
      <c r="R37" s="980"/>
      <c r="S37" s="980"/>
      <c r="T37" s="980"/>
      <c r="U37" s="980"/>
      <c r="V37" s="980"/>
      <c r="W37" s="980"/>
      <c r="X37" s="981"/>
      <c r="Y37" s="982"/>
      <c r="Z37" s="980"/>
      <c r="AA37" s="980"/>
      <c r="AB37" s="980"/>
      <c r="AC37" s="980"/>
      <c r="AD37" s="981"/>
      <c r="AE37" s="982"/>
      <c r="AF37" s="983"/>
      <c r="AG37" s="982"/>
      <c r="AH37" s="980"/>
      <c r="AI37" s="980"/>
      <c r="AJ37" s="980"/>
      <c r="AK37" s="980"/>
      <c r="AL37" s="980"/>
      <c r="AM37" s="980"/>
      <c r="AN37" s="981"/>
      <c r="AO37" s="982"/>
      <c r="AP37" s="980"/>
      <c r="AQ37" s="980"/>
      <c r="AR37" s="980"/>
      <c r="AS37" s="980"/>
      <c r="AT37" s="980"/>
      <c r="AU37" s="980"/>
      <c r="AV37" s="980"/>
      <c r="AW37" s="980"/>
      <c r="AX37" s="981"/>
      <c r="AY37" s="982"/>
      <c r="AZ37" s="980"/>
      <c r="BA37" s="980"/>
      <c r="BB37" s="980"/>
      <c r="BC37" s="980"/>
      <c r="BD37" s="980"/>
      <c r="BE37" s="981"/>
      <c r="BF37" s="982"/>
      <c r="BG37" s="980"/>
      <c r="BH37" s="984"/>
    </row>
    <row r="38" spans="1:64" ht="11.1" customHeight="1" x14ac:dyDescent="0.25">
      <c r="A38" s="684">
        <v>33</v>
      </c>
      <c r="B38" s="979"/>
      <c r="C38" s="980"/>
      <c r="D38" s="980"/>
      <c r="E38" s="980"/>
      <c r="F38" s="980"/>
      <c r="G38" s="981"/>
      <c r="H38" s="982"/>
      <c r="I38" s="980"/>
      <c r="J38" s="980"/>
      <c r="K38" s="980"/>
      <c r="L38" s="980"/>
      <c r="M38" s="981"/>
      <c r="N38" s="982"/>
      <c r="O38" s="980"/>
      <c r="P38" s="980"/>
      <c r="Q38" s="980"/>
      <c r="R38" s="980"/>
      <c r="S38" s="980"/>
      <c r="T38" s="980"/>
      <c r="U38" s="980"/>
      <c r="V38" s="980"/>
      <c r="W38" s="980"/>
      <c r="X38" s="981"/>
      <c r="Y38" s="982"/>
      <c r="Z38" s="980"/>
      <c r="AA38" s="980"/>
      <c r="AB38" s="980"/>
      <c r="AC38" s="980"/>
      <c r="AD38" s="981"/>
      <c r="AE38" s="982"/>
      <c r="AF38" s="983"/>
      <c r="AG38" s="982"/>
      <c r="AH38" s="980"/>
      <c r="AI38" s="980"/>
      <c r="AJ38" s="980"/>
      <c r="AK38" s="980"/>
      <c r="AL38" s="980"/>
      <c r="AM38" s="980"/>
      <c r="AN38" s="981"/>
      <c r="AO38" s="982"/>
      <c r="AP38" s="980"/>
      <c r="AQ38" s="980"/>
      <c r="AR38" s="980"/>
      <c r="AS38" s="980"/>
      <c r="AT38" s="980"/>
      <c r="AU38" s="980"/>
      <c r="AV38" s="980"/>
      <c r="AW38" s="980"/>
      <c r="AX38" s="981"/>
      <c r="AY38" s="982"/>
      <c r="AZ38" s="980"/>
      <c r="BA38" s="980"/>
      <c r="BB38" s="980"/>
      <c r="BC38" s="980"/>
      <c r="BD38" s="980"/>
      <c r="BE38" s="981"/>
      <c r="BF38" s="982"/>
      <c r="BG38" s="980"/>
      <c r="BH38" s="984"/>
    </row>
    <row r="39" spans="1:64" ht="11.1" customHeight="1" x14ac:dyDescent="0.25">
      <c r="A39" s="684">
        <v>34</v>
      </c>
      <c r="B39" s="979"/>
      <c r="C39" s="980"/>
      <c r="D39" s="980"/>
      <c r="E39" s="980"/>
      <c r="F39" s="980"/>
      <c r="G39" s="981"/>
      <c r="H39" s="982"/>
      <c r="I39" s="980"/>
      <c r="J39" s="980"/>
      <c r="K39" s="980"/>
      <c r="L39" s="980"/>
      <c r="M39" s="981"/>
      <c r="N39" s="982"/>
      <c r="O39" s="980"/>
      <c r="P39" s="980"/>
      <c r="Q39" s="980"/>
      <c r="R39" s="980"/>
      <c r="S39" s="980"/>
      <c r="T39" s="980"/>
      <c r="U39" s="980"/>
      <c r="V39" s="980"/>
      <c r="W39" s="980"/>
      <c r="X39" s="981"/>
      <c r="Y39" s="982"/>
      <c r="Z39" s="980"/>
      <c r="AA39" s="980"/>
      <c r="AB39" s="980"/>
      <c r="AC39" s="980"/>
      <c r="AD39" s="981"/>
      <c r="AE39" s="982"/>
      <c r="AF39" s="983"/>
      <c r="AG39" s="982"/>
      <c r="AH39" s="980"/>
      <c r="AI39" s="980"/>
      <c r="AJ39" s="980"/>
      <c r="AK39" s="980"/>
      <c r="AL39" s="980"/>
      <c r="AM39" s="980"/>
      <c r="AN39" s="981"/>
      <c r="AO39" s="982"/>
      <c r="AP39" s="980"/>
      <c r="AQ39" s="980"/>
      <c r="AR39" s="980"/>
      <c r="AS39" s="980"/>
      <c r="AT39" s="980"/>
      <c r="AU39" s="980"/>
      <c r="AV39" s="980"/>
      <c r="AW39" s="980"/>
      <c r="AX39" s="981"/>
      <c r="AY39" s="982"/>
      <c r="AZ39" s="980"/>
      <c r="BA39" s="980"/>
      <c r="BB39" s="980"/>
      <c r="BC39" s="980"/>
      <c r="BD39" s="980"/>
      <c r="BE39" s="981"/>
      <c r="BF39" s="982"/>
      <c r="BG39" s="980"/>
      <c r="BH39" s="984"/>
    </row>
    <row r="40" spans="1:64" ht="11.1" customHeight="1" x14ac:dyDescent="0.25">
      <c r="A40" s="684">
        <v>35</v>
      </c>
      <c r="B40" s="979"/>
      <c r="C40" s="980"/>
      <c r="D40" s="980"/>
      <c r="E40" s="980"/>
      <c r="F40" s="980"/>
      <c r="G40" s="981"/>
      <c r="H40" s="982"/>
      <c r="I40" s="980"/>
      <c r="J40" s="980"/>
      <c r="K40" s="980"/>
      <c r="L40" s="980"/>
      <c r="M40" s="981"/>
      <c r="N40" s="982"/>
      <c r="O40" s="980"/>
      <c r="P40" s="980"/>
      <c r="Q40" s="980"/>
      <c r="R40" s="980"/>
      <c r="S40" s="980"/>
      <c r="T40" s="980"/>
      <c r="U40" s="980"/>
      <c r="V40" s="980"/>
      <c r="W40" s="980"/>
      <c r="X40" s="981"/>
      <c r="Y40" s="982"/>
      <c r="Z40" s="980"/>
      <c r="AA40" s="980"/>
      <c r="AB40" s="980"/>
      <c r="AC40" s="980"/>
      <c r="AD40" s="981"/>
      <c r="AE40" s="982"/>
      <c r="AF40" s="983"/>
      <c r="AG40" s="982"/>
      <c r="AH40" s="980"/>
      <c r="AI40" s="980"/>
      <c r="AJ40" s="980"/>
      <c r="AK40" s="980"/>
      <c r="AL40" s="980"/>
      <c r="AM40" s="980"/>
      <c r="AN40" s="981"/>
      <c r="AO40" s="982"/>
      <c r="AP40" s="980"/>
      <c r="AQ40" s="980"/>
      <c r="AR40" s="980"/>
      <c r="AS40" s="980"/>
      <c r="AT40" s="980"/>
      <c r="AU40" s="980"/>
      <c r="AV40" s="980"/>
      <c r="AW40" s="980"/>
      <c r="AX40" s="981"/>
      <c r="AY40" s="982"/>
      <c r="AZ40" s="980"/>
      <c r="BA40" s="980"/>
      <c r="BB40" s="980"/>
      <c r="BC40" s="980"/>
      <c r="BD40" s="980"/>
      <c r="BE40" s="981"/>
      <c r="BF40" s="982"/>
      <c r="BG40" s="980"/>
      <c r="BH40" s="984"/>
    </row>
    <row r="41" spans="1:64" ht="11.1" customHeight="1" x14ac:dyDescent="0.25">
      <c r="A41" s="684">
        <v>36</v>
      </c>
      <c r="B41" s="979"/>
      <c r="C41" s="980"/>
      <c r="D41" s="980"/>
      <c r="E41" s="980"/>
      <c r="F41" s="980"/>
      <c r="G41" s="981"/>
      <c r="H41" s="982"/>
      <c r="I41" s="980"/>
      <c r="J41" s="980"/>
      <c r="K41" s="980"/>
      <c r="L41" s="980"/>
      <c r="M41" s="981"/>
      <c r="N41" s="982"/>
      <c r="O41" s="980"/>
      <c r="P41" s="980"/>
      <c r="Q41" s="980"/>
      <c r="R41" s="980"/>
      <c r="S41" s="980"/>
      <c r="T41" s="980"/>
      <c r="U41" s="980"/>
      <c r="V41" s="980"/>
      <c r="W41" s="980"/>
      <c r="X41" s="981"/>
      <c r="Y41" s="982"/>
      <c r="Z41" s="980"/>
      <c r="AA41" s="980"/>
      <c r="AB41" s="980"/>
      <c r="AC41" s="980"/>
      <c r="AD41" s="981"/>
      <c r="AE41" s="982"/>
      <c r="AF41" s="983"/>
      <c r="AG41" s="982"/>
      <c r="AH41" s="980"/>
      <c r="AI41" s="980"/>
      <c r="AJ41" s="980"/>
      <c r="AK41" s="980"/>
      <c r="AL41" s="980"/>
      <c r="AM41" s="980"/>
      <c r="AN41" s="981"/>
      <c r="AO41" s="982"/>
      <c r="AP41" s="980"/>
      <c r="AQ41" s="980"/>
      <c r="AR41" s="980"/>
      <c r="AS41" s="980"/>
      <c r="AT41" s="980"/>
      <c r="AU41" s="980"/>
      <c r="AV41" s="980"/>
      <c r="AW41" s="980"/>
      <c r="AX41" s="981"/>
      <c r="AY41" s="982"/>
      <c r="AZ41" s="980"/>
      <c r="BA41" s="980"/>
      <c r="BB41" s="980"/>
      <c r="BC41" s="980"/>
      <c r="BD41" s="980"/>
      <c r="BE41" s="981"/>
      <c r="BF41" s="982"/>
      <c r="BG41" s="980"/>
      <c r="BH41" s="984"/>
    </row>
    <row r="42" spans="1:64" ht="11.1" customHeight="1" x14ac:dyDescent="0.25">
      <c r="A42" s="684">
        <v>37</v>
      </c>
      <c r="B42" s="979"/>
      <c r="C42" s="980"/>
      <c r="D42" s="980"/>
      <c r="E42" s="980"/>
      <c r="F42" s="980"/>
      <c r="G42" s="981"/>
      <c r="H42" s="982"/>
      <c r="I42" s="980"/>
      <c r="J42" s="980"/>
      <c r="K42" s="980"/>
      <c r="L42" s="980"/>
      <c r="M42" s="981"/>
      <c r="N42" s="982"/>
      <c r="O42" s="980"/>
      <c r="P42" s="980"/>
      <c r="Q42" s="980"/>
      <c r="R42" s="980"/>
      <c r="S42" s="980"/>
      <c r="T42" s="980"/>
      <c r="U42" s="980"/>
      <c r="V42" s="980"/>
      <c r="W42" s="980"/>
      <c r="X42" s="981"/>
      <c r="Y42" s="982"/>
      <c r="Z42" s="980"/>
      <c r="AA42" s="980"/>
      <c r="AB42" s="980"/>
      <c r="AC42" s="980"/>
      <c r="AD42" s="981"/>
      <c r="AE42" s="982"/>
      <c r="AF42" s="983"/>
      <c r="AG42" s="982"/>
      <c r="AH42" s="980"/>
      <c r="AI42" s="980"/>
      <c r="AJ42" s="980"/>
      <c r="AK42" s="980"/>
      <c r="AL42" s="980"/>
      <c r="AM42" s="980"/>
      <c r="AN42" s="981"/>
      <c r="AO42" s="982"/>
      <c r="AP42" s="980"/>
      <c r="AQ42" s="980"/>
      <c r="AR42" s="980"/>
      <c r="AS42" s="980"/>
      <c r="AT42" s="980"/>
      <c r="AU42" s="980"/>
      <c r="AV42" s="980"/>
      <c r="AW42" s="980"/>
      <c r="AX42" s="981"/>
      <c r="AY42" s="982"/>
      <c r="AZ42" s="980"/>
      <c r="BA42" s="980"/>
      <c r="BB42" s="980"/>
      <c r="BC42" s="980"/>
      <c r="BD42" s="980"/>
      <c r="BE42" s="981"/>
      <c r="BF42" s="982"/>
      <c r="BG42" s="980"/>
      <c r="BH42" s="984"/>
    </row>
    <row r="43" spans="1:64" ht="11.1" customHeight="1" x14ac:dyDescent="0.25">
      <c r="A43" s="684">
        <v>38</v>
      </c>
      <c r="B43" s="979"/>
      <c r="C43" s="980"/>
      <c r="D43" s="980"/>
      <c r="E43" s="980"/>
      <c r="F43" s="980"/>
      <c r="G43" s="981"/>
      <c r="H43" s="982"/>
      <c r="I43" s="980"/>
      <c r="J43" s="980"/>
      <c r="K43" s="980"/>
      <c r="L43" s="980"/>
      <c r="M43" s="981"/>
      <c r="N43" s="982"/>
      <c r="O43" s="980"/>
      <c r="P43" s="980"/>
      <c r="Q43" s="980"/>
      <c r="R43" s="980"/>
      <c r="S43" s="980"/>
      <c r="T43" s="980"/>
      <c r="U43" s="980"/>
      <c r="V43" s="980"/>
      <c r="W43" s="980"/>
      <c r="X43" s="981"/>
      <c r="Y43" s="982"/>
      <c r="Z43" s="980"/>
      <c r="AA43" s="980"/>
      <c r="AB43" s="980"/>
      <c r="AC43" s="980"/>
      <c r="AD43" s="981"/>
      <c r="AE43" s="982"/>
      <c r="AF43" s="983"/>
      <c r="AG43" s="982"/>
      <c r="AH43" s="980"/>
      <c r="AI43" s="980"/>
      <c r="AJ43" s="980"/>
      <c r="AK43" s="980"/>
      <c r="AL43" s="980"/>
      <c r="AM43" s="980"/>
      <c r="AN43" s="981"/>
      <c r="AO43" s="982"/>
      <c r="AP43" s="980"/>
      <c r="AQ43" s="980"/>
      <c r="AR43" s="980"/>
      <c r="AS43" s="980"/>
      <c r="AT43" s="980"/>
      <c r="AU43" s="980"/>
      <c r="AV43" s="980"/>
      <c r="AW43" s="980"/>
      <c r="AX43" s="981"/>
      <c r="AY43" s="982"/>
      <c r="AZ43" s="980"/>
      <c r="BA43" s="980"/>
      <c r="BB43" s="980"/>
      <c r="BC43" s="980"/>
      <c r="BD43" s="980"/>
      <c r="BE43" s="981"/>
      <c r="BF43" s="982"/>
      <c r="BG43" s="980"/>
      <c r="BH43" s="984"/>
    </row>
    <row r="44" spans="1:64" ht="11.1" customHeight="1" x14ac:dyDescent="0.25">
      <c r="A44" s="684">
        <v>39</v>
      </c>
      <c r="B44" s="979"/>
      <c r="C44" s="980"/>
      <c r="D44" s="980"/>
      <c r="E44" s="980"/>
      <c r="F44" s="980"/>
      <c r="G44" s="981"/>
      <c r="H44" s="982"/>
      <c r="I44" s="980"/>
      <c r="J44" s="980"/>
      <c r="K44" s="980"/>
      <c r="L44" s="980"/>
      <c r="M44" s="981"/>
      <c r="N44" s="982"/>
      <c r="O44" s="980"/>
      <c r="P44" s="980"/>
      <c r="Q44" s="980"/>
      <c r="R44" s="980"/>
      <c r="S44" s="980"/>
      <c r="T44" s="980"/>
      <c r="U44" s="980"/>
      <c r="V44" s="980"/>
      <c r="W44" s="980"/>
      <c r="X44" s="981"/>
      <c r="Y44" s="982"/>
      <c r="Z44" s="980"/>
      <c r="AA44" s="980"/>
      <c r="AB44" s="980"/>
      <c r="AC44" s="980"/>
      <c r="AD44" s="981"/>
      <c r="AE44" s="982"/>
      <c r="AF44" s="983"/>
      <c r="AG44" s="982"/>
      <c r="AH44" s="980"/>
      <c r="AI44" s="980"/>
      <c r="AJ44" s="980"/>
      <c r="AK44" s="980"/>
      <c r="AL44" s="980"/>
      <c r="AM44" s="980"/>
      <c r="AN44" s="981"/>
      <c r="AO44" s="982"/>
      <c r="AP44" s="980"/>
      <c r="AQ44" s="980"/>
      <c r="AR44" s="980"/>
      <c r="AS44" s="980"/>
      <c r="AT44" s="980"/>
      <c r="AU44" s="980"/>
      <c r="AV44" s="980"/>
      <c r="AW44" s="980"/>
      <c r="AX44" s="981"/>
      <c r="AY44" s="982"/>
      <c r="AZ44" s="980"/>
      <c r="BA44" s="980"/>
      <c r="BB44" s="980"/>
      <c r="BC44" s="980"/>
      <c r="BD44" s="980"/>
      <c r="BE44" s="981"/>
      <c r="BF44" s="982"/>
      <c r="BG44" s="980"/>
      <c r="BH44" s="984"/>
    </row>
    <row r="45" spans="1:64" ht="11.1" customHeight="1" thickBot="1" x14ac:dyDescent="0.3">
      <c r="A45" s="685">
        <v>40</v>
      </c>
      <c r="B45" s="985"/>
      <c r="C45" s="986"/>
      <c r="D45" s="986"/>
      <c r="E45" s="986"/>
      <c r="F45" s="986"/>
      <c r="G45" s="987"/>
      <c r="H45" s="988"/>
      <c r="I45" s="986"/>
      <c r="J45" s="986"/>
      <c r="K45" s="986"/>
      <c r="L45" s="986"/>
      <c r="M45" s="987"/>
      <c r="N45" s="988"/>
      <c r="O45" s="986"/>
      <c r="P45" s="986"/>
      <c r="Q45" s="986"/>
      <c r="R45" s="986"/>
      <c r="S45" s="986"/>
      <c r="T45" s="986"/>
      <c r="U45" s="986"/>
      <c r="V45" s="986"/>
      <c r="W45" s="986"/>
      <c r="X45" s="987"/>
      <c r="Y45" s="988"/>
      <c r="Z45" s="986"/>
      <c r="AA45" s="986"/>
      <c r="AB45" s="986"/>
      <c r="AC45" s="986"/>
      <c r="AD45" s="987"/>
      <c r="AE45" s="988"/>
      <c r="AF45" s="989"/>
      <c r="AG45" s="988"/>
      <c r="AH45" s="986"/>
      <c r="AI45" s="986"/>
      <c r="AJ45" s="986"/>
      <c r="AK45" s="986"/>
      <c r="AL45" s="986"/>
      <c r="AM45" s="986"/>
      <c r="AN45" s="987"/>
      <c r="AO45" s="988"/>
      <c r="AP45" s="986"/>
      <c r="AQ45" s="986"/>
      <c r="AR45" s="986"/>
      <c r="AS45" s="986"/>
      <c r="AT45" s="986"/>
      <c r="AU45" s="986"/>
      <c r="AV45" s="986"/>
      <c r="AW45" s="986"/>
      <c r="AX45" s="987"/>
      <c r="AY45" s="988"/>
      <c r="AZ45" s="986"/>
      <c r="BA45" s="986"/>
      <c r="BB45" s="986"/>
      <c r="BC45" s="986"/>
      <c r="BD45" s="986"/>
      <c r="BE45" s="987"/>
      <c r="BF45" s="988"/>
      <c r="BG45" s="986"/>
      <c r="BH45" s="990"/>
    </row>
    <row r="46" spans="1:64" ht="15" customHeight="1" thickBot="1" x14ac:dyDescent="0.3">
      <c r="A46" s="679" t="s">
        <v>101</v>
      </c>
      <c r="B46" s="686">
        <f t="shared" ref="B46:AE46" si="4">SUM(B6:B45)</f>
        <v>0</v>
      </c>
      <c r="C46" s="687">
        <f t="shared" si="4"/>
        <v>0</v>
      </c>
      <c r="D46" s="687">
        <f t="shared" si="4"/>
        <v>0</v>
      </c>
      <c r="E46" s="687">
        <f t="shared" si="4"/>
        <v>0</v>
      </c>
      <c r="F46" s="687">
        <f t="shared" si="4"/>
        <v>0</v>
      </c>
      <c r="G46" s="688">
        <f t="shared" si="4"/>
        <v>0</v>
      </c>
      <c r="H46" s="686">
        <f t="shared" si="4"/>
        <v>0</v>
      </c>
      <c r="I46" s="687">
        <f t="shared" si="4"/>
        <v>0</v>
      </c>
      <c r="J46" s="687">
        <f t="shared" si="4"/>
        <v>0</v>
      </c>
      <c r="K46" s="687">
        <f t="shared" si="4"/>
        <v>0</v>
      </c>
      <c r="L46" s="687">
        <f t="shared" si="4"/>
        <v>0</v>
      </c>
      <c r="M46" s="687">
        <f t="shared" si="4"/>
        <v>0</v>
      </c>
      <c r="N46" s="686">
        <f t="shared" si="4"/>
        <v>0</v>
      </c>
      <c r="O46" s="687">
        <f t="shared" si="4"/>
        <v>0</v>
      </c>
      <c r="P46" s="687">
        <f t="shared" si="4"/>
        <v>0</v>
      </c>
      <c r="Q46" s="687">
        <f t="shared" si="4"/>
        <v>0</v>
      </c>
      <c r="R46" s="687">
        <f t="shared" si="4"/>
        <v>0</v>
      </c>
      <c r="S46" s="687">
        <f t="shared" si="4"/>
        <v>0</v>
      </c>
      <c r="T46" s="687">
        <f t="shared" ref="T46" si="5">SUM(T6:T45)</f>
        <v>0</v>
      </c>
      <c r="U46" s="687">
        <f t="shared" si="4"/>
        <v>0</v>
      </c>
      <c r="V46" s="687">
        <f t="shared" si="4"/>
        <v>0</v>
      </c>
      <c r="W46" s="687">
        <f t="shared" ref="W46:X46" si="6">SUM(W6:W45)</f>
        <v>0</v>
      </c>
      <c r="X46" s="688">
        <f t="shared" si="6"/>
        <v>0</v>
      </c>
      <c r="Y46" s="686">
        <f t="shared" si="4"/>
        <v>0</v>
      </c>
      <c r="Z46" s="687">
        <f t="shared" si="4"/>
        <v>0</v>
      </c>
      <c r="AA46" s="687">
        <f t="shared" si="4"/>
        <v>0</v>
      </c>
      <c r="AB46" s="687">
        <f t="shared" si="4"/>
        <v>0</v>
      </c>
      <c r="AC46" s="687">
        <f t="shared" si="4"/>
        <v>0</v>
      </c>
      <c r="AD46" s="688">
        <f t="shared" si="4"/>
        <v>0</v>
      </c>
      <c r="AE46" s="686">
        <f t="shared" si="4"/>
        <v>0</v>
      </c>
      <c r="AF46" s="688">
        <f>SUM(AF6:AF45)</f>
        <v>1</v>
      </c>
      <c r="AG46" s="686">
        <f t="shared" ref="AG46:BC46" si="7">SUM(AG6:AG45)</f>
        <v>0</v>
      </c>
      <c r="AH46" s="687">
        <f t="shared" si="7"/>
        <v>0</v>
      </c>
      <c r="AI46" s="687">
        <f t="shared" si="7"/>
        <v>0</v>
      </c>
      <c r="AJ46" s="687">
        <f t="shared" si="7"/>
        <v>0</v>
      </c>
      <c r="AK46" s="687">
        <f>SUM(AK6:AK45)</f>
        <v>0</v>
      </c>
      <c r="AL46" s="687">
        <f t="shared" si="7"/>
        <v>0</v>
      </c>
      <c r="AM46" s="687">
        <f t="shared" si="7"/>
        <v>0</v>
      </c>
      <c r="AN46" s="688">
        <f t="shared" si="7"/>
        <v>0</v>
      </c>
      <c r="AO46" s="686">
        <f t="shared" si="7"/>
        <v>0</v>
      </c>
      <c r="AP46" s="687">
        <f t="shared" si="7"/>
        <v>0</v>
      </c>
      <c r="AQ46" s="687">
        <f t="shared" si="7"/>
        <v>0</v>
      </c>
      <c r="AR46" s="687">
        <f t="shared" si="7"/>
        <v>0</v>
      </c>
      <c r="AS46" s="687">
        <f t="shared" si="7"/>
        <v>0</v>
      </c>
      <c r="AT46" s="687">
        <f t="shared" si="7"/>
        <v>0</v>
      </c>
      <c r="AU46" s="687">
        <f t="shared" si="7"/>
        <v>0</v>
      </c>
      <c r="AV46" s="687">
        <f t="shared" si="7"/>
        <v>0</v>
      </c>
      <c r="AW46" s="687">
        <f t="shared" si="7"/>
        <v>0</v>
      </c>
      <c r="AX46" s="688">
        <f t="shared" si="7"/>
        <v>0</v>
      </c>
      <c r="AY46" s="686">
        <f t="shared" si="7"/>
        <v>0</v>
      </c>
      <c r="AZ46" s="687">
        <f t="shared" si="7"/>
        <v>0</v>
      </c>
      <c r="BA46" s="687">
        <f t="shared" si="7"/>
        <v>0</v>
      </c>
      <c r="BB46" s="687">
        <f t="shared" si="7"/>
        <v>0</v>
      </c>
      <c r="BC46" s="687">
        <f t="shared" si="7"/>
        <v>0</v>
      </c>
      <c r="BD46" s="687">
        <f>SUM(BD6:BD45)</f>
        <v>0</v>
      </c>
      <c r="BE46" s="688">
        <f>SUM(BE6:BE45)</f>
        <v>0</v>
      </c>
      <c r="BF46" s="686">
        <f>SUM(BF6:BF45)</f>
        <v>0</v>
      </c>
      <c r="BG46" s="687">
        <f t="shared" ref="BG46:BH46" si="8">SUM(BG6:BG45)</f>
        <v>0</v>
      </c>
      <c r="BH46" s="688">
        <f t="shared" si="8"/>
        <v>0</v>
      </c>
    </row>
    <row r="47" spans="1:64" s="1020" customFormat="1" ht="15.75" thickBot="1" x14ac:dyDescent="0.3">
      <c r="A47" s="1019"/>
      <c r="B47" s="1019"/>
      <c r="C47" s="1019"/>
      <c r="D47" s="1019"/>
      <c r="E47" s="1019"/>
      <c r="F47" s="1019"/>
      <c r="G47" s="1019"/>
      <c r="H47" s="1019">
        <f t="array" ref="H47">MAX(IF(ISBLANK(Paramètres!$H$6:$H$45),0,ROW(Paramètres!$H$6:$H$45)))-5</f>
        <v>-5</v>
      </c>
      <c r="I47" s="1019">
        <f t="array" ref="I47">MAX(IF(ISBLANK(Paramètres!$I$6:$I$45),0,ROW(Paramètres!$I$6:$I$45)))-5</f>
        <v>-5</v>
      </c>
      <c r="J47" s="1019"/>
      <c r="K47" s="1019"/>
      <c r="L47" s="1019">
        <f t="array" ref="L47">MAX(IF(ISBLANK(Paramètres!$L$6:$L$45),0,ROW(Paramètres!$L$6:$L$45)))-5</f>
        <v>-5</v>
      </c>
      <c r="M47" s="1019">
        <f t="array" ref="M47">MAX(IF(ISBLANK(Paramètres!$M$6:$M$45),0,ROW(Paramètres!$M$6:$M$45)))-5</f>
        <v>-5</v>
      </c>
      <c r="N47" s="1019"/>
      <c r="O47" s="1019"/>
      <c r="P47" s="1019"/>
      <c r="Q47" s="1019"/>
      <c r="R47" s="1019"/>
      <c r="S47" s="1019"/>
      <c r="T47" s="1019"/>
      <c r="U47" s="1019"/>
      <c r="V47" s="1019"/>
      <c r="W47" s="1019"/>
      <c r="X47" s="1019"/>
      <c r="Y47" s="1019"/>
      <c r="Z47" s="1019"/>
      <c r="AA47" s="1019"/>
      <c r="AB47" s="1019"/>
      <c r="AC47" s="1019"/>
      <c r="AD47" s="1019"/>
      <c r="AE47" s="1019"/>
      <c r="AF47" s="1019"/>
      <c r="AG47" s="1019">
        <f>VLOOKUP(A45,LABO_Spells[#All],MATCH(AG$2,LABO_Spells[#Headers],0))</f>
        <v>7</v>
      </c>
      <c r="AH47" s="1019">
        <f>VLOOKUP(A45,LABO_Spells[#All],MATCH(AH$2,LABO_Spells[#Headers],0))</f>
        <v>6</v>
      </c>
      <c r="AI47" s="1019">
        <f>VLOOKUP(A45,LABO_Spells[#All],MATCH(AI$2,LABO_Spells[#Headers],0))</f>
        <v>5</v>
      </c>
      <c r="AJ47" s="1019">
        <f>VLOOKUP(A45,LABO_Spells[#All],MATCH(AJ$2,LABO_Spells[#Headers],0))</f>
        <v>3</v>
      </c>
      <c r="AK47" s="1019">
        <f>VLOOKUP(A45,LABO_Spells[#All],MATCH(AK$2,LABO_Spells[#Headers],0))</f>
        <v>5</v>
      </c>
      <c r="AL47" s="1019">
        <f>VLOOKUP(A45,LABO_Dark_Spells[#All],MATCH(AL$2,LABO_Dark_Spells[#Headers],0))</f>
        <v>4</v>
      </c>
      <c r="AM47" s="1019">
        <f>VLOOKUP(A45,LABO_Dark_Spells[#All],MATCH(AM$2,LABO_Dark_Spells[#Headers],0))</f>
        <v>4</v>
      </c>
      <c r="AN47" s="1019">
        <f>VLOOKUP(A45,LABO_Dark_Spells[#All],MATCH(AN$2,LABO_Dark_Spells[#Headers],0))</f>
        <v>4</v>
      </c>
      <c r="AO47" s="1019">
        <f>VLOOKUP(A45,LABO_Normal_Troops[#All],MATCH(AO$2,LABO_Normal_Troops[#Headers],0))</f>
        <v>7</v>
      </c>
      <c r="AP47" s="1019">
        <f>VLOOKUP(A45,LABO_Normal_Troops[#All],MATCH(AP$2,LABO_Normal_Troops[#Headers],0))</f>
        <v>7</v>
      </c>
      <c r="AQ47" s="1019">
        <f>VLOOKUP(A45,LABO_Normal_Troops[#All],MATCH(AQ$2,LABO_Normal_Troops[#Headers],0))</f>
        <v>7</v>
      </c>
      <c r="AR47" s="1019">
        <f>VLOOKUP(A45,LABO_Normal_Troops[#All],MATCH(AR$2,LABO_Normal_Troops[#Headers],0))</f>
        <v>7</v>
      </c>
      <c r="AS47" s="1019">
        <f>VLOOKUP(A45,LABO_Normal_Troops[#All],MATCH(AS$2,LABO_Normal_Troops[#Headers],0))</f>
        <v>6</v>
      </c>
      <c r="AT47" s="1019">
        <f>VLOOKUP(A45,LABO_Normal_Troops[#All],MATCH(AT$2,LABO_Normal_Troops[#Headers],0))</f>
        <v>6</v>
      </c>
      <c r="AU47" s="1019">
        <f>VLOOKUP(A45,LABO_Normal_Troops[#All],MATCH(AU$2,LABO_Normal_Troops[#Headers],0))</f>
        <v>6</v>
      </c>
      <c r="AV47" s="1019">
        <f>VLOOKUP(A45,LABO_Normal_Troops[#All],MATCH(AV$2,LABO_Normal_Troops[#Headers],0))</f>
        <v>4</v>
      </c>
      <c r="AW47" s="1019">
        <f>VLOOKUP(A45,LABO_Normal_Troops[#All],MATCH(AW$2,LABO_Normal_Troops[#Headers],0))</f>
        <v>5</v>
      </c>
      <c r="AX47" s="1019">
        <f>VLOOKUP(A45,LABO_Normal_Troops[#All],MATCH(AX$2,LABO_Normal_Troops[#Headers],0))</f>
        <v>5</v>
      </c>
      <c r="AY47" s="1019">
        <f>VLOOKUP(A45,LABO_Dark_Troops[#All],MATCH(AY$2,LABO_Dark_Troops[#Headers],0))</f>
        <v>7</v>
      </c>
      <c r="AZ47" s="1019">
        <f>VLOOKUP(A45,LABO_Dark_Troops[#All],MATCH(AZ$2,LABO_Dark_Troops[#Headers],0))</f>
        <v>6</v>
      </c>
      <c r="BA47" s="1019">
        <f>VLOOKUP(A45,LABO_Dark_Troops[#All],MATCH(BA$2,LABO_Dark_Troops[#Headers],0))</f>
        <v>5</v>
      </c>
      <c r="BB47" s="1019">
        <f>VLOOKUP(A45,LABO_Dark_Troops[#All],MATCH(BB$2,LABO_Dark_Troops[#Headers],0))</f>
        <v>5</v>
      </c>
      <c r="BC47" s="1019">
        <f>VLOOKUP(A45,LABO_Dark_Troops[#All],MATCH(BC$2,LABO_Dark_Troops[#Headers],0))</f>
        <v>3</v>
      </c>
      <c r="BD47" s="1019">
        <f>VLOOKUP(A45,LABO_Dark_Troops[#All],MATCH(BD$2,LABO_Dark_Troops[#Headers],0))</f>
        <v>3</v>
      </c>
      <c r="BE47" s="1019">
        <f>VLOOKUP(A45,LABO_Dark_Troops[#All],MATCH(BE$2,LABO_Dark_Troops[#Headers],0))</f>
        <v>3</v>
      </c>
      <c r="BF47" s="1019">
        <f>VLOOKUP(A45,AVAILABLE_Heroes[#All],MATCH(BF$2,AVAILABLE_Heroes[#Headers],0)+1)</f>
        <v>40</v>
      </c>
      <c r="BG47" s="1019">
        <f>VLOOKUP(A45,AVAILABLE_Heroes[#All],MATCH(BG$2,AVAILABLE_Heroes[#Headers],0)+1)</f>
        <v>40</v>
      </c>
      <c r="BH47" s="1019">
        <f>VLOOKUP(A45,AVAILABLE_Heroes[#All],MATCH(BH$2,AVAILABLE_Heroes[#Headers],0)+1)</f>
        <v>20</v>
      </c>
      <c r="BJ47" s="1021"/>
      <c r="BL47" s="1022"/>
    </row>
    <row r="48" spans="1:64" s="129" customFormat="1" ht="45.75" thickBot="1" x14ac:dyDescent="0.3">
      <c r="A48" s="228" t="s">
        <v>30</v>
      </c>
      <c r="B48" s="484" t="s">
        <v>463</v>
      </c>
      <c r="C48" s="484" t="s">
        <v>463</v>
      </c>
      <c r="D48" s="484" t="s">
        <v>463</v>
      </c>
      <c r="E48" s="484" t="s">
        <v>463</v>
      </c>
      <c r="F48" s="484" t="s">
        <v>463</v>
      </c>
      <c r="G48" s="484" t="s">
        <v>463</v>
      </c>
      <c r="H48" s="484" t="s">
        <v>463</v>
      </c>
      <c r="I48" s="484" t="s">
        <v>463</v>
      </c>
      <c r="J48" s="484" t="s">
        <v>463</v>
      </c>
      <c r="K48" s="484" t="s">
        <v>463</v>
      </c>
      <c r="L48" s="484" t="s">
        <v>463</v>
      </c>
      <c r="M48" s="484" t="s">
        <v>463</v>
      </c>
      <c r="N48" s="484" t="s">
        <v>463</v>
      </c>
      <c r="O48" s="484" t="s">
        <v>463</v>
      </c>
      <c r="P48" s="484" t="s">
        <v>463</v>
      </c>
      <c r="Q48" s="484" t="s">
        <v>463</v>
      </c>
      <c r="R48" s="484" t="s">
        <v>463</v>
      </c>
      <c r="S48" s="484" t="s">
        <v>463</v>
      </c>
      <c r="T48" s="484" t="s">
        <v>463</v>
      </c>
      <c r="U48" s="484" t="s">
        <v>463</v>
      </c>
      <c r="V48" s="484" t="s">
        <v>463</v>
      </c>
      <c r="W48" s="484" t="s">
        <v>463</v>
      </c>
      <c r="X48" s="484" t="s">
        <v>463</v>
      </c>
      <c r="Y48" s="484" t="s">
        <v>463</v>
      </c>
      <c r="Z48" s="484" t="s">
        <v>463</v>
      </c>
      <c r="AA48" s="484" t="s">
        <v>463</v>
      </c>
      <c r="AB48" s="484" t="s">
        <v>463</v>
      </c>
      <c r="AC48" s="484" t="s">
        <v>463</v>
      </c>
      <c r="AD48" s="484" t="s">
        <v>463</v>
      </c>
      <c r="AE48" s="484" t="s">
        <v>463</v>
      </c>
      <c r="AF48" s="484" t="s">
        <v>463</v>
      </c>
      <c r="AG48" s="484" t="s">
        <v>463</v>
      </c>
      <c r="AH48" s="484" t="s">
        <v>463</v>
      </c>
      <c r="AI48" s="484" t="s">
        <v>463</v>
      </c>
      <c r="AJ48" s="484" t="s">
        <v>463</v>
      </c>
      <c r="AK48" s="484" t="s">
        <v>463</v>
      </c>
      <c r="AL48" s="484" t="s">
        <v>463</v>
      </c>
      <c r="AM48" s="484" t="s">
        <v>463</v>
      </c>
      <c r="AN48" s="484" t="s">
        <v>463</v>
      </c>
      <c r="AO48" s="484" t="s">
        <v>463</v>
      </c>
      <c r="AP48" s="484" t="s">
        <v>463</v>
      </c>
      <c r="AQ48" s="484" t="s">
        <v>463</v>
      </c>
      <c r="AR48" s="484" t="s">
        <v>463</v>
      </c>
      <c r="AS48" s="484" t="s">
        <v>463</v>
      </c>
      <c r="AT48" s="484" t="s">
        <v>463</v>
      </c>
      <c r="AU48" s="484" t="s">
        <v>463</v>
      </c>
      <c r="AV48" s="484" t="s">
        <v>463</v>
      </c>
      <c r="AW48" s="484" t="s">
        <v>463</v>
      </c>
      <c r="AX48" s="484" t="s">
        <v>463</v>
      </c>
      <c r="AY48" s="484" t="s">
        <v>463</v>
      </c>
      <c r="AZ48" s="484" t="s">
        <v>463</v>
      </c>
      <c r="BA48" s="484" t="s">
        <v>463</v>
      </c>
      <c r="BB48" s="484" t="s">
        <v>463</v>
      </c>
      <c r="BC48" s="484" t="s">
        <v>463</v>
      </c>
      <c r="BD48" s="484" t="s">
        <v>463</v>
      </c>
      <c r="BE48" s="484" t="s">
        <v>463</v>
      </c>
      <c r="BF48" s="484" t="s">
        <v>463</v>
      </c>
      <c r="BG48" s="484" t="s">
        <v>463</v>
      </c>
      <c r="BH48" s="484" t="s">
        <v>463</v>
      </c>
      <c r="BL48" s="947"/>
    </row>
    <row r="49" spans="1:60" x14ac:dyDescent="0.25">
      <c r="A49" s="483">
        <v>1</v>
      </c>
      <c r="B49" s="461">
        <f t="shared" ref="B49:AI49" si="9">IF($A6-1&lt;B$5,IF(B4&gt;0,B4,IF(B6&gt;0,0,B$4+B6)),0)</f>
        <v>1</v>
      </c>
      <c r="C49" s="462">
        <f t="shared" si="9"/>
        <v>1</v>
      </c>
      <c r="D49" s="462">
        <f t="shared" si="9"/>
        <v>0</v>
      </c>
      <c r="E49" s="462">
        <f t="shared" si="9"/>
        <v>1</v>
      </c>
      <c r="F49" s="462">
        <f t="shared" si="9"/>
        <v>1</v>
      </c>
      <c r="G49" s="463">
        <f t="shared" si="9"/>
        <v>0</v>
      </c>
      <c r="H49" s="461">
        <f t="shared" si="9"/>
        <v>1</v>
      </c>
      <c r="I49" s="462">
        <f t="shared" si="9"/>
        <v>0</v>
      </c>
      <c r="J49" s="462">
        <f t="shared" si="9"/>
        <v>1</v>
      </c>
      <c r="K49" s="462">
        <f>IF($A6-1&lt;K$5,IF(K4&gt;0,K4,IF(K6&gt;0,0,K$4+K6)),0)</f>
        <v>0</v>
      </c>
      <c r="L49" s="463">
        <f>IF($A6-1&lt;L$5,IF(L4&gt;0,L4,IF(L6&gt;0,0,L$4+L6)),0)</f>
        <v>0</v>
      </c>
      <c r="M49" s="463">
        <f>IF($A6-1&lt;M$5,IF(M4&gt;0,M4,IF(M6&gt;0,0,M$4+M6)),0)</f>
        <v>0</v>
      </c>
      <c r="N49" s="461">
        <f t="shared" si="9"/>
        <v>0</v>
      </c>
      <c r="O49" s="462">
        <f t="shared" si="9"/>
        <v>2</v>
      </c>
      <c r="P49" s="462">
        <f t="shared" si="9"/>
        <v>0</v>
      </c>
      <c r="Q49" s="462">
        <f t="shared" si="9"/>
        <v>0</v>
      </c>
      <c r="R49" s="462">
        <f t="shared" si="9"/>
        <v>0</v>
      </c>
      <c r="S49" s="462">
        <f t="shared" si="9"/>
        <v>0</v>
      </c>
      <c r="T49" s="462">
        <f t="shared" ref="T49" si="10">IF($A6-1&lt;T$5,IF(T4&gt;0,T4,IF(T6&gt;0,0,T$4+T6)),0)</f>
        <v>0</v>
      </c>
      <c r="U49" s="462">
        <f t="shared" si="9"/>
        <v>0</v>
      </c>
      <c r="V49" s="462">
        <f t="shared" si="9"/>
        <v>0</v>
      </c>
      <c r="W49" s="462">
        <f t="shared" ref="W49" si="11">IF($A6-1&lt;W$5,IF(W4&gt;0,W4,IF(W6&gt;0,0,W$4+W6)),0)</f>
        <v>0</v>
      </c>
      <c r="X49" s="463">
        <f t="shared" si="9"/>
        <v>0</v>
      </c>
      <c r="Y49" s="462">
        <f t="shared" si="9"/>
        <v>0</v>
      </c>
      <c r="Z49" s="462">
        <f t="shared" si="9"/>
        <v>0</v>
      </c>
      <c r="AA49" s="462">
        <f t="shared" si="9"/>
        <v>0</v>
      </c>
      <c r="AB49" s="462">
        <f t="shared" si="9"/>
        <v>0</v>
      </c>
      <c r="AC49" s="462">
        <f t="shared" si="9"/>
        <v>0</v>
      </c>
      <c r="AD49" s="462">
        <f t="shared" si="9"/>
        <v>0</v>
      </c>
      <c r="AE49" s="461">
        <f t="shared" si="9"/>
        <v>0</v>
      </c>
      <c r="AF49" s="463">
        <f>IF($A6-1&lt;AF$5,IF(AF4&gt;0,AF4,IF(AF6&gt;0,0,AF$4+AF6)),0)</f>
        <v>0</v>
      </c>
      <c r="AG49" s="461">
        <f t="shared" si="9"/>
        <v>0</v>
      </c>
      <c r="AH49" s="462">
        <f t="shared" si="9"/>
        <v>0</v>
      </c>
      <c r="AI49" s="462">
        <f t="shared" si="9"/>
        <v>0</v>
      </c>
      <c r="AJ49" s="462">
        <f t="shared" ref="AJ49:BF49" si="12">IF($A6-1&lt;AJ$5,IF(AJ4&gt;0,AJ4,IF(AJ6&gt;0,0,AJ$4+AJ6)),0)</f>
        <v>0</v>
      </c>
      <c r="AK49" s="463">
        <f t="shared" si="12"/>
        <v>0</v>
      </c>
      <c r="AL49" s="463">
        <f t="shared" si="12"/>
        <v>0</v>
      </c>
      <c r="AM49" s="463">
        <f t="shared" si="12"/>
        <v>0</v>
      </c>
      <c r="AN49" s="463">
        <f t="shared" si="12"/>
        <v>0</v>
      </c>
      <c r="AO49" s="461">
        <f t="shared" si="12"/>
        <v>0</v>
      </c>
      <c r="AP49" s="462">
        <f t="shared" si="12"/>
        <v>0</v>
      </c>
      <c r="AQ49" s="462">
        <f t="shared" si="12"/>
        <v>0</v>
      </c>
      <c r="AR49" s="462">
        <f t="shared" si="12"/>
        <v>0</v>
      </c>
      <c r="AS49" s="462">
        <f t="shared" si="12"/>
        <v>0</v>
      </c>
      <c r="AT49" s="462">
        <f t="shared" si="12"/>
        <v>0</v>
      </c>
      <c r="AU49" s="462">
        <f t="shared" si="12"/>
        <v>0</v>
      </c>
      <c r="AV49" s="462">
        <f t="shared" si="12"/>
        <v>0</v>
      </c>
      <c r="AW49" s="462">
        <f t="shared" si="12"/>
        <v>0</v>
      </c>
      <c r="AX49" s="463">
        <f t="shared" si="12"/>
        <v>0</v>
      </c>
      <c r="AY49" s="461">
        <f t="shared" si="12"/>
        <v>0</v>
      </c>
      <c r="AZ49" s="462">
        <f t="shared" si="12"/>
        <v>0</v>
      </c>
      <c r="BA49" s="461">
        <f t="shared" si="12"/>
        <v>0</v>
      </c>
      <c r="BB49" s="462">
        <f t="shared" si="12"/>
        <v>0</v>
      </c>
      <c r="BC49" s="463">
        <f t="shared" si="12"/>
        <v>0</v>
      </c>
      <c r="BD49" s="463">
        <f>IF($A6-1&lt;BD$5,IF(BD4&gt;0,BD4,IF(BD6&gt;0,0,BD$4+BD6)),0)</f>
        <v>0</v>
      </c>
      <c r="BE49" s="462">
        <f>IF($A6-1&lt;BE$5,IF(BE4&gt;0,BE4,IF(BE6&gt;0,0,BE$4+BE6)),0)</f>
        <v>0</v>
      </c>
      <c r="BF49" s="461">
        <f t="shared" si="12"/>
        <v>0</v>
      </c>
      <c r="BG49" s="462">
        <f t="shared" ref="BG49" si="13">IF($A6-1&lt;BG$5,IF(BG4&gt;0,BG4,IF(BG6&gt;0,0,BG$4+BG6)),0)</f>
        <v>0</v>
      </c>
      <c r="BH49" s="463">
        <f>IF($A6-1&lt;BH$5,IF(BH4&gt;0,BH4,IF(BH6&gt;0,0,BH$4+BH6)),0)</f>
        <v>0</v>
      </c>
    </row>
    <row r="50" spans="1:60" x14ac:dyDescent="0.25">
      <c r="A50" s="838">
        <v>2</v>
      </c>
      <c r="B50" s="91">
        <f t="shared" ref="B50:B65" si="14">IF($A6&lt;B$5,IF(B49&lt;&gt;0,B49+B6,B6),0)</f>
        <v>1</v>
      </c>
      <c r="C50" s="285">
        <f t="shared" ref="C50:C65" si="15">IF($A6&lt;C$5,IF(C49&lt;&gt;0,C49+C6,C6),0)</f>
        <v>1</v>
      </c>
      <c r="D50" s="285">
        <f t="shared" ref="D50:D65" si="16">IF($A6&lt;D$5,IF(D49&lt;&gt;0,D49+D6,D6),0)</f>
        <v>0</v>
      </c>
      <c r="E50" s="285">
        <f t="shared" ref="E50:E65" si="17">IF($A6&lt;E$5,IF(E49&lt;&gt;0,E49+E6,E6),0)</f>
        <v>0</v>
      </c>
      <c r="F50" s="285">
        <f t="shared" ref="F50:F65" si="18">IF($A6&lt;F$5,IF(F49&lt;&gt;0,F49+F6,F6),0)</f>
        <v>0</v>
      </c>
      <c r="G50" s="407">
        <f t="shared" ref="G50:G65" si="19">IF($A6&lt;G$5,IF(G49&lt;&gt;0,G49+G6,G6),0)</f>
        <v>0</v>
      </c>
      <c r="H50" s="91">
        <f t="shared" ref="H50:H65" si="20">IF($A6&lt;H$5,IF(H49&lt;&gt;0,H49+H6,H6),0)</f>
        <v>1</v>
      </c>
      <c r="I50" s="285">
        <f t="shared" ref="I50:I65" si="21">IF($A6&lt;I$5,IF(I49&lt;&gt;0,I49+I6,I6),0)</f>
        <v>0</v>
      </c>
      <c r="J50" s="285">
        <f t="shared" ref="J50:J65" si="22">IF($A6&lt;J$5,IF(J49&lt;&gt;0,J49+J6,J6),0)</f>
        <v>0</v>
      </c>
      <c r="K50" s="285">
        <f>IF($A6&lt;K$5,IF(K49&lt;&gt;0,K49+K6,K6),0)</f>
        <v>0</v>
      </c>
      <c r="L50" s="407">
        <f>IF($A6&lt;L$5,IF(L49&lt;&gt;0,L49+L6,L6),0)</f>
        <v>0</v>
      </c>
      <c r="M50" s="407">
        <f>IF($A6&lt;M$5,IF(M49&lt;&gt;0,M49+M6,M6),0)</f>
        <v>0</v>
      </c>
      <c r="N50" s="91">
        <f t="shared" ref="N50:N65" si="23">IF($A6&lt;N$5,IF(N49&lt;&gt;0,N49+N6,N6),0)</f>
        <v>0</v>
      </c>
      <c r="O50" s="285">
        <f t="shared" ref="O50:O65" si="24">IF($A6&lt;O$5,IF(O49&lt;&gt;0,O49+O6,O6),0)</f>
        <v>2</v>
      </c>
      <c r="P50" s="285">
        <f t="shared" ref="P50:P65" si="25">IF($A6&lt;P$5,IF(P49&lt;&gt;0,P49+P6,P6),0)</f>
        <v>0</v>
      </c>
      <c r="Q50" s="285">
        <f t="shared" ref="Q50:Q65" si="26">IF($A6&lt;Q$5,IF(Q49&lt;&gt;0,Q49+Q6,Q6),0)</f>
        <v>0</v>
      </c>
      <c r="R50" s="285">
        <f t="shared" ref="R50:R65" si="27">IF($A6&lt;R$5,IF(R49&lt;&gt;0,R49+R6,R6),0)</f>
        <v>0</v>
      </c>
      <c r="S50" s="285">
        <f t="shared" ref="S50:S65" si="28">IF($A6&lt;S$5,IF(S49&lt;&gt;0,S49+S6,S6),0)</f>
        <v>0</v>
      </c>
      <c r="T50" s="285">
        <f t="shared" ref="T50:U65" si="29">IF($A6&lt;T$5,IF(T49&lt;&gt;0,T49+T6,T6),0)</f>
        <v>0</v>
      </c>
      <c r="U50" s="285">
        <f t="shared" si="29"/>
        <v>0</v>
      </c>
      <c r="V50" s="285">
        <f t="shared" ref="V50:V65" si="30">IF($A6&lt;V$5,IF(V49&lt;&gt;0,V49+V6,V6),0)</f>
        <v>0</v>
      </c>
      <c r="W50" s="285">
        <f t="shared" ref="W50:X65" si="31">IF($A6&lt;W$5,IF(W49&lt;&gt;0,W49+W6,W6),0)</f>
        <v>0</v>
      </c>
      <c r="X50" s="407">
        <f t="shared" si="31"/>
        <v>0</v>
      </c>
      <c r="Y50" s="285">
        <f t="shared" ref="Y50:Y65" si="32">IF($A6&lt;Y$5,IF(Y49&lt;&gt;0,Y49+Y6,Y6),0)</f>
        <v>0</v>
      </c>
      <c r="Z50" s="285">
        <f t="shared" ref="Z50:Z65" si="33">IF($A6&lt;Z$5,IF(Z49&lt;&gt;0,Z49+Z6,Z6),0)</f>
        <v>0</v>
      </c>
      <c r="AA50" s="285">
        <f t="shared" ref="AA50:AA65" si="34">IF($A6&lt;AA$5,IF(AA49&lt;&gt;0,AA49+AA6,AA6),0)</f>
        <v>0</v>
      </c>
      <c r="AB50" s="285">
        <f t="shared" ref="AB50:AB65" si="35">IF($A6&lt;AB$5,IF(AB49&lt;&gt;0,AB49+AB6,AB6),0)</f>
        <v>0</v>
      </c>
      <c r="AC50" s="285">
        <f t="shared" ref="AC50:AC65" si="36">IF($A6&lt;AC$5,IF(AC49&lt;&gt;0,AC49+AC6,AC6),0)</f>
        <v>0</v>
      </c>
      <c r="AD50" s="285">
        <f t="shared" ref="AD50:AD65" si="37">IF($A6&lt;AD$5,IF(AD49&lt;&gt;0,AD49+AD6,AD6),0)</f>
        <v>0</v>
      </c>
      <c r="AE50" s="91">
        <f t="shared" ref="AE50:AF65" si="38">IF($A6&lt;AE$5,IF(AE49&lt;&gt;0,AE49+AE6,AE6),0)</f>
        <v>0</v>
      </c>
      <c r="AF50" s="407">
        <f t="shared" si="38"/>
        <v>1</v>
      </c>
      <c r="AG50" s="91">
        <f t="shared" ref="AG50:AG65" si="39">IF($A6&lt;AG$5,IF(AG49&lt;&gt;0,AG49+AG6,AG6),0)</f>
        <v>0</v>
      </c>
      <c r="AH50" s="285">
        <f t="shared" ref="AH50:AH65" si="40">IF($A6&lt;AH$5,IF(AH49&lt;&gt;0,AH49+AH6,AH6),0)</f>
        <v>0</v>
      </c>
      <c r="AI50" s="285">
        <f t="shared" ref="AI50:AI65" si="41">IF($A6&lt;AI$5,IF(AI49&lt;&gt;0,AI49+AI6,AI6),0)</f>
        <v>0</v>
      </c>
      <c r="AJ50" s="285">
        <f t="shared" ref="AJ50:AJ65" si="42">IF($A6&lt;AJ$5,IF(AJ49&lt;&gt;0,AJ49+AJ6,AJ6),0)</f>
        <v>0</v>
      </c>
      <c r="AK50" s="407">
        <f t="shared" ref="AK50:AN65" si="43">IF($A6&lt;AK$5,IF(AK49&lt;&gt;0,AK49+AK6,AK6),0)</f>
        <v>0</v>
      </c>
      <c r="AL50" s="407">
        <f t="shared" si="43"/>
        <v>0</v>
      </c>
      <c r="AM50" s="407">
        <f t="shared" si="43"/>
        <v>0</v>
      </c>
      <c r="AN50" s="407">
        <f t="shared" si="43"/>
        <v>0</v>
      </c>
      <c r="AO50" s="91">
        <f t="shared" ref="AO50:AO65" si="44">IF($A6&lt;AO$5,IF(AO49&lt;&gt;0,AO49+AO6,AO6),0)</f>
        <v>0</v>
      </c>
      <c r="AP50" s="285">
        <f t="shared" ref="AP50:AP65" si="45">IF($A6&lt;AP$5,IF(AP49&lt;&gt;0,AP49+AP6,AP6),0)</f>
        <v>0</v>
      </c>
      <c r="AQ50" s="285">
        <f t="shared" ref="AQ50:AQ65" si="46">IF($A6&lt;AQ$5,IF(AQ49&lt;&gt;0,AQ49+AQ6,AQ6),0)</f>
        <v>0</v>
      </c>
      <c r="AR50" s="285">
        <f t="shared" ref="AR50:AR65" si="47">IF($A6&lt;AR$5,IF(AR49&lt;&gt;0,AR49+AR6,AR6),0)</f>
        <v>0</v>
      </c>
      <c r="AS50" s="285">
        <f t="shared" ref="AS50:AS65" si="48">IF($A6&lt;AS$5,IF(AS49&lt;&gt;0,AS49+AS6,AS6),0)</f>
        <v>0</v>
      </c>
      <c r="AT50" s="285">
        <f t="shared" ref="AT50:AT65" si="49">IF($A6&lt;AT$5,IF(AT49&lt;&gt;0,AT49+AT6,AT6),0)</f>
        <v>0</v>
      </c>
      <c r="AU50" s="285">
        <f t="shared" ref="AU50:AU65" si="50">IF($A6&lt;AU$5,IF(AU49&lt;&gt;0,AU49+AU6,AU6),0)</f>
        <v>0</v>
      </c>
      <c r="AV50" s="285">
        <f t="shared" ref="AV50:AV65" si="51">IF($A6&lt;AV$5,IF(AV49&lt;&gt;0,AV49+AV6,AV6),0)</f>
        <v>0</v>
      </c>
      <c r="AW50" s="285">
        <f t="shared" ref="AW50:AW65" si="52">IF($A6&lt;AW$5,IF(AW49&lt;&gt;0,AW49+AW6,AW6),0)</f>
        <v>0</v>
      </c>
      <c r="AX50" s="407">
        <f t="shared" ref="AX50:AX65" si="53">IF($A6&lt;AX$5,IF(AX49&lt;&gt;0,AX49+AX6,AX6),0)</f>
        <v>0</v>
      </c>
      <c r="AY50" s="91">
        <f t="shared" ref="AY50:AY65" si="54">IF($A6&lt;AY$5,IF(AY49&lt;&gt;0,AY49+AY6,AY6),0)</f>
        <v>0</v>
      </c>
      <c r="AZ50" s="285">
        <f t="shared" ref="AZ50:AZ65" si="55">IF($A6&lt;AZ$5,IF(AZ49&lt;&gt;0,AZ49+AZ6,AZ6),0)</f>
        <v>0</v>
      </c>
      <c r="BA50" s="91">
        <f t="shared" ref="BA50:BA65" si="56">IF($A6&lt;BA$5,IF(BA49&lt;&gt;0,BA49+BA6,BA6),0)</f>
        <v>0</v>
      </c>
      <c r="BB50" s="285">
        <f t="shared" ref="BB50:BB65" si="57">IF($A6&lt;BB$5,IF(BB49&lt;&gt;0,BB49+BB6,BB6),0)</f>
        <v>0</v>
      </c>
      <c r="BC50" s="407">
        <f t="shared" ref="BC50:BC65" si="58">IF($A6&lt;BC$5,IF(BC49&lt;&gt;0,BC49+BC6,BC6),0)</f>
        <v>0</v>
      </c>
      <c r="BD50" s="407">
        <f t="shared" ref="BD50:BE69" si="59">IF($A6&lt;BD$5,IF(BD49&lt;&gt;0,BD49+BD6,BD6),0)</f>
        <v>0</v>
      </c>
      <c r="BE50" s="285">
        <f t="shared" si="59"/>
        <v>0</v>
      </c>
      <c r="BF50" s="91">
        <f t="shared" ref="BF50:BF65" si="60">IF($A6&lt;BF$5,IF(BF49&lt;&gt;0,BF49+BF6,BF6),0)</f>
        <v>0</v>
      </c>
      <c r="BG50" s="285">
        <f t="shared" ref="BG50:BH65" si="61">IF($A6&lt;BG$5,IF(BG49&lt;&gt;0,BG49+BG6,BG6),0)</f>
        <v>0</v>
      </c>
      <c r="BH50" s="407">
        <f t="shared" si="61"/>
        <v>0</v>
      </c>
    </row>
    <row r="51" spans="1:60" x14ac:dyDescent="0.25">
      <c r="A51" s="838">
        <v>3</v>
      </c>
      <c r="B51" s="91">
        <f t="shared" si="14"/>
        <v>0</v>
      </c>
      <c r="C51" s="285">
        <f t="shared" si="15"/>
        <v>0</v>
      </c>
      <c r="D51" s="285">
        <f t="shared" si="16"/>
        <v>0</v>
      </c>
      <c r="E51" s="285">
        <f t="shared" si="17"/>
        <v>0</v>
      </c>
      <c r="F51" s="285">
        <f t="shared" si="18"/>
        <v>0</v>
      </c>
      <c r="G51" s="407">
        <f t="shared" si="19"/>
        <v>0</v>
      </c>
      <c r="H51" s="91">
        <f t="shared" si="20"/>
        <v>1</v>
      </c>
      <c r="I51" s="285">
        <f t="shared" si="21"/>
        <v>0</v>
      </c>
      <c r="J51" s="285">
        <f t="shared" si="22"/>
        <v>0</v>
      </c>
      <c r="K51" s="285">
        <f t="shared" ref="K51:K65" si="62">IF($A7&lt;K$5,IF(K50&lt;&gt;0,K50+K7,K7),0)</f>
        <v>0</v>
      </c>
      <c r="L51" s="407">
        <f>IF($A7&lt;L$5,IF(L50&lt;&gt;0,L50+L7,L7),0)</f>
        <v>0</v>
      </c>
      <c r="M51" s="407">
        <f t="shared" ref="M51:M88" si="63">IF($A7&lt;M$5,IF(M50&lt;&gt;0,M50+M7,M7),0)</f>
        <v>0</v>
      </c>
      <c r="N51" s="91">
        <f t="shared" si="23"/>
        <v>0</v>
      </c>
      <c r="O51" s="285">
        <f t="shared" si="24"/>
        <v>0</v>
      </c>
      <c r="P51" s="285">
        <f t="shared" si="25"/>
        <v>0</v>
      </c>
      <c r="Q51" s="285">
        <f t="shared" si="26"/>
        <v>0</v>
      </c>
      <c r="R51" s="285">
        <f t="shared" si="27"/>
        <v>0</v>
      </c>
      <c r="S51" s="285">
        <f t="shared" si="28"/>
        <v>0</v>
      </c>
      <c r="T51" s="285">
        <f t="shared" si="29"/>
        <v>0</v>
      </c>
      <c r="U51" s="285">
        <f t="shared" si="29"/>
        <v>0</v>
      </c>
      <c r="V51" s="285">
        <f t="shared" si="30"/>
        <v>0</v>
      </c>
      <c r="W51" s="285">
        <f t="shared" si="31"/>
        <v>0</v>
      </c>
      <c r="X51" s="407">
        <f t="shared" si="31"/>
        <v>0</v>
      </c>
      <c r="Y51" s="285">
        <f t="shared" si="32"/>
        <v>0</v>
      </c>
      <c r="Z51" s="285">
        <f t="shared" si="33"/>
        <v>0</v>
      </c>
      <c r="AA51" s="285">
        <f t="shared" si="34"/>
        <v>0</v>
      </c>
      <c r="AB51" s="285">
        <f t="shared" si="35"/>
        <v>0</v>
      </c>
      <c r="AC51" s="285">
        <f t="shared" si="36"/>
        <v>0</v>
      </c>
      <c r="AD51" s="285">
        <f t="shared" si="37"/>
        <v>0</v>
      </c>
      <c r="AE51" s="91">
        <f t="shared" si="38"/>
        <v>0</v>
      </c>
      <c r="AF51" s="407">
        <f t="shared" si="38"/>
        <v>0</v>
      </c>
      <c r="AG51" s="91">
        <f t="shared" si="39"/>
        <v>0</v>
      </c>
      <c r="AH51" s="285">
        <f t="shared" si="40"/>
        <v>0</v>
      </c>
      <c r="AI51" s="285">
        <f t="shared" si="41"/>
        <v>0</v>
      </c>
      <c r="AJ51" s="285">
        <f t="shared" si="42"/>
        <v>0</v>
      </c>
      <c r="AK51" s="407">
        <f t="shared" si="43"/>
        <v>0</v>
      </c>
      <c r="AL51" s="407">
        <f t="shared" ref="AL51:AN51" si="64">IF($A7&lt;AL$5,IF(AL50&lt;&gt;0,AL50+AL7,AL7),0)</f>
        <v>0</v>
      </c>
      <c r="AM51" s="407">
        <f t="shared" si="64"/>
        <v>0</v>
      </c>
      <c r="AN51" s="407">
        <f t="shared" si="64"/>
        <v>0</v>
      </c>
      <c r="AO51" s="91">
        <f t="shared" si="44"/>
        <v>0</v>
      </c>
      <c r="AP51" s="285">
        <f t="shared" si="45"/>
        <v>0</v>
      </c>
      <c r="AQ51" s="285">
        <f t="shared" si="46"/>
        <v>0</v>
      </c>
      <c r="AR51" s="285">
        <f t="shared" si="47"/>
        <v>0</v>
      </c>
      <c r="AS51" s="285">
        <f t="shared" si="48"/>
        <v>0</v>
      </c>
      <c r="AT51" s="285">
        <f t="shared" si="49"/>
        <v>0</v>
      </c>
      <c r="AU51" s="285">
        <f t="shared" si="50"/>
        <v>0</v>
      </c>
      <c r="AV51" s="285">
        <f t="shared" si="51"/>
        <v>0</v>
      </c>
      <c r="AW51" s="285">
        <f t="shared" si="52"/>
        <v>0</v>
      </c>
      <c r="AX51" s="407">
        <f t="shared" si="53"/>
        <v>0</v>
      </c>
      <c r="AY51" s="91">
        <f t="shared" si="54"/>
        <v>0</v>
      </c>
      <c r="AZ51" s="285">
        <f t="shared" si="55"/>
        <v>0</v>
      </c>
      <c r="BA51" s="91">
        <f t="shared" si="56"/>
        <v>0</v>
      </c>
      <c r="BB51" s="285">
        <f t="shared" si="57"/>
        <v>0</v>
      </c>
      <c r="BC51" s="407">
        <f t="shared" si="58"/>
        <v>0</v>
      </c>
      <c r="BD51" s="407">
        <f t="shared" si="59"/>
        <v>0</v>
      </c>
      <c r="BE51" s="285">
        <f t="shared" si="59"/>
        <v>0</v>
      </c>
      <c r="BF51" s="91">
        <f t="shared" si="60"/>
        <v>0</v>
      </c>
      <c r="BG51" s="285">
        <f t="shared" si="61"/>
        <v>0</v>
      </c>
      <c r="BH51" s="407">
        <f t="shared" si="61"/>
        <v>0</v>
      </c>
    </row>
    <row r="52" spans="1:60" x14ac:dyDescent="0.25">
      <c r="A52" s="838">
        <v>4</v>
      </c>
      <c r="B52" s="91">
        <f t="shared" si="14"/>
        <v>0</v>
      </c>
      <c r="C52" s="285">
        <f t="shared" si="15"/>
        <v>0</v>
      </c>
      <c r="D52" s="285">
        <f t="shared" si="16"/>
        <v>0</v>
      </c>
      <c r="E52" s="285">
        <f t="shared" si="17"/>
        <v>0</v>
      </c>
      <c r="F52" s="285">
        <f t="shared" si="18"/>
        <v>0</v>
      </c>
      <c r="G52" s="407">
        <f t="shared" si="19"/>
        <v>0</v>
      </c>
      <c r="H52" s="91">
        <f t="shared" si="20"/>
        <v>0</v>
      </c>
      <c r="I52" s="285">
        <f t="shared" si="21"/>
        <v>0</v>
      </c>
      <c r="J52" s="285">
        <f t="shared" si="22"/>
        <v>0</v>
      </c>
      <c r="K52" s="285">
        <f t="shared" si="62"/>
        <v>0</v>
      </c>
      <c r="L52" s="407">
        <f>IF($A8&lt;L$5,IF(L51&lt;&gt;0,L51+L8,L8),0)</f>
        <v>0</v>
      </c>
      <c r="M52" s="407">
        <f t="shared" si="63"/>
        <v>0</v>
      </c>
      <c r="N52" s="91">
        <f t="shared" si="23"/>
        <v>0</v>
      </c>
      <c r="O52" s="285">
        <f t="shared" si="24"/>
        <v>0</v>
      </c>
      <c r="P52" s="285">
        <f t="shared" si="25"/>
        <v>0</v>
      </c>
      <c r="Q52" s="285">
        <f t="shared" si="26"/>
        <v>0</v>
      </c>
      <c r="R52" s="285">
        <f t="shared" si="27"/>
        <v>0</v>
      </c>
      <c r="S52" s="285">
        <f t="shared" si="28"/>
        <v>0</v>
      </c>
      <c r="T52" s="285">
        <f t="shared" si="29"/>
        <v>0</v>
      </c>
      <c r="U52" s="285">
        <f t="shared" si="29"/>
        <v>0</v>
      </c>
      <c r="V52" s="285">
        <f t="shared" si="30"/>
        <v>0</v>
      </c>
      <c r="W52" s="285">
        <f t="shared" si="31"/>
        <v>0</v>
      </c>
      <c r="X52" s="407">
        <f t="shared" si="31"/>
        <v>0</v>
      </c>
      <c r="Y52" s="285">
        <f t="shared" si="32"/>
        <v>0</v>
      </c>
      <c r="Z52" s="285">
        <f t="shared" si="33"/>
        <v>0</v>
      </c>
      <c r="AA52" s="285">
        <f t="shared" si="34"/>
        <v>0</v>
      </c>
      <c r="AB52" s="285">
        <f t="shared" si="35"/>
        <v>0</v>
      </c>
      <c r="AC52" s="285">
        <f t="shared" si="36"/>
        <v>0</v>
      </c>
      <c r="AD52" s="285">
        <f t="shared" si="37"/>
        <v>0</v>
      </c>
      <c r="AE52" s="91">
        <f t="shared" si="38"/>
        <v>0</v>
      </c>
      <c r="AF52" s="407">
        <f t="shared" si="38"/>
        <v>0</v>
      </c>
      <c r="AG52" s="91">
        <f t="shared" si="39"/>
        <v>0</v>
      </c>
      <c r="AH52" s="285">
        <f t="shared" si="40"/>
        <v>0</v>
      </c>
      <c r="AI52" s="285">
        <f t="shared" si="41"/>
        <v>0</v>
      </c>
      <c r="AJ52" s="285">
        <f t="shared" si="42"/>
        <v>0</v>
      </c>
      <c r="AK52" s="407">
        <f t="shared" si="43"/>
        <v>0</v>
      </c>
      <c r="AL52" s="407">
        <f t="shared" ref="AL52:AN52" si="65">IF($A8&lt;AL$5,IF(AL51&lt;&gt;0,AL51+AL8,AL8),0)</f>
        <v>0</v>
      </c>
      <c r="AM52" s="407">
        <f t="shared" si="65"/>
        <v>0</v>
      </c>
      <c r="AN52" s="407">
        <f t="shared" si="65"/>
        <v>0</v>
      </c>
      <c r="AO52" s="91">
        <f t="shared" si="44"/>
        <v>0</v>
      </c>
      <c r="AP52" s="285">
        <f t="shared" si="45"/>
        <v>0</v>
      </c>
      <c r="AQ52" s="285">
        <f t="shared" si="46"/>
        <v>0</v>
      </c>
      <c r="AR52" s="285">
        <f t="shared" si="47"/>
        <v>0</v>
      </c>
      <c r="AS52" s="285">
        <f t="shared" si="48"/>
        <v>0</v>
      </c>
      <c r="AT52" s="285">
        <f t="shared" si="49"/>
        <v>0</v>
      </c>
      <c r="AU52" s="285">
        <f t="shared" si="50"/>
        <v>0</v>
      </c>
      <c r="AV52" s="285">
        <f t="shared" si="51"/>
        <v>0</v>
      </c>
      <c r="AW52" s="285">
        <f t="shared" si="52"/>
        <v>0</v>
      </c>
      <c r="AX52" s="407">
        <f t="shared" si="53"/>
        <v>0</v>
      </c>
      <c r="AY52" s="91">
        <f t="shared" si="54"/>
        <v>0</v>
      </c>
      <c r="AZ52" s="285">
        <f t="shared" si="55"/>
        <v>0</v>
      </c>
      <c r="BA52" s="91">
        <f t="shared" si="56"/>
        <v>0</v>
      </c>
      <c r="BB52" s="285">
        <f t="shared" si="57"/>
        <v>0</v>
      </c>
      <c r="BC52" s="407">
        <f t="shared" si="58"/>
        <v>0</v>
      </c>
      <c r="BD52" s="407">
        <f t="shared" si="59"/>
        <v>0</v>
      </c>
      <c r="BE52" s="285">
        <f t="shared" si="59"/>
        <v>0</v>
      </c>
      <c r="BF52" s="91">
        <f t="shared" si="60"/>
        <v>0</v>
      </c>
      <c r="BG52" s="285">
        <f t="shared" si="61"/>
        <v>0</v>
      </c>
      <c r="BH52" s="407">
        <f t="shared" si="61"/>
        <v>0</v>
      </c>
    </row>
    <row r="53" spans="1:60" x14ac:dyDescent="0.25">
      <c r="A53" s="838">
        <v>5</v>
      </c>
      <c r="B53" s="91">
        <f t="shared" si="14"/>
        <v>0</v>
      </c>
      <c r="C53" s="285">
        <f t="shared" si="15"/>
        <v>0</v>
      </c>
      <c r="D53" s="285">
        <f t="shared" si="16"/>
        <v>0</v>
      </c>
      <c r="E53" s="285">
        <f t="shared" si="17"/>
        <v>0</v>
      </c>
      <c r="F53" s="285">
        <f t="shared" si="18"/>
        <v>0</v>
      </c>
      <c r="G53" s="407">
        <f t="shared" si="19"/>
        <v>0</v>
      </c>
      <c r="H53" s="91">
        <f t="shared" si="20"/>
        <v>0</v>
      </c>
      <c r="I53" s="285">
        <f t="shared" si="21"/>
        <v>0</v>
      </c>
      <c r="J53" s="285">
        <f t="shared" si="22"/>
        <v>0</v>
      </c>
      <c r="K53" s="285">
        <f t="shared" si="62"/>
        <v>0</v>
      </c>
      <c r="L53" s="407">
        <f t="shared" ref="L53:L65" si="66">IF($A9&lt;L$5,IF(L52&lt;&gt;0,L52+L9,L9),0)</f>
        <v>0</v>
      </c>
      <c r="M53" s="407">
        <f t="shared" si="63"/>
        <v>0</v>
      </c>
      <c r="N53" s="91">
        <f t="shared" si="23"/>
        <v>0</v>
      </c>
      <c r="O53" s="285">
        <f t="shared" si="24"/>
        <v>0</v>
      </c>
      <c r="P53" s="285">
        <f t="shared" si="25"/>
        <v>0</v>
      </c>
      <c r="Q53" s="285">
        <f t="shared" si="26"/>
        <v>0</v>
      </c>
      <c r="R53" s="285">
        <f t="shared" si="27"/>
        <v>0</v>
      </c>
      <c r="S53" s="285">
        <f t="shared" si="28"/>
        <v>0</v>
      </c>
      <c r="T53" s="285">
        <f t="shared" si="29"/>
        <v>0</v>
      </c>
      <c r="U53" s="285">
        <f t="shared" si="29"/>
        <v>0</v>
      </c>
      <c r="V53" s="285">
        <f t="shared" si="30"/>
        <v>0</v>
      </c>
      <c r="W53" s="285">
        <f t="shared" si="31"/>
        <v>0</v>
      </c>
      <c r="X53" s="407">
        <f t="shared" si="31"/>
        <v>0</v>
      </c>
      <c r="Y53" s="285">
        <f t="shared" si="32"/>
        <v>0</v>
      </c>
      <c r="Z53" s="285">
        <f t="shared" si="33"/>
        <v>0</v>
      </c>
      <c r="AA53" s="285">
        <f t="shared" si="34"/>
        <v>0</v>
      </c>
      <c r="AB53" s="285">
        <f t="shared" si="35"/>
        <v>0</v>
      </c>
      <c r="AC53" s="285">
        <f t="shared" si="36"/>
        <v>0</v>
      </c>
      <c r="AD53" s="285">
        <f t="shared" si="37"/>
        <v>0</v>
      </c>
      <c r="AE53" s="91">
        <f t="shared" si="38"/>
        <v>0</v>
      </c>
      <c r="AF53" s="407">
        <f t="shared" si="38"/>
        <v>0</v>
      </c>
      <c r="AG53" s="91">
        <f t="shared" si="39"/>
        <v>0</v>
      </c>
      <c r="AH53" s="285">
        <f t="shared" si="40"/>
        <v>0</v>
      </c>
      <c r="AI53" s="285">
        <f t="shared" si="41"/>
        <v>0</v>
      </c>
      <c r="AJ53" s="285">
        <f t="shared" si="42"/>
        <v>0</v>
      </c>
      <c r="AK53" s="407">
        <f t="shared" si="43"/>
        <v>0</v>
      </c>
      <c r="AL53" s="407">
        <f t="shared" ref="AL53:AN53" si="67">IF($A9&lt;AL$5,IF(AL52&lt;&gt;0,AL52+AL9,AL9),0)</f>
        <v>0</v>
      </c>
      <c r="AM53" s="407">
        <f t="shared" si="67"/>
        <v>0</v>
      </c>
      <c r="AN53" s="407">
        <f t="shared" si="67"/>
        <v>0</v>
      </c>
      <c r="AO53" s="91">
        <f t="shared" si="44"/>
        <v>0</v>
      </c>
      <c r="AP53" s="285">
        <f t="shared" si="45"/>
        <v>0</v>
      </c>
      <c r="AQ53" s="285">
        <f t="shared" si="46"/>
        <v>0</v>
      </c>
      <c r="AR53" s="285">
        <f t="shared" si="47"/>
        <v>0</v>
      </c>
      <c r="AS53" s="285">
        <f t="shared" si="48"/>
        <v>0</v>
      </c>
      <c r="AT53" s="285">
        <f t="shared" si="49"/>
        <v>0</v>
      </c>
      <c r="AU53" s="285">
        <f t="shared" si="50"/>
        <v>0</v>
      </c>
      <c r="AV53" s="285">
        <f t="shared" si="51"/>
        <v>0</v>
      </c>
      <c r="AW53" s="285">
        <f t="shared" si="52"/>
        <v>0</v>
      </c>
      <c r="AX53" s="407">
        <f t="shared" si="53"/>
        <v>0</v>
      </c>
      <c r="AY53" s="91">
        <f t="shared" si="54"/>
        <v>0</v>
      </c>
      <c r="AZ53" s="285">
        <f t="shared" si="55"/>
        <v>0</v>
      </c>
      <c r="BA53" s="91">
        <f t="shared" si="56"/>
        <v>0</v>
      </c>
      <c r="BB53" s="285">
        <f t="shared" si="57"/>
        <v>0</v>
      </c>
      <c r="BC53" s="407">
        <f t="shared" si="58"/>
        <v>0</v>
      </c>
      <c r="BD53" s="407">
        <f t="shared" si="59"/>
        <v>0</v>
      </c>
      <c r="BE53" s="285">
        <f t="shared" si="59"/>
        <v>0</v>
      </c>
      <c r="BF53" s="91">
        <f t="shared" si="60"/>
        <v>0</v>
      </c>
      <c r="BG53" s="285">
        <f t="shared" si="61"/>
        <v>0</v>
      </c>
      <c r="BH53" s="407">
        <f t="shared" si="61"/>
        <v>0</v>
      </c>
    </row>
    <row r="54" spans="1:60" x14ac:dyDescent="0.25">
      <c r="A54" s="838">
        <v>6</v>
      </c>
      <c r="B54" s="91">
        <f t="shared" si="14"/>
        <v>0</v>
      </c>
      <c r="C54" s="285">
        <f t="shared" si="15"/>
        <v>0</v>
      </c>
      <c r="D54" s="285">
        <f t="shared" si="16"/>
        <v>0</v>
      </c>
      <c r="E54" s="285">
        <f t="shared" si="17"/>
        <v>0</v>
      </c>
      <c r="F54" s="285">
        <f t="shared" si="18"/>
        <v>0</v>
      </c>
      <c r="G54" s="407">
        <f t="shared" si="19"/>
        <v>0</v>
      </c>
      <c r="H54" s="91">
        <f t="shared" si="20"/>
        <v>0</v>
      </c>
      <c r="I54" s="285">
        <f t="shared" si="21"/>
        <v>0</v>
      </c>
      <c r="J54" s="285">
        <f t="shared" si="22"/>
        <v>0</v>
      </c>
      <c r="K54" s="285">
        <f t="shared" si="62"/>
        <v>0</v>
      </c>
      <c r="L54" s="407">
        <f t="shared" si="66"/>
        <v>0</v>
      </c>
      <c r="M54" s="407">
        <f t="shared" si="63"/>
        <v>0</v>
      </c>
      <c r="N54" s="91">
        <f t="shared" si="23"/>
        <v>0</v>
      </c>
      <c r="O54" s="285">
        <f t="shared" si="24"/>
        <v>0</v>
      </c>
      <c r="P54" s="285">
        <f t="shared" si="25"/>
        <v>0</v>
      </c>
      <c r="Q54" s="285">
        <f t="shared" si="26"/>
        <v>0</v>
      </c>
      <c r="R54" s="285">
        <f t="shared" si="27"/>
        <v>0</v>
      </c>
      <c r="S54" s="285">
        <f t="shared" si="28"/>
        <v>0</v>
      </c>
      <c r="T54" s="285">
        <f t="shared" si="29"/>
        <v>0</v>
      </c>
      <c r="U54" s="285">
        <f t="shared" si="29"/>
        <v>0</v>
      </c>
      <c r="V54" s="285">
        <f t="shared" si="30"/>
        <v>0</v>
      </c>
      <c r="W54" s="285">
        <f t="shared" si="31"/>
        <v>0</v>
      </c>
      <c r="X54" s="407">
        <f t="shared" si="31"/>
        <v>0</v>
      </c>
      <c r="Y54" s="285">
        <f t="shared" si="32"/>
        <v>0</v>
      </c>
      <c r="Z54" s="285">
        <f t="shared" si="33"/>
        <v>0</v>
      </c>
      <c r="AA54" s="285">
        <f t="shared" si="34"/>
        <v>0</v>
      </c>
      <c r="AB54" s="285">
        <f t="shared" si="35"/>
        <v>0</v>
      </c>
      <c r="AC54" s="285">
        <f t="shared" si="36"/>
        <v>0</v>
      </c>
      <c r="AD54" s="285">
        <f t="shared" si="37"/>
        <v>0</v>
      </c>
      <c r="AE54" s="91">
        <f t="shared" si="38"/>
        <v>0</v>
      </c>
      <c r="AF54" s="407">
        <f t="shared" si="38"/>
        <v>0</v>
      </c>
      <c r="AG54" s="91">
        <f t="shared" si="39"/>
        <v>0</v>
      </c>
      <c r="AH54" s="285">
        <f t="shared" si="40"/>
        <v>0</v>
      </c>
      <c r="AI54" s="285">
        <f t="shared" si="41"/>
        <v>0</v>
      </c>
      <c r="AJ54" s="285">
        <f t="shared" si="42"/>
        <v>0</v>
      </c>
      <c r="AK54" s="407">
        <f t="shared" si="43"/>
        <v>0</v>
      </c>
      <c r="AL54" s="407">
        <f t="shared" ref="AL54:AN54" si="68">IF($A10&lt;AL$5,IF(AL53&lt;&gt;0,AL53+AL10,AL10),0)</f>
        <v>0</v>
      </c>
      <c r="AM54" s="407">
        <f t="shared" si="68"/>
        <v>0</v>
      </c>
      <c r="AN54" s="407">
        <f t="shared" si="68"/>
        <v>0</v>
      </c>
      <c r="AO54" s="91">
        <f t="shared" si="44"/>
        <v>0</v>
      </c>
      <c r="AP54" s="285">
        <f t="shared" si="45"/>
        <v>0</v>
      </c>
      <c r="AQ54" s="285">
        <f t="shared" si="46"/>
        <v>0</v>
      </c>
      <c r="AR54" s="285">
        <f t="shared" si="47"/>
        <v>0</v>
      </c>
      <c r="AS54" s="285">
        <f t="shared" si="48"/>
        <v>0</v>
      </c>
      <c r="AT54" s="285">
        <f t="shared" si="49"/>
        <v>0</v>
      </c>
      <c r="AU54" s="285">
        <f t="shared" si="50"/>
        <v>0</v>
      </c>
      <c r="AV54" s="285">
        <f t="shared" si="51"/>
        <v>0</v>
      </c>
      <c r="AW54" s="285">
        <f t="shared" si="52"/>
        <v>0</v>
      </c>
      <c r="AX54" s="407">
        <f t="shared" si="53"/>
        <v>0</v>
      </c>
      <c r="AY54" s="91">
        <f t="shared" si="54"/>
        <v>0</v>
      </c>
      <c r="AZ54" s="285">
        <f t="shared" si="55"/>
        <v>0</v>
      </c>
      <c r="BA54" s="91">
        <f t="shared" si="56"/>
        <v>0</v>
      </c>
      <c r="BB54" s="285">
        <f t="shared" si="57"/>
        <v>0</v>
      </c>
      <c r="BC54" s="407">
        <f t="shared" si="58"/>
        <v>0</v>
      </c>
      <c r="BD54" s="407">
        <f t="shared" si="59"/>
        <v>0</v>
      </c>
      <c r="BE54" s="285">
        <f t="shared" si="59"/>
        <v>0</v>
      </c>
      <c r="BF54" s="91">
        <f t="shared" si="60"/>
        <v>0</v>
      </c>
      <c r="BG54" s="285">
        <f t="shared" si="61"/>
        <v>0</v>
      </c>
      <c r="BH54" s="407">
        <f t="shared" si="61"/>
        <v>0</v>
      </c>
    </row>
    <row r="55" spans="1:60" x14ac:dyDescent="0.25">
      <c r="A55" s="838">
        <v>7</v>
      </c>
      <c r="B55" s="91">
        <f t="shared" si="14"/>
        <v>0</v>
      </c>
      <c r="C55" s="285">
        <f t="shared" si="15"/>
        <v>0</v>
      </c>
      <c r="D55" s="285">
        <f t="shared" si="16"/>
        <v>0</v>
      </c>
      <c r="E55" s="285">
        <f t="shared" si="17"/>
        <v>0</v>
      </c>
      <c r="F55" s="285">
        <f t="shared" si="18"/>
        <v>0</v>
      </c>
      <c r="G55" s="407">
        <f t="shared" si="19"/>
        <v>0</v>
      </c>
      <c r="H55" s="91">
        <f t="shared" si="20"/>
        <v>0</v>
      </c>
      <c r="I55" s="285">
        <f t="shared" si="21"/>
        <v>0</v>
      </c>
      <c r="J55" s="285">
        <f t="shared" si="22"/>
        <v>0</v>
      </c>
      <c r="K55" s="285">
        <f t="shared" si="62"/>
        <v>0</v>
      </c>
      <c r="L55" s="407">
        <f t="shared" si="66"/>
        <v>0</v>
      </c>
      <c r="M55" s="407">
        <f t="shared" si="63"/>
        <v>0</v>
      </c>
      <c r="N55" s="91">
        <f t="shared" si="23"/>
        <v>0</v>
      </c>
      <c r="O55" s="285">
        <f t="shared" si="24"/>
        <v>0</v>
      </c>
      <c r="P55" s="285">
        <f t="shared" si="25"/>
        <v>0</v>
      </c>
      <c r="Q55" s="285">
        <f t="shared" si="26"/>
        <v>0</v>
      </c>
      <c r="R55" s="285">
        <f t="shared" si="27"/>
        <v>0</v>
      </c>
      <c r="S55" s="285">
        <f t="shared" si="28"/>
        <v>0</v>
      </c>
      <c r="T55" s="285">
        <f t="shared" si="29"/>
        <v>0</v>
      </c>
      <c r="U55" s="285">
        <f t="shared" si="29"/>
        <v>0</v>
      </c>
      <c r="V55" s="285">
        <f t="shared" si="30"/>
        <v>0</v>
      </c>
      <c r="W55" s="285">
        <f t="shared" si="31"/>
        <v>0</v>
      </c>
      <c r="X55" s="407">
        <f t="shared" si="31"/>
        <v>0</v>
      </c>
      <c r="Y55" s="285">
        <f t="shared" si="32"/>
        <v>0</v>
      </c>
      <c r="Z55" s="285">
        <f t="shared" si="33"/>
        <v>0</v>
      </c>
      <c r="AA55" s="285">
        <f t="shared" si="34"/>
        <v>0</v>
      </c>
      <c r="AB55" s="285">
        <f t="shared" si="35"/>
        <v>0</v>
      </c>
      <c r="AC55" s="285">
        <f t="shared" si="36"/>
        <v>0</v>
      </c>
      <c r="AD55" s="285">
        <f t="shared" si="37"/>
        <v>0</v>
      </c>
      <c r="AE55" s="91">
        <f t="shared" si="38"/>
        <v>0</v>
      </c>
      <c r="AF55" s="407">
        <f t="shared" si="38"/>
        <v>0</v>
      </c>
      <c r="AG55" s="91">
        <f t="shared" si="39"/>
        <v>0</v>
      </c>
      <c r="AH55" s="285">
        <f t="shared" si="40"/>
        <v>0</v>
      </c>
      <c r="AI55" s="285">
        <f t="shared" si="41"/>
        <v>0</v>
      </c>
      <c r="AJ55" s="285">
        <f t="shared" si="42"/>
        <v>0</v>
      </c>
      <c r="AK55" s="407">
        <f t="shared" si="43"/>
        <v>0</v>
      </c>
      <c r="AL55" s="407">
        <f t="shared" ref="AL55:AN55" si="69">IF($A11&lt;AL$5,IF(AL54&lt;&gt;0,AL54+AL11,AL11),0)</f>
        <v>0</v>
      </c>
      <c r="AM55" s="407">
        <f t="shared" si="69"/>
        <v>0</v>
      </c>
      <c r="AN55" s="407">
        <f t="shared" si="69"/>
        <v>0</v>
      </c>
      <c r="AO55" s="91">
        <f t="shared" si="44"/>
        <v>0</v>
      </c>
      <c r="AP55" s="285">
        <f t="shared" si="45"/>
        <v>0</v>
      </c>
      <c r="AQ55" s="285">
        <f t="shared" si="46"/>
        <v>0</v>
      </c>
      <c r="AR55" s="285">
        <f t="shared" si="47"/>
        <v>0</v>
      </c>
      <c r="AS55" s="285">
        <f t="shared" si="48"/>
        <v>0</v>
      </c>
      <c r="AT55" s="285">
        <f t="shared" si="49"/>
        <v>0</v>
      </c>
      <c r="AU55" s="285">
        <f t="shared" si="50"/>
        <v>0</v>
      </c>
      <c r="AV55" s="285">
        <f t="shared" si="51"/>
        <v>0</v>
      </c>
      <c r="AW55" s="285">
        <f t="shared" si="52"/>
        <v>0</v>
      </c>
      <c r="AX55" s="407">
        <f t="shared" si="53"/>
        <v>0</v>
      </c>
      <c r="AY55" s="91">
        <f t="shared" si="54"/>
        <v>0</v>
      </c>
      <c r="AZ55" s="285">
        <f t="shared" si="55"/>
        <v>0</v>
      </c>
      <c r="BA55" s="91">
        <f t="shared" si="56"/>
        <v>0</v>
      </c>
      <c r="BB55" s="285">
        <f t="shared" si="57"/>
        <v>0</v>
      </c>
      <c r="BC55" s="407">
        <f t="shared" si="58"/>
        <v>0</v>
      </c>
      <c r="BD55" s="407">
        <f t="shared" si="59"/>
        <v>0</v>
      </c>
      <c r="BE55" s="285">
        <f t="shared" si="59"/>
        <v>0</v>
      </c>
      <c r="BF55" s="91">
        <f t="shared" si="60"/>
        <v>0</v>
      </c>
      <c r="BG55" s="285">
        <f t="shared" si="61"/>
        <v>0</v>
      </c>
      <c r="BH55" s="407">
        <f t="shared" si="61"/>
        <v>0</v>
      </c>
    </row>
    <row r="56" spans="1:60" x14ac:dyDescent="0.25">
      <c r="A56" s="838">
        <v>8</v>
      </c>
      <c r="B56" s="91">
        <f t="shared" si="14"/>
        <v>0</v>
      </c>
      <c r="C56" s="285">
        <f t="shared" si="15"/>
        <v>0</v>
      </c>
      <c r="D56" s="285">
        <f t="shared" si="16"/>
        <v>0</v>
      </c>
      <c r="E56" s="285">
        <f t="shared" si="17"/>
        <v>0</v>
      </c>
      <c r="F56" s="285">
        <f t="shared" si="18"/>
        <v>0</v>
      </c>
      <c r="G56" s="407">
        <f t="shared" si="19"/>
        <v>0</v>
      </c>
      <c r="H56" s="91">
        <f t="shared" si="20"/>
        <v>0</v>
      </c>
      <c r="I56" s="285">
        <f t="shared" si="21"/>
        <v>0</v>
      </c>
      <c r="J56" s="285">
        <f t="shared" si="22"/>
        <v>0</v>
      </c>
      <c r="K56" s="285">
        <f t="shared" si="62"/>
        <v>0</v>
      </c>
      <c r="L56" s="407">
        <f t="shared" si="66"/>
        <v>0</v>
      </c>
      <c r="M56" s="407">
        <f t="shared" si="63"/>
        <v>0</v>
      </c>
      <c r="N56" s="91">
        <f t="shared" si="23"/>
        <v>0</v>
      </c>
      <c r="O56" s="285">
        <f t="shared" si="24"/>
        <v>0</v>
      </c>
      <c r="P56" s="285">
        <f t="shared" si="25"/>
        <v>0</v>
      </c>
      <c r="Q56" s="285">
        <f t="shared" si="26"/>
        <v>0</v>
      </c>
      <c r="R56" s="285">
        <f t="shared" si="27"/>
        <v>0</v>
      </c>
      <c r="S56" s="285">
        <f t="shared" si="28"/>
        <v>0</v>
      </c>
      <c r="T56" s="285">
        <f t="shared" si="29"/>
        <v>0</v>
      </c>
      <c r="U56" s="285">
        <f t="shared" si="29"/>
        <v>0</v>
      </c>
      <c r="V56" s="285">
        <f t="shared" si="30"/>
        <v>0</v>
      </c>
      <c r="W56" s="285">
        <f t="shared" si="31"/>
        <v>0</v>
      </c>
      <c r="X56" s="407">
        <f t="shared" si="31"/>
        <v>0</v>
      </c>
      <c r="Y56" s="285">
        <f t="shared" si="32"/>
        <v>0</v>
      </c>
      <c r="Z56" s="285">
        <f t="shared" si="33"/>
        <v>0</v>
      </c>
      <c r="AA56" s="285">
        <f t="shared" si="34"/>
        <v>0</v>
      </c>
      <c r="AB56" s="285">
        <f t="shared" si="35"/>
        <v>0</v>
      </c>
      <c r="AC56" s="285">
        <f t="shared" si="36"/>
        <v>0</v>
      </c>
      <c r="AD56" s="285">
        <f t="shared" si="37"/>
        <v>0</v>
      </c>
      <c r="AE56" s="91">
        <f t="shared" si="38"/>
        <v>0</v>
      </c>
      <c r="AF56" s="407">
        <f t="shared" si="38"/>
        <v>0</v>
      </c>
      <c r="AG56" s="91">
        <f t="shared" si="39"/>
        <v>0</v>
      </c>
      <c r="AH56" s="285">
        <f t="shared" si="40"/>
        <v>0</v>
      </c>
      <c r="AI56" s="285">
        <f t="shared" si="41"/>
        <v>0</v>
      </c>
      <c r="AJ56" s="285">
        <f t="shared" si="42"/>
        <v>0</v>
      </c>
      <c r="AK56" s="407">
        <f t="shared" si="43"/>
        <v>0</v>
      </c>
      <c r="AL56" s="407">
        <f t="shared" ref="AL56:AN56" si="70">IF($A12&lt;AL$5,IF(AL55&lt;&gt;0,AL55+AL12,AL12),0)</f>
        <v>0</v>
      </c>
      <c r="AM56" s="407">
        <f t="shared" si="70"/>
        <v>0</v>
      </c>
      <c r="AN56" s="407">
        <f t="shared" si="70"/>
        <v>0</v>
      </c>
      <c r="AO56" s="91">
        <f t="shared" si="44"/>
        <v>0</v>
      </c>
      <c r="AP56" s="285">
        <f t="shared" si="45"/>
        <v>0</v>
      </c>
      <c r="AQ56" s="285">
        <f t="shared" si="46"/>
        <v>0</v>
      </c>
      <c r="AR56" s="285">
        <f t="shared" si="47"/>
        <v>0</v>
      </c>
      <c r="AS56" s="285">
        <f t="shared" si="48"/>
        <v>0</v>
      </c>
      <c r="AT56" s="285">
        <f t="shared" si="49"/>
        <v>0</v>
      </c>
      <c r="AU56" s="285">
        <f t="shared" si="50"/>
        <v>0</v>
      </c>
      <c r="AV56" s="285">
        <f t="shared" si="51"/>
        <v>0</v>
      </c>
      <c r="AW56" s="285">
        <f t="shared" si="52"/>
        <v>0</v>
      </c>
      <c r="AX56" s="407">
        <f t="shared" si="53"/>
        <v>0</v>
      </c>
      <c r="AY56" s="91">
        <f t="shared" si="54"/>
        <v>0</v>
      </c>
      <c r="AZ56" s="285">
        <f t="shared" si="55"/>
        <v>0</v>
      </c>
      <c r="BA56" s="91">
        <f t="shared" si="56"/>
        <v>0</v>
      </c>
      <c r="BB56" s="285">
        <f t="shared" si="57"/>
        <v>0</v>
      </c>
      <c r="BC56" s="407">
        <f t="shared" si="58"/>
        <v>0</v>
      </c>
      <c r="BD56" s="407">
        <f t="shared" si="59"/>
        <v>0</v>
      </c>
      <c r="BE56" s="285">
        <f t="shared" si="59"/>
        <v>0</v>
      </c>
      <c r="BF56" s="91">
        <f t="shared" si="60"/>
        <v>0</v>
      </c>
      <c r="BG56" s="285">
        <f t="shared" si="61"/>
        <v>0</v>
      </c>
      <c r="BH56" s="407">
        <f t="shared" si="61"/>
        <v>0</v>
      </c>
    </row>
    <row r="57" spans="1:60" x14ac:dyDescent="0.25">
      <c r="A57" s="838">
        <v>9</v>
      </c>
      <c r="B57" s="91">
        <f t="shared" si="14"/>
        <v>0</v>
      </c>
      <c r="C57" s="285">
        <f t="shared" si="15"/>
        <v>0</v>
      </c>
      <c r="D57" s="285">
        <f t="shared" si="16"/>
        <v>0</v>
      </c>
      <c r="E57" s="285">
        <f t="shared" si="17"/>
        <v>0</v>
      </c>
      <c r="F57" s="285">
        <f t="shared" si="18"/>
        <v>0</v>
      </c>
      <c r="G57" s="407">
        <f t="shared" si="19"/>
        <v>0</v>
      </c>
      <c r="H57" s="91">
        <f t="shared" si="20"/>
        <v>0</v>
      </c>
      <c r="I57" s="285">
        <f t="shared" si="21"/>
        <v>0</v>
      </c>
      <c r="J57" s="285">
        <f t="shared" si="22"/>
        <v>0</v>
      </c>
      <c r="K57" s="285">
        <f t="shared" si="62"/>
        <v>0</v>
      </c>
      <c r="L57" s="407">
        <f t="shared" si="66"/>
        <v>0</v>
      </c>
      <c r="M57" s="407">
        <f t="shared" si="63"/>
        <v>0</v>
      </c>
      <c r="N57" s="91">
        <f t="shared" si="23"/>
        <v>0</v>
      </c>
      <c r="O57" s="285">
        <f t="shared" si="24"/>
        <v>0</v>
      </c>
      <c r="P57" s="285">
        <f t="shared" si="25"/>
        <v>0</v>
      </c>
      <c r="Q57" s="285">
        <f t="shared" si="26"/>
        <v>0</v>
      </c>
      <c r="R57" s="285">
        <f t="shared" si="27"/>
        <v>0</v>
      </c>
      <c r="S57" s="285">
        <f t="shared" si="28"/>
        <v>0</v>
      </c>
      <c r="T57" s="285">
        <f t="shared" si="29"/>
        <v>0</v>
      </c>
      <c r="U57" s="285">
        <f t="shared" si="29"/>
        <v>0</v>
      </c>
      <c r="V57" s="285">
        <f t="shared" si="30"/>
        <v>0</v>
      </c>
      <c r="W57" s="285">
        <f t="shared" si="31"/>
        <v>0</v>
      </c>
      <c r="X57" s="407">
        <f t="shared" si="31"/>
        <v>0</v>
      </c>
      <c r="Y57" s="285">
        <f t="shared" si="32"/>
        <v>0</v>
      </c>
      <c r="Z57" s="285">
        <f t="shared" si="33"/>
        <v>0</v>
      </c>
      <c r="AA57" s="285">
        <f t="shared" si="34"/>
        <v>0</v>
      </c>
      <c r="AB57" s="285">
        <f t="shared" si="35"/>
        <v>0</v>
      </c>
      <c r="AC57" s="285">
        <f t="shared" si="36"/>
        <v>0</v>
      </c>
      <c r="AD57" s="285">
        <f t="shared" si="37"/>
        <v>0</v>
      </c>
      <c r="AE57" s="91">
        <f t="shared" si="38"/>
        <v>0</v>
      </c>
      <c r="AF57" s="407">
        <f t="shared" si="38"/>
        <v>0</v>
      </c>
      <c r="AG57" s="91">
        <f t="shared" si="39"/>
        <v>0</v>
      </c>
      <c r="AH57" s="285">
        <f t="shared" si="40"/>
        <v>0</v>
      </c>
      <c r="AI57" s="285">
        <f t="shared" si="41"/>
        <v>0</v>
      </c>
      <c r="AJ57" s="285">
        <f t="shared" si="42"/>
        <v>0</v>
      </c>
      <c r="AK57" s="407">
        <f t="shared" si="43"/>
        <v>0</v>
      </c>
      <c r="AL57" s="407">
        <f t="shared" ref="AL57:AN57" si="71">IF($A13&lt;AL$5,IF(AL56&lt;&gt;0,AL56+AL13,AL13),0)</f>
        <v>0</v>
      </c>
      <c r="AM57" s="407">
        <f t="shared" si="71"/>
        <v>0</v>
      </c>
      <c r="AN57" s="407">
        <f t="shared" si="71"/>
        <v>0</v>
      </c>
      <c r="AO57" s="91">
        <f t="shared" si="44"/>
        <v>0</v>
      </c>
      <c r="AP57" s="285">
        <f t="shared" si="45"/>
        <v>0</v>
      </c>
      <c r="AQ57" s="285">
        <f t="shared" si="46"/>
        <v>0</v>
      </c>
      <c r="AR57" s="285">
        <f t="shared" si="47"/>
        <v>0</v>
      </c>
      <c r="AS57" s="285">
        <f t="shared" si="48"/>
        <v>0</v>
      </c>
      <c r="AT57" s="285">
        <f t="shared" si="49"/>
        <v>0</v>
      </c>
      <c r="AU57" s="285">
        <f t="shared" si="50"/>
        <v>0</v>
      </c>
      <c r="AV57" s="285">
        <f t="shared" si="51"/>
        <v>0</v>
      </c>
      <c r="AW57" s="285">
        <f t="shared" si="52"/>
        <v>0</v>
      </c>
      <c r="AX57" s="407">
        <f t="shared" si="53"/>
        <v>0</v>
      </c>
      <c r="AY57" s="91">
        <f t="shared" si="54"/>
        <v>0</v>
      </c>
      <c r="AZ57" s="285">
        <f t="shared" si="55"/>
        <v>0</v>
      </c>
      <c r="BA57" s="91">
        <f t="shared" si="56"/>
        <v>0</v>
      </c>
      <c r="BB57" s="285">
        <f t="shared" si="57"/>
        <v>0</v>
      </c>
      <c r="BC57" s="407">
        <f t="shared" si="58"/>
        <v>0</v>
      </c>
      <c r="BD57" s="407">
        <f t="shared" si="59"/>
        <v>0</v>
      </c>
      <c r="BE57" s="285">
        <f t="shared" si="59"/>
        <v>0</v>
      </c>
      <c r="BF57" s="91">
        <f t="shared" si="60"/>
        <v>0</v>
      </c>
      <c r="BG57" s="285">
        <f t="shared" si="61"/>
        <v>0</v>
      </c>
      <c r="BH57" s="407">
        <f t="shared" si="61"/>
        <v>0</v>
      </c>
    </row>
    <row r="58" spans="1:60" x14ac:dyDescent="0.25">
      <c r="A58" s="838">
        <v>10</v>
      </c>
      <c r="B58" s="91">
        <f t="shared" si="14"/>
        <v>0</v>
      </c>
      <c r="C58" s="285">
        <f t="shared" si="15"/>
        <v>0</v>
      </c>
      <c r="D58" s="285">
        <f t="shared" si="16"/>
        <v>0</v>
      </c>
      <c r="E58" s="285">
        <f t="shared" si="17"/>
        <v>0</v>
      </c>
      <c r="F58" s="285">
        <f t="shared" si="18"/>
        <v>0</v>
      </c>
      <c r="G58" s="407">
        <f t="shared" si="19"/>
        <v>0</v>
      </c>
      <c r="H58" s="91">
        <f t="shared" si="20"/>
        <v>0</v>
      </c>
      <c r="I58" s="285">
        <f t="shared" si="21"/>
        <v>0</v>
      </c>
      <c r="J58" s="285">
        <f t="shared" si="22"/>
        <v>0</v>
      </c>
      <c r="K58" s="285">
        <f t="shared" si="62"/>
        <v>0</v>
      </c>
      <c r="L58" s="407">
        <f t="shared" si="66"/>
        <v>0</v>
      </c>
      <c r="M58" s="407">
        <f t="shared" si="63"/>
        <v>0</v>
      </c>
      <c r="N58" s="91">
        <f t="shared" si="23"/>
        <v>0</v>
      </c>
      <c r="O58" s="285">
        <f t="shared" si="24"/>
        <v>0</v>
      </c>
      <c r="P58" s="285">
        <f t="shared" si="25"/>
        <v>0</v>
      </c>
      <c r="Q58" s="285">
        <f t="shared" si="26"/>
        <v>0</v>
      </c>
      <c r="R58" s="285">
        <f t="shared" si="27"/>
        <v>0</v>
      </c>
      <c r="S58" s="285">
        <f t="shared" si="28"/>
        <v>0</v>
      </c>
      <c r="T58" s="285">
        <f t="shared" si="29"/>
        <v>0</v>
      </c>
      <c r="U58" s="285">
        <f t="shared" si="29"/>
        <v>0</v>
      </c>
      <c r="V58" s="285">
        <f t="shared" si="30"/>
        <v>0</v>
      </c>
      <c r="W58" s="285">
        <f t="shared" si="31"/>
        <v>0</v>
      </c>
      <c r="X58" s="407">
        <f t="shared" si="31"/>
        <v>0</v>
      </c>
      <c r="Y58" s="285">
        <f t="shared" si="32"/>
        <v>0</v>
      </c>
      <c r="Z58" s="285">
        <f t="shared" si="33"/>
        <v>0</v>
      </c>
      <c r="AA58" s="285">
        <f t="shared" si="34"/>
        <v>0</v>
      </c>
      <c r="AB58" s="285">
        <f t="shared" si="35"/>
        <v>0</v>
      </c>
      <c r="AC58" s="285">
        <f t="shared" si="36"/>
        <v>0</v>
      </c>
      <c r="AD58" s="285">
        <f t="shared" si="37"/>
        <v>0</v>
      </c>
      <c r="AE58" s="91">
        <f t="shared" si="38"/>
        <v>0</v>
      </c>
      <c r="AF58" s="407">
        <f t="shared" si="38"/>
        <v>0</v>
      </c>
      <c r="AG58" s="91">
        <f t="shared" si="39"/>
        <v>0</v>
      </c>
      <c r="AH58" s="285">
        <f t="shared" si="40"/>
        <v>0</v>
      </c>
      <c r="AI58" s="285">
        <f t="shared" si="41"/>
        <v>0</v>
      </c>
      <c r="AJ58" s="285">
        <f t="shared" si="42"/>
        <v>0</v>
      </c>
      <c r="AK58" s="407">
        <f t="shared" si="43"/>
        <v>0</v>
      </c>
      <c r="AL58" s="407">
        <f t="shared" ref="AL58:AN58" si="72">IF($A14&lt;AL$5,IF(AL57&lt;&gt;0,AL57+AL14,AL14),0)</f>
        <v>0</v>
      </c>
      <c r="AM58" s="407">
        <f t="shared" si="72"/>
        <v>0</v>
      </c>
      <c r="AN58" s="407">
        <f t="shared" si="72"/>
        <v>0</v>
      </c>
      <c r="AO58" s="91">
        <f t="shared" si="44"/>
        <v>0</v>
      </c>
      <c r="AP58" s="285">
        <f t="shared" si="45"/>
        <v>0</v>
      </c>
      <c r="AQ58" s="285">
        <f t="shared" si="46"/>
        <v>0</v>
      </c>
      <c r="AR58" s="285">
        <f t="shared" si="47"/>
        <v>0</v>
      </c>
      <c r="AS58" s="285">
        <f t="shared" si="48"/>
        <v>0</v>
      </c>
      <c r="AT58" s="285">
        <f t="shared" si="49"/>
        <v>0</v>
      </c>
      <c r="AU58" s="285">
        <f t="shared" si="50"/>
        <v>0</v>
      </c>
      <c r="AV58" s="285">
        <f t="shared" si="51"/>
        <v>0</v>
      </c>
      <c r="AW58" s="285">
        <f t="shared" si="52"/>
        <v>0</v>
      </c>
      <c r="AX58" s="407">
        <f t="shared" si="53"/>
        <v>0</v>
      </c>
      <c r="AY58" s="91">
        <f t="shared" si="54"/>
        <v>0</v>
      </c>
      <c r="AZ58" s="285">
        <f t="shared" si="55"/>
        <v>0</v>
      </c>
      <c r="BA58" s="91">
        <f t="shared" si="56"/>
        <v>0</v>
      </c>
      <c r="BB58" s="285">
        <f t="shared" si="57"/>
        <v>0</v>
      </c>
      <c r="BC58" s="407">
        <f t="shared" si="58"/>
        <v>0</v>
      </c>
      <c r="BD58" s="407">
        <f t="shared" si="59"/>
        <v>0</v>
      </c>
      <c r="BE58" s="285">
        <f t="shared" si="59"/>
        <v>0</v>
      </c>
      <c r="BF58" s="91">
        <f t="shared" si="60"/>
        <v>0</v>
      </c>
      <c r="BG58" s="285">
        <f t="shared" si="61"/>
        <v>0</v>
      </c>
      <c r="BH58" s="407">
        <f t="shared" si="61"/>
        <v>0</v>
      </c>
    </row>
    <row r="59" spans="1:60" x14ac:dyDescent="0.25">
      <c r="A59" s="838">
        <v>11</v>
      </c>
      <c r="B59" s="91">
        <f t="shared" si="14"/>
        <v>0</v>
      </c>
      <c r="C59" s="285">
        <f t="shared" si="15"/>
        <v>0</v>
      </c>
      <c r="D59" s="285">
        <f t="shared" si="16"/>
        <v>0</v>
      </c>
      <c r="E59" s="285">
        <f t="shared" si="17"/>
        <v>0</v>
      </c>
      <c r="F59" s="285">
        <f t="shared" si="18"/>
        <v>0</v>
      </c>
      <c r="G59" s="407">
        <f t="shared" si="19"/>
        <v>0</v>
      </c>
      <c r="H59" s="91">
        <f t="shared" si="20"/>
        <v>0</v>
      </c>
      <c r="I59" s="285">
        <f t="shared" si="21"/>
        <v>0</v>
      </c>
      <c r="J59" s="285">
        <f t="shared" si="22"/>
        <v>0</v>
      </c>
      <c r="K59" s="285">
        <f t="shared" si="62"/>
        <v>0</v>
      </c>
      <c r="L59" s="407">
        <f t="shared" si="66"/>
        <v>0</v>
      </c>
      <c r="M59" s="407">
        <f t="shared" si="63"/>
        <v>0</v>
      </c>
      <c r="N59" s="91">
        <f t="shared" si="23"/>
        <v>0</v>
      </c>
      <c r="O59" s="285">
        <f t="shared" si="24"/>
        <v>0</v>
      </c>
      <c r="P59" s="285">
        <f t="shared" si="25"/>
        <v>0</v>
      </c>
      <c r="Q59" s="285">
        <f t="shared" si="26"/>
        <v>0</v>
      </c>
      <c r="R59" s="285">
        <f t="shared" si="27"/>
        <v>0</v>
      </c>
      <c r="S59" s="285">
        <f t="shared" si="28"/>
        <v>0</v>
      </c>
      <c r="T59" s="285">
        <f t="shared" si="29"/>
        <v>0</v>
      </c>
      <c r="U59" s="285">
        <f t="shared" si="29"/>
        <v>0</v>
      </c>
      <c r="V59" s="285">
        <f t="shared" si="30"/>
        <v>0</v>
      </c>
      <c r="W59" s="285">
        <f t="shared" si="31"/>
        <v>0</v>
      </c>
      <c r="X59" s="407">
        <f t="shared" si="31"/>
        <v>0</v>
      </c>
      <c r="Y59" s="285">
        <f t="shared" si="32"/>
        <v>0</v>
      </c>
      <c r="Z59" s="285">
        <f t="shared" si="33"/>
        <v>0</v>
      </c>
      <c r="AA59" s="285">
        <f t="shared" si="34"/>
        <v>0</v>
      </c>
      <c r="AB59" s="285">
        <f t="shared" si="35"/>
        <v>0</v>
      </c>
      <c r="AC59" s="285">
        <f t="shared" si="36"/>
        <v>0</v>
      </c>
      <c r="AD59" s="285">
        <f t="shared" si="37"/>
        <v>0</v>
      </c>
      <c r="AE59" s="91">
        <f t="shared" si="38"/>
        <v>0</v>
      </c>
      <c r="AF59" s="407">
        <f t="shared" si="38"/>
        <v>0</v>
      </c>
      <c r="AG59" s="91">
        <f t="shared" si="39"/>
        <v>0</v>
      </c>
      <c r="AH59" s="285">
        <f t="shared" si="40"/>
        <v>0</v>
      </c>
      <c r="AI59" s="285">
        <f t="shared" si="41"/>
        <v>0</v>
      </c>
      <c r="AJ59" s="285">
        <f t="shared" si="42"/>
        <v>0</v>
      </c>
      <c r="AK59" s="407">
        <f t="shared" si="43"/>
        <v>0</v>
      </c>
      <c r="AL59" s="407">
        <f t="shared" ref="AL59:AN59" si="73">IF($A15&lt;AL$5,IF(AL58&lt;&gt;0,AL58+AL15,AL15),0)</f>
        <v>0</v>
      </c>
      <c r="AM59" s="407">
        <f t="shared" si="73"/>
        <v>0</v>
      </c>
      <c r="AN59" s="407">
        <f t="shared" si="73"/>
        <v>0</v>
      </c>
      <c r="AO59" s="91">
        <f t="shared" si="44"/>
        <v>0</v>
      </c>
      <c r="AP59" s="285">
        <f t="shared" si="45"/>
        <v>0</v>
      </c>
      <c r="AQ59" s="285">
        <f t="shared" si="46"/>
        <v>0</v>
      </c>
      <c r="AR59" s="285">
        <f t="shared" si="47"/>
        <v>0</v>
      </c>
      <c r="AS59" s="285">
        <f t="shared" si="48"/>
        <v>0</v>
      </c>
      <c r="AT59" s="285">
        <f t="shared" si="49"/>
        <v>0</v>
      </c>
      <c r="AU59" s="285">
        <f t="shared" si="50"/>
        <v>0</v>
      </c>
      <c r="AV59" s="285">
        <f t="shared" si="51"/>
        <v>0</v>
      </c>
      <c r="AW59" s="285">
        <f t="shared" si="52"/>
        <v>0</v>
      </c>
      <c r="AX59" s="407">
        <f t="shared" si="53"/>
        <v>0</v>
      </c>
      <c r="AY59" s="91">
        <f t="shared" si="54"/>
        <v>0</v>
      </c>
      <c r="AZ59" s="285">
        <f t="shared" si="55"/>
        <v>0</v>
      </c>
      <c r="BA59" s="91">
        <f t="shared" si="56"/>
        <v>0</v>
      </c>
      <c r="BB59" s="285">
        <f t="shared" si="57"/>
        <v>0</v>
      </c>
      <c r="BC59" s="407">
        <f t="shared" si="58"/>
        <v>0</v>
      </c>
      <c r="BD59" s="407">
        <f t="shared" si="59"/>
        <v>0</v>
      </c>
      <c r="BE59" s="285">
        <f t="shared" si="59"/>
        <v>0</v>
      </c>
      <c r="BF59" s="91">
        <f t="shared" si="60"/>
        <v>0</v>
      </c>
      <c r="BG59" s="285">
        <f t="shared" si="61"/>
        <v>0</v>
      </c>
      <c r="BH59" s="407">
        <f t="shared" si="61"/>
        <v>0</v>
      </c>
    </row>
    <row r="60" spans="1:60" x14ac:dyDescent="0.25">
      <c r="A60" s="838">
        <v>12</v>
      </c>
      <c r="B60" s="91">
        <f t="shared" si="14"/>
        <v>0</v>
      </c>
      <c r="C60" s="285">
        <f t="shared" si="15"/>
        <v>0</v>
      </c>
      <c r="D60" s="285">
        <f t="shared" si="16"/>
        <v>0</v>
      </c>
      <c r="E60" s="285">
        <f t="shared" si="17"/>
        <v>0</v>
      </c>
      <c r="F60" s="285">
        <f t="shared" si="18"/>
        <v>0</v>
      </c>
      <c r="G60" s="407">
        <f t="shared" si="19"/>
        <v>0</v>
      </c>
      <c r="H60" s="91">
        <f t="shared" si="20"/>
        <v>0</v>
      </c>
      <c r="I60" s="285">
        <f t="shared" si="21"/>
        <v>0</v>
      </c>
      <c r="J60" s="285">
        <f t="shared" si="22"/>
        <v>0</v>
      </c>
      <c r="K60" s="285">
        <f t="shared" si="62"/>
        <v>0</v>
      </c>
      <c r="L60" s="407">
        <f t="shared" si="66"/>
        <v>0</v>
      </c>
      <c r="M60" s="407">
        <f t="shared" si="63"/>
        <v>0</v>
      </c>
      <c r="N60" s="91">
        <f t="shared" si="23"/>
        <v>0</v>
      </c>
      <c r="O60" s="285">
        <f t="shared" si="24"/>
        <v>0</v>
      </c>
      <c r="P60" s="285">
        <f t="shared" si="25"/>
        <v>0</v>
      </c>
      <c r="Q60" s="285">
        <f t="shared" si="26"/>
        <v>0</v>
      </c>
      <c r="R60" s="285">
        <f t="shared" si="27"/>
        <v>0</v>
      </c>
      <c r="S60" s="285">
        <f t="shared" si="28"/>
        <v>0</v>
      </c>
      <c r="T60" s="285">
        <f t="shared" si="29"/>
        <v>0</v>
      </c>
      <c r="U60" s="285">
        <f t="shared" si="29"/>
        <v>0</v>
      </c>
      <c r="V60" s="285">
        <f t="shared" si="30"/>
        <v>0</v>
      </c>
      <c r="W60" s="285">
        <f t="shared" si="31"/>
        <v>0</v>
      </c>
      <c r="X60" s="407">
        <f t="shared" si="31"/>
        <v>0</v>
      </c>
      <c r="Y60" s="285">
        <f t="shared" si="32"/>
        <v>0</v>
      </c>
      <c r="Z60" s="285">
        <f t="shared" si="33"/>
        <v>0</v>
      </c>
      <c r="AA60" s="285">
        <f t="shared" si="34"/>
        <v>0</v>
      </c>
      <c r="AB60" s="285">
        <f t="shared" si="35"/>
        <v>0</v>
      </c>
      <c r="AC60" s="285">
        <f t="shared" si="36"/>
        <v>0</v>
      </c>
      <c r="AD60" s="285">
        <f t="shared" si="37"/>
        <v>0</v>
      </c>
      <c r="AE60" s="91">
        <f t="shared" si="38"/>
        <v>0</v>
      </c>
      <c r="AF60" s="407">
        <f>IF($A16&lt;AF$5,IF(AF59&lt;&gt;0,AF59+AF16,AF16),0)</f>
        <v>0</v>
      </c>
      <c r="AG60" s="91">
        <f t="shared" si="39"/>
        <v>0</v>
      </c>
      <c r="AH60" s="285">
        <f t="shared" si="40"/>
        <v>0</v>
      </c>
      <c r="AI60" s="285">
        <f t="shared" si="41"/>
        <v>0</v>
      </c>
      <c r="AJ60" s="285">
        <f t="shared" si="42"/>
        <v>0</v>
      </c>
      <c r="AK60" s="407">
        <f t="shared" si="43"/>
        <v>0</v>
      </c>
      <c r="AL60" s="407">
        <f t="shared" ref="AL60:AN60" si="74">IF($A16&lt;AL$5,IF(AL59&lt;&gt;0,AL59+AL16,AL16),0)</f>
        <v>0</v>
      </c>
      <c r="AM60" s="407">
        <f t="shared" si="74"/>
        <v>0</v>
      </c>
      <c r="AN60" s="407">
        <f t="shared" si="74"/>
        <v>0</v>
      </c>
      <c r="AO60" s="91">
        <f t="shared" si="44"/>
        <v>0</v>
      </c>
      <c r="AP60" s="285">
        <f t="shared" si="45"/>
        <v>0</v>
      </c>
      <c r="AQ60" s="285">
        <f t="shared" si="46"/>
        <v>0</v>
      </c>
      <c r="AR60" s="285">
        <f t="shared" si="47"/>
        <v>0</v>
      </c>
      <c r="AS60" s="285">
        <f t="shared" si="48"/>
        <v>0</v>
      </c>
      <c r="AT60" s="285">
        <f t="shared" si="49"/>
        <v>0</v>
      </c>
      <c r="AU60" s="285">
        <f t="shared" si="50"/>
        <v>0</v>
      </c>
      <c r="AV60" s="285">
        <f t="shared" si="51"/>
        <v>0</v>
      </c>
      <c r="AW60" s="285">
        <f t="shared" si="52"/>
        <v>0</v>
      </c>
      <c r="AX60" s="407">
        <f t="shared" si="53"/>
        <v>0</v>
      </c>
      <c r="AY60" s="91">
        <f t="shared" si="54"/>
        <v>0</v>
      </c>
      <c r="AZ60" s="285">
        <f t="shared" si="55"/>
        <v>0</v>
      </c>
      <c r="BA60" s="91">
        <f t="shared" si="56"/>
        <v>0</v>
      </c>
      <c r="BB60" s="285">
        <f t="shared" si="57"/>
        <v>0</v>
      </c>
      <c r="BC60" s="407">
        <f t="shared" si="58"/>
        <v>0</v>
      </c>
      <c r="BD60" s="407">
        <f t="shared" si="59"/>
        <v>0</v>
      </c>
      <c r="BE60" s="285">
        <f t="shared" si="59"/>
        <v>0</v>
      </c>
      <c r="BF60" s="91">
        <f t="shared" si="60"/>
        <v>0</v>
      </c>
      <c r="BG60" s="285">
        <f t="shared" si="61"/>
        <v>0</v>
      </c>
      <c r="BH60" s="407">
        <f t="shared" si="61"/>
        <v>0</v>
      </c>
    </row>
    <row r="61" spans="1:60" x14ac:dyDescent="0.25">
      <c r="A61" s="838">
        <v>13</v>
      </c>
      <c r="B61" s="91">
        <f t="shared" si="14"/>
        <v>0</v>
      </c>
      <c r="C61" s="285">
        <f t="shared" si="15"/>
        <v>0</v>
      </c>
      <c r="D61" s="285">
        <f t="shared" si="16"/>
        <v>0</v>
      </c>
      <c r="E61" s="285">
        <f t="shared" si="17"/>
        <v>0</v>
      </c>
      <c r="F61" s="285">
        <f t="shared" si="18"/>
        <v>0</v>
      </c>
      <c r="G61" s="407">
        <f t="shared" si="19"/>
        <v>0</v>
      </c>
      <c r="H61" s="91">
        <f t="shared" si="20"/>
        <v>0</v>
      </c>
      <c r="I61" s="285">
        <f t="shared" si="21"/>
        <v>0</v>
      </c>
      <c r="J61" s="285">
        <f t="shared" si="22"/>
        <v>0</v>
      </c>
      <c r="K61" s="285">
        <f t="shared" si="62"/>
        <v>0</v>
      </c>
      <c r="L61" s="407">
        <f t="shared" si="66"/>
        <v>0</v>
      </c>
      <c r="M61" s="407">
        <f t="shared" si="63"/>
        <v>0</v>
      </c>
      <c r="N61" s="91">
        <f t="shared" si="23"/>
        <v>0</v>
      </c>
      <c r="O61" s="285">
        <f t="shared" si="24"/>
        <v>0</v>
      </c>
      <c r="P61" s="285">
        <f t="shared" si="25"/>
        <v>0</v>
      </c>
      <c r="Q61" s="285">
        <f t="shared" si="26"/>
        <v>0</v>
      </c>
      <c r="R61" s="285">
        <f t="shared" si="27"/>
        <v>0</v>
      </c>
      <c r="S61" s="285">
        <f t="shared" si="28"/>
        <v>0</v>
      </c>
      <c r="T61" s="285">
        <f t="shared" si="29"/>
        <v>0</v>
      </c>
      <c r="U61" s="285">
        <f t="shared" si="29"/>
        <v>0</v>
      </c>
      <c r="V61" s="285">
        <f t="shared" si="30"/>
        <v>0</v>
      </c>
      <c r="W61" s="285">
        <f t="shared" si="31"/>
        <v>0</v>
      </c>
      <c r="X61" s="407">
        <f t="shared" si="31"/>
        <v>0</v>
      </c>
      <c r="Y61" s="285">
        <f t="shared" si="32"/>
        <v>0</v>
      </c>
      <c r="Z61" s="285">
        <f t="shared" si="33"/>
        <v>0</v>
      </c>
      <c r="AA61" s="285">
        <f t="shared" si="34"/>
        <v>0</v>
      </c>
      <c r="AB61" s="285">
        <f t="shared" si="35"/>
        <v>0</v>
      </c>
      <c r="AC61" s="285">
        <f t="shared" si="36"/>
        <v>0</v>
      </c>
      <c r="AD61" s="285">
        <f t="shared" si="37"/>
        <v>0</v>
      </c>
      <c r="AE61" s="91">
        <f t="shared" si="38"/>
        <v>0</v>
      </c>
      <c r="AF61" s="407">
        <f t="shared" si="38"/>
        <v>0</v>
      </c>
      <c r="AG61" s="91">
        <f t="shared" si="39"/>
        <v>0</v>
      </c>
      <c r="AH61" s="285">
        <f t="shared" si="40"/>
        <v>0</v>
      </c>
      <c r="AI61" s="285">
        <f t="shared" si="41"/>
        <v>0</v>
      </c>
      <c r="AJ61" s="285">
        <f t="shared" si="42"/>
        <v>0</v>
      </c>
      <c r="AK61" s="407">
        <f t="shared" si="43"/>
        <v>0</v>
      </c>
      <c r="AL61" s="407">
        <f t="shared" ref="AL61:AN61" si="75">IF($A17&lt;AL$5,IF(AL60&lt;&gt;0,AL60+AL17,AL17),0)</f>
        <v>0</v>
      </c>
      <c r="AM61" s="407">
        <f t="shared" si="75"/>
        <v>0</v>
      </c>
      <c r="AN61" s="407">
        <f t="shared" si="75"/>
        <v>0</v>
      </c>
      <c r="AO61" s="91">
        <f t="shared" si="44"/>
        <v>0</v>
      </c>
      <c r="AP61" s="285">
        <f t="shared" si="45"/>
        <v>0</v>
      </c>
      <c r="AQ61" s="285">
        <f t="shared" si="46"/>
        <v>0</v>
      </c>
      <c r="AR61" s="285">
        <f t="shared" si="47"/>
        <v>0</v>
      </c>
      <c r="AS61" s="285">
        <f t="shared" si="48"/>
        <v>0</v>
      </c>
      <c r="AT61" s="285">
        <f t="shared" si="49"/>
        <v>0</v>
      </c>
      <c r="AU61" s="285">
        <f t="shared" si="50"/>
        <v>0</v>
      </c>
      <c r="AV61" s="285">
        <f t="shared" si="51"/>
        <v>0</v>
      </c>
      <c r="AW61" s="285">
        <f t="shared" si="52"/>
        <v>0</v>
      </c>
      <c r="AX61" s="407">
        <f t="shared" si="53"/>
        <v>0</v>
      </c>
      <c r="AY61" s="91">
        <f t="shared" si="54"/>
        <v>0</v>
      </c>
      <c r="AZ61" s="285">
        <f t="shared" si="55"/>
        <v>0</v>
      </c>
      <c r="BA61" s="91">
        <f t="shared" si="56"/>
        <v>0</v>
      </c>
      <c r="BB61" s="285">
        <f t="shared" si="57"/>
        <v>0</v>
      </c>
      <c r="BC61" s="407">
        <f t="shared" si="58"/>
        <v>0</v>
      </c>
      <c r="BD61" s="407">
        <f t="shared" si="59"/>
        <v>0</v>
      </c>
      <c r="BE61" s="285">
        <f t="shared" si="59"/>
        <v>0</v>
      </c>
      <c r="BF61" s="91">
        <f t="shared" si="60"/>
        <v>0</v>
      </c>
      <c r="BG61" s="285">
        <f t="shared" si="61"/>
        <v>0</v>
      </c>
      <c r="BH61" s="407">
        <f t="shared" si="61"/>
        <v>0</v>
      </c>
    </row>
    <row r="62" spans="1:60" x14ac:dyDescent="0.25">
      <c r="A62" s="838">
        <v>14</v>
      </c>
      <c r="B62" s="91">
        <f t="shared" si="14"/>
        <v>0</v>
      </c>
      <c r="C62" s="285">
        <f t="shared" si="15"/>
        <v>0</v>
      </c>
      <c r="D62" s="285">
        <f t="shared" si="16"/>
        <v>0</v>
      </c>
      <c r="E62" s="285">
        <f t="shared" si="17"/>
        <v>0</v>
      </c>
      <c r="F62" s="285">
        <f t="shared" si="18"/>
        <v>0</v>
      </c>
      <c r="G62" s="407">
        <f t="shared" si="19"/>
        <v>0</v>
      </c>
      <c r="H62" s="91">
        <f t="shared" si="20"/>
        <v>0</v>
      </c>
      <c r="I62" s="285">
        <f t="shared" si="21"/>
        <v>0</v>
      </c>
      <c r="J62" s="285">
        <f t="shared" si="22"/>
        <v>0</v>
      </c>
      <c r="K62" s="285">
        <f t="shared" si="62"/>
        <v>0</v>
      </c>
      <c r="L62" s="407">
        <f t="shared" si="66"/>
        <v>0</v>
      </c>
      <c r="M62" s="407">
        <f t="shared" si="63"/>
        <v>0</v>
      </c>
      <c r="N62" s="91">
        <f t="shared" si="23"/>
        <v>0</v>
      </c>
      <c r="O62" s="285">
        <f t="shared" si="24"/>
        <v>0</v>
      </c>
      <c r="P62" s="285">
        <f t="shared" si="25"/>
        <v>0</v>
      </c>
      <c r="Q62" s="285">
        <f t="shared" si="26"/>
        <v>0</v>
      </c>
      <c r="R62" s="285">
        <f t="shared" si="27"/>
        <v>0</v>
      </c>
      <c r="S62" s="285">
        <f t="shared" si="28"/>
        <v>0</v>
      </c>
      <c r="T62" s="285">
        <f t="shared" si="29"/>
        <v>0</v>
      </c>
      <c r="U62" s="285">
        <f t="shared" si="29"/>
        <v>0</v>
      </c>
      <c r="V62" s="285">
        <f t="shared" si="30"/>
        <v>0</v>
      </c>
      <c r="W62" s="285">
        <f t="shared" si="31"/>
        <v>0</v>
      </c>
      <c r="X62" s="407">
        <f t="shared" si="31"/>
        <v>0</v>
      </c>
      <c r="Y62" s="285">
        <f t="shared" si="32"/>
        <v>0</v>
      </c>
      <c r="Z62" s="285">
        <f t="shared" si="33"/>
        <v>0</v>
      </c>
      <c r="AA62" s="285">
        <f t="shared" si="34"/>
        <v>0</v>
      </c>
      <c r="AB62" s="285">
        <f t="shared" si="35"/>
        <v>0</v>
      </c>
      <c r="AC62" s="285">
        <f t="shared" si="36"/>
        <v>0</v>
      </c>
      <c r="AD62" s="285">
        <f t="shared" si="37"/>
        <v>0</v>
      </c>
      <c r="AE62" s="91">
        <f t="shared" si="38"/>
        <v>0</v>
      </c>
      <c r="AF62" s="407">
        <f>IF($A18&lt;AF$5,IF(AF61&lt;&gt;0,AF61+AF18,AF18),0)</f>
        <v>0</v>
      </c>
      <c r="AG62" s="91">
        <f t="shared" si="39"/>
        <v>0</v>
      </c>
      <c r="AH62" s="285">
        <f t="shared" si="40"/>
        <v>0</v>
      </c>
      <c r="AI62" s="285">
        <f t="shared" si="41"/>
        <v>0</v>
      </c>
      <c r="AJ62" s="285">
        <f t="shared" si="42"/>
        <v>0</v>
      </c>
      <c r="AK62" s="407">
        <f t="shared" si="43"/>
        <v>0</v>
      </c>
      <c r="AL62" s="407">
        <f t="shared" ref="AL62:AN62" si="76">IF($A18&lt;AL$5,IF(AL61&lt;&gt;0,AL61+AL18,AL18),0)</f>
        <v>0</v>
      </c>
      <c r="AM62" s="407">
        <f t="shared" si="76"/>
        <v>0</v>
      </c>
      <c r="AN62" s="407">
        <f t="shared" si="76"/>
        <v>0</v>
      </c>
      <c r="AO62" s="91">
        <f t="shared" si="44"/>
        <v>0</v>
      </c>
      <c r="AP62" s="285">
        <f t="shared" si="45"/>
        <v>0</v>
      </c>
      <c r="AQ62" s="285">
        <f t="shared" si="46"/>
        <v>0</v>
      </c>
      <c r="AR62" s="285">
        <f t="shared" si="47"/>
        <v>0</v>
      </c>
      <c r="AS62" s="285">
        <f t="shared" si="48"/>
        <v>0</v>
      </c>
      <c r="AT62" s="285">
        <f t="shared" si="49"/>
        <v>0</v>
      </c>
      <c r="AU62" s="285">
        <f t="shared" si="50"/>
        <v>0</v>
      </c>
      <c r="AV62" s="285">
        <f t="shared" si="51"/>
        <v>0</v>
      </c>
      <c r="AW62" s="285">
        <f t="shared" si="52"/>
        <v>0</v>
      </c>
      <c r="AX62" s="407">
        <f t="shared" si="53"/>
        <v>0</v>
      </c>
      <c r="AY62" s="91">
        <f t="shared" si="54"/>
        <v>0</v>
      </c>
      <c r="AZ62" s="285">
        <f t="shared" si="55"/>
        <v>0</v>
      </c>
      <c r="BA62" s="91">
        <f t="shared" si="56"/>
        <v>0</v>
      </c>
      <c r="BB62" s="285">
        <f t="shared" si="57"/>
        <v>0</v>
      </c>
      <c r="BC62" s="407">
        <f t="shared" si="58"/>
        <v>0</v>
      </c>
      <c r="BD62" s="407">
        <f t="shared" si="59"/>
        <v>0</v>
      </c>
      <c r="BE62" s="285">
        <f t="shared" si="59"/>
        <v>0</v>
      </c>
      <c r="BF62" s="91">
        <f t="shared" si="60"/>
        <v>0</v>
      </c>
      <c r="BG62" s="285">
        <f t="shared" si="61"/>
        <v>0</v>
      </c>
      <c r="BH62" s="407">
        <f t="shared" si="61"/>
        <v>0</v>
      </c>
    </row>
    <row r="63" spans="1:60" x14ac:dyDescent="0.25">
      <c r="A63" s="838">
        <v>15</v>
      </c>
      <c r="B63" s="91">
        <f t="shared" si="14"/>
        <v>0</v>
      </c>
      <c r="C63" s="285">
        <f t="shared" si="15"/>
        <v>0</v>
      </c>
      <c r="D63" s="285">
        <f t="shared" si="16"/>
        <v>0</v>
      </c>
      <c r="E63" s="285">
        <f t="shared" si="17"/>
        <v>0</v>
      </c>
      <c r="F63" s="285">
        <f t="shared" si="18"/>
        <v>0</v>
      </c>
      <c r="G63" s="407">
        <f t="shared" si="19"/>
        <v>0</v>
      </c>
      <c r="H63" s="91">
        <f t="shared" si="20"/>
        <v>0</v>
      </c>
      <c r="I63" s="285">
        <f t="shared" si="21"/>
        <v>0</v>
      </c>
      <c r="J63" s="285">
        <f t="shared" si="22"/>
        <v>0</v>
      </c>
      <c r="K63" s="285">
        <f t="shared" si="62"/>
        <v>0</v>
      </c>
      <c r="L63" s="407">
        <f t="shared" si="66"/>
        <v>0</v>
      </c>
      <c r="M63" s="407">
        <f t="shared" si="63"/>
        <v>0</v>
      </c>
      <c r="N63" s="91">
        <f t="shared" si="23"/>
        <v>0</v>
      </c>
      <c r="O63" s="285">
        <f t="shared" si="24"/>
        <v>0</v>
      </c>
      <c r="P63" s="285">
        <f t="shared" si="25"/>
        <v>0</v>
      </c>
      <c r="Q63" s="285">
        <f t="shared" si="26"/>
        <v>0</v>
      </c>
      <c r="R63" s="285">
        <f t="shared" si="27"/>
        <v>0</v>
      </c>
      <c r="S63" s="285">
        <f t="shared" si="28"/>
        <v>0</v>
      </c>
      <c r="T63" s="285">
        <f t="shared" si="29"/>
        <v>0</v>
      </c>
      <c r="U63" s="285">
        <f t="shared" si="29"/>
        <v>0</v>
      </c>
      <c r="V63" s="285">
        <f t="shared" si="30"/>
        <v>0</v>
      </c>
      <c r="W63" s="285">
        <f t="shared" si="31"/>
        <v>0</v>
      </c>
      <c r="X63" s="407">
        <f t="shared" si="31"/>
        <v>0</v>
      </c>
      <c r="Y63" s="285">
        <f t="shared" si="32"/>
        <v>0</v>
      </c>
      <c r="Z63" s="285">
        <f t="shared" si="33"/>
        <v>0</v>
      </c>
      <c r="AA63" s="285">
        <f t="shared" si="34"/>
        <v>0</v>
      </c>
      <c r="AB63" s="285">
        <f t="shared" si="35"/>
        <v>0</v>
      </c>
      <c r="AC63" s="285">
        <f t="shared" si="36"/>
        <v>0</v>
      </c>
      <c r="AD63" s="285">
        <f t="shared" si="37"/>
        <v>0</v>
      </c>
      <c r="AE63" s="91">
        <f t="shared" si="38"/>
        <v>0</v>
      </c>
      <c r="AF63" s="407">
        <f t="shared" si="38"/>
        <v>0</v>
      </c>
      <c r="AG63" s="91">
        <f t="shared" si="39"/>
        <v>0</v>
      </c>
      <c r="AH63" s="285">
        <f t="shared" si="40"/>
        <v>0</v>
      </c>
      <c r="AI63" s="285">
        <f t="shared" si="41"/>
        <v>0</v>
      </c>
      <c r="AJ63" s="285">
        <f t="shared" si="42"/>
        <v>0</v>
      </c>
      <c r="AK63" s="407">
        <f t="shared" si="43"/>
        <v>0</v>
      </c>
      <c r="AL63" s="407">
        <f t="shared" ref="AL63:AN63" si="77">IF($A19&lt;AL$5,IF(AL62&lt;&gt;0,AL62+AL19,AL19),0)</f>
        <v>0</v>
      </c>
      <c r="AM63" s="407">
        <f t="shared" si="77"/>
        <v>0</v>
      </c>
      <c r="AN63" s="407">
        <f t="shared" si="77"/>
        <v>0</v>
      </c>
      <c r="AO63" s="91">
        <f t="shared" si="44"/>
        <v>0</v>
      </c>
      <c r="AP63" s="285">
        <f t="shared" si="45"/>
        <v>0</v>
      </c>
      <c r="AQ63" s="285">
        <f t="shared" si="46"/>
        <v>0</v>
      </c>
      <c r="AR63" s="285">
        <f t="shared" si="47"/>
        <v>0</v>
      </c>
      <c r="AS63" s="285">
        <f t="shared" si="48"/>
        <v>0</v>
      </c>
      <c r="AT63" s="285">
        <f t="shared" si="49"/>
        <v>0</v>
      </c>
      <c r="AU63" s="285">
        <f t="shared" si="50"/>
        <v>0</v>
      </c>
      <c r="AV63" s="285">
        <f t="shared" si="51"/>
        <v>0</v>
      </c>
      <c r="AW63" s="285">
        <f t="shared" si="52"/>
        <v>0</v>
      </c>
      <c r="AX63" s="407">
        <f t="shared" si="53"/>
        <v>0</v>
      </c>
      <c r="AY63" s="91">
        <f t="shared" si="54"/>
        <v>0</v>
      </c>
      <c r="AZ63" s="285">
        <f t="shared" si="55"/>
        <v>0</v>
      </c>
      <c r="BA63" s="91">
        <f t="shared" si="56"/>
        <v>0</v>
      </c>
      <c r="BB63" s="285">
        <f t="shared" si="57"/>
        <v>0</v>
      </c>
      <c r="BC63" s="407">
        <f t="shared" si="58"/>
        <v>0</v>
      </c>
      <c r="BD63" s="407">
        <f t="shared" si="59"/>
        <v>0</v>
      </c>
      <c r="BE63" s="285">
        <f t="shared" si="59"/>
        <v>0</v>
      </c>
      <c r="BF63" s="91">
        <f t="shared" si="60"/>
        <v>0</v>
      </c>
      <c r="BG63" s="285">
        <f t="shared" si="61"/>
        <v>0</v>
      </c>
      <c r="BH63" s="407">
        <f t="shared" si="61"/>
        <v>0</v>
      </c>
    </row>
    <row r="64" spans="1:60" x14ac:dyDescent="0.25">
      <c r="A64" s="838">
        <v>16</v>
      </c>
      <c r="B64" s="91">
        <f t="shared" si="14"/>
        <v>0</v>
      </c>
      <c r="C64" s="285">
        <f t="shared" si="15"/>
        <v>0</v>
      </c>
      <c r="D64" s="285">
        <f t="shared" si="16"/>
        <v>0</v>
      </c>
      <c r="E64" s="285">
        <f t="shared" si="17"/>
        <v>0</v>
      </c>
      <c r="F64" s="285">
        <f t="shared" si="18"/>
        <v>0</v>
      </c>
      <c r="G64" s="407">
        <f t="shared" si="19"/>
        <v>0</v>
      </c>
      <c r="H64" s="91">
        <f t="shared" si="20"/>
        <v>0</v>
      </c>
      <c r="I64" s="285">
        <f t="shared" si="21"/>
        <v>0</v>
      </c>
      <c r="J64" s="285">
        <f t="shared" si="22"/>
        <v>0</v>
      </c>
      <c r="K64" s="285">
        <f t="shared" si="62"/>
        <v>0</v>
      </c>
      <c r="L64" s="407">
        <f t="shared" si="66"/>
        <v>0</v>
      </c>
      <c r="M64" s="407">
        <f t="shared" si="63"/>
        <v>0</v>
      </c>
      <c r="N64" s="91">
        <f t="shared" si="23"/>
        <v>0</v>
      </c>
      <c r="O64" s="285">
        <f t="shared" si="24"/>
        <v>0</v>
      </c>
      <c r="P64" s="285">
        <f t="shared" si="25"/>
        <v>0</v>
      </c>
      <c r="Q64" s="285">
        <f t="shared" si="26"/>
        <v>0</v>
      </c>
      <c r="R64" s="285">
        <f t="shared" si="27"/>
        <v>0</v>
      </c>
      <c r="S64" s="285">
        <f t="shared" si="28"/>
        <v>0</v>
      </c>
      <c r="T64" s="285">
        <f t="shared" si="29"/>
        <v>0</v>
      </c>
      <c r="U64" s="285">
        <f t="shared" si="29"/>
        <v>0</v>
      </c>
      <c r="V64" s="285">
        <f t="shared" si="30"/>
        <v>0</v>
      </c>
      <c r="W64" s="285">
        <f t="shared" si="31"/>
        <v>0</v>
      </c>
      <c r="X64" s="407">
        <f t="shared" si="31"/>
        <v>0</v>
      </c>
      <c r="Y64" s="285">
        <f t="shared" si="32"/>
        <v>0</v>
      </c>
      <c r="Z64" s="285">
        <f t="shared" si="33"/>
        <v>0</v>
      </c>
      <c r="AA64" s="285">
        <f t="shared" si="34"/>
        <v>0</v>
      </c>
      <c r="AB64" s="285">
        <f t="shared" si="35"/>
        <v>0</v>
      </c>
      <c r="AC64" s="285">
        <f t="shared" si="36"/>
        <v>0</v>
      </c>
      <c r="AD64" s="285">
        <f t="shared" si="37"/>
        <v>0</v>
      </c>
      <c r="AE64" s="91">
        <f t="shared" si="38"/>
        <v>0</v>
      </c>
      <c r="AF64" s="407">
        <f t="shared" si="38"/>
        <v>0</v>
      </c>
      <c r="AG64" s="91">
        <f t="shared" si="39"/>
        <v>0</v>
      </c>
      <c r="AH64" s="285">
        <f t="shared" si="40"/>
        <v>0</v>
      </c>
      <c r="AI64" s="285">
        <f t="shared" si="41"/>
        <v>0</v>
      </c>
      <c r="AJ64" s="285">
        <f t="shared" si="42"/>
        <v>0</v>
      </c>
      <c r="AK64" s="407">
        <f t="shared" si="43"/>
        <v>0</v>
      </c>
      <c r="AL64" s="407">
        <f t="shared" ref="AL64:AN64" si="78">IF($A20&lt;AL$5,IF(AL63&lt;&gt;0,AL63+AL20,AL20),0)</f>
        <v>0</v>
      </c>
      <c r="AM64" s="407">
        <f t="shared" si="78"/>
        <v>0</v>
      </c>
      <c r="AN64" s="407">
        <f t="shared" si="78"/>
        <v>0</v>
      </c>
      <c r="AO64" s="91">
        <f t="shared" si="44"/>
        <v>0</v>
      </c>
      <c r="AP64" s="285">
        <f t="shared" si="45"/>
        <v>0</v>
      </c>
      <c r="AQ64" s="285">
        <f t="shared" si="46"/>
        <v>0</v>
      </c>
      <c r="AR64" s="285">
        <f t="shared" si="47"/>
        <v>0</v>
      </c>
      <c r="AS64" s="285">
        <f t="shared" si="48"/>
        <v>0</v>
      </c>
      <c r="AT64" s="285">
        <f t="shared" si="49"/>
        <v>0</v>
      </c>
      <c r="AU64" s="285">
        <f t="shared" si="50"/>
        <v>0</v>
      </c>
      <c r="AV64" s="285">
        <f t="shared" si="51"/>
        <v>0</v>
      </c>
      <c r="AW64" s="285">
        <f t="shared" si="52"/>
        <v>0</v>
      </c>
      <c r="AX64" s="407">
        <f t="shared" si="53"/>
        <v>0</v>
      </c>
      <c r="AY64" s="91">
        <f t="shared" si="54"/>
        <v>0</v>
      </c>
      <c r="AZ64" s="285">
        <f t="shared" si="55"/>
        <v>0</v>
      </c>
      <c r="BA64" s="91">
        <f t="shared" si="56"/>
        <v>0</v>
      </c>
      <c r="BB64" s="285">
        <f t="shared" si="57"/>
        <v>0</v>
      </c>
      <c r="BC64" s="407">
        <f t="shared" si="58"/>
        <v>0</v>
      </c>
      <c r="BD64" s="407">
        <f t="shared" si="59"/>
        <v>0</v>
      </c>
      <c r="BE64" s="285">
        <f t="shared" si="59"/>
        <v>0</v>
      </c>
      <c r="BF64" s="91">
        <f t="shared" si="60"/>
        <v>0</v>
      </c>
      <c r="BG64" s="285">
        <f t="shared" si="61"/>
        <v>0</v>
      </c>
      <c r="BH64" s="407">
        <f t="shared" si="61"/>
        <v>0</v>
      </c>
    </row>
    <row r="65" spans="1:60" x14ac:dyDescent="0.25">
      <c r="A65" s="838">
        <v>17</v>
      </c>
      <c r="B65" s="91">
        <f t="shared" si="14"/>
        <v>0</v>
      </c>
      <c r="C65" s="285">
        <f t="shared" si="15"/>
        <v>0</v>
      </c>
      <c r="D65" s="285">
        <f t="shared" si="16"/>
        <v>0</v>
      </c>
      <c r="E65" s="285">
        <f t="shared" si="17"/>
        <v>0</v>
      </c>
      <c r="F65" s="285">
        <f t="shared" si="18"/>
        <v>0</v>
      </c>
      <c r="G65" s="407">
        <f t="shared" si="19"/>
        <v>0</v>
      </c>
      <c r="H65" s="91">
        <f t="shared" si="20"/>
        <v>0</v>
      </c>
      <c r="I65" s="285">
        <f t="shared" si="21"/>
        <v>0</v>
      </c>
      <c r="J65" s="285">
        <f t="shared" si="22"/>
        <v>0</v>
      </c>
      <c r="K65" s="285">
        <f t="shared" si="62"/>
        <v>0</v>
      </c>
      <c r="L65" s="407">
        <f t="shared" si="66"/>
        <v>0</v>
      </c>
      <c r="M65" s="407">
        <f t="shared" si="63"/>
        <v>0</v>
      </c>
      <c r="N65" s="91">
        <f t="shared" si="23"/>
        <v>0</v>
      </c>
      <c r="O65" s="285">
        <f t="shared" si="24"/>
        <v>0</v>
      </c>
      <c r="P65" s="285">
        <f t="shared" si="25"/>
        <v>0</v>
      </c>
      <c r="Q65" s="285">
        <f t="shared" si="26"/>
        <v>0</v>
      </c>
      <c r="R65" s="285">
        <f t="shared" si="27"/>
        <v>0</v>
      </c>
      <c r="S65" s="285">
        <f t="shared" si="28"/>
        <v>0</v>
      </c>
      <c r="T65" s="285">
        <f t="shared" si="29"/>
        <v>0</v>
      </c>
      <c r="U65" s="285">
        <f t="shared" si="29"/>
        <v>0</v>
      </c>
      <c r="V65" s="285">
        <f t="shared" si="30"/>
        <v>0</v>
      </c>
      <c r="W65" s="285">
        <f t="shared" si="31"/>
        <v>0</v>
      </c>
      <c r="X65" s="407">
        <f t="shared" si="31"/>
        <v>0</v>
      </c>
      <c r="Y65" s="285">
        <f t="shared" si="32"/>
        <v>0</v>
      </c>
      <c r="Z65" s="285">
        <f t="shared" si="33"/>
        <v>0</v>
      </c>
      <c r="AA65" s="285">
        <f t="shared" si="34"/>
        <v>0</v>
      </c>
      <c r="AB65" s="285">
        <f t="shared" si="35"/>
        <v>0</v>
      </c>
      <c r="AC65" s="285">
        <f t="shared" si="36"/>
        <v>0</v>
      </c>
      <c r="AD65" s="285">
        <f t="shared" si="37"/>
        <v>0</v>
      </c>
      <c r="AE65" s="91">
        <f t="shared" si="38"/>
        <v>0</v>
      </c>
      <c r="AF65" s="407">
        <f t="shared" si="38"/>
        <v>0</v>
      </c>
      <c r="AG65" s="91">
        <f t="shared" si="39"/>
        <v>0</v>
      </c>
      <c r="AH65" s="285">
        <f t="shared" si="40"/>
        <v>0</v>
      </c>
      <c r="AI65" s="285">
        <f t="shared" si="41"/>
        <v>0</v>
      </c>
      <c r="AJ65" s="285">
        <f t="shared" si="42"/>
        <v>0</v>
      </c>
      <c r="AK65" s="407">
        <f t="shared" si="43"/>
        <v>0</v>
      </c>
      <c r="AL65" s="407">
        <f t="shared" ref="AL65:AN65" si="79">IF($A21&lt;AL$5,IF(AL64&lt;&gt;0,AL64+AL21,AL21),0)</f>
        <v>0</v>
      </c>
      <c r="AM65" s="407">
        <f t="shared" si="79"/>
        <v>0</v>
      </c>
      <c r="AN65" s="407">
        <f t="shared" si="79"/>
        <v>0</v>
      </c>
      <c r="AO65" s="91">
        <f t="shared" si="44"/>
        <v>0</v>
      </c>
      <c r="AP65" s="285">
        <f t="shared" si="45"/>
        <v>0</v>
      </c>
      <c r="AQ65" s="285">
        <f t="shared" si="46"/>
        <v>0</v>
      </c>
      <c r="AR65" s="285">
        <f t="shared" si="47"/>
        <v>0</v>
      </c>
      <c r="AS65" s="285">
        <f t="shared" si="48"/>
        <v>0</v>
      </c>
      <c r="AT65" s="285">
        <f t="shared" si="49"/>
        <v>0</v>
      </c>
      <c r="AU65" s="285">
        <f t="shared" si="50"/>
        <v>0</v>
      </c>
      <c r="AV65" s="285">
        <f t="shared" si="51"/>
        <v>0</v>
      </c>
      <c r="AW65" s="285">
        <f t="shared" si="52"/>
        <v>0</v>
      </c>
      <c r="AX65" s="407">
        <f t="shared" si="53"/>
        <v>0</v>
      </c>
      <c r="AY65" s="91">
        <f t="shared" si="54"/>
        <v>0</v>
      </c>
      <c r="AZ65" s="285">
        <f t="shared" si="55"/>
        <v>0</v>
      </c>
      <c r="BA65" s="91">
        <f t="shared" si="56"/>
        <v>0</v>
      </c>
      <c r="BB65" s="285">
        <f t="shared" si="57"/>
        <v>0</v>
      </c>
      <c r="BC65" s="407">
        <f t="shared" si="58"/>
        <v>0</v>
      </c>
      <c r="BD65" s="407">
        <f t="shared" si="59"/>
        <v>0</v>
      </c>
      <c r="BE65" s="285">
        <f t="shared" si="59"/>
        <v>0</v>
      </c>
      <c r="BF65" s="91">
        <f t="shared" si="60"/>
        <v>0</v>
      </c>
      <c r="BG65" s="285">
        <f t="shared" si="61"/>
        <v>0</v>
      </c>
      <c r="BH65" s="407">
        <f t="shared" si="61"/>
        <v>0</v>
      </c>
    </row>
    <row r="66" spans="1:60" x14ac:dyDescent="0.25">
      <c r="A66" s="838">
        <v>18</v>
      </c>
      <c r="B66" s="91">
        <f t="shared" ref="B66:B88" si="80">IF($A22&lt;B$5,IF(B65&lt;&gt;0,B65+B22,B22),0)</f>
        <v>0</v>
      </c>
      <c r="C66" s="285">
        <f t="shared" ref="C66:C88" si="81">IF($A22&lt;C$5,IF(C65&lt;&gt;0,C65+C22,C22),0)</f>
        <v>0</v>
      </c>
      <c r="D66" s="285">
        <f t="shared" ref="D66:D88" si="82">IF($A22&lt;D$5,IF(D65&lt;&gt;0,D65+D22,D22),0)</f>
        <v>0</v>
      </c>
      <c r="E66" s="285">
        <f t="shared" ref="E66:E88" si="83">IF($A22&lt;E$5,IF(E65&lt;&gt;0,E65+E22,E22),0)</f>
        <v>0</v>
      </c>
      <c r="F66" s="285">
        <f t="shared" ref="F66:F88" si="84">IF($A22&lt;F$5,IF(F65&lt;&gt;0,F65+F22,F22),0)</f>
        <v>0</v>
      </c>
      <c r="G66" s="407">
        <f t="shared" ref="G66:G88" si="85">IF($A22&lt;G$5,IF(G65&lt;&gt;0,G65+G22,G22),0)</f>
        <v>0</v>
      </c>
      <c r="H66" s="91">
        <f t="shared" ref="H66:H88" si="86">IF($A22&lt;H$5,IF(H65&lt;&gt;0,H65+H22,H22),0)</f>
        <v>0</v>
      </c>
      <c r="I66" s="285">
        <f t="shared" ref="I66:I88" si="87">IF($A22&lt;I$5,IF(I65&lt;&gt;0,I65+I22,I22),0)</f>
        <v>0</v>
      </c>
      <c r="J66" s="285">
        <f t="shared" ref="J66:J88" si="88">IF($A22&lt;J$5,IF(J65&lt;&gt;0,J65+J22,J22),0)</f>
        <v>0</v>
      </c>
      <c r="K66" s="285">
        <f t="shared" ref="K66:K88" si="89">IF($A22&lt;K$5,IF(K65&lt;&gt;0,K65+K22,K22),0)</f>
        <v>0</v>
      </c>
      <c r="L66" s="407">
        <f t="shared" ref="L66:L88" si="90">IF($A22&lt;L$5,IF(L65&lt;&gt;0,L65+L22,L22),0)</f>
        <v>0</v>
      </c>
      <c r="M66" s="407">
        <f t="shared" si="63"/>
        <v>0</v>
      </c>
      <c r="N66" s="91">
        <f t="shared" ref="N66:N88" si="91">IF($A22&lt;N$5,IF(N65&lt;&gt;0,N65+N22,N22),0)</f>
        <v>0</v>
      </c>
      <c r="O66" s="285">
        <f t="shared" ref="O66:O88" si="92">IF($A22&lt;O$5,IF(O65&lt;&gt;0,O65+O22,O22),0)</f>
        <v>0</v>
      </c>
      <c r="P66" s="285">
        <f t="shared" ref="P66:P88" si="93">IF($A22&lt;P$5,IF(P65&lt;&gt;0,P65+P22,P22),0)</f>
        <v>0</v>
      </c>
      <c r="Q66" s="285">
        <f t="shared" ref="Q66:Q88" si="94">IF($A22&lt;Q$5,IF(Q65&lt;&gt;0,Q65+Q22,Q22),0)</f>
        <v>0</v>
      </c>
      <c r="R66" s="285">
        <f t="shared" ref="R66:R88" si="95">IF($A22&lt;R$5,IF(R65&lt;&gt;0,R65+R22,R22),0)</f>
        <v>0</v>
      </c>
      <c r="S66" s="285">
        <f t="shared" ref="S66:S88" si="96">IF($A22&lt;S$5,IF(S65&lt;&gt;0,S65+S22,S22),0)</f>
        <v>0</v>
      </c>
      <c r="T66" s="285">
        <f t="shared" ref="T66:U88" si="97">IF($A22&lt;T$5,IF(T65&lt;&gt;0,T65+T22,T22),0)</f>
        <v>0</v>
      </c>
      <c r="U66" s="285">
        <f t="shared" si="97"/>
        <v>0</v>
      </c>
      <c r="V66" s="285">
        <f t="shared" ref="V66:V88" si="98">IF($A22&lt;V$5,IF(V65&lt;&gt;0,V65+V22,V22),0)</f>
        <v>0</v>
      </c>
      <c r="W66" s="285">
        <f t="shared" ref="W66:X88" si="99">IF($A22&lt;W$5,IF(W65&lt;&gt;0,W65+W22,W22),0)</f>
        <v>0</v>
      </c>
      <c r="X66" s="407">
        <f t="shared" si="99"/>
        <v>0</v>
      </c>
      <c r="Y66" s="285">
        <f t="shared" ref="Y66:Y88" si="100">IF($A22&lt;Y$5,IF(Y65&lt;&gt;0,Y65+Y22,Y22),0)</f>
        <v>0</v>
      </c>
      <c r="Z66" s="285">
        <f t="shared" ref="Z66:Z88" si="101">IF($A22&lt;Z$5,IF(Z65&lt;&gt;0,Z65+Z22,Z22),0)</f>
        <v>0</v>
      </c>
      <c r="AA66" s="285">
        <f t="shared" ref="AA66:AA88" si="102">IF($A22&lt;AA$5,IF(AA65&lt;&gt;0,AA65+AA22,AA22),0)</f>
        <v>0</v>
      </c>
      <c r="AB66" s="285">
        <f t="shared" ref="AB66:AB88" si="103">IF($A22&lt;AB$5,IF(AB65&lt;&gt;0,AB65+AB22,AB22),0)</f>
        <v>0</v>
      </c>
      <c r="AC66" s="285">
        <f t="shared" ref="AC66:AC88" si="104">IF($A22&lt;AC$5,IF(AC65&lt;&gt;0,AC65+AC22,AC22),0)</f>
        <v>0</v>
      </c>
      <c r="AD66" s="285">
        <f t="shared" ref="AD66:AD88" si="105">IF($A22&lt;AD$5,IF(AD65&lt;&gt;0,AD65+AD22,AD22),0)</f>
        <v>0</v>
      </c>
      <c r="AE66" s="91">
        <f t="shared" ref="AE66:AF88" si="106">IF($A22&lt;AE$5,IF(AE65&lt;&gt;0,AE65+AE22,AE22),0)</f>
        <v>0</v>
      </c>
      <c r="AF66" s="407">
        <f t="shared" si="106"/>
        <v>0</v>
      </c>
      <c r="AG66" s="91">
        <f t="shared" ref="AG66:AG88" si="107">IF($A22&lt;AG$5,IF(AG65&lt;&gt;0,AG65+AG22,AG22),0)</f>
        <v>0</v>
      </c>
      <c r="AH66" s="285">
        <f t="shared" ref="AH66:AH88" si="108">IF($A22&lt;AH$5,IF(AH65&lt;&gt;0,AH65+AH22,AH22),0)</f>
        <v>0</v>
      </c>
      <c r="AI66" s="285">
        <f t="shared" ref="AI66:AI88" si="109">IF($A22&lt;AI$5,IF(AI65&lt;&gt;0,AI65+AI22,AI22),0)</f>
        <v>0</v>
      </c>
      <c r="AJ66" s="285">
        <f t="shared" ref="AJ66:AJ88" si="110">IF($A22&lt;AJ$5,IF(AJ65&lt;&gt;0,AJ65+AJ22,AJ22),0)</f>
        <v>0</v>
      </c>
      <c r="AK66" s="407">
        <f t="shared" ref="AK66:AN88" si="111">IF($A22&lt;AK$5,IF(AK65&lt;&gt;0,AK65+AK22,AK22),0)</f>
        <v>0</v>
      </c>
      <c r="AL66" s="407">
        <f t="shared" si="111"/>
        <v>0</v>
      </c>
      <c r="AM66" s="407">
        <f t="shared" si="111"/>
        <v>0</v>
      </c>
      <c r="AN66" s="407">
        <f t="shared" si="111"/>
        <v>0</v>
      </c>
      <c r="AO66" s="91">
        <f t="shared" ref="AO66:AO88" si="112">IF($A22&lt;AO$5,IF(AO65&lt;&gt;0,AO65+AO22,AO22),0)</f>
        <v>0</v>
      </c>
      <c r="AP66" s="285">
        <f t="shared" ref="AP66:AP88" si="113">IF($A22&lt;AP$5,IF(AP65&lt;&gt;0,AP65+AP22,AP22),0)</f>
        <v>0</v>
      </c>
      <c r="AQ66" s="285">
        <f t="shared" ref="AQ66:AQ88" si="114">IF($A22&lt;AQ$5,IF(AQ65&lt;&gt;0,AQ65+AQ22,AQ22),0)</f>
        <v>0</v>
      </c>
      <c r="AR66" s="285">
        <f t="shared" ref="AR66:AR88" si="115">IF($A22&lt;AR$5,IF(AR65&lt;&gt;0,AR65+AR22,AR22),0)</f>
        <v>0</v>
      </c>
      <c r="AS66" s="285">
        <f t="shared" ref="AS66:AS88" si="116">IF($A22&lt;AS$5,IF(AS65&lt;&gt;0,AS65+AS22,AS22),0)</f>
        <v>0</v>
      </c>
      <c r="AT66" s="285">
        <f t="shared" ref="AT66:AT88" si="117">IF($A22&lt;AT$5,IF(AT65&lt;&gt;0,AT65+AT22,AT22),0)</f>
        <v>0</v>
      </c>
      <c r="AU66" s="285">
        <f t="shared" ref="AU66:AU88" si="118">IF($A22&lt;AU$5,IF(AU65&lt;&gt;0,AU65+AU22,AU22),0)</f>
        <v>0</v>
      </c>
      <c r="AV66" s="285">
        <f t="shared" ref="AV66:AV88" si="119">IF($A22&lt;AV$5,IF(AV65&lt;&gt;0,AV65+AV22,AV22),0)</f>
        <v>0</v>
      </c>
      <c r="AW66" s="285">
        <f t="shared" ref="AW66:AW88" si="120">IF($A22&lt;AW$5,IF(AW65&lt;&gt;0,AW65+AW22,AW22),0)</f>
        <v>0</v>
      </c>
      <c r="AX66" s="407">
        <f t="shared" ref="AX66:AX88" si="121">IF($A22&lt;AX$5,IF(AX65&lt;&gt;0,AX65+AX22,AX22),0)</f>
        <v>0</v>
      </c>
      <c r="AY66" s="91">
        <f t="shared" ref="AY66:BA88" si="122">IF($A22&lt;AY$5,IF(AY65&lt;&gt;0,AY65+AY22,AY22),0)</f>
        <v>0</v>
      </c>
      <c r="AZ66" s="285">
        <f t="shared" ref="AZ66:AZ88" si="123">IF($A22&lt;AZ$5,IF(AZ65&lt;&gt;0,AZ65+AZ22,AZ22),0)</f>
        <v>0</v>
      </c>
      <c r="BA66" s="91">
        <f t="shared" si="122"/>
        <v>0</v>
      </c>
      <c r="BB66" s="285">
        <f t="shared" ref="BB66:BC88" si="124">IF($A22&lt;BB$5,IF(BB65&lt;&gt;0,BB65+BB22,BB22),0)</f>
        <v>0</v>
      </c>
      <c r="BC66" s="407">
        <f t="shared" si="124"/>
        <v>0</v>
      </c>
      <c r="BD66" s="407">
        <f t="shared" si="59"/>
        <v>0</v>
      </c>
      <c r="BE66" s="285">
        <f t="shared" si="59"/>
        <v>0</v>
      </c>
      <c r="BF66" s="91">
        <f t="shared" ref="BF66:BF88" si="125">IF($A22&lt;BF$5,IF(BF65&lt;&gt;0,BF65+BF22,BF22),0)</f>
        <v>0</v>
      </c>
      <c r="BG66" s="285">
        <f t="shared" ref="BG66:BH88" si="126">IF($A22&lt;BG$5,IF(BG65&lt;&gt;0,BG65+BG22,BG22),0)</f>
        <v>0</v>
      </c>
      <c r="BH66" s="407">
        <f t="shared" si="126"/>
        <v>0</v>
      </c>
    </row>
    <row r="67" spans="1:60" x14ac:dyDescent="0.25">
      <c r="A67" s="838">
        <v>19</v>
      </c>
      <c r="B67" s="91">
        <f t="shared" si="80"/>
        <v>0</v>
      </c>
      <c r="C67" s="285">
        <f t="shared" si="81"/>
        <v>0</v>
      </c>
      <c r="D67" s="285">
        <f t="shared" si="82"/>
        <v>0</v>
      </c>
      <c r="E67" s="285">
        <f t="shared" si="83"/>
        <v>0</v>
      </c>
      <c r="F67" s="285">
        <f t="shared" si="84"/>
        <v>0</v>
      </c>
      <c r="G67" s="407">
        <f t="shared" si="85"/>
        <v>0</v>
      </c>
      <c r="H67" s="91">
        <f t="shared" si="86"/>
        <v>0</v>
      </c>
      <c r="I67" s="285">
        <f t="shared" si="87"/>
        <v>0</v>
      </c>
      <c r="J67" s="285">
        <f t="shared" si="88"/>
        <v>0</v>
      </c>
      <c r="K67" s="285">
        <f t="shared" si="89"/>
        <v>0</v>
      </c>
      <c r="L67" s="407">
        <f t="shared" si="90"/>
        <v>0</v>
      </c>
      <c r="M67" s="407">
        <f t="shared" si="63"/>
        <v>0</v>
      </c>
      <c r="N67" s="91">
        <f t="shared" si="91"/>
        <v>0</v>
      </c>
      <c r="O67" s="285">
        <f t="shared" si="92"/>
        <v>0</v>
      </c>
      <c r="P67" s="285">
        <f t="shared" si="93"/>
        <v>0</v>
      </c>
      <c r="Q67" s="285">
        <f t="shared" si="94"/>
        <v>0</v>
      </c>
      <c r="R67" s="285">
        <f t="shared" si="95"/>
        <v>0</v>
      </c>
      <c r="S67" s="285">
        <f t="shared" si="96"/>
        <v>0</v>
      </c>
      <c r="T67" s="285">
        <f t="shared" si="97"/>
        <v>0</v>
      </c>
      <c r="U67" s="285">
        <f t="shared" si="97"/>
        <v>0</v>
      </c>
      <c r="V67" s="285">
        <f t="shared" si="98"/>
        <v>0</v>
      </c>
      <c r="W67" s="285">
        <f t="shared" si="99"/>
        <v>0</v>
      </c>
      <c r="X67" s="407">
        <f t="shared" si="99"/>
        <v>0</v>
      </c>
      <c r="Y67" s="285">
        <f t="shared" si="100"/>
        <v>0</v>
      </c>
      <c r="Z67" s="285">
        <f t="shared" si="101"/>
        <v>0</v>
      </c>
      <c r="AA67" s="285">
        <f t="shared" si="102"/>
        <v>0</v>
      </c>
      <c r="AB67" s="285">
        <f t="shared" si="103"/>
        <v>0</v>
      </c>
      <c r="AC67" s="285">
        <f t="shared" si="104"/>
        <v>0</v>
      </c>
      <c r="AD67" s="285">
        <f t="shared" si="105"/>
        <v>0</v>
      </c>
      <c r="AE67" s="91">
        <f t="shared" si="106"/>
        <v>0</v>
      </c>
      <c r="AF67" s="407">
        <f t="shared" si="106"/>
        <v>0</v>
      </c>
      <c r="AG67" s="91">
        <f t="shared" si="107"/>
        <v>0</v>
      </c>
      <c r="AH67" s="285">
        <f t="shared" si="108"/>
        <v>0</v>
      </c>
      <c r="AI67" s="285">
        <f t="shared" si="109"/>
        <v>0</v>
      </c>
      <c r="AJ67" s="285">
        <f t="shared" si="110"/>
        <v>0</v>
      </c>
      <c r="AK67" s="407">
        <f t="shared" si="111"/>
        <v>0</v>
      </c>
      <c r="AL67" s="407">
        <f t="shared" si="111"/>
        <v>0</v>
      </c>
      <c r="AM67" s="407">
        <f t="shared" si="111"/>
        <v>0</v>
      </c>
      <c r="AN67" s="407">
        <f t="shared" si="111"/>
        <v>0</v>
      </c>
      <c r="AO67" s="91">
        <f t="shared" si="112"/>
        <v>0</v>
      </c>
      <c r="AP67" s="285">
        <f t="shared" si="113"/>
        <v>0</v>
      </c>
      <c r="AQ67" s="285">
        <f t="shared" si="114"/>
        <v>0</v>
      </c>
      <c r="AR67" s="285">
        <f t="shared" si="115"/>
        <v>0</v>
      </c>
      <c r="AS67" s="285">
        <f t="shared" si="116"/>
        <v>0</v>
      </c>
      <c r="AT67" s="285">
        <f t="shared" si="117"/>
        <v>0</v>
      </c>
      <c r="AU67" s="285">
        <f t="shared" si="118"/>
        <v>0</v>
      </c>
      <c r="AV67" s="285">
        <f t="shared" si="119"/>
        <v>0</v>
      </c>
      <c r="AW67" s="285">
        <f t="shared" si="120"/>
        <v>0</v>
      </c>
      <c r="AX67" s="407">
        <f t="shared" si="121"/>
        <v>0</v>
      </c>
      <c r="AY67" s="91">
        <f t="shared" si="122"/>
        <v>0</v>
      </c>
      <c r="AZ67" s="285">
        <f t="shared" si="123"/>
        <v>0</v>
      </c>
      <c r="BA67" s="91">
        <f t="shared" si="122"/>
        <v>0</v>
      </c>
      <c r="BB67" s="285">
        <f t="shared" si="124"/>
        <v>0</v>
      </c>
      <c r="BC67" s="407">
        <f t="shared" si="124"/>
        <v>0</v>
      </c>
      <c r="BD67" s="407">
        <f t="shared" si="59"/>
        <v>0</v>
      </c>
      <c r="BE67" s="285">
        <f t="shared" si="59"/>
        <v>0</v>
      </c>
      <c r="BF67" s="91">
        <f t="shared" si="125"/>
        <v>0</v>
      </c>
      <c r="BG67" s="285">
        <f t="shared" si="126"/>
        <v>0</v>
      </c>
      <c r="BH67" s="407">
        <f t="shared" si="126"/>
        <v>0</v>
      </c>
    </row>
    <row r="68" spans="1:60" x14ac:dyDescent="0.25">
      <c r="A68" s="838">
        <v>20</v>
      </c>
      <c r="B68" s="91">
        <f t="shared" si="80"/>
        <v>0</v>
      </c>
      <c r="C68" s="285">
        <f t="shared" si="81"/>
        <v>0</v>
      </c>
      <c r="D68" s="285">
        <f t="shared" si="82"/>
        <v>0</v>
      </c>
      <c r="E68" s="285">
        <f t="shared" si="83"/>
        <v>0</v>
      </c>
      <c r="F68" s="285">
        <f t="shared" si="84"/>
        <v>0</v>
      </c>
      <c r="G68" s="407">
        <f t="shared" si="85"/>
        <v>0</v>
      </c>
      <c r="H68" s="91">
        <f t="shared" si="86"/>
        <v>0</v>
      </c>
      <c r="I68" s="285">
        <f t="shared" si="87"/>
        <v>0</v>
      </c>
      <c r="J68" s="285">
        <f t="shared" si="88"/>
        <v>0</v>
      </c>
      <c r="K68" s="285">
        <f t="shared" si="89"/>
        <v>0</v>
      </c>
      <c r="L68" s="407">
        <f t="shared" si="90"/>
        <v>0</v>
      </c>
      <c r="M68" s="407">
        <f t="shared" si="63"/>
        <v>0</v>
      </c>
      <c r="N68" s="91">
        <f t="shared" si="91"/>
        <v>0</v>
      </c>
      <c r="O68" s="285">
        <f t="shared" si="92"/>
        <v>0</v>
      </c>
      <c r="P68" s="285">
        <f t="shared" si="93"/>
        <v>0</v>
      </c>
      <c r="Q68" s="285">
        <f t="shared" si="94"/>
        <v>0</v>
      </c>
      <c r="R68" s="285">
        <f t="shared" si="95"/>
        <v>0</v>
      </c>
      <c r="S68" s="285">
        <f t="shared" si="96"/>
        <v>0</v>
      </c>
      <c r="T68" s="285">
        <f t="shared" si="97"/>
        <v>0</v>
      </c>
      <c r="U68" s="285">
        <f t="shared" si="97"/>
        <v>0</v>
      </c>
      <c r="V68" s="285">
        <f t="shared" si="98"/>
        <v>0</v>
      </c>
      <c r="W68" s="285">
        <f t="shared" si="99"/>
        <v>0</v>
      </c>
      <c r="X68" s="407">
        <f t="shared" si="99"/>
        <v>0</v>
      </c>
      <c r="Y68" s="285">
        <f t="shared" si="100"/>
        <v>0</v>
      </c>
      <c r="Z68" s="285">
        <f t="shared" si="101"/>
        <v>0</v>
      </c>
      <c r="AA68" s="285">
        <f t="shared" si="102"/>
        <v>0</v>
      </c>
      <c r="AB68" s="285">
        <f t="shared" si="103"/>
        <v>0</v>
      </c>
      <c r="AC68" s="285">
        <f t="shared" si="104"/>
        <v>0</v>
      </c>
      <c r="AD68" s="285">
        <f t="shared" si="105"/>
        <v>0</v>
      </c>
      <c r="AE68" s="91">
        <f t="shared" si="106"/>
        <v>0</v>
      </c>
      <c r="AF68" s="407">
        <f t="shared" si="106"/>
        <v>0</v>
      </c>
      <c r="AG68" s="91">
        <f t="shared" si="107"/>
        <v>0</v>
      </c>
      <c r="AH68" s="285">
        <f t="shared" si="108"/>
        <v>0</v>
      </c>
      <c r="AI68" s="285">
        <f t="shared" si="109"/>
        <v>0</v>
      </c>
      <c r="AJ68" s="285">
        <f t="shared" si="110"/>
        <v>0</v>
      </c>
      <c r="AK68" s="407">
        <f t="shared" si="111"/>
        <v>0</v>
      </c>
      <c r="AL68" s="407">
        <f t="shared" si="111"/>
        <v>0</v>
      </c>
      <c r="AM68" s="407">
        <f t="shared" si="111"/>
        <v>0</v>
      </c>
      <c r="AN68" s="407">
        <f t="shared" si="111"/>
        <v>0</v>
      </c>
      <c r="AO68" s="91">
        <f t="shared" si="112"/>
        <v>0</v>
      </c>
      <c r="AP68" s="285">
        <f t="shared" si="113"/>
        <v>0</v>
      </c>
      <c r="AQ68" s="285">
        <f t="shared" si="114"/>
        <v>0</v>
      </c>
      <c r="AR68" s="285">
        <f t="shared" si="115"/>
        <v>0</v>
      </c>
      <c r="AS68" s="285">
        <f t="shared" si="116"/>
        <v>0</v>
      </c>
      <c r="AT68" s="285">
        <f t="shared" si="117"/>
        <v>0</v>
      </c>
      <c r="AU68" s="285">
        <f t="shared" si="118"/>
        <v>0</v>
      </c>
      <c r="AV68" s="285">
        <f t="shared" si="119"/>
        <v>0</v>
      </c>
      <c r="AW68" s="285">
        <f t="shared" si="120"/>
        <v>0</v>
      </c>
      <c r="AX68" s="407">
        <f t="shared" si="121"/>
        <v>0</v>
      </c>
      <c r="AY68" s="91">
        <f t="shared" si="122"/>
        <v>0</v>
      </c>
      <c r="AZ68" s="285">
        <f t="shared" si="123"/>
        <v>0</v>
      </c>
      <c r="BA68" s="91">
        <f t="shared" si="122"/>
        <v>0</v>
      </c>
      <c r="BB68" s="285">
        <f t="shared" si="124"/>
        <v>0</v>
      </c>
      <c r="BC68" s="407">
        <f t="shared" si="124"/>
        <v>0</v>
      </c>
      <c r="BD68" s="407">
        <f t="shared" si="59"/>
        <v>0</v>
      </c>
      <c r="BE68" s="285">
        <f t="shared" si="59"/>
        <v>0</v>
      </c>
      <c r="BF68" s="91">
        <f t="shared" si="125"/>
        <v>0</v>
      </c>
      <c r="BG68" s="285">
        <f t="shared" si="126"/>
        <v>0</v>
      </c>
      <c r="BH68" s="407">
        <f t="shared" si="126"/>
        <v>0</v>
      </c>
    </row>
    <row r="69" spans="1:60" x14ac:dyDescent="0.25">
      <c r="A69" s="838">
        <v>21</v>
      </c>
      <c r="B69" s="91">
        <f t="shared" si="80"/>
        <v>0</v>
      </c>
      <c r="C69" s="285">
        <f t="shared" si="81"/>
        <v>0</v>
      </c>
      <c r="D69" s="285">
        <f t="shared" si="82"/>
        <v>0</v>
      </c>
      <c r="E69" s="285">
        <f t="shared" si="83"/>
        <v>0</v>
      </c>
      <c r="F69" s="285">
        <f t="shared" si="84"/>
        <v>0</v>
      </c>
      <c r="G69" s="407">
        <f t="shared" si="85"/>
        <v>0</v>
      </c>
      <c r="H69" s="91">
        <f t="shared" si="86"/>
        <v>0</v>
      </c>
      <c r="I69" s="285">
        <f t="shared" si="87"/>
        <v>0</v>
      </c>
      <c r="J69" s="285">
        <f t="shared" si="88"/>
        <v>0</v>
      </c>
      <c r="K69" s="285">
        <f t="shared" si="89"/>
        <v>0</v>
      </c>
      <c r="L69" s="407">
        <f t="shared" si="90"/>
        <v>0</v>
      </c>
      <c r="M69" s="407">
        <f t="shared" si="63"/>
        <v>0</v>
      </c>
      <c r="N69" s="91">
        <f t="shared" si="91"/>
        <v>0</v>
      </c>
      <c r="O69" s="285">
        <f t="shared" si="92"/>
        <v>0</v>
      </c>
      <c r="P69" s="285">
        <f t="shared" si="93"/>
        <v>0</v>
      </c>
      <c r="Q69" s="285">
        <f t="shared" si="94"/>
        <v>0</v>
      </c>
      <c r="R69" s="285">
        <f t="shared" si="95"/>
        <v>0</v>
      </c>
      <c r="S69" s="285">
        <f t="shared" si="96"/>
        <v>0</v>
      </c>
      <c r="T69" s="285">
        <f t="shared" si="97"/>
        <v>0</v>
      </c>
      <c r="U69" s="285">
        <f t="shared" si="97"/>
        <v>0</v>
      </c>
      <c r="V69" s="285">
        <f t="shared" si="98"/>
        <v>0</v>
      </c>
      <c r="W69" s="285">
        <f t="shared" si="99"/>
        <v>0</v>
      </c>
      <c r="X69" s="407">
        <f t="shared" si="99"/>
        <v>0</v>
      </c>
      <c r="Y69" s="285">
        <f t="shared" si="100"/>
        <v>0</v>
      </c>
      <c r="Z69" s="285">
        <f t="shared" si="101"/>
        <v>0</v>
      </c>
      <c r="AA69" s="285">
        <f t="shared" si="102"/>
        <v>0</v>
      </c>
      <c r="AB69" s="285">
        <f t="shared" si="103"/>
        <v>0</v>
      </c>
      <c r="AC69" s="285">
        <f t="shared" si="104"/>
        <v>0</v>
      </c>
      <c r="AD69" s="285">
        <f t="shared" si="105"/>
        <v>0</v>
      </c>
      <c r="AE69" s="91">
        <f t="shared" si="106"/>
        <v>0</v>
      </c>
      <c r="AF69" s="407">
        <f t="shared" si="106"/>
        <v>0</v>
      </c>
      <c r="AG69" s="91">
        <f t="shared" si="107"/>
        <v>0</v>
      </c>
      <c r="AH69" s="285">
        <f t="shared" si="108"/>
        <v>0</v>
      </c>
      <c r="AI69" s="285">
        <f t="shared" si="109"/>
        <v>0</v>
      </c>
      <c r="AJ69" s="285">
        <f t="shared" si="110"/>
        <v>0</v>
      </c>
      <c r="AK69" s="407">
        <f t="shared" si="111"/>
        <v>0</v>
      </c>
      <c r="AL69" s="407">
        <f t="shared" si="111"/>
        <v>0</v>
      </c>
      <c r="AM69" s="407">
        <f t="shared" si="111"/>
        <v>0</v>
      </c>
      <c r="AN69" s="407">
        <f t="shared" si="111"/>
        <v>0</v>
      </c>
      <c r="AO69" s="91">
        <f t="shared" si="112"/>
        <v>0</v>
      </c>
      <c r="AP69" s="285">
        <f t="shared" si="113"/>
        <v>0</v>
      </c>
      <c r="AQ69" s="285">
        <f t="shared" si="114"/>
        <v>0</v>
      </c>
      <c r="AR69" s="285">
        <f t="shared" si="115"/>
        <v>0</v>
      </c>
      <c r="AS69" s="285">
        <f t="shared" si="116"/>
        <v>0</v>
      </c>
      <c r="AT69" s="285">
        <f t="shared" si="117"/>
        <v>0</v>
      </c>
      <c r="AU69" s="285">
        <f t="shared" si="118"/>
        <v>0</v>
      </c>
      <c r="AV69" s="285">
        <f t="shared" si="119"/>
        <v>0</v>
      </c>
      <c r="AW69" s="285">
        <f t="shared" si="120"/>
        <v>0</v>
      </c>
      <c r="AX69" s="407">
        <f t="shared" si="121"/>
        <v>0</v>
      </c>
      <c r="AY69" s="91">
        <f t="shared" si="122"/>
        <v>0</v>
      </c>
      <c r="AZ69" s="285">
        <f t="shared" si="123"/>
        <v>0</v>
      </c>
      <c r="BA69" s="91">
        <f t="shared" si="122"/>
        <v>0</v>
      </c>
      <c r="BB69" s="285">
        <f t="shared" si="124"/>
        <v>0</v>
      </c>
      <c r="BC69" s="407">
        <f t="shared" si="124"/>
        <v>0</v>
      </c>
      <c r="BD69" s="407">
        <f t="shared" si="59"/>
        <v>0</v>
      </c>
      <c r="BE69" s="285">
        <f t="shared" si="59"/>
        <v>0</v>
      </c>
      <c r="BF69" s="91">
        <f t="shared" si="125"/>
        <v>0</v>
      </c>
      <c r="BG69" s="285">
        <f t="shared" si="126"/>
        <v>0</v>
      </c>
      <c r="BH69" s="407">
        <f t="shared" si="126"/>
        <v>0</v>
      </c>
    </row>
    <row r="70" spans="1:60" x14ac:dyDescent="0.25">
      <c r="A70" s="838">
        <v>22</v>
      </c>
      <c r="B70" s="91">
        <f t="shared" si="80"/>
        <v>0</v>
      </c>
      <c r="C70" s="285">
        <f t="shared" si="81"/>
        <v>0</v>
      </c>
      <c r="D70" s="285">
        <f t="shared" si="82"/>
        <v>0</v>
      </c>
      <c r="E70" s="285">
        <f t="shared" si="83"/>
        <v>0</v>
      </c>
      <c r="F70" s="285">
        <f t="shared" si="84"/>
        <v>0</v>
      </c>
      <c r="G70" s="407">
        <f t="shared" si="85"/>
        <v>0</v>
      </c>
      <c r="H70" s="91">
        <f t="shared" si="86"/>
        <v>0</v>
      </c>
      <c r="I70" s="285">
        <f t="shared" si="87"/>
        <v>0</v>
      </c>
      <c r="J70" s="285">
        <f t="shared" si="88"/>
        <v>0</v>
      </c>
      <c r="K70" s="285">
        <f t="shared" si="89"/>
        <v>0</v>
      </c>
      <c r="L70" s="407">
        <f t="shared" si="90"/>
        <v>0</v>
      </c>
      <c r="M70" s="407">
        <f t="shared" si="63"/>
        <v>0</v>
      </c>
      <c r="N70" s="91">
        <f t="shared" si="91"/>
        <v>0</v>
      </c>
      <c r="O70" s="285">
        <f t="shared" si="92"/>
        <v>0</v>
      </c>
      <c r="P70" s="285">
        <f t="shared" si="93"/>
        <v>0</v>
      </c>
      <c r="Q70" s="285">
        <f t="shared" si="94"/>
        <v>0</v>
      </c>
      <c r="R70" s="285">
        <f t="shared" si="95"/>
        <v>0</v>
      </c>
      <c r="S70" s="285">
        <f t="shared" si="96"/>
        <v>0</v>
      </c>
      <c r="T70" s="285">
        <f t="shared" si="97"/>
        <v>0</v>
      </c>
      <c r="U70" s="285">
        <f t="shared" si="97"/>
        <v>0</v>
      </c>
      <c r="V70" s="285">
        <f t="shared" si="98"/>
        <v>0</v>
      </c>
      <c r="W70" s="285">
        <f t="shared" si="99"/>
        <v>0</v>
      </c>
      <c r="X70" s="407">
        <f t="shared" si="99"/>
        <v>0</v>
      </c>
      <c r="Y70" s="285">
        <f t="shared" si="100"/>
        <v>0</v>
      </c>
      <c r="Z70" s="285">
        <f t="shared" si="101"/>
        <v>0</v>
      </c>
      <c r="AA70" s="285">
        <f t="shared" si="102"/>
        <v>0</v>
      </c>
      <c r="AB70" s="285">
        <f t="shared" si="103"/>
        <v>0</v>
      </c>
      <c r="AC70" s="285">
        <f t="shared" si="104"/>
        <v>0</v>
      </c>
      <c r="AD70" s="285">
        <f t="shared" si="105"/>
        <v>0</v>
      </c>
      <c r="AE70" s="91">
        <f t="shared" si="106"/>
        <v>0</v>
      </c>
      <c r="AF70" s="407">
        <f t="shared" si="106"/>
        <v>0</v>
      </c>
      <c r="AG70" s="91">
        <f t="shared" si="107"/>
        <v>0</v>
      </c>
      <c r="AH70" s="285">
        <f t="shared" si="108"/>
        <v>0</v>
      </c>
      <c r="AI70" s="285">
        <f t="shared" si="109"/>
        <v>0</v>
      </c>
      <c r="AJ70" s="285">
        <f t="shared" si="110"/>
        <v>0</v>
      </c>
      <c r="AK70" s="407">
        <f t="shared" si="111"/>
        <v>0</v>
      </c>
      <c r="AL70" s="407">
        <f t="shared" si="111"/>
        <v>0</v>
      </c>
      <c r="AM70" s="407">
        <f t="shared" si="111"/>
        <v>0</v>
      </c>
      <c r="AN70" s="407">
        <f t="shared" si="111"/>
        <v>0</v>
      </c>
      <c r="AO70" s="91">
        <f t="shared" si="112"/>
        <v>0</v>
      </c>
      <c r="AP70" s="285">
        <f t="shared" si="113"/>
        <v>0</v>
      </c>
      <c r="AQ70" s="285">
        <f t="shared" si="114"/>
        <v>0</v>
      </c>
      <c r="AR70" s="285">
        <f t="shared" si="115"/>
        <v>0</v>
      </c>
      <c r="AS70" s="285">
        <f t="shared" si="116"/>
        <v>0</v>
      </c>
      <c r="AT70" s="285">
        <f t="shared" si="117"/>
        <v>0</v>
      </c>
      <c r="AU70" s="285">
        <f t="shared" si="118"/>
        <v>0</v>
      </c>
      <c r="AV70" s="285">
        <f t="shared" si="119"/>
        <v>0</v>
      </c>
      <c r="AW70" s="285">
        <f t="shared" si="120"/>
        <v>0</v>
      </c>
      <c r="AX70" s="407">
        <f t="shared" si="121"/>
        <v>0</v>
      </c>
      <c r="AY70" s="91">
        <f t="shared" si="122"/>
        <v>0</v>
      </c>
      <c r="AZ70" s="285">
        <f t="shared" si="123"/>
        <v>0</v>
      </c>
      <c r="BA70" s="91">
        <f t="shared" si="122"/>
        <v>0</v>
      </c>
      <c r="BB70" s="285">
        <f t="shared" si="124"/>
        <v>0</v>
      </c>
      <c r="BC70" s="407">
        <f t="shared" si="124"/>
        <v>0</v>
      </c>
      <c r="BD70" s="407">
        <f t="shared" ref="BD70:BE88" si="127">IF($A26&lt;BD$5,IF(BD69&lt;&gt;0,BD69+BD26,BD26),0)</f>
        <v>0</v>
      </c>
      <c r="BE70" s="285">
        <f t="shared" si="127"/>
        <v>0</v>
      </c>
      <c r="BF70" s="91">
        <f t="shared" si="125"/>
        <v>0</v>
      </c>
      <c r="BG70" s="285">
        <f t="shared" si="126"/>
        <v>0</v>
      </c>
      <c r="BH70" s="407">
        <f t="shared" si="126"/>
        <v>0</v>
      </c>
    </row>
    <row r="71" spans="1:60" x14ac:dyDescent="0.25">
      <c r="A71" s="838">
        <v>23</v>
      </c>
      <c r="B71" s="91">
        <f t="shared" si="80"/>
        <v>0</v>
      </c>
      <c r="C71" s="285">
        <f t="shared" si="81"/>
        <v>0</v>
      </c>
      <c r="D71" s="285">
        <f t="shared" si="82"/>
        <v>0</v>
      </c>
      <c r="E71" s="285">
        <f t="shared" si="83"/>
        <v>0</v>
      </c>
      <c r="F71" s="285">
        <f t="shared" si="84"/>
        <v>0</v>
      </c>
      <c r="G71" s="407">
        <f t="shared" si="85"/>
        <v>0</v>
      </c>
      <c r="H71" s="91">
        <f t="shared" si="86"/>
        <v>0</v>
      </c>
      <c r="I71" s="285">
        <f t="shared" si="87"/>
        <v>0</v>
      </c>
      <c r="J71" s="285">
        <f t="shared" si="88"/>
        <v>0</v>
      </c>
      <c r="K71" s="285">
        <f t="shared" si="89"/>
        <v>0</v>
      </c>
      <c r="L71" s="407">
        <f t="shared" si="90"/>
        <v>0</v>
      </c>
      <c r="M71" s="407">
        <f t="shared" si="63"/>
        <v>0</v>
      </c>
      <c r="N71" s="91">
        <f t="shared" si="91"/>
        <v>0</v>
      </c>
      <c r="O71" s="285">
        <f t="shared" si="92"/>
        <v>0</v>
      </c>
      <c r="P71" s="285">
        <f t="shared" si="93"/>
        <v>0</v>
      </c>
      <c r="Q71" s="285">
        <f t="shared" si="94"/>
        <v>0</v>
      </c>
      <c r="R71" s="285">
        <f t="shared" si="95"/>
        <v>0</v>
      </c>
      <c r="S71" s="285">
        <f t="shared" si="96"/>
        <v>0</v>
      </c>
      <c r="T71" s="285">
        <f t="shared" si="97"/>
        <v>0</v>
      </c>
      <c r="U71" s="285">
        <f t="shared" si="97"/>
        <v>0</v>
      </c>
      <c r="V71" s="285">
        <f t="shared" si="98"/>
        <v>0</v>
      </c>
      <c r="W71" s="285">
        <f t="shared" si="99"/>
        <v>0</v>
      </c>
      <c r="X71" s="407">
        <f t="shared" si="99"/>
        <v>0</v>
      </c>
      <c r="Y71" s="285">
        <f t="shared" si="100"/>
        <v>0</v>
      </c>
      <c r="Z71" s="285">
        <f t="shared" si="101"/>
        <v>0</v>
      </c>
      <c r="AA71" s="285">
        <f t="shared" si="102"/>
        <v>0</v>
      </c>
      <c r="AB71" s="285">
        <f t="shared" si="103"/>
        <v>0</v>
      </c>
      <c r="AC71" s="285">
        <f t="shared" si="104"/>
        <v>0</v>
      </c>
      <c r="AD71" s="285">
        <f t="shared" si="105"/>
        <v>0</v>
      </c>
      <c r="AE71" s="91">
        <f t="shared" si="106"/>
        <v>0</v>
      </c>
      <c r="AF71" s="407">
        <f t="shared" si="106"/>
        <v>0</v>
      </c>
      <c r="AG71" s="91">
        <f t="shared" si="107"/>
        <v>0</v>
      </c>
      <c r="AH71" s="285">
        <f t="shared" si="108"/>
        <v>0</v>
      </c>
      <c r="AI71" s="285">
        <f t="shared" si="109"/>
        <v>0</v>
      </c>
      <c r="AJ71" s="285">
        <f t="shared" si="110"/>
        <v>0</v>
      </c>
      <c r="AK71" s="407">
        <f t="shared" si="111"/>
        <v>0</v>
      </c>
      <c r="AL71" s="407">
        <f t="shared" si="111"/>
        <v>0</v>
      </c>
      <c r="AM71" s="407">
        <f t="shared" si="111"/>
        <v>0</v>
      </c>
      <c r="AN71" s="407">
        <f t="shared" si="111"/>
        <v>0</v>
      </c>
      <c r="AO71" s="91">
        <f t="shared" si="112"/>
        <v>0</v>
      </c>
      <c r="AP71" s="285">
        <f t="shared" si="113"/>
        <v>0</v>
      </c>
      <c r="AQ71" s="285">
        <f t="shared" si="114"/>
        <v>0</v>
      </c>
      <c r="AR71" s="285">
        <f t="shared" si="115"/>
        <v>0</v>
      </c>
      <c r="AS71" s="285">
        <f t="shared" si="116"/>
        <v>0</v>
      </c>
      <c r="AT71" s="285">
        <f t="shared" si="117"/>
        <v>0</v>
      </c>
      <c r="AU71" s="285">
        <f t="shared" si="118"/>
        <v>0</v>
      </c>
      <c r="AV71" s="285">
        <f t="shared" si="119"/>
        <v>0</v>
      </c>
      <c r="AW71" s="285">
        <f t="shared" si="120"/>
        <v>0</v>
      </c>
      <c r="AX71" s="407">
        <f t="shared" si="121"/>
        <v>0</v>
      </c>
      <c r="AY71" s="91">
        <f t="shared" si="122"/>
        <v>0</v>
      </c>
      <c r="AZ71" s="285">
        <f t="shared" si="123"/>
        <v>0</v>
      </c>
      <c r="BA71" s="91">
        <f t="shared" si="122"/>
        <v>0</v>
      </c>
      <c r="BB71" s="285">
        <f t="shared" si="124"/>
        <v>0</v>
      </c>
      <c r="BC71" s="407">
        <f t="shared" si="124"/>
        <v>0</v>
      </c>
      <c r="BD71" s="407">
        <f t="shared" si="127"/>
        <v>0</v>
      </c>
      <c r="BE71" s="285">
        <f t="shared" si="127"/>
        <v>0</v>
      </c>
      <c r="BF71" s="91">
        <f t="shared" si="125"/>
        <v>0</v>
      </c>
      <c r="BG71" s="285">
        <f t="shared" si="126"/>
        <v>0</v>
      </c>
      <c r="BH71" s="407">
        <f t="shared" si="126"/>
        <v>0</v>
      </c>
    </row>
    <row r="72" spans="1:60" x14ac:dyDescent="0.25">
      <c r="A72" s="838">
        <v>24</v>
      </c>
      <c r="B72" s="91">
        <f t="shared" si="80"/>
        <v>0</v>
      </c>
      <c r="C72" s="285">
        <f t="shared" si="81"/>
        <v>0</v>
      </c>
      <c r="D72" s="285">
        <f t="shared" si="82"/>
        <v>0</v>
      </c>
      <c r="E72" s="285">
        <f t="shared" si="83"/>
        <v>0</v>
      </c>
      <c r="F72" s="285">
        <f t="shared" si="84"/>
        <v>0</v>
      </c>
      <c r="G72" s="407">
        <f t="shared" si="85"/>
        <v>0</v>
      </c>
      <c r="H72" s="91">
        <f t="shared" si="86"/>
        <v>0</v>
      </c>
      <c r="I72" s="285">
        <f t="shared" si="87"/>
        <v>0</v>
      </c>
      <c r="J72" s="285">
        <f t="shared" si="88"/>
        <v>0</v>
      </c>
      <c r="K72" s="285">
        <f t="shared" si="89"/>
        <v>0</v>
      </c>
      <c r="L72" s="407">
        <f t="shared" si="90"/>
        <v>0</v>
      </c>
      <c r="M72" s="407">
        <f t="shared" si="63"/>
        <v>0</v>
      </c>
      <c r="N72" s="91">
        <f t="shared" si="91"/>
        <v>0</v>
      </c>
      <c r="O72" s="285">
        <f t="shared" si="92"/>
        <v>0</v>
      </c>
      <c r="P72" s="285">
        <f t="shared" si="93"/>
        <v>0</v>
      </c>
      <c r="Q72" s="285">
        <f t="shared" si="94"/>
        <v>0</v>
      </c>
      <c r="R72" s="285">
        <f t="shared" si="95"/>
        <v>0</v>
      </c>
      <c r="S72" s="285">
        <f t="shared" si="96"/>
        <v>0</v>
      </c>
      <c r="T72" s="285">
        <f t="shared" si="97"/>
        <v>0</v>
      </c>
      <c r="U72" s="285">
        <f t="shared" si="97"/>
        <v>0</v>
      </c>
      <c r="V72" s="285">
        <f t="shared" si="98"/>
        <v>0</v>
      </c>
      <c r="W72" s="285">
        <f t="shared" si="99"/>
        <v>0</v>
      </c>
      <c r="X72" s="407">
        <f t="shared" si="99"/>
        <v>0</v>
      </c>
      <c r="Y72" s="285">
        <f t="shared" si="100"/>
        <v>0</v>
      </c>
      <c r="Z72" s="285">
        <f t="shared" si="101"/>
        <v>0</v>
      </c>
      <c r="AA72" s="285">
        <f t="shared" si="102"/>
        <v>0</v>
      </c>
      <c r="AB72" s="285">
        <f t="shared" si="103"/>
        <v>0</v>
      </c>
      <c r="AC72" s="285">
        <f t="shared" si="104"/>
        <v>0</v>
      </c>
      <c r="AD72" s="285">
        <f t="shared" si="105"/>
        <v>0</v>
      </c>
      <c r="AE72" s="91">
        <f t="shared" si="106"/>
        <v>0</v>
      </c>
      <c r="AF72" s="407">
        <f t="shared" si="106"/>
        <v>0</v>
      </c>
      <c r="AG72" s="91">
        <f t="shared" si="107"/>
        <v>0</v>
      </c>
      <c r="AH72" s="285">
        <f t="shared" si="108"/>
        <v>0</v>
      </c>
      <c r="AI72" s="285">
        <f t="shared" si="109"/>
        <v>0</v>
      </c>
      <c r="AJ72" s="285">
        <f t="shared" si="110"/>
        <v>0</v>
      </c>
      <c r="AK72" s="407">
        <f t="shared" si="111"/>
        <v>0</v>
      </c>
      <c r="AL72" s="407">
        <f t="shared" si="111"/>
        <v>0</v>
      </c>
      <c r="AM72" s="407">
        <f t="shared" si="111"/>
        <v>0</v>
      </c>
      <c r="AN72" s="407">
        <f t="shared" si="111"/>
        <v>0</v>
      </c>
      <c r="AO72" s="91">
        <f t="shared" si="112"/>
        <v>0</v>
      </c>
      <c r="AP72" s="285">
        <f t="shared" si="113"/>
        <v>0</v>
      </c>
      <c r="AQ72" s="285">
        <f t="shared" si="114"/>
        <v>0</v>
      </c>
      <c r="AR72" s="285">
        <f t="shared" si="115"/>
        <v>0</v>
      </c>
      <c r="AS72" s="285">
        <f t="shared" si="116"/>
        <v>0</v>
      </c>
      <c r="AT72" s="285">
        <f t="shared" si="117"/>
        <v>0</v>
      </c>
      <c r="AU72" s="285">
        <f t="shared" si="118"/>
        <v>0</v>
      </c>
      <c r="AV72" s="285">
        <f t="shared" si="119"/>
        <v>0</v>
      </c>
      <c r="AW72" s="285">
        <f t="shared" si="120"/>
        <v>0</v>
      </c>
      <c r="AX72" s="407">
        <f t="shared" si="121"/>
        <v>0</v>
      </c>
      <c r="AY72" s="91">
        <f t="shared" si="122"/>
        <v>0</v>
      </c>
      <c r="AZ72" s="285">
        <f t="shared" si="123"/>
        <v>0</v>
      </c>
      <c r="BA72" s="91">
        <f t="shared" si="122"/>
        <v>0</v>
      </c>
      <c r="BB72" s="285">
        <f t="shared" si="124"/>
        <v>0</v>
      </c>
      <c r="BC72" s="407">
        <f t="shared" si="124"/>
        <v>0</v>
      </c>
      <c r="BD72" s="407">
        <f t="shared" si="127"/>
        <v>0</v>
      </c>
      <c r="BE72" s="285">
        <f t="shared" si="127"/>
        <v>0</v>
      </c>
      <c r="BF72" s="91">
        <f t="shared" si="125"/>
        <v>0</v>
      </c>
      <c r="BG72" s="285">
        <f t="shared" si="126"/>
        <v>0</v>
      </c>
      <c r="BH72" s="407">
        <f t="shared" si="126"/>
        <v>0</v>
      </c>
    </row>
    <row r="73" spans="1:60" x14ac:dyDescent="0.25">
      <c r="A73" s="838">
        <v>25</v>
      </c>
      <c r="B73" s="91">
        <f t="shared" si="80"/>
        <v>0</v>
      </c>
      <c r="C73" s="285">
        <f t="shared" si="81"/>
        <v>0</v>
      </c>
      <c r="D73" s="285">
        <f t="shared" si="82"/>
        <v>0</v>
      </c>
      <c r="E73" s="285">
        <f t="shared" si="83"/>
        <v>0</v>
      </c>
      <c r="F73" s="285">
        <f t="shared" si="84"/>
        <v>0</v>
      </c>
      <c r="G73" s="407">
        <f t="shared" si="85"/>
        <v>0</v>
      </c>
      <c r="H73" s="91">
        <f t="shared" si="86"/>
        <v>0</v>
      </c>
      <c r="I73" s="285">
        <f t="shared" si="87"/>
        <v>0</v>
      </c>
      <c r="J73" s="285">
        <f t="shared" si="88"/>
        <v>0</v>
      </c>
      <c r="K73" s="285">
        <f t="shared" si="89"/>
        <v>0</v>
      </c>
      <c r="L73" s="407">
        <f t="shared" si="90"/>
        <v>0</v>
      </c>
      <c r="M73" s="407">
        <f t="shared" si="63"/>
        <v>0</v>
      </c>
      <c r="N73" s="91">
        <f t="shared" si="91"/>
        <v>0</v>
      </c>
      <c r="O73" s="285">
        <f t="shared" si="92"/>
        <v>0</v>
      </c>
      <c r="P73" s="285">
        <f t="shared" si="93"/>
        <v>0</v>
      </c>
      <c r="Q73" s="285">
        <f t="shared" si="94"/>
        <v>0</v>
      </c>
      <c r="R73" s="285">
        <f t="shared" si="95"/>
        <v>0</v>
      </c>
      <c r="S73" s="285">
        <f t="shared" si="96"/>
        <v>0</v>
      </c>
      <c r="T73" s="285">
        <f t="shared" si="97"/>
        <v>0</v>
      </c>
      <c r="U73" s="285">
        <f t="shared" si="97"/>
        <v>0</v>
      </c>
      <c r="V73" s="285">
        <f t="shared" si="98"/>
        <v>0</v>
      </c>
      <c r="W73" s="285">
        <f t="shared" si="99"/>
        <v>0</v>
      </c>
      <c r="X73" s="407">
        <f t="shared" si="99"/>
        <v>0</v>
      </c>
      <c r="Y73" s="285">
        <f t="shared" si="100"/>
        <v>0</v>
      </c>
      <c r="Z73" s="285">
        <f t="shared" si="101"/>
        <v>0</v>
      </c>
      <c r="AA73" s="285">
        <f t="shared" si="102"/>
        <v>0</v>
      </c>
      <c r="AB73" s="285">
        <f t="shared" si="103"/>
        <v>0</v>
      </c>
      <c r="AC73" s="285">
        <f t="shared" si="104"/>
        <v>0</v>
      </c>
      <c r="AD73" s="285">
        <f t="shared" si="105"/>
        <v>0</v>
      </c>
      <c r="AE73" s="91">
        <f t="shared" si="106"/>
        <v>0</v>
      </c>
      <c r="AF73" s="407">
        <f t="shared" si="106"/>
        <v>0</v>
      </c>
      <c r="AG73" s="91">
        <f t="shared" si="107"/>
        <v>0</v>
      </c>
      <c r="AH73" s="285">
        <f t="shared" si="108"/>
        <v>0</v>
      </c>
      <c r="AI73" s="285">
        <f t="shared" si="109"/>
        <v>0</v>
      </c>
      <c r="AJ73" s="285">
        <f t="shared" si="110"/>
        <v>0</v>
      </c>
      <c r="AK73" s="407">
        <f t="shared" si="111"/>
        <v>0</v>
      </c>
      <c r="AL73" s="407">
        <f t="shared" si="111"/>
        <v>0</v>
      </c>
      <c r="AM73" s="407">
        <f t="shared" si="111"/>
        <v>0</v>
      </c>
      <c r="AN73" s="407">
        <f t="shared" si="111"/>
        <v>0</v>
      </c>
      <c r="AO73" s="91">
        <f t="shared" si="112"/>
        <v>0</v>
      </c>
      <c r="AP73" s="285">
        <f t="shared" si="113"/>
        <v>0</v>
      </c>
      <c r="AQ73" s="285">
        <f t="shared" si="114"/>
        <v>0</v>
      </c>
      <c r="AR73" s="285">
        <f t="shared" si="115"/>
        <v>0</v>
      </c>
      <c r="AS73" s="285">
        <f t="shared" si="116"/>
        <v>0</v>
      </c>
      <c r="AT73" s="285">
        <f t="shared" si="117"/>
        <v>0</v>
      </c>
      <c r="AU73" s="285">
        <f t="shared" si="118"/>
        <v>0</v>
      </c>
      <c r="AV73" s="285">
        <f t="shared" si="119"/>
        <v>0</v>
      </c>
      <c r="AW73" s="285">
        <f t="shared" si="120"/>
        <v>0</v>
      </c>
      <c r="AX73" s="407">
        <f t="shared" si="121"/>
        <v>0</v>
      </c>
      <c r="AY73" s="91">
        <f t="shared" si="122"/>
        <v>0</v>
      </c>
      <c r="AZ73" s="285">
        <f t="shared" si="123"/>
        <v>0</v>
      </c>
      <c r="BA73" s="91">
        <f t="shared" si="122"/>
        <v>0</v>
      </c>
      <c r="BB73" s="285">
        <f t="shared" si="124"/>
        <v>0</v>
      </c>
      <c r="BC73" s="407">
        <f t="shared" si="124"/>
        <v>0</v>
      </c>
      <c r="BD73" s="407">
        <f t="shared" si="127"/>
        <v>0</v>
      </c>
      <c r="BE73" s="285">
        <f t="shared" si="127"/>
        <v>0</v>
      </c>
      <c r="BF73" s="91">
        <f t="shared" si="125"/>
        <v>0</v>
      </c>
      <c r="BG73" s="285">
        <f t="shared" si="126"/>
        <v>0</v>
      </c>
      <c r="BH73" s="407">
        <f t="shared" si="126"/>
        <v>0</v>
      </c>
    </row>
    <row r="74" spans="1:60" x14ac:dyDescent="0.25">
      <c r="A74" s="838">
        <v>26</v>
      </c>
      <c r="B74" s="91">
        <f t="shared" si="80"/>
        <v>0</v>
      </c>
      <c r="C74" s="285">
        <f t="shared" si="81"/>
        <v>0</v>
      </c>
      <c r="D74" s="285">
        <f t="shared" si="82"/>
        <v>0</v>
      </c>
      <c r="E74" s="285">
        <f t="shared" si="83"/>
        <v>0</v>
      </c>
      <c r="F74" s="285">
        <f t="shared" si="84"/>
        <v>0</v>
      </c>
      <c r="G74" s="407">
        <f t="shared" si="85"/>
        <v>0</v>
      </c>
      <c r="H74" s="91">
        <f t="shared" si="86"/>
        <v>0</v>
      </c>
      <c r="I74" s="285">
        <f t="shared" si="87"/>
        <v>0</v>
      </c>
      <c r="J74" s="285">
        <f t="shared" si="88"/>
        <v>0</v>
      </c>
      <c r="K74" s="285">
        <f t="shared" si="89"/>
        <v>0</v>
      </c>
      <c r="L74" s="407">
        <f t="shared" si="90"/>
        <v>0</v>
      </c>
      <c r="M74" s="407">
        <f t="shared" si="63"/>
        <v>0</v>
      </c>
      <c r="N74" s="91">
        <f t="shared" si="91"/>
        <v>0</v>
      </c>
      <c r="O74" s="285">
        <f t="shared" si="92"/>
        <v>0</v>
      </c>
      <c r="P74" s="285">
        <f t="shared" si="93"/>
        <v>0</v>
      </c>
      <c r="Q74" s="285">
        <f t="shared" si="94"/>
        <v>0</v>
      </c>
      <c r="R74" s="285">
        <f t="shared" si="95"/>
        <v>0</v>
      </c>
      <c r="S74" s="285">
        <f t="shared" si="96"/>
        <v>0</v>
      </c>
      <c r="T74" s="285">
        <f t="shared" si="97"/>
        <v>0</v>
      </c>
      <c r="U74" s="285">
        <f t="shared" si="97"/>
        <v>0</v>
      </c>
      <c r="V74" s="285">
        <f t="shared" si="98"/>
        <v>0</v>
      </c>
      <c r="W74" s="285">
        <f t="shared" si="99"/>
        <v>0</v>
      </c>
      <c r="X74" s="407">
        <f t="shared" si="99"/>
        <v>0</v>
      </c>
      <c r="Y74" s="285">
        <f t="shared" si="100"/>
        <v>0</v>
      </c>
      <c r="Z74" s="285">
        <f t="shared" si="101"/>
        <v>0</v>
      </c>
      <c r="AA74" s="285">
        <f t="shared" si="102"/>
        <v>0</v>
      </c>
      <c r="AB74" s="285">
        <f t="shared" si="103"/>
        <v>0</v>
      </c>
      <c r="AC74" s="285">
        <f t="shared" si="104"/>
        <v>0</v>
      </c>
      <c r="AD74" s="285">
        <f t="shared" si="105"/>
        <v>0</v>
      </c>
      <c r="AE74" s="91">
        <f t="shared" si="106"/>
        <v>0</v>
      </c>
      <c r="AF74" s="407">
        <f t="shared" si="106"/>
        <v>0</v>
      </c>
      <c r="AG74" s="91">
        <f t="shared" si="107"/>
        <v>0</v>
      </c>
      <c r="AH74" s="285">
        <f>IF($A30&lt;AH$5,IF(AH73&lt;&gt;0,AH73+AH30,AH30),0)</f>
        <v>0</v>
      </c>
      <c r="AI74" s="285">
        <f t="shared" si="109"/>
        <v>0</v>
      </c>
      <c r="AJ74" s="285">
        <f t="shared" si="110"/>
        <v>0</v>
      </c>
      <c r="AK74" s="407">
        <f t="shared" si="111"/>
        <v>0</v>
      </c>
      <c r="AL74" s="407">
        <f t="shared" si="111"/>
        <v>0</v>
      </c>
      <c r="AM74" s="407">
        <f t="shared" si="111"/>
        <v>0</v>
      </c>
      <c r="AN74" s="407">
        <f t="shared" si="111"/>
        <v>0</v>
      </c>
      <c r="AO74" s="91">
        <f t="shared" si="112"/>
        <v>0</v>
      </c>
      <c r="AP74" s="285">
        <f t="shared" si="113"/>
        <v>0</v>
      </c>
      <c r="AQ74" s="285">
        <f t="shared" si="114"/>
        <v>0</v>
      </c>
      <c r="AR74" s="285">
        <f t="shared" si="115"/>
        <v>0</v>
      </c>
      <c r="AS74" s="285">
        <f t="shared" si="116"/>
        <v>0</v>
      </c>
      <c r="AT74" s="285">
        <f t="shared" si="117"/>
        <v>0</v>
      </c>
      <c r="AU74" s="285">
        <f t="shared" si="118"/>
        <v>0</v>
      </c>
      <c r="AV74" s="285">
        <f t="shared" si="119"/>
        <v>0</v>
      </c>
      <c r="AW74" s="285">
        <f t="shared" si="120"/>
        <v>0</v>
      </c>
      <c r="AX74" s="407">
        <f t="shared" si="121"/>
        <v>0</v>
      </c>
      <c r="AY74" s="91">
        <f t="shared" si="122"/>
        <v>0</v>
      </c>
      <c r="AZ74" s="285">
        <f t="shared" si="123"/>
        <v>0</v>
      </c>
      <c r="BA74" s="91">
        <f t="shared" si="122"/>
        <v>0</v>
      </c>
      <c r="BB74" s="285">
        <f t="shared" si="124"/>
        <v>0</v>
      </c>
      <c r="BC74" s="407">
        <f t="shared" si="124"/>
        <v>0</v>
      </c>
      <c r="BD74" s="407">
        <f t="shared" si="127"/>
        <v>0</v>
      </c>
      <c r="BE74" s="285">
        <f t="shared" si="127"/>
        <v>0</v>
      </c>
      <c r="BF74" s="91">
        <f t="shared" si="125"/>
        <v>0</v>
      </c>
      <c r="BG74" s="285">
        <f t="shared" si="126"/>
        <v>0</v>
      </c>
      <c r="BH74" s="407">
        <f t="shared" si="126"/>
        <v>0</v>
      </c>
    </row>
    <row r="75" spans="1:60" x14ac:dyDescent="0.25">
      <c r="A75" s="838">
        <v>27</v>
      </c>
      <c r="B75" s="91">
        <f t="shared" si="80"/>
        <v>0</v>
      </c>
      <c r="C75" s="285">
        <f t="shared" si="81"/>
        <v>0</v>
      </c>
      <c r="D75" s="285">
        <f t="shared" si="82"/>
        <v>0</v>
      </c>
      <c r="E75" s="285">
        <f t="shared" si="83"/>
        <v>0</v>
      </c>
      <c r="F75" s="285">
        <f t="shared" si="84"/>
        <v>0</v>
      </c>
      <c r="G75" s="407">
        <f t="shared" si="85"/>
        <v>0</v>
      </c>
      <c r="H75" s="91">
        <f t="shared" si="86"/>
        <v>0</v>
      </c>
      <c r="I75" s="285">
        <f t="shared" si="87"/>
        <v>0</v>
      </c>
      <c r="J75" s="285">
        <f t="shared" si="88"/>
        <v>0</v>
      </c>
      <c r="K75" s="285">
        <f t="shared" si="89"/>
        <v>0</v>
      </c>
      <c r="L75" s="407">
        <f t="shared" si="90"/>
        <v>0</v>
      </c>
      <c r="M75" s="407">
        <f t="shared" si="63"/>
        <v>0</v>
      </c>
      <c r="N75" s="91">
        <f t="shared" si="91"/>
        <v>0</v>
      </c>
      <c r="O75" s="285">
        <f t="shared" si="92"/>
        <v>0</v>
      </c>
      <c r="P75" s="285">
        <f t="shared" si="93"/>
        <v>0</v>
      </c>
      <c r="Q75" s="285">
        <f t="shared" si="94"/>
        <v>0</v>
      </c>
      <c r="R75" s="285">
        <f t="shared" si="95"/>
        <v>0</v>
      </c>
      <c r="S75" s="285">
        <f t="shared" si="96"/>
        <v>0</v>
      </c>
      <c r="T75" s="285">
        <f t="shared" si="97"/>
        <v>0</v>
      </c>
      <c r="U75" s="285">
        <f t="shared" si="97"/>
        <v>0</v>
      </c>
      <c r="V75" s="285">
        <f t="shared" si="98"/>
        <v>0</v>
      </c>
      <c r="W75" s="285">
        <f t="shared" si="99"/>
        <v>0</v>
      </c>
      <c r="X75" s="407">
        <f t="shared" si="99"/>
        <v>0</v>
      </c>
      <c r="Y75" s="285">
        <f t="shared" si="100"/>
        <v>0</v>
      </c>
      <c r="Z75" s="285">
        <f t="shared" si="101"/>
        <v>0</v>
      </c>
      <c r="AA75" s="285">
        <f t="shared" si="102"/>
        <v>0</v>
      </c>
      <c r="AB75" s="285">
        <f t="shared" si="103"/>
        <v>0</v>
      </c>
      <c r="AC75" s="285">
        <f t="shared" si="104"/>
        <v>0</v>
      </c>
      <c r="AD75" s="285">
        <f t="shared" si="105"/>
        <v>0</v>
      </c>
      <c r="AE75" s="91">
        <f t="shared" si="106"/>
        <v>0</v>
      </c>
      <c r="AF75" s="407">
        <f t="shared" si="106"/>
        <v>0</v>
      </c>
      <c r="AG75" s="91">
        <f t="shared" si="107"/>
        <v>0</v>
      </c>
      <c r="AH75" s="285">
        <f>IF($A31&lt;AH$5,IF(AH74&lt;&gt;0,AH74+AH31,AH31),0)</f>
        <v>0</v>
      </c>
      <c r="AI75" s="285">
        <f t="shared" si="109"/>
        <v>0</v>
      </c>
      <c r="AJ75" s="285">
        <f t="shared" si="110"/>
        <v>0</v>
      </c>
      <c r="AK75" s="407">
        <f t="shared" si="111"/>
        <v>0</v>
      </c>
      <c r="AL75" s="407">
        <f t="shared" si="111"/>
        <v>0</v>
      </c>
      <c r="AM75" s="407">
        <f t="shared" si="111"/>
        <v>0</v>
      </c>
      <c r="AN75" s="407">
        <f t="shared" si="111"/>
        <v>0</v>
      </c>
      <c r="AO75" s="91">
        <f t="shared" si="112"/>
        <v>0</v>
      </c>
      <c r="AP75" s="285">
        <f t="shared" si="113"/>
        <v>0</v>
      </c>
      <c r="AQ75" s="285">
        <f t="shared" si="114"/>
        <v>0</v>
      </c>
      <c r="AR75" s="285">
        <f t="shared" si="115"/>
        <v>0</v>
      </c>
      <c r="AS75" s="285">
        <f t="shared" si="116"/>
        <v>0</v>
      </c>
      <c r="AT75" s="285">
        <f t="shared" si="117"/>
        <v>0</v>
      </c>
      <c r="AU75" s="285">
        <f t="shared" si="118"/>
        <v>0</v>
      </c>
      <c r="AV75" s="285">
        <f t="shared" si="119"/>
        <v>0</v>
      </c>
      <c r="AW75" s="285">
        <f t="shared" si="120"/>
        <v>0</v>
      </c>
      <c r="AX75" s="407">
        <f t="shared" si="121"/>
        <v>0</v>
      </c>
      <c r="AY75" s="91">
        <f t="shared" si="122"/>
        <v>0</v>
      </c>
      <c r="AZ75" s="285">
        <f t="shared" si="123"/>
        <v>0</v>
      </c>
      <c r="BA75" s="91">
        <f t="shared" si="122"/>
        <v>0</v>
      </c>
      <c r="BB75" s="285">
        <f t="shared" si="124"/>
        <v>0</v>
      </c>
      <c r="BC75" s="407">
        <f t="shared" si="124"/>
        <v>0</v>
      </c>
      <c r="BD75" s="407">
        <f t="shared" si="127"/>
        <v>0</v>
      </c>
      <c r="BE75" s="285">
        <f t="shared" si="127"/>
        <v>0</v>
      </c>
      <c r="BF75" s="91">
        <f t="shared" si="125"/>
        <v>0</v>
      </c>
      <c r="BG75" s="285">
        <f t="shared" si="126"/>
        <v>0</v>
      </c>
      <c r="BH75" s="407">
        <f t="shared" si="126"/>
        <v>0</v>
      </c>
    </row>
    <row r="76" spans="1:60" x14ac:dyDescent="0.25">
      <c r="A76" s="838">
        <v>28</v>
      </c>
      <c r="B76" s="91">
        <f t="shared" si="80"/>
        <v>0</v>
      </c>
      <c r="C76" s="285">
        <f t="shared" si="81"/>
        <v>0</v>
      </c>
      <c r="D76" s="285">
        <f t="shared" si="82"/>
        <v>0</v>
      </c>
      <c r="E76" s="285">
        <f t="shared" si="83"/>
        <v>0</v>
      </c>
      <c r="F76" s="285">
        <f t="shared" si="84"/>
        <v>0</v>
      </c>
      <c r="G76" s="407">
        <f t="shared" si="85"/>
        <v>0</v>
      </c>
      <c r="H76" s="91">
        <f t="shared" si="86"/>
        <v>0</v>
      </c>
      <c r="I76" s="285">
        <f t="shared" si="87"/>
        <v>0</v>
      </c>
      <c r="J76" s="285">
        <f t="shared" si="88"/>
        <v>0</v>
      </c>
      <c r="K76" s="285">
        <f t="shared" si="89"/>
        <v>0</v>
      </c>
      <c r="L76" s="407">
        <f t="shared" si="90"/>
        <v>0</v>
      </c>
      <c r="M76" s="407">
        <f t="shared" si="63"/>
        <v>0</v>
      </c>
      <c r="N76" s="91">
        <f t="shared" si="91"/>
        <v>0</v>
      </c>
      <c r="O76" s="285">
        <f t="shared" si="92"/>
        <v>0</v>
      </c>
      <c r="P76" s="285">
        <f t="shared" si="93"/>
        <v>0</v>
      </c>
      <c r="Q76" s="285">
        <f t="shared" si="94"/>
        <v>0</v>
      </c>
      <c r="R76" s="285">
        <f t="shared" si="95"/>
        <v>0</v>
      </c>
      <c r="S76" s="285">
        <f t="shared" si="96"/>
        <v>0</v>
      </c>
      <c r="T76" s="285">
        <f t="shared" si="97"/>
        <v>0</v>
      </c>
      <c r="U76" s="285">
        <f t="shared" si="97"/>
        <v>0</v>
      </c>
      <c r="V76" s="285">
        <f t="shared" si="98"/>
        <v>0</v>
      </c>
      <c r="W76" s="285">
        <f t="shared" si="99"/>
        <v>0</v>
      </c>
      <c r="X76" s="407">
        <f t="shared" si="99"/>
        <v>0</v>
      </c>
      <c r="Y76" s="285">
        <f t="shared" si="100"/>
        <v>0</v>
      </c>
      <c r="Z76" s="285">
        <f t="shared" si="101"/>
        <v>0</v>
      </c>
      <c r="AA76" s="285">
        <f t="shared" si="102"/>
        <v>0</v>
      </c>
      <c r="AB76" s="285">
        <f t="shared" si="103"/>
        <v>0</v>
      </c>
      <c r="AC76" s="285">
        <f t="shared" si="104"/>
        <v>0</v>
      </c>
      <c r="AD76" s="285">
        <f t="shared" si="105"/>
        <v>0</v>
      </c>
      <c r="AE76" s="91">
        <f t="shared" si="106"/>
        <v>0</v>
      </c>
      <c r="AF76" s="407">
        <f t="shared" si="106"/>
        <v>0</v>
      </c>
      <c r="AG76" s="91">
        <f t="shared" si="107"/>
        <v>0</v>
      </c>
      <c r="AH76" s="285">
        <f t="shared" si="108"/>
        <v>0</v>
      </c>
      <c r="AI76" s="285">
        <f t="shared" si="109"/>
        <v>0</v>
      </c>
      <c r="AJ76" s="285">
        <f t="shared" si="110"/>
        <v>0</v>
      </c>
      <c r="AK76" s="407">
        <f t="shared" si="111"/>
        <v>0</v>
      </c>
      <c r="AL76" s="407">
        <f t="shared" si="111"/>
        <v>0</v>
      </c>
      <c r="AM76" s="407">
        <f t="shared" si="111"/>
        <v>0</v>
      </c>
      <c r="AN76" s="407">
        <f t="shared" si="111"/>
        <v>0</v>
      </c>
      <c r="AO76" s="91">
        <f t="shared" si="112"/>
        <v>0</v>
      </c>
      <c r="AP76" s="285">
        <f t="shared" si="113"/>
        <v>0</v>
      </c>
      <c r="AQ76" s="285">
        <f t="shared" si="114"/>
        <v>0</v>
      </c>
      <c r="AR76" s="285">
        <f t="shared" si="115"/>
        <v>0</v>
      </c>
      <c r="AS76" s="285">
        <f t="shared" si="116"/>
        <v>0</v>
      </c>
      <c r="AT76" s="285">
        <f t="shared" si="117"/>
        <v>0</v>
      </c>
      <c r="AU76" s="285">
        <f t="shared" si="118"/>
        <v>0</v>
      </c>
      <c r="AV76" s="285">
        <f t="shared" si="119"/>
        <v>0</v>
      </c>
      <c r="AW76" s="285">
        <f t="shared" si="120"/>
        <v>0</v>
      </c>
      <c r="AX76" s="407">
        <f t="shared" si="121"/>
        <v>0</v>
      </c>
      <c r="AY76" s="91">
        <f t="shared" si="122"/>
        <v>0</v>
      </c>
      <c r="AZ76" s="285">
        <f t="shared" si="123"/>
        <v>0</v>
      </c>
      <c r="BA76" s="91">
        <f t="shared" si="122"/>
        <v>0</v>
      </c>
      <c r="BB76" s="285">
        <f t="shared" si="124"/>
        <v>0</v>
      </c>
      <c r="BC76" s="407">
        <f t="shared" si="124"/>
        <v>0</v>
      </c>
      <c r="BD76" s="407">
        <f t="shared" si="127"/>
        <v>0</v>
      </c>
      <c r="BE76" s="285">
        <f t="shared" si="127"/>
        <v>0</v>
      </c>
      <c r="BF76" s="91">
        <f t="shared" si="125"/>
        <v>0</v>
      </c>
      <c r="BG76" s="285">
        <f t="shared" si="126"/>
        <v>0</v>
      </c>
      <c r="BH76" s="407">
        <f t="shared" si="126"/>
        <v>0</v>
      </c>
    </row>
    <row r="77" spans="1:60" x14ac:dyDescent="0.25">
      <c r="A77" s="838">
        <v>29</v>
      </c>
      <c r="B77" s="91">
        <f t="shared" si="80"/>
        <v>0</v>
      </c>
      <c r="C77" s="285">
        <f t="shared" si="81"/>
        <v>0</v>
      </c>
      <c r="D77" s="285">
        <f t="shared" si="82"/>
        <v>0</v>
      </c>
      <c r="E77" s="285">
        <f t="shared" si="83"/>
        <v>0</v>
      </c>
      <c r="F77" s="285">
        <f t="shared" si="84"/>
        <v>0</v>
      </c>
      <c r="G77" s="407">
        <f t="shared" si="85"/>
        <v>0</v>
      </c>
      <c r="H77" s="91">
        <f t="shared" si="86"/>
        <v>0</v>
      </c>
      <c r="I77" s="285">
        <f t="shared" si="87"/>
        <v>0</v>
      </c>
      <c r="J77" s="285">
        <f t="shared" si="88"/>
        <v>0</v>
      </c>
      <c r="K77" s="285">
        <f t="shared" si="89"/>
        <v>0</v>
      </c>
      <c r="L77" s="407">
        <f t="shared" si="90"/>
        <v>0</v>
      </c>
      <c r="M77" s="407">
        <f t="shared" si="63"/>
        <v>0</v>
      </c>
      <c r="N77" s="91">
        <f t="shared" si="91"/>
        <v>0</v>
      </c>
      <c r="O77" s="285">
        <f t="shared" si="92"/>
        <v>0</v>
      </c>
      <c r="P77" s="285">
        <f t="shared" si="93"/>
        <v>0</v>
      </c>
      <c r="Q77" s="285">
        <f t="shared" si="94"/>
        <v>0</v>
      </c>
      <c r="R77" s="285">
        <f t="shared" si="95"/>
        <v>0</v>
      </c>
      <c r="S77" s="285">
        <f t="shared" si="96"/>
        <v>0</v>
      </c>
      <c r="T77" s="285">
        <f t="shared" si="97"/>
        <v>0</v>
      </c>
      <c r="U77" s="285">
        <f t="shared" si="97"/>
        <v>0</v>
      </c>
      <c r="V77" s="285">
        <f t="shared" si="98"/>
        <v>0</v>
      </c>
      <c r="W77" s="285">
        <f t="shared" si="99"/>
        <v>0</v>
      </c>
      <c r="X77" s="407">
        <f t="shared" si="99"/>
        <v>0</v>
      </c>
      <c r="Y77" s="285">
        <f t="shared" si="100"/>
        <v>0</v>
      </c>
      <c r="Z77" s="285">
        <f t="shared" si="101"/>
        <v>0</v>
      </c>
      <c r="AA77" s="285">
        <f t="shared" si="102"/>
        <v>0</v>
      </c>
      <c r="AB77" s="285">
        <f t="shared" si="103"/>
        <v>0</v>
      </c>
      <c r="AC77" s="285">
        <f t="shared" si="104"/>
        <v>0</v>
      </c>
      <c r="AD77" s="285">
        <f t="shared" si="105"/>
        <v>0</v>
      </c>
      <c r="AE77" s="91">
        <f t="shared" si="106"/>
        <v>0</v>
      </c>
      <c r="AF77" s="407">
        <f t="shared" si="106"/>
        <v>0</v>
      </c>
      <c r="AG77" s="91">
        <f t="shared" si="107"/>
        <v>0</v>
      </c>
      <c r="AH77" s="285">
        <f t="shared" si="108"/>
        <v>0</v>
      </c>
      <c r="AI77" s="285">
        <f t="shared" si="109"/>
        <v>0</v>
      </c>
      <c r="AJ77" s="285">
        <f t="shared" si="110"/>
        <v>0</v>
      </c>
      <c r="AK77" s="407">
        <f t="shared" si="111"/>
        <v>0</v>
      </c>
      <c r="AL77" s="407">
        <f t="shared" si="111"/>
        <v>0</v>
      </c>
      <c r="AM77" s="407">
        <f t="shared" si="111"/>
        <v>0</v>
      </c>
      <c r="AN77" s="407">
        <f t="shared" si="111"/>
        <v>0</v>
      </c>
      <c r="AO77" s="91">
        <f t="shared" si="112"/>
        <v>0</v>
      </c>
      <c r="AP77" s="285">
        <f t="shared" si="113"/>
        <v>0</v>
      </c>
      <c r="AQ77" s="285">
        <f t="shared" si="114"/>
        <v>0</v>
      </c>
      <c r="AR77" s="285">
        <f t="shared" si="115"/>
        <v>0</v>
      </c>
      <c r="AS77" s="285">
        <f t="shared" si="116"/>
        <v>0</v>
      </c>
      <c r="AT77" s="285">
        <f t="shared" si="117"/>
        <v>0</v>
      </c>
      <c r="AU77" s="285">
        <f t="shared" si="118"/>
        <v>0</v>
      </c>
      <c r="AV77" s="285">
        <f t="shared" si="119"/>
        <v>0</v>
      </c>
      <c r="AW77" s="285">
        <f t="shared" si="120"/>
        <v>0</v>
      </c>
      <c r="AX77" s="407">
        <f t="shared" si="121"/>
        <v>0</v>
      </c>
      <c r="AY77" s="91">
        <f t="shared" si="122"/>
        <v>0</v>
      </c>
      <c r="AZ77" s="285">
        <f t="shared" si="123"/>
        <v>0</v>
      </c>
      <c r="BA77" s="91">
        <f t="shared" si="122"/>
        <v>0</v>
      </c>
      <c r="BB77" s="285">
        <f t="shared" si="124"/>
        <v>0</v>
      </c>
      <c r="BC77" s="407">
        <f t="shared" si="124"/>
        <v>0</v>
      </c>
      <c r="BD77" s="407">
        <f t="shared" si="127"/>
        <v>0</v>
      </c>
      <c r="BE77" s="285">
        <f t="shared" si="127"/>
        <v>0</v>
      </c>
      <c r="BF77" s="91">
        <f t="shared" si="125"/>
        <v>0</v>
      </c>
      <c r="BG77" s="285">
        <f t="shared" si="126"/>
        <v>0</v>
      </c>
      <c r="BH77" s="407">
        <f t="shared" si="126"/>
        <v>0</v>
      </c>
    </row>
    <row r="78" spans="1:60" x14ac:dyDescent="0.25">
      <c r="A78" s="838">
        <v>30</v>
      </c>
      <c r="B78" s="91">
        <f t="shared" si="80"/>
        <v>0</v>
      </c>
      <c r="C78" s="285">
        <f t="shared" si="81"/>
        <v>0</v>
      </c>
      <c r="D78" s="285">
        <f t="shared" si="82"/>
        <v>0</v>
      </c>
      <c r="E78" s="285">
        <f t="shared" si="83"/>
        <v>0</v>
      </c>
      <c r="F78" s="285">
        <f t="shared" si="84"/>
        <v>0</v>
      </c>
      <c r="G78" s="407">
        <f t="shared" si="85"/>
        <v>0</v>
      </c>
      <c r="H78" s="91">
        <f t="shared" si="86"/>
        <v>0</v>
      </c>
      <c r="I78" s="285">
        <f t="shared" si="87"/>
        <v>0</v>
      </c>
      <c r="J78" s="285">
        <f t="shared" si="88"/>
        <v>0</v>
      </c>
      <c r="K78" s="285">
        <f t="shared" si="89"/>
        <v>0</v>
      </c>
      <c r="L78" s="407">
        <f t="shared" si="90"/>
        <v>0</v>
      </c>
      <c r="M78" s="407">
        <f t="shared" si="63"/>
        <v>0</v>
      </c>
      <c r="N78" s="91">
        <f t="shared" si="91"/>
        <v>0</v>
      </c>
      <c r="O78" s="285">
        <f t="shared" si="92"/>
        <v>0</v>
      </c>
      <c r="P78" s="285">
        <f t="shared" si="93"/>
        <v>0</v>
      </c>
      <c r="Q78" s="285">
        <f t="shared" si="94"/>
        <v>0</v>
      </c>
      <c r="R78" s="285">
        <f t="shared" si="95"/>
        <v>0</v>
      </c>
      <c r="S78" s="285">
        <f t="shared" si="96"/>
        <v>0</v>
      </c>
      <c r="T78" s="285">
        <f t="shared" si="97"/>
        <v>0</v>
      </c>
      <c r="U78" s="285">
        <f t="shared" si="97"/>
        <v>0</v>
      </c>
      <c r="V78" s="285">
        <f t="shared" si="98"/>
        <v>0</v>
      </c>
      <c r="W78" s="285">
        <f t="shared" si="99"/>
        <v>0</v>
      </c>
      <c r="X78" s="407">
        <f t="shared" si="99"/>
        <v>0</v>
      </c>
      <c r="Y78" s="285">
        <f t="shared" si="100"/>
        <v>0</v>
      </c>
      <c r="Z78" s="285">
        <f t="shared" si="101"/>
        <v>0</v>
      </c>
      <c r="AA78" s="285">
        <f t="shared" si="102"/>
        <v>0</v>
      </c>
      <c r="AB78" s="285">
        <f t="shared" si="103"/>
        <v>0</v>
      </c>
      <c r="AC78" s="285">
        <f t="shared" si="104"/>
        <v>0</v>
      </c>
      <c r="AD78" s="285">
        <f t="shared" si="105"/>
        <v>0</v>
      </c>
      <c r="AE78" s="91">
        <f t="shared" si="106"/>
        <v>0</v>
      </c>
      <c r="AF78" s="407">
        <f t="shared" si="106"/>
        <v>0</v>
      </c>
      <c r="AG78" s="91">
        <f t="shared" si="107"/>
        <v>0</v>
      </c>
      <c r="AH78" s="285">
        <f t="shared" si="108"/>
        <v>0</v>
      </c>
      <c r="AI78" s="285">
        <f t="shared" si="109"/>
        <v>0</v>
      </c>
      <c r="AJ78" s="285">
        <f t="shared" si="110"/>
        <v>0</v>
      </c>
      <c r="AK78" s="407">
        <f t="shared" si="111"/>
        <v>0</v>
      </c>
      <c r="AL78" s="407">
        <f t="shared" si="111"/>
        <v>0</v>
      </c>
      <c r="AM78" s="407">
        <f t="shared" si="111"/>
        <v>0</v>
      </c>
      <c r="AN78" s="407">
        <f t="shared" si="111"/>
        <v>0</v>
      </c>
      <c r="AO78" s="91">
        <f t="shared" si="112"/>
        <v>0</v>
      </c>
      <c r="AP78" s="285">
        <f t="shared" si="113"/>
        <v>0</v>
      </c>
      <c r="AQ78" s="285">
        <f t="shared" si="114"/>
        <v>0</v>
      </c>
      <c r="AR78" s="285">
        <f t="shared" si="115"/>
        <v>0</v>
      </c>
      <c r="AS78" s="285">
        <f t="shared" si="116"/>
        <v>0</v>
      </c>
      <c r="AT78" s="285">
        <f t="shared" si="117"/>
        <v>0</v>
      </c>
      <c r="AU78" s="285">
        <f t="shared" si="118"/>
        <v>0</v>
      </c>
      <c r="AV78" s="285">
        <f t="shared" si="119"/>
        <v>0</v>
      </c>
      <c r="AW78" s="285">
        <f t="shared" si="120"/>
        <v>0</v>
      </c>
      <c r="AX78" s="407">
        <f t="shared" si="121"/>
        <v>0</v>
      </c>
      <c r="AY78" s="91">
        <f t="shared" si="122"/>
        <v>0</v>
      </c>
      <c r="AZ78" s="285">
        <f t="shared" si="123"/>
        <v>0</v>
      </c>
      <c r="BA78" s="91">
        <f t="shared" si="122"/>
        <v>0</v>
      </c>
      <c r="BB78" s="285">
        <f t="shared" si="124"/>
        <v>0</v>
      </c>
      <c r="BC78" s="407">
        <f t="shared" si="124"/>
        <v>0</v>
      </c>
      <c r="BD78" s="407">
        <f t="shared" si="127"/>
        <v>0</v>
      </c>
      <c r="BE78" s="285">
        <f t="shared" si="127"/>
        <v>0</v>
      </c>
      <c r="BF78" s="91">
        <f t="shared" si="125"/>
        <v>0</v>
      </c>
      <c r="BG78" s="285">
        <f t="shared" si="126"/>
        <v>0</v>
      </c>
      <c r="BH78" s="407">
        <f t="shared" si="126"/>
        <v>0</v>
      </c>
    </row>
    <row r="79" spans="1:60" x14ac:dyDescent="0.25">
      <c r="A79" s="838">
        <v>31</v>
      </c>
      <c r="B79" s="91">
        <f t="shared" si="80"/>
        <v>0</v>
      </c>
      <c r="C79" s="285">
        <f t="shared" si="81"/>
        <v>0</v>
      </c>
      <c r="D79" s="285">
        <f t="shared" si="82"/>
        <v>0</v>
      </c>
      <c r="E79" s="285">
        <f t="shared" si="83"/>
        <v>0</v>
      </c>
      <c r="F79" s="285">
        <f t="shared" si="84"/>
        <v>0</v>
      </c>
      <c r="G79" s="407">
        <f t="shared" si="85"/>
        <v>0</v>
      </c>
      <c r="H79" s="91">
        <f t="shared" si="86"/>
        <v>0</v>
      </c>
      <c r="I79" s="285">
        <f t="shared" si="87"/>
        <v>0</v>
      </c>
      <c r="J79" s="285">
        <f t="shared" si="88"/>
        <v>0</v>
      </c>
      <c r="K79" s="285">
        <f t="shared" si="89"/>
        <v>0</v>
      </c>
      <c r="L79" s="407">
        <f t="shared" si="90"/>
        <v>0</v>
      </c>
      <c r="M79" s="407">
        <f t="shared" si="63"/>
        <v>0</v>
      </c>
      <c r="N79" s="91">
        <f t="shared" si="91"/>
        <v>0</v>
      </c>
      <c r="O79" s="285">
        <f t="shared" si="92"/>
        <v>0</v>
      </c>
      <c r="P79" s="285">
        <f t="shared" si="93"/>
        <v>0</v>
      </c>
      <c r="Q79" s="285">
        <f t="shared" si="94"/>
        <v>0</v>
      </c>
      <c r="R79" s="285">
        <f t="shared" si="95"/>
        <v>0</v>
      </c>
      <c r="S79" s="285">
        <f t="shared" si="96"/>
        <v>0</v>
      </c>
      <c r="T79" s="285">
        <f t="shared" si="97"/>
        <v>0</v>
      </c>
      <c r="U79" s="285">
        <f t="shared" si="97"/>
        <v>0</v>
      </c>
      <c r="V79" s="285">
        <f t="shared" si="98"/>
        <v>0</v>
      </c>
      <c r="W79" s="285">
        <f t="shared" si="99"/>
        <v>0</v>
      </c>
      <c r="X79" s="407">
        <f t="shared" si="99"/>
        <v>0</v>
      </c>
      <c r="Y79" s="285">
        <f t="shared" si="100"/>
        <v>0</v>
      </c>
      <c r="Z79" s="285">
        <f t="shared" si="101"/>
        <v>0</v>
      </c>
      <c r="AA79" s="285">
        <f t="shared" si="102"/>
        <v>0</v>
      </c>
      <c r="AB79" s="285">
        <f t="shared" si="103"/>
        <v>0</v>
      </c>
      <c r="AC79" s="285">
        <f t="shared" si="104"/>
        <v>0</v>
      </c>
      <c r="AD79" s="285">
        <f t="shared" si="105"/>
        <v>0</v>
      </c>
      <c r="AE79" s="91">
        <f t="shared" si="106"/>
        <v>0</v>
      </c>
      <c r="AF79" s="407">
        <f t="shared" si="106"/>
        <v>0</v>
      </c>
      <c r="AG79" s="91">
        <f t="shared" si="107"/>
        <v>0</v>
      </c>
      <c r="AH79" s="285">
        <f t="shared" si="108"/>
        <v>0</v>
      </c>
      <c r="AI79" s="285">
        <f t="shared" si="109"/>
        <v>0</v>
      </c>
      <c r="AJ79" s="285">
        <f t="shared" si="110"/>
        <v>0</v>
      </c>
      <c r="AK79" s="407">
        <f t="shared" si="111"/>
        <v>0</v>
      </c>
      <c r="AL79" s="407">
        <f t="shared" si="111"/>
        <v>0</v>
      </c>
      <c r="AM79" s="407">
        <f t="shared" si="111"/>
        <v>0</v>
      </c>
      <c r="AN79" s="407">
        <f t="shared" si="111"/>
        <v>0</v>
      </c>
      <c r="AO79" s="91">
        <f t="shared" si="112"/>
        <v>0</v>
      </c>
      <c r="AP79" s="285">
        <f t="shared" si="113"/>
        <v>0</v>
      </c>
      <c r="AQ79" s="285">
        <f t="shared" si="114"/>
        <v>0</v>
      </c>
      <c r="AR79" s="285">
        <f t="shared" si="115"/>
        <v>0</v>
      </c>
      <c r="AS79" s="285">
        <f t="shared" si="116"/>
        <v>0</v>
      </c>
      <c r="AT79" s="285">
        <f t="shared" si="117"/>
        <v>0</v>
      </c>
      <c r="AU79" s="285">
        <f t="shared" si="118"/>
        <v>0</v>
      </c>
      <c r="AV79" s="285">
        <f t="shared" si="119"/>
        <v>0</v>
      </c>
      <c r="AW79" s="285">
        <f t="shared" si="120"/>
        <v>0</v>
      </c>
      <c r="AX79" s="407">
        <f t="shared" si="121"/>
        <v>0</v>
      </c>
      <c r="AY79" s="91">
        <f t="shared" si="122"/>
        <v>0</v>
      </c>
      <c r="AZ79" s="285">
        <f t="shared" si="123"/>
        <v>0</v>
      </c>
      <c r="BA79" s="91">
        <f t="shared" si="122"/>
        <v>0</v>
      </c>
      <c r="BB79" s="285">
        <f t="shared" si="124"/>
        <v>0</v>
      </c>
      <c r="BC79" s="407">
        <f t="shared" si="124"/>
        <v>0</v>
      </c>
      <c r="BD79" s="407">
        <f t="shared" si="127"/>
        <v>0</v>
      </c>
      <c r="BE79" s="285">
        <f t="shared" si="127"/>
        <v>0</v>
      </c>
      <c r="BF79" s="91">
        <f t="shared" si="125"/>
        <v>0</v>
      </c>
      <c r="BG79" s="285">
        <f t="shared" si="126"/>
        <v>0</v>
      </c>
      <c r="BH79" s="407">
        <f t="shared" si="126"/>
        <v>0</v>
      </c>
    </row>
    <row r="80" spans="1:60" x14ac:dyDescent="0.25">
      <c r="A80" s="838">
        <v>32</v>
      </c>
      <c r="B80" s="91">
        <f t="shared" si="80"/>
        <v>0</v>
      </c>
      <c r="C80" s="285">
        <f t="shared" si="81"/>
        <v>0</v>
      </c>
      <c r="D80" s="285">
        <f t="shared" si="82"/>
        <v>0</v>
      </c>
      <c r="E80" s="285">
        <f t="shared" si="83"/>
        <v>0</v>
      </c>
      <c r="F80" s="285">
        <f t="shared" si="84"/>
        <v>0</v>
      </c>
      <c r="G80" s="407">
        <f t="shared" si="85"/>
        <v>0</v>
      </c>
      <c r="H80" s="91">
        <f t="shared" si="86"/>
        <v>0</v>
      </c>
      <c r="I80" s="285">
        <f t="shared" si="87"/>
        <v>0</v>
      </c>
      <c r="J80" s="285">
        <f t="shared" si="88"/>
        <v>0</v>
      </c>
      <c r="K80" s="285">
        <f t="shared" si="89"/>
        <v>0</v>
      </c>
      <c r="L80" s="407">
        <f t="shared" si="90"/>
        <v>0</v>
      </c>
      <c r="M80" s="407">
        <f t="shared" si="63"/>
        <v>0</v>
      </c>
      <c r="N80" s="91">
        <f t="shared" si="91"/>
        <v>0</v>
      </c>
      <c r="O80" s="285">
        <f t="shared" si="92"/>
        <v>0</v>
      </c>
      <c r="P80" s="285">
        <f t="shared" si="93"/>
        <v>0</v>
      </c>
      <c r="Q80" s="285">
        <f t="shared" si="94"/>
        <v>0</v>
      </c>
      <c r="R80" s="285">
        <f t="shared" si="95"/>
        <v>0</v>
      </c>
      <c r="S80" s="285">
        <f t="shared" si="96"/>
        <v>0</v>
      </c>
      <c r="T80" s="285">
        <f t="shared" si="97"/>
        <v>0</v>
      </c>
      <c r="U80" s="285">
        <f t="shared" si="97"/>
        <v>0</v>
      </c>
      <c r="V80" s="285">
        <f t="shared" si="98"/>
        <v>0</v>
      </c>
      <c r="W80" s="285">
        <f t="shared" si="99"/>
        <v>0</v>
      </c>
      <c r="X80" s="407">
        <f t="shared" si="99"/>
        <v>0</v>
      </c>
      <c r="Y80" s="285">
        <f t="shared" si="100"/>
        <v>0</v>
      </c>
      <c r="Z80" s="285">
        <f t="shared" si="101"/>
        <v>0</v>
      </c>
      <c r="AA80" s="285">
        <f t="shared" si="102"/>
        <v>0</v>
      </c>
      <c r="AB80" s="285">
        <f t="shared" si="103"/>
        <v>0</v>
      </c>
      <c r="AC80" s="285">
        <f t="shared" si="104"/>
        <v>0</v>
      </c>
      <c r="AD80" s="285">
        <f t="shared" si="105"/>
        <v>0</v>
      </c>
      <c r="AE80" s="91">
        <f t="shared" si="106"/>
        <v>0</v>
      </c>
      <c r="AF80" s="407">
        <f t="shared" si="106"/>
        <v>0</v>
      </c>
      <c r="AG80" s="91">
        <f t="shared" si="107"/>
        <v>0</v>
      </c>
      <c r="AH80" s="285">
        <f t="shared" si="108"/>
        <v>0</v>
      </c>
      <c r="AI80" s="285">
        <f t="shared" si="109"/>
        <v>0</v>
      </c>
      <c r="AJ80" s="285">
        <f t="shared" si="110"/>
        <v>0</v>
      </c>
      <c r="AK80" s="407">
        <f t="shared" si="111"/>
        <v>0</v>
      </c>
      <c r="AL80" s="407">
        <f t="shared" si="111"/>
        <v>0</v>
      </c>
      <c r="AM80" s="407">
        <f t="shared" si="111"/>
        <v>0</v>
      </c>
      <c r="AN80" s="407">
        <f t="shared" si="111"/>
        <v>0</v>
      </c>
      <c r="AO80" s="91">
        <f t="shared" si="112"/>
        <v>0</v>
      </c>
      <c r="AP80" s="285">
        <f t="shared" si="113"/>
        <v>0</v>
      </c>
      <c r="AQ80" s="285">
        <f t="shared" si="114"/>
        <v>0</v>
      </c>
      <c r="AR80" s="285">
        <f t="shared" si="115"/>
        <v>0</v>
      </c>
      <c r="AS80" s="285">
        <f t="shared" si="116"/>
        <v>0</v>
      </c>
      <c r="AT80" s="285">
        <f t="shared" si="117"/>
        <v>0</v>
      </c>
      <c r="AU80" s="285">
        <f t="shared" si="118"/>
        <v>0</v>
      </c>
      <c r="AV80" s="285">
        <f t="shared" si="119"/>
        <v>0</v>
      </c>
      <c r="AW80" s="285">
        <f t="shared" si="120"/>
        <v>0</v>
      </c>
      <c r="AX80" s="407">
        <f t="shared" si="121"/>
        <v>0</v>
      </c>
      <c r="AY80" s="91">
        <f t="shared" si="122"/>
        <v>0</v>
      </c>
      <c r="AZ80" s="285">
        <f t="shared" si="123"/>
        <v>0</v>
      </c>
      <c r="BA80" s="91">
        <f t="shared" si="122"/>
        <v>0</v>
      </c>
      <c r="BB80" s="285">
        <f t="shared" si="124"/>
        <v>0</v>
      </c>
      <c r="BC80" s="407">
        <f t="shared" si="124"/>
        <v>0</v>
      </c>
      <c r="BD80" s="407">
        <f t="shared" si="127"/>
        <v>0</v>
      </c>
      <c r="BE80" s="285">
        <f t="shared" si="127"/>
        <v>0</v>
      </c>
      <c r="BF80" s="91">
        <f t="shared" si="125"/>
        <v>0</v>
      </c>
      <c r="BG80" s="285">
        <f t="shared" si="126"/>
        <v>0</v>
      </c>
      <c r="BH80" s="407">
        <f t="shared" si="126"/>
        <v>0</v>
      </c>
    </row>
    <row r="81" spans="1:60" x14ac:dyDescent="0.25">
      <c r="A81" s="838">
        <v>33</v>
      </c>
      <c r="B81" s="91">
        <f t="shared" si="80"/>
        <v>0</v>
      </c>
      <c r="C81" s="285">
        <f t="shared" si="81"/>
        <v>0</v>
      </c>
      <c r="D81" s="285">
        <f t="shared" si="82"/>
        <v>0</v>
      </c>
      <c r="E81" s="285">
        <f t="shared" si="83"/>
        <v>0</v>
      </c>
      <c r="F81" s="285">
        <f t="shared" si="84"/>
        <v>0</v>
      </c>
      <c r="G81" s="407">
        <f t="shared" si="85"/>
        <v>0</v>
      </c>
      <c r="H81" s="91">
        <f t="shared" si="86"/>
        <v>0</v>
      </c>
      <c r="I81" s="285">
        <f t="shared" si="87"/>
        <v>0</v>
      </c>
      <c r="J81" s="285">
        <f t="shared" si="88"/>
        <v>0</v>
      </c>
      <c r="K81" s="285">
        <f t="shared" si="89"/>
        <v>0</v>
      </c>
      <c r="L81" s="407">
        <f t="shared" si="90"/>
        <v>0</v>
      </c>
      <c r="M81" s="407">
        <f t="shared" si="63"/>
        <v>0</v>
      </c>
      <c r="N81" s="91">
        <f t="shared" si="91"/>
        <v>0</v>
      </c>
      <c r="O81" s="285">
        <f t="shared" si="92"/>
        <v>0</v>
      </c>
      <c r="P81" s="285">
        <f t="shared" si="93"/>
        <v>0</v>
      </c>
      <c r="Q81" s="285">
        <f t="shared" si="94"/>
        <v>0</v>
      </c>
      <c r="R81" s="285">
        <f t="shared" si="95"/>
        <v>0</v>
      </c>
      <c r="S81" s="285">
        <f t="shared" si="96"/>
        <v>0</v>
      </c>
      <c r="T81" s="285">
        <f t="shared" si="97"/>
        <v>0</v>
      </c>
      <c r="U81" s="285">
        <f t="shared" si="97"/>
        <v>0</v>
      </c>
      <c r="V81" s="285">
        <f t="shared" si="98"/>
        <v>0</v>
      </c>
      <c r="W81" s="285">
        <f t="shared" si="99"/>
        <v>0</v>
      </c>
      <c r="X81" s="407">
        <f t="shared" si="99"/>
        <v>0</v>
      </c>
      <c r="Y81" s="285">
        <f t="shared" si="100"/>
        <v>0</v>
      </c>
      <c r="Z81" s="285">
        <f t="shared" si="101"/>
        <v>0</v>
      </c>
      <c r="AA81" s="285">
        <f t="shared" si="102"/>
        <v>0</v>
      </c>
      <c r="AB81" s="285">
        <f t="shared" si="103"/>
        <v>0</v>
      </c>
      <c r="AC81" s="285">
        <f t="shared" si="104"/>
        <v>0</v>
      </c>
      <c r="AD81" s="285">
        <f t="shared" si="105"/>
        <v>0</v>
      </c>
      <c r="AE81" s="91">
        <f t="shared" si="106"/>
        <v>0</v>
      </c>
      <c r="AF81" s="407">
        <f t="shared" si="106"/>
        <v>0</v>
      </c>
      <c r="AG81" s="91">
        <f t="shared" si="107"/>
        <v>0</v>
      </c>
      <c r="AH81" s="285">
        <f t="shared" si="108"/>
        <v>0</v>
      </c>
      <c r="AI81" s="285">
        <f t="shared" si="109"/>
        <v>0</v>
      </c>
      <c r="AJ81" s="285">
        <f t="shared" si="110"/>
        <v>0</v>
      </c>
      <c r="AK81" s="407">
        <f t="shared" si="111"/>
        <v>0</v>
      </c>
      <c r="AL81" s="407">
        <f t="shared" si="111"/>
        <v>0</v>
      </c>
      <c r="AM81" s="407">
        <f t="shared" si="111"/>
        <v>0</v>
      </c>
      <c r="AN81" s="407">
        <f t="shared" si="111"/>
        <v>0</v>
      </c>
      <c r="AO81" s="91">
        <f t="shared" si="112"/>
        <v>0</v>
      </c>
      <c r="AP81" s="285">
        <f t="shared" si="113"/>
        <v>0</v>
      </c>
      <c r="AQ81" s="285">
        <f t="shared" si="114"/>
        <v>0</v>
      </c>
      <c r="AR81" s="285">
        <f t="shared" si="115"/>
        <v>0</v>
      </c>
      <c r="AS81" s="285">
        <f t="shared" si="116"/>
        <v>0</v>
      </c>
      <c r="AT81" s="285">
        <f t="shared" si="117"/>
        <v>0</v>
      </c>
      <c r="AU81" s="285">
        <f t="shared" si="118"/>
        <v>0</v>
      </c>
      <c r="AV81" s="285">
        <f t="shared" si="119"/>
        <v>0</v>
      </c>
      <c r="AW81" s="285">
        <f t="shared" si="120"/>
        <v>0</v>
      </c>
      <c r="AX81" s="407">
        <f t="shared" si="121"/>
        <v>0</v>
      </c>
      <c r="AY81" s="91">
        <f t="shared" si="122"/>
        <v>0</v>
      </c>
      <c r="AZ81" s="285">
        <f t="shared" si="123"/>
        <v>0</v>
      </c>
      <c r="BA81" s="91">
        <f t="shared" si="122"/>
        <v>0</v>
      </c>
      <c r="BB81" s="285">
        <f t="shared" si="124"/>
        <v>0</v>
      </c>
      <c r="BC81" s="407">
        <f t="shared" si="124"/>
        <v>0</v>
      </c>
      <c r="BD81" s="407">
        <f t="shared" si="127"/>
        <v>0</v>
      </c>
      <c r="BE81" s="285">
        <f t="shared" si="127"/>
        <v>0</v>
      </c>
      <c r="BF81" s="91">
        <f t="shared" si="125"/>
        <v>0</v>
      </c>
      <c r="BG81" s="285">
        <f t="shared" si="126"/>
        <v>0</v>
      </c>
      <c r="BH81" s="407">
        <f t="shared" si="126"/>
        <v>0</v>
      </c>
    </row>
    <row r="82" spans="1:60" x14ac:dyDescent="0.25">
      <c r="A82" s="838">
        <v>34</v>
      </c>
      <c r="B82" s="91">
        <f t="shared" si="80"/>
        <v>0</v>
      </c>
      <c r="C82" s="285">
        <f t="shared" si="81"/>
        <v>0</v>
      </c>
      <c r="D82" s="285">
        <f t="shared" si="82"/>
        <v>0</v>
      </c>
      <c r="E82" s="285">
        <f t="shared" si="83"/>
        <v>0</v>
      </c>
      <c r="F82" s="285">
        <f t="shared" si="84"/>
        <v>0</v>
      </c>
      <c r="G82" s="407">
        <f t="shared" si="85"/>
        <v>0</v>
      </c>
      <c r="H82" s="91">
        <f t="shared" si="86"/>
        <v>0</v>
      </c>
      <c r="I82" s="285">
        <f t="shared" si="87"/>
        <v>0</v>
      </c>
      <c r="J82" s="285">
        <f t="shared" si="88"/>
        <v>0</v>
      </c>
      <c r="K82" s="285">
        <f t="shared" si="89"/>
        <v>0</v>
      </c>
      <c r="L82" s="407">
        <f t="shared" si="90"/>
        <v>0</v>
      </c>
      <c r="M82" s="407">
        <f t="shared" si="63"/>
        <v>0</v>
      </c>
      <c r="N82" s="91">
        <f t="shared" si="91"/>
        <v>0</v>
      </c>
      <c r="O82" s="285">
        <f t="shared" si="92"/>
        <v>0</v>
      </c>
      <c r="P82" s="285">
        <f t="shared" si="93"/>
        <v>0</v>
      </c>
      <c r="Q82" s="285">
        <f t="shared" si="94"/>
        <v>0</v>
      </c>
      <c r="R82" s="285">
        <f t="shared" si="95"/>
        <v>0</v>
      </c>
      <c r="S82" s="285">
        <f t="shared" si="96"/>
        <v>0</v>
      </c>
      <c r="T82" s="285">
        <f t="shared" si="97"/>
        <v>0</v>
      </c>
      <c r="U82" s="285">
        <f t="shared" si="97"/>
        <v>0</v>
      </c>
      <c r="V82" s="285">
        <f t="shared" si="98"/>
        <v>0</v>
      </c>
      <c r="W82" s="285">
        <f t="shared" si="99"/>
        <v>0</v>
      </c>
      <c r="X82" s="407">
        <f t="shared" si="99"/>
        <v>0</v>
      </c>
      <c r="Y82" s="285">
        <f t="shared" si="100"/>
        <v>0</v>
      </c>
      <c r="Z82" s="285">
        <f t="shared" si="101"/>
        <v>0</v>
      </c>
      <c r="AA82" s="285">
        <f t="shared" si="102"/>
        <v>0</v>
      </c>
      <c r="AB82" s="285">
        <f t="shared" si="103"/>
        <v>0</v>
      </c>
      <c r="AC82" s="285">
        <f t="shared" si="104"/>
        <v>0</v>
      </c>
      <c r="AD82" s="285">
        <f t="shared" si="105"/>
        <v>0</v>
      </c>
      <c r="AE82" s="91">
        <f t="shared" si="106"/>
        <v>0</v>
      </c>
      <c r="AF82" s="407">
        <f t="shared" si="106"/>
        <v>0</v>
      </c>
      <c r="AG82" s="91">
        <f t="shared" si="107"/>
        <v>0</v>
      </c>
      <c r="AH82" s="285">
        <f>IF($A38&lt;AH$5,IF(AH81&lt;&gt;0,AH81+AH38,AH38),0)</f>
        <v>0</v>
      </c>
      <c r="AI82" s="285">
        <f t="shared" si="109"/>
        <v>0</v>
      </c>
      <c r="AJ82" s="285">
        <f t="shared" si="110"/>
        <v>0</v>
      </c>
      <c r="AK82" s="407">
        <f t="shared" si="111"/>
        <v>0</v>
      </c>
      <c r="AL82" s="407">
        <f t="shared" si="111"/>
        <v>0</v>
      </c>
      <c r="AM82" s="407">
        <f t="shared" si="111"/>
        <v>0</v>
      </c>
      <c r="AN82" s="407">
        <f t="shared" si="111"/>
        <v>0</v>
      </c>
      <c r="AO82" s="91">
        <f t="shared" si="112"/>
        <v>0</v>
      </c>
      <c r="AP82" s="285">
        <f t="shared" si="113"/>
        <v>0</v>
      </c>
      <c r="AQ82" s="285">
        <f t="shared" si="114"/>
        <v>0</v>
      </c>
      <c r="AR82" s="285">
        <f t="shared" si="115"/>
        <v>0</v>
      </c>
      <c r="AS82" s="285">
        <f t="shared" si="116"/>
        <v>0</v>
      </c>
      <c r="AT82" s="285">
        <f t="shared" si="117"/>
        <v>0</v>
      </c>
      <c r="AU82" s="285">
        <f t="shared" si="118"/>
        <v>0</v>
      </c>
      <c r="AV82" s="285">
        <f t="shared" si="119"/>
        <v>0</v>
      </c>
      <c r="AW82" s="285">
        <f t="shared" si="120"/>
        <v>0</v>
      </c>
      <c r="AX82" s="407">
        <f t="shared" si="121"/>
        <v>0</v>
      </c>
      <c r="AY82" s="91">
        <f t="shared" si="122"/>
        <v>0</v>
      </c>
      <c r="AZ82" s="285">
        <f t="shared" si="123"/>
        <v>0</v>
      </c>
      <c r="BA82" s="91">
        <f t="shared" si="122"/>
        <v>0</v>
      </c>
      <c r="BB82" s="285">
        <f t="shared" si="124"/>
        <v>0</v>
      </c>
      <c r="BC82" s="407">
        <f t="shared" si="124"/>
        <v>0</v>
      </c>
      <c r="BD82" s="407">
        <f t="shared" si="127"/>
        <v>0</v>
      </c>
      <c r="BE82" s="285">
        <f t="shared" si="127"/>
        <v>0</v>
      </c>
      <c r="BF82" s="91">
        <f t="shared" si="125"/>
        <v>0</v>
      </c>
      <c r="BG82" s="285">
        <f t="shared" si="126"/>
        <v>0</v>
      </c>
      <c r="BH82" s="407">
        <f t="shared" si="126"/>
        <v>0</v>
      </c>
    </row>
    <row r="83" spans="1:60" x14ac:dyDescent="0.25">
      <c r="A83" s="838">
        <v>35</v>
      </c>
      <c r="B83" s="91">
        <f t="shared" si="80"/>
        <v>0</v>
      </c>
      <c r="C83" s="285">
        <f t="shared" si="81"/>
        <v>0</v>
      </c>
      <c r="D83" s="285">
        <f t="shared" si="82"/>
        <v>0</v>
      </c>
      <c r="E83" s="285">
        <f t="shared" si="83"/>
        <v>0</v>
      </c>
      <c r="F83" s="285">
        <f t="shared" si="84"/>
        <v>0</v>
      </c>
      <c r="G83" s="407">
        <f t="shared" si="85"/>
        <v>0</v>
      </c>
      <c r="H83" s="91">
        <f t="shared" si="86"/>
        <v>0</v>
      </c>
      <c r="I83" s="285">
        <f t="shared" si="87"/>
        <v>0</v>
      </c>
      <c r="J83" s="285">
        <f t="shared" si="88"/>
        <v>0</v>
      </c>
      <c r="K83" s="285">
        <f t="shared" si="89"/>
        <v>0</v>
      </c>
      <c r="L83" s="407">
        <f t="shared" si="90"/>
        <v>0</v>
      </c>
      <c r="M83" s="407">
        <f t="shared" si="63"/>
        <v>0</v>
      </c>
      <c r="N83" s="91">
        <f t="shared" si="91"/>
        <v>0</v>
      </c>
      <c r="O83" s="285">
        <f t="shared" si="92"/>
        <v>0</v>
      </c>
      <c r="P83" s="285">
        <f t="shared" si="93"/>
        <v>0</v>
      </c>
      <c r="Q83" s="285">
        <f t="shared" si="94"/>
        <v>0</v>
      </c>
      <c r="R83" s="285">
        <f t="shared" si="95"/>
        <v>0</v>
      </c>
      <c r="S83" s="285">
        <f t="shared" si="96"/>
        <v>0</v>
      </c>
      <c r="T83" s="285">
        <f t="shared" si="97"/>
        <v>0</v>
      </c>
      <c r="U83" s="285">
        <f t="shared" si="97"/>
        <v>0</v>
      </c>
      <c r="V83" s="285">
        <f t="shared" si="98"/>
        <v>0</v>
      </c>
      <c r="W83" s="285">
        <f t="shared" si="99"/>
        <v>0</v>
      </c>
      <c r="X83" s="407">
        <f t="shared" si="99"/>
        <v>0</v>
      </c>
      <c r="Y83" s="285">
        <f t="shared" si="100"/>
        <v>0</v>
      </c>
      <c r="Z83" s="285">
        <f t="shared" si="101"/>
        <v>0</v>
      </c>
      <c r="AA83" s="285">
        <f t="shared" si="102"/>
        <v>0</v>
      </c>
      <c r="AB83" s="285">
        <f t="shared" si="103"/>
        <v>0</v>
      </c>
      <c r="AC83" s="285">
        <f t="shared" si="104"/>
        <v>0</v>
      </c>
      <c r="AD83" s="285">
        <f t="shared" si="105"/>
        <v>0</v>
      </c>
      <c r="AE83" s="91">
        <f t="shared" si="106"/>
        <v>0</v>
      </c>
      <c r="AF83" s="407">
        <f t="shared" si="106"/>
        <v>0</v>
      </c>
      <c r="AG83" s="91">
        <f t="shared" si="107"/>
        <v>0</v>
      </c>
      <c r="AH83" s="285">
        <f>IF($A39&lt;AH$5,IF(AH82&lt;&gt;0,AH82+AH39,AH39),0)</f>
        <v>0</v>
      </c>
      <c r="AI83" s="285">
        <f t="shared" si="109"/>
        <v>0</v>
      </c>
      <c r="AJ83" s="285">
        <f t="shared" si="110"/>
        <v>0</v>
      </c>
      <c r="AK83" s="407">
        <f t="shared" si="111"/>
        <v>0</v>
      </c>
      <c r="AL83" s="407">
        <f t="shared" si="111"/>
        <v>0</v>
      </c>
      <c r="AM83" s="407">
        <f t="shared" si="111"/>
        <v>0</v>
      </c>
      <c r="AN83" s="407">
        <f t="shared" si="111"/>
        <v>0</v>
      </c>
      <c r="AO83" s="91">
        <f t="shared" si="112"/>
        <v>0</v>
      </c>
      <c r="AP83" s="285">
        <f t="shared" si="113"/>
        <v>0</v>
      </c>
      <c r="AQ83" s="285">
        <f t="shared" si="114"/>
        <v>0</v>
      </c>
      <c r="AR83" s="285">
        <f t="shared" si="115"/>
        <v>0</v>
      </c>
      <c r="AS83" s="285">
        <f t="shared" si="116"/>
        <v>0</v>
      </c>
      <c r="AT83" s="285">
        <f t="shared" si="117"/>
        <v>0</v>
      </c>
      <c r="AU83" s="285">
        <f t="shared" si="118"/>
        <v>0</v>
      </c>
      <c r="AV83" s="285">
        <f t="shared" si="119"/>
        <v>0</v>
      </c>
      <c r="AW83" s="285">
        <f t="shared" si="120"/>
        <v>0</v>
      </c>
      <c r="AX83" s="407">
        <f t="shared" si="121"/>
        <v>0</v>
      </c>
      <c r="AY83" s="91">
        <f t="shared" si="122"/>
        <v>0</v>
      </c>
      <c r="AZ83" s="285">
        <f t="shared" si="123"/>
        <v>0</v>
      </c>
      <c r="BA83" s="91">
        <f t="shared" si="122"/>
        <v>0</v>
      </c>
      <c r="BB83" s="285">
        <f t="shared" si="124"/>
        <v>0</v>
      </c>
      <c r="BC83" s="407">
        <f t="shared" si="124"/>
        <v>0</v>
      </c>
      <c r="BD83" s="407">
        <f t="shared" si="127"/>
        <v>0</v>
      </c>
      <c r="BE83" s="285">
        <f t="shared" si="127"/>
        <v>0</v>
      </c>
      <c r="BF83" s="91">
        <f t="shared" si="125"/>
        <v>0</v>
      </c>
      <c r="BG83" s="285">
        <f t="shared" si="126"/>
        <v>0</v>
      </c>
      <c r="BH83" s="407">
        <f t="shared" si="126"/>
        <v>0</v>
      </c>
    </row>
    <row r="84" spans="1:60" x14ac:dyDescent="0.25">
      <c r="A84" s="838">
        <v>36</v>
      </c>
      <c r="B84" s="91">
        <f t="shared" si="80"/>
        <v>0</v>
      </c>
      <c r="C84" s="285">
        <f t="shared" si="81"/>
        <v>0</v>
      </c>
      <c r="D84" s="285">
        <f t="shared" si="82"/>
        <v>0</v>
      </c>
      <c r="E84" s="285">
        <f t="shared" si="83"/>
        <v>0</v>
      </c>
      <c r="F84" s="285">
        <f t="shared" si="84"/>
        <v>0</v>
      </c>
      <c r="G84" s="407">
        <f t="shared" si="85"/>
        <v>0</v>
      </c>
      <c r="H84" s="91">
        <f t="shared" si="86"/>
        <v>0</v>
      </c>
      <c r="I84" s="285">
        <f t="shared" si="87"/>
        <v>0</v>
      </c>
      <c r="J84" s="285">
        <f t="shared" si="88"/>
        <v>0</v>
      </c>
      <c r="K84" s="285">
        <f t="shared" si="89"/>
        <v>0</v>
      </c>
      <c r="L84" s="407">
        <f t="shared" si="90"/>
        <v>0</v>
      </c>
      <c r="M84" s="407">
        <f t="shared" si="63"/>
        <v>0</v>
      </c>
      <c r="N84" s="91">
        <f t="shared" si="91"/>
        <v>0</v>
      </c>
      <c r="O84" s="285">
        <f t="shared" si="92"/>
        <v>0</v>
      </c>
      <c r="P84" s="285">
        <f t="shared" si="93"/>
        <v>0</v>
      </c>
      <c r="Q84" s="285">
        <f t="shared" si="94"/>
        <v>0</v>
      </c>
      <c r="R84" s="285">
        <f t="shared" si="95"/>
        <v>0</v>
      </c>
      <c r="S84" s="285">
        <f t="shared" si="96"/>
        <v>0</v>
      </c>
      <c r="T84" s="285">
        <f t="shared" si="97"/>
        <v>0</v>
      </c>
      <c r="U84" s="285">
        <f t="shared" si="97"/>
        <v>0</v>
      </c>
      <c r="V84" s="285">
        <f t="shared" si="98"/>
        <v>0</v>
      </c>
      <c r="W84" s="285">
        <f t="shared" si="99"/>
        <v>0</v>
      </c>
      <c r="X84" s="407">
        <f t="shared" si="99"/>
        <v>0</v>
      </c>
      <c r="Y84" s="285">
        <f t="shared" si="100"/>
        <v>0</v>
      </c>
      <c r="Z84" s="285">
        <f t="shared" si="101"/>
        <v>0</v>
      </c>
      <c r="AA84" s="285">
        <f t="shared" si="102"/>
        <v>0</v>
      </c>
      <c r="AB84" s="285">
        <f t="shared" si="103"/>
        <v>0</v>
      </c>
      <c r="AC84" s="285">
        <f t="shared" si="104"/>
        <v>0</v>
      </c>
      <c r="AD84" s="285">
        <f t="shared" si="105"/>
        <v>0</v>
      </c>
      <c r="AE84" s="91">
        <f t="shared" si="106"/>
        <v>0</v>
      </c>
      <c r="AF84" s="407">
        <f t="shared" si="106"/>
        <v>0</v>
      </c>
      <c r="AG84" s="91">
        <f t="shared" si="107"/>
        <v>0</v>
      </c>
      <c r="AH84" s="285">
        <f t="shared" si="108"/>
        <v>0</v>
      </c>
      <c r="AI84" s="285">
        <f t="shared" si="109"/>
        <v>0</v>
      </c>
      <c r="AJ84" s="285">
        <f t="shared" si="110"/>
        <v>0</v>
      </c>
      <c r="AK84" s="407">
        <f t="shared" si="111"/>
        <v>0</v>
      </c>
      <c r="AL84" s="407">
        <f t="shared" si="111"/>
        <v>0</v>
      </c>
      <c r="AM84" s="407">
        <f t="shared" si="111"/>
        <v>0</v>
      </c>
      <c r="AN84" s="407">
        <f t="shared" si="111"/>
        <v>0</v>
      </c>
      <c r="AO84" s="91">
        <f t="shared" si="112"/>
        <v>0</v>
      </c>
      <c r="AP84" s="285">
        <f t="shared" si="113"/>
        <v>0</v>
      </c>
      <c r="AQ84" s="285">
        <f t="shared" si="114"/>
        <v>0</v>
      </c>
      <c r="AR84" s="285">
        <f t="shared" si="115"/>
        <v>0</v>
      </c>
      <c r="AS84" s="285">
        <f t="shared" si="116"/>
        <v>0</v>
      </c>
      <c r="AT84" s="285">
        <f t="shared" si="117"/>
        <v>0</v>
      </c>
      <c r="AU84" s="285">
        <f t="shared" si="118"/>
        <v>0</v>
      </c>
      <c r="AV84" s="285">
        <f t="shared" si="119"/>
        <v>0</v>
      </c>
      <c r="AW84" s="285">
        <f t="shared" si="120"/>
        <v>0</v>
      </c>
      <c r="AX84" s="407">
        <f t="shared" si="121"/>
        <v>0</v>
      </c>
      <c r="AY84" s="91">
        <f t="shared" si="122"/>
        <v>0</v>
      </c>
      <c r="AZ84" s="285">
        <f t="shared" si="123"/>
        <v>0</v>
      </c>
      <c r="BA84" s="91">
        <f t="shared" si="122"/>
        <v>0</v>
      </c>
      <c r="BB84" s="285">
        <f t="shared" si="124"/>
        <v>0</v>
      </c>
      <c r="BC84" s="407">
        <f t="shared" si="124"/>
        <v>0</v>
      </c>
      <c r="BD84" s="407">
        <f t="shared" si="127"/>
        <v>0</v>
      </c>
      <c r="BE84" s="285">
        <f t="shared" si="127"/>
        <v>0</v>
      </c>
      <c r="BF84" s="91">
        <f t="shared" si="125"/>
        <v>0</v>
      </c>
      <c r="BG84" s="285">
        <f t="shared" si="126"/>
        <v>0</v>
      </c>
      <c r="BH84" s="407">
        <f t="shared" si="126"/>
        <v>0</v>
      </c>
    </row>
    <row r="85" spans="1:60" x14ac:dyDescent="0.25">
      <c r="A85" s="838">
        <v>37</v>
      </c>
      <c r="B85" s="91">
        <f t="shared" si="80"/>
        <v>0</v>
      </c>
      <c r="C85" s="285">
        <f t="shared" si="81"/>
        <v>0</v>
      </c>
      <c r="D85" s="285">
        <f t="shared" si="82"/>
        <v>0</v>
      </c>
      <c r="E85" s="285">
        <f t="shared" si="83"/>
        <v>0</v>
      </c>
      <c r="F85" s="285">
        <f t="shared" si="84"/>
        <v>0</v>
      </c>
      <c r="G85" s="407">
        <f t="shared" si="85"/>
        <v>0</v>
      </c>
      <c r="H85" s="91">
        <f t="shared" si="86"/>
        <v>0</v>
      </c>
      <c r="I85" s="285">
        <f t="shared" si="87"/>
        <v>0</v>
      </c>
      <c r="J85" s="285">
        <f t="shared" si="88"/>
        <v>0</v>
      </c>
      <c r="K85" s="285">
        <f t="shared" si="89"/>
        <v>0</v>
      </c>
      <c r="L85" s="407">
        <f t="shared" si="90"/>
        <v>0</v>
      </c>
      <c r="M85" s="407">
        <f t="shared" si="63"/>
        <v>0</v>
      </c>
      <c r="N85" s="91">
        <f t="shared" si="91"/>
        <v>0</v>
      </c>
      <c r="O85" s="285">
        <f t="shared" si="92"/>
        <v>0</v>
      </c>
      <c r="P85" s="285">
        <f t="shared" si="93"/>
        <v>0</v>
      </c>
      <c r="Q85" s="285">
        <f t="shared" si="94"/>
        <v>0</v>
      </c>
      <c r="R85" s="285">
        <f t="shared" si="95"/>
        <v>0</v>
      </c>
      <c r="S85" s="285">
        <f t="shared" si="96"/>
        <v>0</v>
      </c>
      <c r="T85" s="285">
        <f t="shared" si="97"/>
        <v>0</v>
      </c>
      <c r="U85" s="285">
        <f t="shared" si="97"/>
        <v>0</v>
      </c>
      <c r="V85" s="285">
        <f t="shared" si="98"/>
        <v>0</v>
      </c>
      <c r="W85" s="285">
        <f t="shared" si="99"/>
        <v>0</v>
      </c>
      <c r="X85" s="407">
        <f t="shared" si="99"/>
        <v>0</v>
      </c>
      <c r="Y85" s="285">
        <f t="shared" si="100"/>
        <v>0</v>
      </c>
      <c r="Z85" s="285">
        <f t="shared" si="101"/>
        <v>0</v>
      </c>
      <c r="AA85" s="285">
        <f t="shared" si="102"/>
        <v>0</v>
      </c>
      <c r="AB85" s="285">
        <f t="shared" si="103"/>
        <v>0</v>
      </c>
      <c r="AC85" s="285">
        <f t="shared" si="104"/>
        <v>0</v>
      </c>
      <c r="AD85" s="285">
        <f t="shared" si="105"/>
        <v>0</v>
      </c>
      <c r="AE85" s="91">
        <f t="shared" si="106"/>
        <v>0</v>
      </c>
      <c r="AF85" s="407">
        <f t="shared" si="106"/>
        <v>0</v>
      </c>
      <c r="AG85" s="91">
        <f t="shared" si="107"/>
        <v>0</v>
      </c>
      <c r="AH85" s="285">
        <f t="shared" si="108"/>
        <v>0</v>
      </c>
      <c r="AI85" s="285">
        <f t="shared" si="109"/>
        <v>0</v>
      </c>
      <c r="AJ85" s="285">
        <f t="shared" si="110"/>
        <v>0</v>
      </c>
      <c r="AK85" s="407">
        <f t="shared" si="111"/>
        <v>0</v>
      </c>
      <c r="AL85" s="407">
        <f t="shared" si="111"/>
        <v>0</v>
      </c>
      <c r="AM85" s="407">
        <f t="shared" si="111"/>
        <v>0</v>
      </c>
      <c r="AN85" s="407">
        <f t="shared" si="111"/>
        <v>0</v>
      </c>
      <c r="AO85" s="91">
        <f t="shared" si="112"/>
        <v>0</v>
      </c>
      <c r="AP85" s="285">
        <f t="shared" si="113"/>
        <v>0</v>
      </c>
      <c r="AQ85" s="285">
        <f t="shared" si="114"/>
        <v>0</v>
      </c>
      <c r="AR85" s="285">
        <f t="shared" si="115"/>
        <v>0</v>
      </c>
      <c r="AS85" s="285">
        <f t="shared" si="116"/>
        <v>0</v>
      </c>
      <c r="AT85" s="285">
        <f t="shared" si="117"/>
        <v>0</v>
      </c>
      <c r="AU85" s="285">
        <f t="shared" si="118"/>
        <v>0</v>
      </c>
      <c r="AV85" s="285">
        <f t="shared" si="119"/>
        <v>0</v>
      </c>
      <c r="AW85" s="285">
        <f t="shared" si="120"/>
        <v>0</v>
      </c>
      <c r="AX85" s="407">
        <f t="shared" si="121"/>
        <v>0</v>
      </c>
      <c r="AY85" s="91">
        <f t="shared" si="122"/>
        <v>0</v>
      </c>
      <c r="AZ85" s="285">
        <f t="shared" si="123"/>
        <v>0</v>
      </c>
      <c r="BA85" s="91">
        <f t="shared" si="122"/>
        <v>0</v>
      </c>
      <c r="BB85" s="285">
        <f t="shared" si="124"/>
        <v>0</v>
      </c>
      <c r="BC85" s="407">
        <f t="shared" si="124"/>
        <v>0</v>
      </c>
      <c r="BD85" s="407">
        <f t="shared" si="127"/>
        <v>0</v>
      </c>
      <c r="BE85" s="285">
        <f t="shared" si="127"/>
        <v>0</v>
      </c>
      <c r="BF85" s="91">
        <f t="shared" si="125"/>
        <v>0</v>
      </c>
      <c r="BG85" s="285">
        <f t="shared" si="126"/>
        <v>0</v>
      </c>
      <c r="BH85" s="407">
        <f t="shared" si="126"/>
        <v>0</v>
      </c>
    </row>
    <row r="86" spans="1:60" x14ac:dyDescent="0.25">
      <c r="A86" s="838">
        <v>38</v>
      </c>
      <c r="B86" s="91">
        <f t="shared" si="80"/>
        <v>0</v>
      </c>
      <c r="C86" s="285">
        <f t="shared" si="81"/>
        <v>0</v>
      </c>
      <c r="D86" s="285">
        <f t="shared" si="82"/>
        <v>0</v>
      </c>
      <c r="E86" s="285">
        <f t="shared" si="83"/>
        <v>0</v>
      </c>
      <c r="F86" s="285">
        <f t="shared" si="84"/>
        <v>0</v>
      </c>
      <c r="G86" s="407">
        <f t="shared" si="85"/>
        <v>0</v>
      </c>
      <c r="H86" s="91">
        <f t="shared" si="86"/>
        <v>0</v>
      </c>
      <c r="I86" s="285">
        <f t="shared" si="87"/>
        <v>0</v>
      </c>
      <c r="J86" s="285">
        <f t="shared" si="88"/>
        <v>0</v>
      </c>
      <c r="K86" s="285">
        <f t="shared" si="89"/>
        <v>0</v>
      </c>
      <c r="L86" s="407">
        <f t="shared" si="90"/>
        <v>0</v>
      </c>
      <c r="M86" s="407">
        <f t="shared" si="63"/>
        <v>0</v>
      </c>
      <c r="N86" s="91">
        <f t="shared" si="91"/>
        <v>0</v>
      </c>
      <c r="O86" s="285">
        <f t="shared" si="92"/>
        <v>0</v>
      </c>
      <c r="P86" s="285">
        <f t="shared" si="93"/>
        <v>0</v>
      </c>
      <c r="Q86" s="285">
        <f t="shared" si="94"/>
        <v>0</v>
      </c>
      <c r="R86" s="285">
        <f t="shared" si="95"/>
        <v>0</v>
      </c>
      <c r="S86" s="285">
        <f t="shared" si="96"/>
        <v>0</v>
      </c>
      <c r="T86" s="285">
        <f t="shared" si="97"/>
        <v>0</v>
      </c>
      <c r="U86" s="285">
        <f t="shared" si="97"/>
        <v>0</v>
      </c>
      <c r="V86" s="285">
        <f t="shared" si="98"/>
        <v>0</v>
      </c>
      <c r="W86" s="285">
        <f t="shared" si="99"/>
        <v>0</v>
      </c>
      <c r="X86" s="407">
        <f t="shared" si="99"/>
        <v>0</v>
      </c>
      <c r="Y86" s="285">
        <f t="shared" si="100"/>
        <v>0</v>
      </c>
      <c r="Z86" s="285">
        <f t="shared" si="101"/>
        <v>0</v>
      </c>
      <c r="AA86" s="285">
        <f t="shared" si="102"/>
        <v>0</v>
      </c>
      <c r="AB86" s="285">
        <f t="shared" si="103"/>
        <v>0</v>
      </c>
      <c r="AC86" s="285">
        <f t="shared" si="104"/>
        <v>0</v>
      </c>
      <c r="AD86" s="285">
        <f t="shared" si="105"/>
        <v>0</v>
      </c>
      <c r="AE86" s="91">
        <f t="shared" si="106"/>
        <v>0</v>
      </c>
      <c r="AF86" s="407">
        <f t="shared" si="106"/>
        <v>0</v>
      </c>
      <c r="AG86" s="91">
        <f t="shared" si="107"/>
        <v>0</v>
      </c>
      <c r="AH86" s="285">
        <f t="shared" si="108"/>
        <v>0</v>
      </c>
      <c r="AI86" s="285">
        <f t="shared" si="109"/>
        <v>0</v>
      </c>
      <c r="AJ86" s="285">
        <f t="shared" si="110"/>
        <v>0</v>
      </c>
      <c r="AK86" s="407">
        <f t="shared" si="111"/>
        <v>0</v>
      </c>
      <c r="AL86" s="407">
        <f t="shared" si="111"/>
        <v>0</v>
      </c>
      <c r="AM86" s="407">
        <f t="shared" si="111"/>
        <v>0</v>
      </c>
      <c r="AN86" s="407">
        <f t="shared" si="111"/>
        <v>0</v>
      </c>
      <c r="AO86" s="91">
        <f t="shared" si="112"/>
        <v>0</v>
      </c>
      <c r="AP86" s="285">
        <f t="shared" si="113"/>
        <v>0</v>
      </c>
      <c r="AQ86" s="285">
        <f t="shared" si="114"/>
        <v>0</v>
      </c>
      <c r="AR86" s="285">
        <f t="shared" si="115"/>
        <v>0</v>
      </c>
      <c r="AS86" s="285">
        <f t="shared" si="116"/>
        <v>0</v>
      </c>
      <c r="AT86" s="285">
        <f t="shared" si="117"/>
        <v>0</v>
      </c>
      <c r="AU86" s="285">
        <f t="shared" si="118"/>
        <v>0</v>
      </c>
      <c r="AV86" s="285">
        <f t="shared" si="119"/>
        <v>0</v>
      </c>
      <c r="AW86" s="285">
        <f t="shared" si="120"/>
        <v>0</v>
      </c>
      <c r="AX86" s="407">
        <f t="shared" si="121"/>
        <v>0</v>
      </c>
      <c r="AY86" s="91">
        <f t="shared" si="122"/>
        <v>0</v>
      </c>
      <c r="AZ86" s="285">
        <f t="shared" si="123"/>
        <v>0</v>
      </c>
      <c r="BA86" s="91">
        <f t="shared" si="122"/>
        <v>0</v>
      </c>
      <c r="BB86" s="285">
        <f t="shared" si="124"/>
        <v>0</v>
      </c>
      <c r="BC86" s="407">
        <f t="shared" si="124"/>
        <v>0</v>
      </c>
      <c r="BD86" s="407">
        <f t="shared" si="127"/>
        <v>0</v>
      </c>
      <c r="BE86" s="285">
        <f t="shared" si="127"/>
        <v>0</v>
      </c>
      <c r="BF86" s="91">
        <f t="shared" si="125"/>
        <v>0</v>
      </c>
      <c r="BG86" s="285">
        <f t="shared" si="126"/>
        <v>0</v>
      </c>
      <c r="BH86" s="407">
        <f t="shared" si="126"/>
        <v>0</v>
      </c>
    </row>
    <row r="87" spans="1:60" x14ac:dyDescent="0.25">
      <c r="A87" s="838">
        <v>39</v>
      </c>
      <c r="B87" s="91">
        <f t="shared" si="80"/>
        <v>0</v>
      </c>
      <c r="C87" s="285">
        <f t="shared" si="81"/>
        <v>0</v>
      </c>
      <c r="D87" s="285">
        <f t="shared" si="82"/>
        <v>0</v>
      </c>
      <c r="E87" s="285">
        <f t="shared" si="83"/>
        <v>0</v>
      </c>
      <c r="F87" s="285">
        <f t="shared" si="84"/>
        <v>0</v>
      </c>
      <c r="G87" s="407">
        <f t="shared" si="85"/>
        <v>0</v>
      </c>
      <c r="H87" s="91">
        <f t="shared" si="86"/>
        <v>0</v>
      </c>
      <c r="I87" s="285">
        <f t="shared" si="87"/>
        <v>0</v>
      </c>
      <c r="J87" s="285">
        <f t="shared" si="88"/>
        <v>0</v>
      </c>
      <c r="K87" s="285">
        <f t="shared" si="89"/>
        <v>0</v>
      </c>
      <c r="L87" s="407">
        <f t="shared" si="90"/>
        <v>0</v>
      </c>
      <c r="M87" s="407">
        <f t="shared" si="63"/>
        <v>0</v>
      </c>
      <c r="N87" s="91">
        <f t="shared" si="91"/>
        <v>0</v>
      </c>
      <c r="O87" s="285">
        <f t="shared" si="92"/>
        <v>0</v>
      </c>
      <c r="P87" s="285">
        <f t="shared" si="93"/>
        <v>0</v>
      </c>
      <c r="Q87" s="285">
        <f t="shared" si="94"/>
        <v>0</v>
      </c>
      <c r="R87" s="285">
        <f t="shared" si="95"/>
        <v>0</v>
      </c>
      <c r="S87" s="285">
        <f t="shared" si="96"/>
        <v>0</v>
      </c>
      <c r="T87" s="285">
        <f t="shared" si="97"/>
        <v>0</v>
      </c>
      <c r="U87" s="285">
        <f t="shared" si="97"/>
        <v>0</v>
      </c>
      <c r="V87" s="285">
        <f t="shared" si="98"/>
        <v>0</v>
      </c>
      <c r="W87" s="285">
        <f t="shared" si="99"/>
        <v>0</v>
      </c>
      <c r="X87" s="407">
        <f t="shared" si="99"/>
        <v>0</v>
      </c>
      <c r="Y87" s="285">
        <f t="shared" si="100"/>
        <v>0</v>
      </c>
      <c r="Z87" s="285">
        <f t="shared" si="101"/>
        <v>0</v>
      </c>
      <c r="AA87" s="285">
        <f t="shared" si="102"/>
        <v>0</v>
      </c>
      <c r="AB87" s="285">
        <f t="shared" si="103"/>
        <v>0</v>
      </c>
      <c r="AC87" s="285">
        <f t="shared" si="104"/>
        <v>0</v>
      </c>
      <c r="AD87" s="285">
        <f t="shared" si="105"/>
        <v>0</v>
      </c>
      <c r="AE87" s="91">
        <f t="shared" si="106"/>
        <v>0</v>
      </c>
      <c r="AF87" s="407">
        <f t="shared" si="106"/>
        <v>0</v>
      </c>
      <c r="AG87" s="91">
        <f t="shared" si="107"/>
        <v>0</v>
      </c>
      <c r="AH87" s="285">
        <f t="shared" si="108"/>
        <v>0</v>
      </c>
      <c r="AI87" s="285">
        <f t="shared" si="109"/>
        <v>0</v>
      </c>
      <c r="AJ87" s="285">
        <f t="shared" si="110"/>
        <v>0</v>
      </c>
      <c r="AK87" s="407">
        <f t="shared" si="111"/>
        <v>0</v>
      </c>
      <c r="AL87" s="407">
        <f t="shared" si="111"/>
        <v>0</v>
      </c>
      <c r="AM87" s="407">
        <f t="shared" si="111"/>
        <v>0</v>
      </c>
      <c r="AN87" s="407">
        <f t="shared" si="111"/>
        <v>0</v>
      </c>
      <c r="AO87" s="91">
        <f t="shared" si="112"/>
        <v>0</v>
      </c>
      <c r="AP87" s="285">
        <f t="shared" si="113"/>
        <v>0</v>
      </c>
      <c r="AQ87" s="285">
        <f t="shared" si="114"/>
        <v>0</v>
      </c>
      <c r="AR87" s="285">
        <f t="shared" si="115"/>
        <v>0</v>
      </c>
      <c r="AS87" s="285">
        <f t="shared" si="116"/>
        <v>0</v>
      </c>
      <c r="AT87" s="285">
        <f t="shared" si="117"/>
        <v>0</v>
      </c>
      <c r="AU87" s="285">
        <f t="shared" si="118"/>
        <v>0</v>
      </c>
      <c r="AV87" s="285">
        <f t="shared" si="119"/>
        <v>0</v>
      </c>
      <c r="AW87" s="285">
        <f t="shared" si="120"/>
        <v>0</v>
      </c>
      <c r="AX87" s="407">
        <f t="shared" si="121"/>
        <v>0</v>
      </c>
      <c r="AY87" s="91">
        <f t="shared" si="122"/>
        <v>0</v>
      </c>
      <c r="AZ87" s="285">
        <f t="shared" si="123"/>
        <v>0</v>
      </c>
      <c r="BA87" s="91">
        <f t="shared" si="122"/>
        <v>0</v>
      </c>
      <c r="BB87" s="285">
        <f t="shared" si="124"/>
        <v>0</v>
      </c>
      <c r="BC87" s="407">
        <f t="shared" si="124"/>
        <v>0</v>
      </c>
      <c r="BD87" s="407">
        <f t="shared" si="127"/>
        <v>0</v>
      </c>
      <c r="BE87" s="285">
        <f t="shared" si="127"/>
        <v>0</v>
      </c>
      <c r="BF87" s="91">
        <f t="shared" si="125"/>
        <v>0</v>
      </c>
      <c r="BG87" s="285">
        <f t="shared" si="126"/>
        <v>0</v>
      </c>
      <c r="BH87" s="407">
        <f t="shared" si="126"/>
        <v>0</v>
      </c>
    </row>
    <row r="88" spans="1:60" ht="15.75" thickBot="1" x14ac:dyDescent="0.3">
      <c r="A88" s="236">
        <v>40</v>
      </c>
      <c r="B88" s="518">
        <f t="shared" si="80"/>
        <v>0</v>
      </c>
      <c r="C88" s="519">
        <f t="shared" si="81"/>
        <v>0</v>
      </c>
      <c r="D88" s="519">
        <f t="shared" si="82"/>
        <v>0</v>
      </c>
      <c r="E88" s="519">
        <f t="shared" si="83"/>
        <v>0</v>
      </c>
      <c r="F88" s="519">
        <f t="shared" si="84"/>
        <v>0</v>
      </c>
      <c r="G88" s="408">
        <f t="shared" si="85"/>
        <v>0</v>
      </c>
      <c r="H88" s="518">
        <f t="shared" si="86"/>
        <v>0</v>
      </c>
      <c r="I88" s="519">
        <f t="shared" si="87"/>
        <v>0</v>
      </c>
      <c r="J88" s="519">
        <f t="shared" si="88"/>
        <v>0</v>
      </c>
      <c r="K88" s="519">
        <f t="shared" si="89"/>
        <v>0</v>
      </c>
      <c r="L88" s="408">
        <f t="shared" si="90"/>
        <v>0</v>
      </c>
      <c r="M88" s="407">
        <f t="shared" si="63"/>
        <v>0</v>
      </c>
      <c r="N88" s="518">
        <f t="shared" si="91"/>
        <v>0</v>
      </c>
      <c r="O88" s="519">
        <f t="shared" si="92"/>
        <v>0</v>
      </c>
      <c r="P88" s="519">
        <f t="shared" si="93"/>
        <v>0</v>
      </c>
      <c r="Q88" s="519">
        <f t="shared" si="94"/>
        <v>0</v>
      </c>
      <c r="R88" s="519">
        <f t="shared" si="95"/>
        <v>0</v>
      </c>
      <c r="S88" s="519">
        <f t="shared" si="96"/>
        <v>0</v>
      </c>
      <c r="T88" s="519">
        <f t="shared" si="97"/>
        <v>0</v>
      </c>
      <c r="U88" s="519">
        <f t="shared" si="97"/>
        <v>0</v>
      </c>
      <c r="V88" s="519">
        <f t="shared" si="98"/>
        <v>0</v>
      </c>
      <c r="W88" s="519">
        <f t="shared" si="99"/>
        <v>0</v>
      </c>
      <c r="X88" s="408">
        <f t="shared" si="99"/>
        <v>0</v>
      </c>
      <c r="Y88" s="519">
        <f t="shared" si="100"/>
        <v>0</v>
      </c>
      <c r="Z88" s="519">
        <f t="shared" si="101"/>
        <v>0</v>
      </c>
      <c r="AA88" s="519">
        <f t="shared" si="102"/>
        <v>0</v>
      </c>
      <c r="AB88" s="519">
        <f t="shared" si="103"/>
        <v>0</v>
      </c>
      <c r="AC88" s="519">
        <f t="shared" si="104"/>
        <v>0</v>
      </c>
      <c r="AD88" s="519">
        <f t="shared" si="105"/>
        <v>0</v>
      </c>
      <c r="AE88" s="518">
        <f t="shared" si="106"/>
        <v>0</v>
      </c>
      <c r="AF88" s="408">
        <f t="shared" si="106"/>
        <v>0</v>
      </c>
      <c r="AG88" s="518">
        <f t="shared" si="107"/>
        <v>0</v>
      </c>
      <c r="AH88" s="519">
        <f t="shared" si="108"/>
        <v>0</v>
      </c>
      <c r="AI88" s="519">
        <f t="shared" si="109"/>
        <v>0</v>
      </c>
      <c r="AJ88" s="519">
        <f t="shared" si="110"/>
        <v>0</v>
      </c>
      <c r="AK88" s="408">
        <f t="shared" si="111"/>
        <v>0</v>
      </c>
      <c r="AL88" s="407">
        <f t="shared" si="111"/>
        <v>0</v>
      </c>
      <c r="AM88" s="407">
        <f t="shared" si="111"/>
        <v>0</v>
      </c>
      <c r="AN88" s="407">
        <f t="shared" si="111"/>
        <v>0</v>
      </c>
      <c r="AO88" s="518">
        <f t="shared" si="112"/>
        <v>0</v>
      </c>
      <c r="AP88" s="519">
        <f t="shared" si="113"/>
        <v>0</v>
      </c>
      <c r="AQ88" s="519">
        <f t="shared" si="114"/>
        <v>0</v>
      </c>
      <c r="AR88" s="519">
        <f t="shared" si="115"/>
        <v>0</v>
      </c>
      <c r="AS88" s="519">
        <f t="shared" si="116"/>
        <v>0</v>
      </c>
      <c r="AT88" s="519">
        <f t="shared" si="117"/>
        <v>0</v>
      </c>
      <c r="AU88" s="519">
        <f t="shared" si="118"/>
        <v>0</v>
      </c>
      <c r="AV88" s="519">
        <f t="shared" si="119"/>
        <v>0</v>
      </c>
      <c r="AW88" s="519">
        <f t="shared" si="120"/>
        <v>0</v>
      </c>
      <c r="AX88" s="408">
        <f t="shared" si="121"/>
        <v>0</v>
      </c>
      <c r="AY88" s="518">
        <f t="shared" si="122"/>
        <v>0</v>
      </c>
      <c r="AZ88" s="519">
        <f t="shared" si="123"/>
        <v>0</v>
      </c>
      <c r="BA88" s="518">
        <f t="shared" si="122"/>
        <v>0</v>
      </c>
      <c r="BB88" s="519">
        <f t="shared" si="124"/>
        <v>0</v>
      </c>
      <c r="BC88" s="408">
        <f t="shared" si="124"/>
        <v>0</v>
      </c>
      <c r="BD88" s="408">
        <f t="shared" si="127"/>
        <v>0</v>
      </c>
      <c r="BE88" s="519">
        <f t="shared" si="127"/>
        <v>0</v>
      </c>
      <c r="BF88" s="518">
        <f t="shared" si="125"/>
        <v>0</v>
      </c>
      <c r="BG88" s="519">
        <f t="shared" si="126"/>
        <v>0</v>
      </c>
      <c r="BH88" s="408">
        <f t="shared" si="126"/>
        <v>0</v>
      </c>
    </row>
    <row r="89" spans="1:60" ht="23.25" thickBot="1" x14ac:dyDescent="0.3">
      <c r="A89" s="484" t="s">
        <v>101</v>
      </c>
      <c r="B89" s="102">
        <f>SUM(B49:B88)</f>
        <v>2</v>
      </c>
      <c r="C89" s="409">
        <f t="shared" ref="C89:BH89" si="128">SUM(C49:C88)</f>
        <v>2</v>
      </c>
      <c r="D89" s="409">
        <f t="shared" si="128"/>
        <v>0</v>
      </c>
      <c r="E89" s="409">
        <f t="shared" si="128"/>
        <v>1</v>
      </c>
      <c r="F89" s="409">
        <f t="shared" si="128"/>
        <v>1</v>
      </c>
      <c r="G89" s="410">
        <f t="shared" si="128"/>
        <v>0</v>
      </c>
      <c r="H89" s="102">
        <f t="shared" si="128"/>
        <v>3</v>
      </c>
      <c r="I89" s="409">
        <f t="shared" si="128"/>
        <v>0</v>
      </c>
      <c r="J89" s="409">
        <f t="shared" si="128"/>
        <v>1</v>
      </c>
      <c r="K89" s="409">
        <f t="shared" si="128"/>
        <v>0</v>
      </c>
      <c r="L89" s="410">
        <f t="shared" si="128"/>
        <v>0</v>
      </c>
      <c r="M89" s="410">
        <f t="shared" si="128"/>
        <v>0</v>
      </c>
      <c r="N89" s="102">
        <f t="shared" si="128"/>
        <v>0</v>
      </c>
      <c r="O89" s="409">
        <f t="shared" si="128"/>
        <v>4</v>
      </c>
      <c r="P89" s="409">
        <f t="shared" si="128"/>
        <v>0</v>
      </c>
      <c r="Q89" s="409">
        <f>SUM(Q49:Q88)</f>
        <v>0</v>
      </c>
      <c r="R89" s="409">
        <f>SUM(R49:R88)</f>
        <v>0</v>
      </c>
      <c r="S89" s="409">
        <f t="shared" si="128"/>
        <v>0</v>
      </c>
      <c r="T89" s="409">
        <f t="shared" ref="T89" si="129">SUM(T49:T88)</f>
        <v>0</v>
      </c>
      <c r="U89" s="409">
        <f t="shared" si="128"/>
        <v>0</v>
      </c>
      <c r="V89" s="409">
        <f t="shared" si="128"/>
        <v>0</v>
      </c>
      <c r="W89" s="409">
        <f t="shared" si="128"/>
        <v>0</v>
      </c>
      <c r="X89" s="410">
        <f t="shared" ref="X89:AD89" si="130">SUM(X49:X88)</f>
        <v>0</v>
      </c>
      <c r="Y89" s="409">
        <f t="shared" si="130"/>
        <v>0</v>
      </c>
      <c r="Z89" s="409">
        <f t="shared" si="130"/>
        <v>0</v>
      </c>
      <c r="AA89" s="409">
        <f t="shared" si="130"/>
        <v>0</v>
      </c>
      <c r="AB89" s="409">
        <f t="shared" si="130"/>
        <v>0</v>
      </c>
      <c r="AC89" s="409">
        <f t="shared" si="130"/>
        <v>0</v>
      </c>
      <c r="AD89" s="409">
        <f t="shared" si="130"/>
        <v>0</v>
      </c>
      <c r="AE89" s="102">
        <f t="shared" si="128"/>
        <v>0</v>
      </c>
      <c r="AF89" s="410">
        <f t="shared" si="128"/>
        <v>1</v>
      </c>
      <c r="AG89" s="102">
        <f t="shared" si="128"/>
        <v>0</v>
      </c>
      <c r="AH89" s="409">
        <f t="shared" si="128"/>
        <v>0</v>
      </c>
      <c r="AI89" s="409">
        <f t="shared" si="128"/>
        <v>0</v>
      </c>
      <c r="AJ89" s="409">
        <f t="shared" si="128"/>
        <v>0</v>
      </c>
      <c r="AK89" s="410">
        <f t="shared" si="128"/>
        <v>0</v>
      </c>
      <c r="AL89" s="410">
        <f t="shared" si="128"/>
        <v>0</v>
      </c>
      <c r="AM89" s="410">
        <f t="shared" si="128"/>
        <v>0</v>
      </c>
      <c r="AN89" s="410">
        <f t="shared" si="128"/>
        <v>0</v>
      </c>
      <c r="AO89" s="410">
        <f t="shared" si="128"/>
        <v>0</v>
      </c>
      <c r="AP89" s="409">
        <f t="shared" si="128"/>
        <v>0</v>
      </c>
      <c r="AQ89" s="409">
        <f t="shared" si="128"/>
        <v>0</v>
      </c>
      <c r="AR89" s="409">
        <f t="shared" si="128"/>
        <v>0</v>
      </c>
      <c r="AS89" s="409">
        <f t="shared" si="128"/>
        <v>0</v>
      </c>
      <c r="AT89" s="409">
        <f t="shared" si="128"/>
        <v>0</v>
      </c>
      <c r="AU89" s="409">
        <f t="shared" si="128"/>
        <v>0</v>
      </c>
      <c r="AV89" s="409">
        <f t="shared" si="128"/>
        <v>0</v>
      </c>
      <c r="AW89" s="409">
        <f t="shared" si="128"/>
        <v>0</v>
      </c>
      <c r="AX89" s="410">
        <f t="shared" si="128"/>
        <v>0</v>
      </c>
      <c r="AY89" s="102">
        <f t="shared" si="128"/>
        <v>0</v>
      </c>
      <c r="AZ89" s="409">
        <f t="shared" si="128"/>
        <v>0</v>
      </c>
      <c r="BA89" s="102">
        <f>SUM(BA49:BA88)</f>
        <v>0</v>
      </c>
      <c r="BB89" s="409">
        <f t="shared" si="128"/>
        <v>0</v>
      </c>
      <c r="BC89" s="410">
        <f>SUM(BC49:BC88)</f>
        <v>0</v>
      </c>
      <c r="BD89" s="410">
        <f>SUM(BD49:BD88)</f>
        <v>0</v>
      </c>
      <c r="BE89" s="409">
        <f>SUM(BE49:BE88)</f>
        <v>0</v>
      </c>
      <c r="BF89" s="102">
        <f t="shared" si="128"/>
        <v>0</v>
      </c>
      <c r="BG89" s="409">
        <f t="shared" ref="BG89" si="131">SUM(BG49:BG88)</f>
        <v>0</v>
      </c>
      <c r="BH89" s="410">
        <f t="shared" si="128"/>
        <v>0</v>
      </c>
    </row>
  </sheetData>
  <sheetProtection selectLockedCells="1"/>
  <mergeCells count="18">
    <mergeCell ref="A1:A2"/>
    <mergeCell ref="B1:G1"/>
    <mergeCell ref="AE1:AF1"/>
    <mergeCell ref="N1:X1"/>
    <mergeCell ref="Y1:AD1"/>
    <mergeCell ref="H1:M1"/>
    <mergeCell ref="AG1:AN1"/>
    <mergeCell ref="BJ26:BK34"/>
    <mergeCell ref="AO1:AX1"/>
    <mergeCell ref="BF1:BH1"/>
    <mergeCell ref="BJ18:BK25"/>
    <mergeCell ref="BJ14:BJ16"/>
    <mergeCell ref="BK14:BK16"/>
    <mergeCell ref="BJ6:BJ8"/>
    <mergeCell ref="BK6:BK8"/>
    <mergeCell ref="BJ10:BJ12"/>
    <mergeCell ref="BK10:BK12"/>
    <mergeCell ref="AY1:BE1"/>
  </mergeCells>
  <conditionalFormatting sqref="AF6:AF45">
    <cfRule type="expression" dxfId="464" priority="153">
      <formula>AND($AF6=0,$A6&gt;$AF$5)</formula>
    </cfRule>
    <cfRule type="expression" dxfId="463" priority="707">
      <formula>AND($AF6=0,$A6&lt;=$AF$5)</formula>
    </cfRule>
  </conditionalFormatting>
  <conditionalFormatting sqref="B6:BH45">
    <cfRule type="expression" dxfId="462" priority="151">
      <formula>AND(B$5&lt;&gt;"",$A6&gt;B$5)</formula>
    </cfRule>
    <cfRule type="expression" dxfId="461" priority="152">
      <formula>B$46&gt;B$3</formula>
    </cfRule>
  </conditionalFormatting>
  <conditionalFormatting sqref="B2:BH2">
    <cfRule type="expression" dxfId="460" priority="2">
      <formula>B$5=MATCH(B$3,B$6:B$45,0)</formula>
    </cfRule>
    <cfRule type="expression" dxfId="459" priority="3">
      <formula>AND(B$3=0,B$3&lt;&gt;"")</formula>
    </cfRule>
  </conditionalFormatting>
  <conditionalFormatting sqref="AG2:BH2">
    <cfRule type="expression" dxfId="458" priority="1">
      <formula>AG$47=MATCH(AG$3,AG$6:AG$45,0)</formula>
    </cfRule>
  </conditionalFormatting>
  <dataValidations count="4">
    <dataValidation type="list" allowBlank="1" showInputMessage="1" showErrorMessage="1" sqref="BJ2">
      <formula1>"1,2,3,4,5,6,7,8,9,10,11"</formula1>
    </dataValidation>
    <dataValidation type="list" allowBlank="1" showInputMessage="1" showErrorMessage="1" sqref="BK2">
      <formula1>"1,2,3,4,5"</formula1>
    </dataValidation>
    <dataValidation type="list" allowBlank="1" showInputMessage="1" showErrorMessage="1" sqref="BL2">
      <formula1>"Français,English"</formula1>
    </dataValidation>
    <dataValidation type="whole" allowBlank="1" showInputMessage="1" showErrorMessage="1" sqref="BM2">
      <formula1>0</formula1>
      <formula2>10000</formula2>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rgb="FF7030A0"/>
  </sheetPr>
  <dimension ref="A1:AN119"/>
  <sheetViews>
    <sheetView zoomScale="85" zoomScaleNormal="85" workbookViewId="0">
      <pane ySplit="12" topLeftCell="A13" activePane="bottomLeft" state="frozen"/>
      <selection pane="bottomLeft" activeCell="O52" sqref="O52"/>
    </sheetView>
  </sheetViews>
  <sheetFormatPr baseColWidth="10" defaultRowHeight="15" x14ac:dyDescent="0.25"/>
  <cols>
    <col min="1" max="1" width="7.7109375" bestFit="1" customWidth="1"/>
    <col min="2" max="2" width="8.42578125" bestFit="1" customWidth="1"/>
    <col min="3" max="3" width="9.7109375" bestFit="1" customWidth="1"/>
    <col min="4" max="4" width="8.5703125" bestFit="1" customWidth="1"/>
    <col min="5" max="5" width="7.7109375" bestFit="1" customWidth="1"/>
    <col min="6" max="6" width="8.42578125" bestFit="1" customWidth="1"/>
    <col min="7" max="7" width="9.7109375" bestFit="1" customWidth="1"/>
    <col min="8" max="8" width="8.5703125" bestFit="1" customWidth="1"/>
    <col min="9" max="9" width="7.7109375" bestFit="1" customWidth="1"/>
    <col min="10" max="10" width="8.42578125" bestFit="1" customWidth="1"/>
    <col min="11" max="11" width="9.7109375" bestFit="1" customWidth="1"/>
    <col min="12" max="12" width="8.5703125" bestFit="1" customWidth="1"/>
    <col min="13" max="13" width="7.7109375" bestFit="1" customWidth="1"/>
    <col min="14" max="14" width="8.42578125" bestFit="1" customWidth="1"/>
    <col min="15" max="15" width="9.7109375" bestFit="1" customWidth="1"/>
    <col min="16" max="16" width="9.140625" bestFit="1" customWidth="1"/>
    <col min="17" max="17" width="7.85546875" bestFit="1" customWidth="1"/>
    <col min="18" max="18" width="8.5703125" bestFit="1" customWidth="1"/>
    <col min="19" max="19" width="9.85546875" bestFit="1" customWidth="1"/>
    <col min="20" max="20" width="8.7109375" bestFit="1" customWidth="1"/>
    <col min="21" max="21" width="7.85546875" bestFit="1" customWidth="1"/>
    <col min="22" max="22" width="8.5703125" bestFit="1" customWidth="1"/>
    <col min="23" max="23" width="9.85546875" bestFit="1" customWidth="1"/>
    <col min="24" max="24" width="8.7109375" bestFit="1" customWidth="1"/>
    <col min="25" max="25" width="7.85546875" bestFit="1" customWidth="1"/>
    <col min="26" max="26" width="8.5703125" bestFit="1" customWidth="1"/>
    <col min="27" max="28" width="9.85546875" bestFit="1" customWidth="1"/>
    <col min="29" max="29" width="8.7109375" bestFit="1" customWidth="1"/>
    <col min="30" max="30" width="8.5703125" bestFit="1" customWidth="1"/>
    <col min="31" max="32" width="9.85546875" bestFit="1" customWidth="1"/>
    <col min="33" max="33" width="8.7109375" bestFit="1" customWidth="1"/>
    <col min="34" max="34" width="8.5703125" bestFit="1" customWidth="1"/>
    <col min="35" max="35" width="9.85546875" bestFit="1" customWidth="1"/>
    <col min="36" max="36" width="8.7109375" bestFit="1" customWidth="1"/>
    <col min="37" max="37" width="7.85546875" bestFit="1" customWidth="1"/>
    <col min="38" max="38" width="8.5703125" bestFit="1" customWidth="1"/>
    <col min="39" max="39" width="9.85546875" bestFit="1" customWidth="1"/>
    <col min="40" max="40" width="8.7109375" bestFit="1" customWidth="1"/>
    <col min="41" max="16384" width="11.42578125" style="743"/>
  </cols>
  <sheetData>
    <row r="1" spans="1:40" ht="15.75" thickBot="1" x14ac:dyDescent="0.3">
      <c r="A1" s="734"/>
      <c r="B1" s="734"/>
      <c r="C1" s="734"/>
      <c r="D1" s="734"/>
      <c r="E1" s="734"/>
      <c r="F1" s="734"/>
      <c r="G1" s="734"/>
      <c r="H1" s="734"/>
      <c r="I1" s="734"/>
      <c r="J1" s="734"/>
      <c r="K1" s="734"/>
      <c r="L1" s="734"/>
      <c r="M1" s="734"/>
      <c r="N1" s="734"/>
      <c r="O1" s="734"/>
      <c r="P1" s="734"/>
      <c r="Q1" s="734"/>
      <c r="R1" s="734"/>
      <c r="S1" s="734"/>
      <c r="T1" s="734"/>
      <c r="U1" s="734"/>
      <c r="V1" s="734"/>
      <c r="W1" s="734"/>
      <c r="X1" s="734"/>
      <c r="Y1" s="734"/>
      <c r="Z1" s="734"/>
      <c r="AA1" s="734"/>
      <c r="AB1" s="734"/>
      <c r="AC1" s="734"/>
      <c r="AD1" s="734"/>
      <c r="AE1" s="734"/>
      <c r="AF1" s="734"/>
      <c r="AG1" s="734"/>
      <c r="AH1" s="734"/>
      <c r="AI1" s="734"/>
      <c r="AJ1" s="734"/>
      <c r="AK1" s="734"/>
      <c r="AL1" s="734"/>
      <c r="AM1" s="734"/>
      <c r="AN1" s="734"/>
    </row>
    <row r="2" spans="1:40" ht="15.75" customHeight="1" x14ac:dyDescent="0.25">
      <c r="A2" s="734"/>
      <c r="B2" s="734"/>
      <c r="C2" s="551"/>
      <c r="D2" s="1346" t="s">
        <v>689</v>
      </c>
      <c r="E2" s="1347"/>
      <c r="F2" s="1347"/>
      <c r="G2" s="1347"/>
      <c r="H2" s="1348"/>
      <c r="I2" s="170">
        <f>SUM(VALUE_Spell_Lightning[Total],VALUE_Spell_Healing[Total],VALUE_Spell_Rage[Total],VALUE_Spell_Jump[Total],VALUE_Spell_Freeze[Total])</f>
        <v>0</v>
      </c>
      <c r="J2" s="734"/>
      <c r="K2" s="734"/>
      <c r="L2" s="734"/>
      <c r="M2" s="734"/>
      <c r="N2" s="734"/>
      <c r="O2" s="734"/>
      <c r="P2" s="734"/>
      <c r="Q2" s="734"/>
      <c r="R2" s="734"/>
      <c r="S2" s="734"/>
      <c r="T2" s="734"/>
      <c r="U2" s="734"/>
      <c r="V2" s="734"/>
      <c r="W2" s="734"/>
      <c r="X2" s="734"/>
      <c r="Y2" s="734"/>
      <c r="Z2" s="734"/>
      <c r="AA2" s="734"/>
      <c r="AB2" s="734"/>
      <c r="AC2" s="734"/>
      <c r="AD2" s="734"/>
      <c r="AE2" s="734"/>
      <c r="AF2" s="734"/>
      <c r="AG2" s="734"/>
      <c r="AH2" s="734"/>
      <c r="AI2" s="734"/>
      <c r="AJ2" s="734"/>
      <c r="AK2" s="734"/>
      <c r="AL2" s="734"/>
      <c r="AM2" s="734"/>
      <c r="AN2" s="752"/>
    </row>
    <row r="3" spans="1:40" ht="15" customHeight="1" thickBot="1" x14ac:dyDescent="0.3">
      <c r="A3" s="734"/>
      <c r="B3" s="734"/>
      <c r="C3" s="551"/>
      <c r="D3" s="1340" t="s">
        <v>725</v>
      </c>
      <c r="E3" s="1341"/>
      <c r="F3" s="1341"/>
      <c r="G3" s="1341"/>
      <c r="H3" s="1342"/>
      <c r="I3" s="171">
        <f>SUM(VALUE_Spell_Poison[Total],VALUE_Spell_Earthquake[Total],VALUE_Spell_Haste[Total])</f>
        <v>0</v>
      </c>
      <c r="J3" s="760"/>
      <c r="K3" s="734"/>
      <c r="L3" s="734"/>
      <c r="M3" s="734"/>
      <c r="N3" s="734"/>
      <c r="O3" s="734"/>
      <c r="P3" s="734"/>
      <c r="Q3" s="734"/>
      <c r="R3" s="734"/>
      <c r="S3" s="734"/>
      <c r="T3" s="734"/>
      <c r="U3" s="734"/>
      <c r="V3" s="734"/>
      <c r="W3" s="734"/>
      <c r="X3" s="734"/>
      <c r="Y3" s="734"/>
      <c r="Z3" s="734"/>
      <c r="AA3" s="734"/>
      <c r="AB3" s="734"/>
      <c r="AC3" s="734"/>
      <c r="AD3" s="734"/>
      <c r="AE3" s="734"/>
      <c r="AF3" s="734"/>
      <c r="AG3" s="734"/>
      <c r="AH3" s="734"/>
      <c r="AI3" s="734"/>
      <c r="AJ3" s="734"/>
      <c r="AK3" s="734"/>
      <c r="AL3" s="734"/>
      <c r="AM3" s="734"/>
      <c r="AN3" s="752"/>
    </row>
    <row r="4" spans="1:40" ht="15" customHeight="1" thickBot="1" x14ac:dyDescent="0.3">
      <c r="A4" s="734"/>
      <c r="B4" s="734"/>
      <c r="C4" s="551"/>
      <c r="D4" s="1340" t="s">
        <v>693</v>
      </c>
      <c r="E4" s="1341"/>
      <c r="F4" s="1341"/>
      <c r="G4" s="1341"/>
      <c r="H4" s="1342"/>
      <c r="I4" s="171">
        <f>SUM(VALUE_Barbarian[Total],VALUE_Archer[Total],VALUE_Goblin[Total],VALUE_Giant[Total],VALUE_Wall_Breaker[Total],VALUE_Balloon[Total],VALUE_Wizard[Total],VALUE_Healer[Total],VALUE_Dragon[Total],VALUE_PEKKA[Total])</f>
        <v>0</v>
      </c>
      <c r="J4" s="760"/>
      <c r="K4" s="1279" t="s">
        <v>697</v>
      </c>
      <c r="L4" s="1281"/>
      <c r="M4" s="734"/>
      <c r="N4" s="734"/>
      <c r="O4" s="734"/>
      <c r="P4" s="734"/>
      <c r="Q4" s="734"/>
      <c r="R4" s="734"/>
      <c r="S4" s="734"/>
      <c r="T4" s="734"/>
      <c r="U4" s="734"/>
      <c r="V4" s="734"/>
      <c r="W4" s="734"/>
      <c r="X4" s="734"/>
      <c r="Y4" s="734"/>
      <c r="Z4" s="734"/>
      <c r="AA4" s="734"/>
      <c r="AB4" s="734"/>
      <c r="AC4" s="734"/>
      <c r="AD4" s="734"/>
      <c r="AE4" s="734"/>
      <c r="AF4" s="734"/>
      <c r="AG4" s="734"/>
      <c r="AH4" s="734"/>
      <c r="AI4" s="734"/>
      <c r="AJ4" s="734"/>
      <c r="AK4" s="734"/>
      <c r="AL4" s="752"/>
      <c r="AM4" s="752"/>
      <c r="AN4" s="752"/>
    </row>
    <row r="5" spans="1:40" ht="15" customHeight="1" thickBot="1" x14ac:dyDescent="0.3">
      <c r="A5" s="734"/>
      <c r="B5" s="734"/>
      <c r="C5" s="551"/>
      <c r="D5" s="1340" t="s">
        <v>692</v>
      </c>
      <c r="E5" s="1341"/>
      <c r="F5" s="1341"/>
      <c r="G5" s="1341"/>
      <c r="H5" s="1342"/>
      <c r="I5" s="171">
        <f>SUM(VALUE_Minion[Total],VALUE_Hog_Rider[Total],VALUE_Valkyrie[Total],VALUE_Golem[Total],VALUE_Witch[Total],VALUE_Lava_Hound[Total])</f>
        <v>0</v>
      </c>
      <c r="J5" s="760"/>
      <c r="K5" s="1349">
        <f>SUM(I2:I11)</f>
        <v>0</v>
      </c>
      <c r="L5" s="1350"/>
      <c r="M5" s="734"/>
      <c r="N5" s="734"/>
      <c r="O5" s="734"/>
      <c r="P5" s="734"/>
      <c r="Q5" s="734"/>
      <c r="R5" s="734"/>
      <c r="S5" s="734"/>
      <c r="T5" s="734"/>
      <c r="U5" s="734"/>
      <c r="V5" s="734"/>
      <c r="W5" s="734"/>
      <c r="X5" s="734"/>
      <c r="Y5" s="734"/>
      <c r="Z5" s="734"/>
      <c r="AA5" s="734"/>
      <c r="AB5" s="734"/>
      <c r="AC5" s="734"/>
      <c r="AD5" s="734"/>
      <c r="AE5" s="734"/>
      <c r="AF5" s="734"/>
      <c r="AG5" s="734"/>
      <c r="AH5" s="734"/>
      <c r="AI5" s="734"/>
      <c r="AJ5" s="734"/>
      <c r="AK5" s="734"/>
      <c r="AL5" s="734"/>
      <c r="AM5" s="734"/>
      <c r="AN5" s="752"/>
    </row>
    <row r="6" spans="1:40" ht="15" customHeight="1" x14ac:dyDescent="0.25">
      <c r="A6" s="734"/>
      <c r="B6" s="734"/>
      <c r="C6" s="551"/>
      <c r="D6" s="1340" t="s">
        <v>678</v>
      </c>
      <c r="E6" s="1341"/>
      <c r="F6" s="1341"/>
      <c r="G6" s="1341"/>
      <c r="H6" s="1342"/>
      <c r="I6" s="171">
        <f>SUM(VALUE_Gold_Mine[Total],VALUE_Dark_Elixir_Drill[Total],VALUE_Gold_Storage[Total],VALUE_Dark_Elixir_Storage[Total],VALUE_Elixir_Collector[Total],VALUE_Elixir_Storage[Total])</f>
        <v>0</v>
      </c>
      <c r="J6" s="760"/>
      <c r="K6" s="734"/>
      <c r="L6" s="734"/>
      <c r="M6" s="734"/>
      <c r="N6" s="734"/>
      <c r="O6" s="734"/>
      <c r="P6" s="734"/>
      <c r="Q6" s="734"/>
      <c r="R6" s="734"/>
      <c r="S6" s="734"/>
      <c r="T6" s="734"/>
      <c r="U6" s="734"/>
      <c r="V6" s="734"/>
      <c r="W6" s="734"/>
      <c r="X6" s="734"/>
      <c r="Y6" s="734"/>
      <c r="Z6" s="734"/>
      <c r="AA6" s="734"/>
      <c r="AB6" s="734"/>
      <c r="AC6" s="734"/>
      <c r="AD6" s="734"/>
      <c r="AE6" s="734"/>
      <c r="AF6" s="734"/>
      <c r="AG6" s="734"/>
      <c r="AH6" s="734"/>
      <c r="AI6" s="734"/>
      <c r="AJ6" s="734"/>
      <c r="AK6" s="734"/>
      <c r="AL6" s="734"/>
      <c r="AM6" s="734"/>
      <c r="AN6" s="752"/>
    </row>
    <row r="7" spans="1:40" ht="15" customHeight="1" x14ac:dyDescent="0.25">
      <c r="A7" s="734"/>
      <c r="B7" s="734"/>
      <c r="C7" s="551"/>
      <c r="D7" s="1340" t="s">
        <v>679</v>
      </c>
      <c r="E7" s="1341"/>
      <c r="F7" s="1341"/>
      <c r="G7" s="1341"/>
      <c r="H7" s="1342"/>
      <c r="I7" s="171">
        <f>SUM(VALUE_Dark_Barrack[Total],VALUE_Barrack[Total],VALUE_Army_Camp[Total],VALUE_Laboratory[Total],VALUE_Spell_Factory[Total],VALUE_Dark_Spell_Factory[Total])</f>
        <v>0</v>
      </c>
      <c r="J7" s="760"/>
      <c r="K7" s="734"/>
      <c r="L7" s="734"/>
      <c r="M7" s="734"/>
      <c r="N7" s="734"/>
      <c r="O7" s="734"/>
      <c r="P7" s="734"/>
      <c r="Q7" s="734"/>
      <c r="R7" s="734"/>
      <c r="S7" s="734"/>
      <c r="T7" s="734"/>
      <c r="U7" s="734"/>
      <c r="V7" s="734"/>
      <c r="W7" s="734"/>
      <c r="X7" s="734"/>
      <c r="Y7" s="734"/>
      <c r="Z7" s="734"/>
      <c r="AA7" s="734"/>
      <c r="AB7" s="734"/>
      <c r="AC7" s="734"/>
      <c r="AD7" s="734"/>
      <c r="AE7" s="734"/>
      <c r="AF7" s="734"/>
      <c r="AG7" s="734"/>
      <c r="AH7" s="734"/>
      <c r="AI7" s="734"/>
      <c r="AJ7" s="734"/>
      <c r="AK7" s="734"/>
      <c r="AL7" s="734"/>
      <c r="AM7" s="734"/>
      <c r="AN7" s="752"/>
    </row>
    <row r="8" spans="1:40" ht="15" customHeight="1" x14ac:dyDescent="0.25">
      <c r="A8" s="734"/>
      <c r="B8" s="734"/>
      <c r="C8" s="551"/>
      <c r="D8" s="1340" t="s">
        <v>682</v>
      </c>
      <c r="E8" s="1341"/>
      <c r="F8" s="1341"/>
      <c r="G8" s="1341"/>
      <c r="H8" s="1342"/>
      <c r="I8" s="171">
        <f>SUM(VALUE_Clan_Castle[Total],VALUE_Town_Home[Total])</f>
        <v>0</v>
      </c>
      <c r="J8" s="760"/>
      <c r="K8" s="734"/>
      <c r="L8" s="734"/>
      <c r="M8" s="734"/>
      <c r="N8" s="734"/>
      <c r="O8" s="734"/>
      <c r="P8" s="734"/>
      <c r="Q8" s="734"/>
      <c r="R8" s="734"/>
      <c r="S8" s="734"/>
      <c r="T8" s="734"/>
      <c r="U8" s="734"/>
      <c r="V8" s="734"/>
      <c r="W8" s="734"/>
      <c r="X8" s="734"/>
      <c r="Y8" s="734"/>
      <c r="Z8" s="734"/>
      <c r="AA8" s="734"/>
      <c r="AB8" s="734"/>
      <c r="AC8" s="734"/>
      <c r="AD8" s="734"/>
      <c r="AE8" s="734"/>
      <c r="AF8" s="734"/>
      <c r="AG8" s="734"/>
      <c r="AH8" s="734"/>
      <c r="AI8" s="734"/>
      <c r="AJ8" s="734"/>
      <c r="AK8" s="734"/>
      <c r="AL8" s="734"/>
      <c r="AM8" s="734"/>
      <c r="AN8" s="752"/>
    </row>
    <row r="9" spans="1:40" ht="15" customHeight="1" x14ac:dyDescent="0.25">
      <c r="A9" s="734"/>
      <c r="B9" s="734"/>
      <c r="C9" s="551"/>
      <c r="D9" s="1340" t="s">
        <v>680</v>
      </c>
      <c r="E9" s="1341"/>
      <c r="F9" s="1341"/>
      <c r="G9" s="1341"/>
      <c r="H9" s="1342"/>
      <c r="I9" s="171">
        <f>SUM(VALUE_Wall[Total],VALUE_Cannon[Total],VALUE_Archer_Tower[Total],VALUE_Mortar[Total],VALUE_Air_Defense[Total],VALUE_Wizard_Tower[Total],VALUE_Air_Sweeper[Total],VALUE_Hidden_Tesla[Total],VALUE_XBow[Total],VALUE_Inferno_Tower[Total])</f>
        <v>0</v>
      </c>
      <c r="J9" s="760"/>
      <c r="K9" s="734"/>
      <c r="L9" s="734"/>
      <c r="M9" s="734"/>
      <c r="N9" s="734"/>
      <c r="O9" s="734"/>
      <c r="P9" s="734"/>
      <c r="Q9" s="734"/>
      <c r="R9" s="734"/>
      <c r="S9" s="734"/>
      <c r="T9" s="734"/>
      <c r="U9" s="734"/>
      <c r="V9" s="734"/>
      <c r="W9" s="734"/>
      <c r="X9" s="734"/>
      <c r="Y9" s="734"/>
      <c r="Z9" s="734"/>
      <c r="AA9" s="734"/>
      <c r="AB9" s="734"/>
      <c r="AC9" s="734"/>
      <c r="AD9" s="734"/>
      <c r="AE9" s="734"/>
      <c r="AF9" s="734"/>
      <c r="AG9" s="734"/>
      <c r="AH9" s="734"/>
      <c r="AI9" s="734"/>
      <c r="AJ9" s="734"/>
      <c r="AK9" s="734"/>
      <c r="AL9" s="734"/>
      <c r="AM9" s="734"/>
      <c r="AN9" s="752"/>
    </row>
    <row r="10" spans="1:40" ht="15.75" customHeight="1" x14ac:dyDescent="0.25">
      <c r="A10" s="734"/>
      <c r="B10" s="734"/>
      <c r="C10" s="551"/>
      <c r="D10" s="1340" t="s">
        <v>681</v>
      </c>
      <c r="E10" s="1341"/>
      <c r="F10" s="1341"/>
      <c r="G10" s="1341"/>
      <c r="H10" s="1342"/>
      <c r="I10" s="171">
        <f>SUM(VALUE_Bomb[Total],VALUE_Spring_Trap[Total],VALUE_Giant_Bomb[Total],VALUE_Air_Bomb[Total],VALUE_Seeking_Air_Mine[Total],VALUE_Skeleton_Trap[Total])</f>
        <v>0</v>
      </c>
      <c r="J10" s="760"/>
      <c r="K10" s="734"/>
      <c r="L10" s="734"/>
      <c r="M10" s="734"/>
      <c r="N10" s="734"/>
      <c r="O10" s="734"/>
      <c r="P10" s="734"/>
      <c r="Q10" s="734"/>
      <c r="R10" s="734"/>
      <c r="S10" s="734"/>
      <c r="T10" s="734"/>
      <c r="U10" s="734"/>
      <c r="V10" s="734"/>
      <c r="W10" s="734"/>
      <c r="X10" s="734"/>
      <c r="Y10" s="734"/>
      <c r="Z10" s="734"/>
      <c r="AA10" s="734"/>
      <c r="AB10" s="734"/>
      <c r="AC10" s="734"/>
      <c r="AD10" s="734"/>
      <c r="AE10" s="734"/>
      <c r="AF10" s="734"/>
      <c r="AG10" s="734"/>
      <c r="AH10" s="734"/>
      <c r="AI10" s="734"/>
      <c r="AJ10" s="734"/>
      <c r="AK10" s="734"/>
      <c r="AL10" s="734"/>
      <c r="AM10" s="734"/>
      <c r="AN10" s="752"/>
    </row>
    <row r="11" spans="1:40" ht="15.75" customHeight="1" thickBot="1" x14ac:dyDescent="0.3">
      <c r="A11" s="734"/>
      <c r="B11" s="734"/>
      <c r="C11" s="551"/>
      <c r="D11" s="1343" t="s">
        <v>683</v>
      </c>
      <c r="E11" s="1344"/>
      <c r="F11" s="1344"/>
      <c r="G11" s="1344"/>
      <c r="H11" s="1345"/>
      <c r="I11" s="448">
        <f>SUM(VALUE_Barbarian_King[Total],VALUE_Archer_Queen[Total])</f>
        <v>0</v>
      </c>
      <c r="J11" s="760"/>
      <c r="K11" s="734"/>
      <c r="L11" s="734"/>
      <c r="M11" s="734"/>
      <c r="N11" s="734"/>
      <c r="O11" s="734"/>
      <c r="P11" s="734"/>
      <c r="Q11" s="734"/>
      <c r="R11" s="734"/>
      <c r="S11" s="734"/>
      <c r="T11" s="734"/>
      <c r="U11" s="734"/>
      <c r="V11" s="734"/>
      <c r="W11" s="734"/>
      <c r="X11" s="734"/>
      <c r="Y11" s="734"/>
      <c r="Z11" s="734"/>
      <c r="AA11" s="734"/>
      <c r="AB11" s="734"/>
      <c r="AC11" s="734"/>
      <c r="AD11" s="734"/>
      <c r="AE11" s="734"/>
      <c r="AF11" s="734"/>
      <c r="AG11" s="734"/>
      <c r="AH11" s="734"/>
      <c r="AI11" s="734"/>
      <c r="AJ11" s="734"/>
      <c r="AK11" s="734"/>
      <c r="AL11" s="734"/>
      <c r="AM11" s="734"/>
      <c r="AN11" s="752"/>
    </row>
    <row r="12" spans="1:40" ht="15.75" thickBot="1" x14ac:dyDescent="0.3">
      <c r="A12" s="734"/>
      <c r="B12" s="734"/>
      <c r="C12" s="734"/>
      <c r="D12" s="734"/>
      <c r="E12" s="734"/>
      <c r="F12" s="734"/>
      <c r="G12" s="734"/>
      <c r="H12" s="734"/>
      <c r="I12" s="734"/>
      <c r="J12" s="734"/>
      <c r="K12" s="734"/>
      <c r="L12" s="734"/>
      <c r="M12" s="734"/>
      <c r="N12" s="734"/>
      <c r="O12" s="734"/>
      <c r="P12" s="734"/>
      <c r="Q12" s="734"/>
      <c r="R12" s="734"/>
      <c r="S12" s="734"/>
      <c r="T12" s="734"/>
      <c r="U12" s="734"/>
      <c r="V12" s="734"/>
      <c r="W12" s="734"/>
      <c r="X12" s="734"/>
      <c r="Y12" s="734"/>
      <c r="Z12" s="734"/>
      <c r="AA12" s="734"/>
      <c r="AB12" s="734"/>
      <c r="AC12" s="734"/>
      <c r="AD12" s="734"/>
      <c r="AE12" s="734"/>
      <c r="AF12" s="734"/>
      <c r="AG12" s="734"/>
      <c r="AH12" s="734"/>
      <c r="AI12" s="734"/>
      <c r="AJ12" s="734"/>
      <c r="AK12" s="734"/>
      <c r="AL12" s="734"/>
      <c r="AM12" s="734"/>
      <c r="AN12" s="734"/>
    </row>
    <row r="13" spans="1:40" ht="19.5" customHeight="1" thickBot="1" x14ac:dyDescent="0.3">
      <c r="A13" s="1269" t="s">
        <v>689</v>
      </c>
      <c r="B13" s="1270"/>
      <c r="C13" s="1270"/>
      <c r="D13" s="1270"/>
      <c r="E13" s="1270"/>
      <c r="F13" s="1270"/>
      <c r="G13" s="1270"/>
      <c r="H13" s="1270"/>
      <c r="I13" s="1270"/>
      <c r="J13" s="1270"/>
      <c r="K13" s="1270"/>
      <c r="L13" s="1270"/>
      <c r="M13" s="1270"/>
      <c r="N13" s="1270"/>
      <c r="O13" s="1270"/>
      <c r="P13" s="1270"/>
      <c r="Q13" s="1270"/>
      <c r="R13" s="1270"/>
      <c r="S13" s="1270"/>
      <c r="T13" s="1271"/>
      <c r="U13" s="734"/>
      <c r="V13" s="734"/>
      <c r="W13" s="734"/>
      <c r="X13" s="734"/>
      <c r="Y13" s="734"/>
      <c r="Z13" s="734"/>
      <c r="AA13" s="734"/>
      <c r="AB13" s="734"/>
      <c r="AC13" s="734"/>
      <c r="AD13" s="734"/>
      <c r="AE13" s="734"/>
      <c r="AF13" s="734"/>
      <c r="AG13" s="734"/>
      <c r="AH13" s="734"/>
      <c r="AI13" s="734"/>
      <c r="AJ13" s="734"/>
      <c r="AK13" s="734"/>
      <c r="AL13" s="734"/>
      <c r="AM13" s="734"/>
      <c r="AN13" s="734"/>
    </row>
    <row r="14" spans="1:40" ht="15.75" customHeight="1" thickBot="1" x14ac:dyDescent="0.3">
      <c r="A14" s="1279" t="s">
        <v>190</v>
      </c>
      <c r="B14" s="1280"/>
      <c r="C14" s="1280"/>
      <c r="D14" s="1281"/>
      <c r="E14" s="1279" t="s">
        <v>191</v>
      </c>
      <c r="F14" s="1280"/>
      <c r="G14" s="1280"/>
      <c r="H14" s="1281"/>
      <c r="I14" s="1279" t="s">
        <v>192</v>
      </c>
      <c r="J14" s="1280"/>
      <c r="K14" s="1280"/>
      <c r="L14" s="1281"/>
      <c r="M14" s="1279" t="s">
        <v>193</v>
      </c>
      <c r="N14" s="1280"/>
      <c r="O14" s="1280"/>
      <c r="P14" s="1281"/>
      <c r="Q14" s="1279" t="s">
        <v>194</v>
      </c>
      <c r="R14" s="1280"/>
      <c r="S14" s="1280"/>
      <c r="T14" s="1281"/>
      <c r="U14" s="734"/>
      <c r="V14" s="734"/>
      <c r="W14" s="734"/>
      <c r="X14" s="734"/>
      <c r="Y14" s="734"/>
      <c r="Z14" s="734"/>
      <c r="AA14" s="734"/>
      <c r="AB14" s="734"/>
      <c r="AC14" s="734"/>
      <c r="AD14" s="734"/>
      <c r="AE14" s="734"/>
      <c r="AF14" s="734"/>
      <c r="AG14" s="734"/>
      <c r="AH14" s="734"/>
      <c r="AI14" s="734"/>
      <c r="AJ14" s="734"/>
      <c r="AK14" s="734"/>
      <c r="AL14" s="734"/>
      <c r="AM14" s="734"/>
      <c r="AN14" s="734"/>
    </row>
    <row r="15" spans="1:40" ht="15.75" thickBot="1" x14ac:dyDescent="0.3">
      <c r="A15" s="173" t="s">
        <v>17</v>
      </c>
      <c r="B15" s="450" t="s">
        <v>696</v>
      </c>
      <c r="C15" s="451" t="s">
        <v>677</v>
      </c>
      <c r="D15" s="452" t="s">
        <v>31</v>
      </c>
      <c r="E15" s="173" t="s">
        <v>17</v>
      </c>
      <c r="F15" s="450" t="s">
        <v>696</v>
      </c>
      <c r="G15" s="451" t="s">
        <v>677</v>
      </c>
      <c r="H15" s="452" t="s">
        <v>31</v>
      </c>
      <c r="I15" s="173" t="s">
        <v>17</v>
      </c>
      <c r="J15" s="450" t="s">
        <v>696</v>
      </c>
      <c r="K15" s="451" t="s">
        <v>677</v>
      </c>
      <c r="L15" s="452" t="s">
        <v>31</v>
      </c>
      <c r="M15" s="173" t="s">
        <v>17</v>
      </c>
      <c r="N15" s="450" t="s">
        <v>696</v>
      </c>
      <c r="O15" s="451" t="s">
        <v>677</v>
      </c>
      <c r="P15" s="452" t="s">
        <v>31</v>
      </c>
      <c r="Q15" s="173" t="s">
        <v>17</v>
      </c>
      <c r="R15" s="450" t="s">
        <v>696</v>
      </c>
      <c r="S15" s="451" t="s">
        <v>677</v>
      </c>
      <c r="T15" s="452" t="s">
        <v>31</v>
      </c>
      <c r="U15" s="152"/>
      <c r="V15" s="734"/>
      <c r="W15" s="734"/>
      <c r="X15" s="734"/>
      <c r="Y15" s="734"/>
      <c r="Z15" s="734"/>
      <c r="AA15" s="734"/>
      <c r="AB15" s="734"/>
      <c r="AC15" s="734"/>
      <c r="AD15" s="734"/>
      <c r="AE15" s="734"/>
      <c r="AF15" s="734"/>
      <c r="AG15" s="734"/>
      <c r="AH15" s="734"/>
      <c r="AI15" s="734"/>
      <c r="AJ15" s="734"/>
      <c r="AK15" s="734"/>
      <c r="AL15" s="734"/>
      <c r="AM15" s="734"/>
      <c r="AN15" s="734"/>
    </row>
    <row r="16" spans="1:40" x14ac:dyDescent="0.25">
      <c r="A16" s="857">
        <v>1</v>
      </c>
      <c r="B16" s="619">
        <f>Paramètres!AG6</f>
        <v>0</v>
      </c>
      <c r="C16" s="736">
        <v>100</v>
      </c>
      <c r="D16" s="170">
        <f>VALUE_Spell_Lightning[[#This Row],[Valeur]]*VALUE_Spell_Lightning[[#This Row],[Rang]]</f>
        <v>0</v>
      </c>
      <c r="E16" s="731">
        <v>1</v>
      </c>
      <c r="F16" s="619">
        <f>Paramètres!AH6</f>
        <v>0</v>
      </c>
      <c r="G16" s="736">
        <v>200</v>
      </c>
      <c r="H16" s="621">
        <f>VALUE_Spell_Healing[[#This Row],[Valeur]]*VALUE_Spell_Healing[[#This Row],[Rang]]</f>
        <v>0</v>
      </c>
      <c r="I16" s="726">
        <v>1</v>
      </c>
      <c r="J16" s="619">
        <f>Paramètres!AI6</f>
        <v>0</v>
      </c>
      <c r="K16" s="736">
        <v>100</v>
      </c>
      <c r="L16" s="621">
        <f>VALUE_Spell_Rage[[#This Row],[Valeur]]*VALUE_Spell_Rage[[#This Row],[Rang]]</f>
        <v>0</v>
      </c>
      <c r="M16" s="726">
        <v>1</v>
      </c>
      <c r="N16" s="619">
        <f>Paramètres!AJ6</f>
        <v>0</v>
      </c>
      <c r="O16" s="736">
        <v>100</v>
      </c>
      <c r="P16" s="621">
        <f>VALUE_Spell_Jump[[#This Row],[Valeur]]*VALUE_Spell_Jump[[#This Row],[Rang]]</f>
        <v>0</v>
      </c>
      <c r="Q16" s="726">
        <v>1</v>
      </c>
      <c r="R16" s="619">
        <f>Paramètres!AK6</f>
        <v>0</v>
      </c>
      <c r="S16" s="736">
        <v>1000</v>
      </c>
      <c r="T16" s="170">
        <f>VALUE_Spell_Freeze[[#This Row],[Valeur]]*VALUE_Spell_Freeze[[#This Row],[Rang]]</f>
        <v>0</v>
      </c>
      <c r="U16" s="152"/>
      <c r="V16" s="734"/>
      <c r="W16" s="734"/>
      <c r="X16" s="734"/>
      <c r="Y16" s="734"/>
      <c r="Z16" s="734"/>
      <c r="AA16" s="734"/>
      <c r="AB16" s="734"/>
      <c r="AC16" s="734"/>
      <c r="AD16" s="734"/>
      <c r="AE16" s="734"/>
      <c r="AF16" s="734"/>
      <c r="AG16" s="734"/>
      <c r="AH16" s="734"/>
      <c r="AI16" s="734"/>
      <c r="AJ16" s="734"/>
      <c r="AK16" s="734"/>
      <c r="AL16" s="734"/>
      <c r="AM16" s="734"/>
      <c r="AN16" s="734"/>
    </row>
    <row r="17" spans="1:40" x14ac:dyDescent="0.25">
      <c r="A17" s="470">
        <v>2</v>
      </c>
      <c r="B17" s="618">
        <f>Paramètres!AG7</f>
        <v>0</v>
      </c>
      <c r="C17" s="735">
        <v>200</v>
      </c>
      <c r="D17" s="171">
        <f>VALUE_Spell_Lightning[[#This Row],[Valeur]]*VALUE_Spell_Lightning[[#This Row],[Rang]]</f>
        <v>0</v>
      </c>
      <c r="E17" s="553">
        <v>2</v>
      </c>
      <c r="F17" s="618">
        <f>Paramètres!AH7</f>
        <v>0</v>
      </c>
      <c r="G17" s="735">
        <v>400</v>
      </c>
      <c r="H17" s="165">
        <f>VALUE_Spell_Healing[[#This Row],[Valeur]]*VALUE_Spell_Healing[[#This Row],[Rang]]</f>
        <v>0</v>
      </c>
      <c r="I17" s="470">
        <v>2</v>
      </c>
      <c r="J17" s="618">
        <f>Paramètres!AI7</f>
        <v>0</v>
      </c>
      <c r="K17" s="735">
        <v>200</v>
      </c>
      <c r="L17" s="165">
        <f>VALUE_Spell_Rage[[#This Row],[Valeur]]*VALUE_Spell_Rage[[#This Row],[Rang]]</f>
        <v>0</v>
      </c>
      <c r="M17" s="470">
        <v>2</v>
      </c>
      <c r="N17" s="618">
        <f>Paramètres!AJ7</f>
        <v>0</v>
      </c>
      <c r="O17" s="735">
        <v>200</v>
      </c>
      <c r="P17" s="165">
        <f>VALUE_Spell_Jump[[#This Row],[Valeur]]*VALUE_Spell_Jump[[#This Row],[Rang]]</f>
        <v>0</v>
      </c>
      <c r="Q17" s="470">
        <v>2</v>
      </c>
      <c r="R17" s="618">
        <f>Paramètres!AK7</f>
        <v>0</v>
      </c>
      <c r="S17" s="735">
        <v>2000</v>
      </c>
      <c r="T17" s="171">
        <f>VALUE_Spell_Freeze[[#This Row],[Valeur]]*VALUE_Spell_Freeze[[#This Row],[Rang]]</f>
        <v>0</v>
      </c>
      <c r="U17" s="152"/>
      <c r="V17" s="734"/>
      <c r="W17" s="734"/>
      <c r="X17" s="734"/>
      <c r="Y17" s="734"/>
      <c r="Z17" s="734"/>
      <c r="AA17" s="734"/>
      <c r="AB17" s="734"/>
      <c r="AC17" s="734"/>
      <c r="AD17" s="734"/>
      <c r="AE17" s="734"/>
      <c r="AF17" s="734"/>
      <c r="AG17" s="734"/>
      <c r="AH17" s="734"/>
      <c r="AI17" s="734"/>
      <c r="AJ17" s="734"/>
      <c r="AK17" s="734"/>
      <c r="AL17" s="734"/>
      <c r="AM17" s="734"/>
      <c r="AN17" s="734"/>
    </row>
    <row r="18" spans="1:40" ht="15.75" thickBot="1" x14ac:dyDescent="0.3">
      <c r="A18" s="470">
        <v>3</v>
      </c>
      <c r="B18" s="618">
        <f>Paramètres!AG8</f>
        <v>0</v>
      </c>
      <c r="C18" s="735">
        <v>300</v>
      </c>
      <c r="D18" s="171">
        <f>VALUE_Spell_Lightning[[#This Row],[Valeur]]*VALUE_Spell_Lightning[[#This Row],[Rang]]</f>
        <v>0</v>
      </c>
      <c r="E18" s="553">
        <v>3</v>
      </c>
      <c r="F18" s="618">
        <f>Paramètres!AH8</f>
        <v>0</v>
      </c>
      <c r="G18" s="735">
        <v>600</v>
      </c>
      <c r="H18" s="165">
        <f>VALUE_Spell_Healing[[#This Row],[Valeur]]*VALUE_Spell_Healing[[#This Row],[Rang]]</f>
        <v>0</v>
      </c>
      <c r="I18" s="470">
        <v>3</v>
      </c>
      <c r="J18" s="618">
        <f>Paramètres!AI8</f>
        <v>0</v>
      </c>
      <c r="K18" s="735">
        <v>300</v>
      </c>
      <c r="L18" s="165">
        <f>VALUE_Spell_Rage[[#This Row],[Valeur]]*VALUE_Spell_Rage[[#This Row],[Rang]]</f>
        <v>0</v>
      </c>
      <c r="M18" s="477">
        <v>3</v>
      </c>
      <c r="N18" s="620">
        <f>Paramètres!AJ8</f>
        <v>0</v>
      </c>
      <c r="O18" s="737">
        <v>300</v>
      </c>
      <c r="P18" s="622">
        <f>VALUE_Spell_Jump[[#This Row],[Valeur]]*VALUE_Spell_Jump[[#This Row],[Rang]]</f>
        <v>0</v>
      </c>
      <c r="Q18" s="470">
        <v>3</v>
      </c>
      <c r="R18" s="618">
        <f>Paramètres!AK8</f>
        <v>0</v>
      </c>
      <c r="S18" s="735">
        <v>3000</v>
      </c>
      <c r="T18" s="171">
        <f>VALUE_Spell_Freeze[[#This Row],[Valeur]]*VALUE_Spell_Freeze[[#This Row],[Rang]]</f>
        <v>0</v>
      </c>
      <c r="U18" s="152"/>
      <c r="V18" s="734"/>
      <c r="W18" s="734"/>
      <c r="X18" s="734"/>
      <c r="Y18" s="734"/>
      <c r="Z18" s="734"/>
      <c r="AA18" s="734"/>
      <c r="AB18" s="734"/>
      <c r="AC18" s="734"/>
      <c r="AD18" s="734"/>
      <c r="AE18" s="734"/>
      <c r="AF18" s="734"/>
      <c r="AG18" s="734"/>
      <c r="AH18" s="734"/>
      <c r="AI18" s="734"/>
      <c r="AJ18" s="734"/>
      <c r="AK18" s="734"/>
      <c r="AL18" s="734"/>
      <c r="AM18" s="734"/>
      <c r="AN18" s="734"/>
    </row>
    <row r="19" spans="1:40" x14ac:dyDescent="0.25">
      <c r="A19" s="470">
        <v>4</v>
      </c>
      <c r="B19" s="618">
        <f>Paramètres!AG9</f>
        <v>0</v>
      </c>
      <c r="C19" s="735">
        <v>400</v>
      </c>
      <c r="D19" s="171">
        <f>VALUE_Spell_Lightning[[#This Row],[Valeur]]*VALUE_Spell_Lightning[[#This Row],[Rang]]</f>
        <v>0</v>
      </c>
      <c r="E19" s="553">
        <v>4</v>
      </c>
      <c r="F19" s="618">
        <f>Paramètres!AH9</f>
        <v>0</v>
      </c>
      <c r="G19" s="735">
        <v>800</v>
      </c>
      <c r="H19" s="165">
        <f>VALUE_Spell_Healing[[#This Row],[Valeur]]*VALUE_Spell_Healing[[#This Row],[Rang]]</f>
        <v>0</v>
      </c>
      <c r="I19" s="470">
        <v>4</v>
      </c>
      <c r="J19" s="618">
        <f>Paramètres!AI9</f>
        <v>0</v>
      </c>
      <c r="K19" s="735">
        <v>400</v>
      </c>
      <c r="L19" s="171">
        <f>VALUE_Spell_Rage[[#This Row],[Valeur]]*VALUE_Spell_Rage[[#This Row],[Rang]]</f>
        <v>0</v>
      </c>
      <c r="M19" s="152"/>
      <c r="N19" s="152"/>
      <c r="O19" s="152"/>
      <c r="P19" s="152"/>
      <c r="Q19" s="470">
        <v>4</v>
      </c>
      <c r="R19" s="618">
        <f>Paramètres!AK9</f>
        <v>0</v>
      </c>
      <c r="S19" s="735">
        <v>4000</v>
      </c>
      <c r="T19" s="171">
        <f>VALUE_Spell_Freeze[[#This Row],[Valeur]]*VALUE_Spell_Freeze[[#This Row],[Rang]]</f>
        <v>0</v>
      </c>
      <c r="U19" s="152"/>
      <c r="V19" s="734"/>
      <c r="W19" s="734"/>
      <c r="X19" s="734"/>
      <c r="Y19" s="734"/>
      <c r="Z19" s="734"/>
      <c r="AA19" s="734"/>
      <c r="AB19" s="734"/>
      <c r="AC19" s="734"/>
      <c r="AD19" s="734"/>
      <c r="AE19" s="734"/>
      <c r="AF19" s="734"/>
      <c r="AG19" s="734"/>
      <c r="AH19" s="734"/>
      <c r="AI19" s="734"/>
      <c r="AJ19" s="734"/>
      <c r="AK19" s="734"/>
      <c r="AL19" s="734"/>
      <c r="AM19" s="734"/>
      <c r="AN19" s="734"/>
    </row>
    <row r="20" spans="1:40" ht="15.75" thickBot="1" x14ac:dyDescent="0.3">
      <c r="A20" s="470">
        <v>5</v>
      </c>
      <c r="B20" s="618">
        <f>Paramètres!AG10</f>
        <v>0</v>
      </c>
      <c r="C20" s="735">
        <v>500</v>
      </c>
      <c r="D20" s="171">
        <f>VALUE_Spell_Lightning[[#This Row],[Valeur]]*VALUE_Spell_Lightning[[#This Row],[Rang]]</f>
        <v>0</v>
      </c>
      <c r="E20" s="553">
        <v>5</v>
      </c>
      <c r="F20" s="618">
        <f>Paramètres!AH10</f>
        <v>0</v>
      </c>
      <c r="G20" s="735">
        <v>1000</v>
      </c>
      <c r="H20" s="165">
        <f>VALUE_Spell_Healing[[#This Row],[Valeur]]*VALUE_Spell_Healing[[#This Row],[Rang]]</f>
        <v>0</v>
      </c>
      <c r="I20" s="477">
        <v>5</v>
      </c>
      <c r="J20" s="620">
        <f>Paramètres!AI10</f>
        <v>0</v>
      </c>
      <c r="K20" s="737">
        <v>500</v>
      </c>
      <c r="L20" s="448">
        <f>VALUE_Spell_Rage[[#This Row],[Valeur]]*VALUE_Spell_Rage[[#This Row],[Rang]]</f>
        <v>0</v>
      </c>
      <c r="M20" s="152"/>
      <c r="N20" s="152"/>
      <c r="O20" s="152"/>
      <c r="P20" s="152"/>
      <c r="Q20" s="477">
        <v>5</v>
      </c>
      <c r="R20" s="620">
        <f>Paramètres!AK10</f>
        <v>0</v>
      </c>
      <c r="S20" s="737">
        <v>5000</v>
      </c>
      <c r="T20" s="448">
        <f>VALUE_Spell_Freeze[[#This Row],[Valeur]]*VALUE_Spell_Freeze[[#This Row],[Rang]]</f>
        <v>0</v>
      </c>
      <c r="U20" s="152"/>
      <c r="V20" s="734"/>
      <c r="W20" s="734"/>
      <c r="X20" s="734"/>
      <c r="Y20" s="734"/>
      <c r="Z20" s="734"/>
      <c r="AA20" s="734"/>
      <c r="AB20" s="734"/>
      <c r="AC20" s="734"/>
      <c r="AD20" s="734"/>
      <c r="AE20" s="734"/>
      <c r="AF20" s="734"/>
      <c r="AG20" s="734"/>
      <c r="AH20" s="734"/>
      <c r="AI20" s="734"/>
      <c r="AJ20" s="734"/>
      <c r="AK20" s="734"/>
      <c r="AL20" s="734"/>
      <c r="AM20" s="734"/>
      <c r="AN20" s="734"/>
    </row>
    <row r="21" spans="1:40" ht="15.75" thickBot="1" x14ac:dyDescent="0.3">
      <c r="A21" s="470">
        <v>6</v>
      </c>
      <c r="B21" s="618">
        <f>Paramètres!AG11</f>
        <v>0</v>
      </c>
      <c r="C21" s="735">
        <v>600</v>
      </c>
      <c r="D21" s="171">
        <f>VALUE_Spell_Lightning[[#This Row],[Valeur]]*VALUE_Spell_Lightning[[#This Row],[Rang]]</f>
        <v>0</v>
      </c>
      <c r="E21" s="732">
        <v>6</v>
      </c>
      <c r="F21" s="620">
        <f>Paramètres!AH11</f>
        <v>0</v>
      </c>
      <c r="G21" s="737">
        <v>1200</v>
      </c>
      <c r="H21" s="448">
        <f>VALUE_Spell_Healing[[#This Row],[Valeur]]*VALUE_Spell_Healing[[#This Row],[Rang]]</f>
        <v>0</v>
      </c>
      <c r="I21" s="152"/>
      <c r="J21" s="152"/>
      <c r="K21" s="152"/>
      <c r="L21" s="152"/>
      <c r="M21" s="152"/>
      <c r="N21" s="152"/>
      <c r="O21" s="152"/>
      <c r="P21" s="152"/>
      <c r="Q21" s="152"/>
      <c r="R21" s="152"/>
      <c r="S21" s="152"/>
      <c r="T21" s="152"/>
      <c r="U21" s="152"/>
      <c r="V21" s="734"/>
      <c r="W21" s="734"/>
      <c r="X21" s="734"/>
      <c r="Y21" s="734"/>
      <c r="Z21" s="734"/>
      <c r="AA21" s="734"/>
      <c r="AB21" s="734"/>
      <c r="AC21" s="734"/>
      <c r="AD21" s="734"/>
      <c r="AE21" s="734"/>
      <c r="AF21" s="734"/>
      <c r="AG21" s="734"/>
      <c r="AH21" s="734"/>
      <c r="AI21" s="734"/>
      <c r="AJ21" s="734"/>
      <c r="AK21" s="734"/>
      <c r="AL21" s="734"/>
      <c r="AM21" s="734"/>
      <c r="AN21" s="734"/>
    </row>
    <row r="22" spans="1:40" ht="15.75" thickBot="1" x14ac:dyDescent="0.3">
      <c r="A22" s="477">
        <v>7</v>
      </c>
      <c r="B22" s="620">
        <f>Paramètres!AG12</f>
        <v>0</v>
      </c>
      <c r="C22" s="737">
        <v>700</v>
      </c>
      <c r="D22" s="448">
        <f>VALUE_Spell_Lightning[[#This Row],[Valeur]]*VALUE_Spell_Lightning[[#This Row],[Rang]]</f>
        <v>0</v>
      </c>
      <c r="E22" s="152"/>
      <c r="F22" s="152"/>
      <c r="G22" s="152"/>
      <c r="H22" s="152"/>
      <c r="I22" s="152"/>
      <c r="J22" s="152"/>
      <c r="K22" s="152"/>
      <c r="L22" s="152"/>
      <c r="M22" s="152"/>
      <c r="N22" s="152"/>
      <c r="O22" s="152"/>
      <c r="P22" s="152"/>
      <c r="Q22" s="152"/>
      <c r="R22" s="152"/>
      <c r="S22" s="152"/>
      <c r="T22" s="152"/>
      <c r="U22" s="152"/>
      <c r="V22" s="734"/>
      <c r="W22" s="734"/>
      <c r="X22" s="734"/>
      <c r="Y22" s="734"/>
      <c r="Z22" s="734"/>
      <c r="AA22" s="734"/>
      <c r="AB22" s="734"/>
      <c r="AC22" s="734"/>
      <c r="AD22" s="734"/>
      <c r="AE22" s="734"/>
      <c r="AF22" s="734"/>
      <c r="AG22" s="734"/>
      <c r="AH22" s="734"/>
      <c r="AI22" s="734"/>
      <c r="AJ22" s="734"/>
      <c r="AK22" s="734"/>
      <c r="AL22" s="734"/>
      <c r="AM22" s="734"/>
      <c r="AN22" s="734"/>
    </row>
    <row r="23" spans="1:40" x14ac:dyDescent="0.25">
      <c r="A23" s="152"/>
      <c r="B23" s="152"/>
      <c r="C23" s="152"/>
      <c r="D23" s="152"/>
      <c r="E23" s="152"/>
      <c r="F23" s="152"/>
      <c r="G23" s="152"/>
      <c r="H23" s="152"/>
      <c r="I23" s="152"/>
      <c r="J23" s="152"/>
      <c r="K23" s="152"/>
      <c r="L23" s="152"/>
      <c r="M23" s="152"/>
      <c r="N23" s="152"/>
      <c r="O23" s="152"/>
      <c r="P23" s="152"/>
      <c r="Q23" s="152"/>
      <c r="R23" s="152"/>
      <c r="S23" s="152"/>
      <c r="T23" s="152"/>
      <c r="U23" s="152"/>
      <c r="V23" s="152"/>
      <c r="W23" s="152"/>
      <c r="X23" s="152"/>
      <c r="Y23" s="152"/>
      <c r="Z23" s="152"/>
      <c r="AA23" s="152"/>
      <c r="AB23" s="152"/>
      <c r="AC23" s="152"/>
      <c r="AD23" s="152"/>
      <c r="AE23" s="152"/>
      <c r="AF23" s="152"/>
      <c r="AG23" s="152"/>
      <c r="AH23" s="734"/>
      <c r="AI23" s="734"/>
      <c r="AJ23" s="734"/>
      <c r="AK23" s="734"/>
      <c r="AL23" s="734"/>
      <c r="AM23" s="734"/>
      <c r="AN23" s="734"/>
    </row>
    <row r="24" spans="1:40" ht="15.75" thickBot="1" x14ac:dyDescent="0.3">
      <c r="A24" s="152"/>
      <c r="B24" s="152"/>
      <c r="C24" s="152"/>
      <c r="D24" s="152"/>
      <c r="E24" s="152"/>
      <c r="F24" s="152"/>
      <c r="G24" s="152"/>
      <c r="H24" s="152"/>
      <c r="I24" s="152"/>
      <c r="J24" s="152"/>
      <c r="K24" s="152"/>
      <c r="L24" s="152"/>
      <c r="M24" s="152"/>
      <c r="N24" s="152"/>
      <c r="O24" s="152"/>
      <c r="P24" s="152"/>
      <c r="Q24" s="152"/>
      <c r="R24" s="152"/>
      <c r="S24" s="152"/>
      <c r="T24" s="152"/>
      <c r="U24" s="152"/>
      <c r="V24" s="152"/>
      <c r="W24" s="152"/>
      <c r="X24" s="152"/>
      <c r="Y24" s="152"/>
      <c r="Z24" s="152"/>
      <c r="AA24" s="152"/>
      <c r="AB24" s="152"/>
      <c r="AC24" s="152"/>
      <c r="AD24" s="152"/>
      <c r="AE24" s="152"/>
      <c r="AF24" s="152"/>
      <c r="AG24" s="152"/>
      <c r="AH24" s="734"/>
      <c r="AI24" s="734"/>
      <c r="AJ24" s="734"/>
      <c r="AK24" s="734"/>
      <c r="AL24" s="734"/>
      <c r="AM24" s="734"/>
      <c r="AN24" s="734"/>
    </row>
    <row r="25" spans="1:40" ht="19.5" thickBot="1" x14ac:dyDescent="0.3">
      <c r="A25" s="1269" t="s">
        <v>693</v>
      </c>
      <c r="B25" s="1270"/>
      <c r="C25" s="1270"/>
      <c r="D25" s="1270"/>
      <c r="E25" s="1270"/>
      <c r="F25" s="1270"/>
      <c r="G25" s="1270"/>
      <c r="H25" s="1270"/>
      <c r="I25" s="1270"/>
      <c r="J25" s="1270"/>
      <c r="K25" s="1270"/>
      <c r="L25" s="1270"/>
      <c r="M25" s="1270"/>
      <c r="N25" s="1270"/>
      <c r="O25" s="1270"/>
      <c r="P25" s="1270"/>
      <c r="Q25" s="1270"/>
      <c r="R25" s="1270"/>
      <c r="S25" s="1270"/>
      <c r="T25" s="1270"/>
      <c r="U25" s="1270"/>
      <c r="V25" s="1270"/>
      <c r="W25" s="1270"/>
      <c r="X25" s="1270"/>
      <c r="Y25" s="1270"/>
      <c r="Z25" s="1270"/>
      <c r="AA25" s="1270"/>
      <c r="AB25" s="1270"/>
      <c r="AC25" s="1270"/>
      <c r="AD25" s="1270"/>
      <c r="AE25" s="1270"/>
      <c r="AF25" s="1270"/>
      <c r="AG25" s="1270"/>
      <c r="AH25" s="1270"/>
      <c r="AI25" s="1270"/>
      <c r="AJ25" s="1270"/>
      <c r="AK25" s="1270"/>
      <c r="AL25" s="1270"/>
      <c r="AM25" s="1270"/>
      <c r="AN25" s="1271"/>
    </row>
    <row r="26" spans="1:40" ht="15.75" thickBot="1" x14ac:dyDescent="0.3">
      <c r="A26" s="1279" t="s">
        <v>195</v>
      </c>
      <c r="B26" s="1280"/>
      <c r="C26" s="1280"/>
      <c r="D26" s="1281"/>
      <c r="E26" s="1279" t="s">
        <v>50</v>
      </c>
      <c r="F26" s="1280"/>
      <c r="G26" s="1280"/>
      <c r="H26" s="1281"/>
      <c r="I26" s="1279" t="s">
        <v>189</v>
      </c>
      <c r="J26" s="1280"/>
      <c r="K26" s="1280"/>
      <c r="L26" s="1281"/>
      <c r="M26" s="1279" t="s">
        <v>188</v>
      </c>
      <c r="N26" s="1280"/>
      <c r="O26" s="1280"/>
      <c r="P26" s="1281"/>
      <c r="Q26" s="1279" t="s">
        <v>187</v>
      </c>
      <c r="R26" s="1280"/>
      <c r="S26" s="1280"/>
      <c r="T26" s="1281"/>
      <c r="U26" s="1279" t="s">
        <v>186</v>
      </c>
      <c r="V26" s="1280"/>
      <c r="W26" s="1280"/>
      <c r="X26" s="1281"/>
      <c r="Y26" s="1279" t="s">
        <v>185</v>
      </c>
      <c r="Z26" s="1280"/>
      <c r="AA26" s="1280"/>
      <c r="AB26" s="1281"/>
      <c r="AC26" s="1279" t="s">
        <v>184</v>
      </c>
      <c r="AD26" s="1280"/>
      <c r="AE26" s="1280"/>
      <c r="AF26" s="1281"/>
      <c r="AG26" s="1279" t="s">
        <v>57</v>
      </c>
      <c r="AH26" s="1280"/>
      <c r="AI26" s="1280"/>
      <c r="AJ26" s="1281"/>
      <c r="AK26" s="1279" t="s">
        <v>58</v>
      </c>
      <c r="AL26" s="1280"/>
      <c r="AM26" s="1280"/>
      <c r="AN26" s="1281"/>
    </row>
    <row r="27" spans="1:40" ht="15.75" thickBot="1" x14ac:dyDescent="0.3">
      <c r="A27" s="173" t="s">
        <v>17</v>
      </c>
      <c r="B27" s="450" t="s">
        <v>696</v>
      </c>
      <c r="C27" s="451" t="s">
        <v>677</v>
      </c>
      <c r="D27" s="452" t="s">
        <v>31</v>
      </c>
      <c r="E27" s="173" t="s">
        <v>17</v>
      </c>
      <c r="F27" s="450" t="s">
        <v>696</v>
      </c>
      <c r="G27" s="451" t="s">
        <v>677</v>
      </c>
      <c r="H27" s="452" t="s">
        <v>31</v>
      </c>
      <c r="I27" s="173" t="s">
        <v>17</v>
      </c>
      <c r="J27" s="450" t="s">
        <v>696</v>
      </c>
      <c r="K27" s="451" t="s">
        <v>677</v>
      </c>
      <c r="L27" s="452" t="s">
        <v>31</v>
      </c>
      <c r="M27" s="173" t="s">
        <v>17</v>
      </c>
      <c r="N27" s="450" t="s">
        <v>696</v>
      </c>
      <c r="O27" s="451" t="s">
        <v>677</v>
      </c>
      <c r="P27" s="452" t="s">
        <v>31</v>
      </c>
      <c r="Q27" s="173" t="s">
        <v>17</v>
      </c>
      <c r="R27" s="450" t="s">
        <v>696</v>
      </c>
      <c r="S27" s="451" t="s">
        <v>677</v>
      </c>
      <c r="T27" s="452" t="s">
        <v>31</v>
      </c>
      <c r="U27" s="157" t="s">
        <v>17</v>
      </c>
      <c r="V27" s="158" t="s">
        <v>696</v>
      </c>
      <c r="W27" s="251" t="s">
        <v>677</v>
      </c>
      <c r="X27" s="159" t="s">
        <v>31</v>
      </c>
      <c r="Y27" s="157" t="s">
        <v>17</v>
      </c>
      <c r="Z27" s="158" t="s">
        <v>696</v>
      </c>
      <c r="AA27" s="251" t="s">
        <v>677</v>
      </c>
      <c r="AB27" s="159" t="s">
        <v>31</v>
      </c>
      <c r="AC27" s="157" t="s">
        <v>17</v>
      </c>
      <c r="AD27" s="158" t="s">
        <v>696</v>
      </c>
      <c r="AE27" s="251" t="s">
        <v>677</v>
      </c>
      <c r="AF27" s="159" t="s">
        <v>31</v>
      </c>
      <c r="AG27" s="830" t="s">
        <v>17</v>
      </c>
      <c r="AH27" s="831" t="s">
        <v>696</v>
      </c>
      <c r="AI27" s="832" t="s">
        <v>677</v>
      </c>
      <c r="AJ27" s="833" t="s">
        <v>31</v>
      </c>
      <c r="AK27" s="829" t="s">
        <v>17</v>
      </c>
      <c r="AL27" s="450" t="s">
        <v>696</v>
      </c>
      <c r="AM27" s="451" t="s">
        <v>677</v>
      </c>
      <c r="AN27" s="742" t="s">
        <v>31</v>
      </c>
    </row>
    <row r="28" spans="1:40" x14ac:dyDescent="0.25">
      <c r="A28" s="726">
        <v>1</v>
      </c>
      <c r="B28" s="619">
        <f>Paramètres!AO6</f>
        <v>0</v>
      </c>
      <c r="C28" s="736">
        <v>100</v>
      </c>
      <c r="D28" s="170">
        <f>VALUE_Barbarian[[#This Row],[Valeur]]*VALUE_Barbarian[[#This Row],[Rang]]</f>
        <v>0</v>
      </c>
      <c r="E28" s="726">
        <v>1</v>
      </c>
      <c r="F28" s="619">
        <f>Paramètres!AP6</f>
        <v>0</v>
      </c>
      <c r="G28" s="736">
        <v>150</v>
      </c>
      <c r="H28" s="170">
        <f>VALUE_Archer[[#This Row],[Valeur]]*VALUE_Archer[[#This Row],[Rang]]</f>
        <v>0</v>
      </c>
      <c r="I28" s="726">
        <v>1</v>
      </c>
      <c r="J28" s="619">
        <f>Paramètres!AQ6</f>
        <v>0</v>
      </c>
      <c r="K28" s="736">
        <v>50</v>
      </c>
      <c r="L28" s="170">
        <f>VALUE_Goblin[[#This Row],[Valeur]]*VALUE_Goblin[[#This Row],[Rang]]</f>
        <v>0</v>
      </c>
      <c r="M28" s="726">
        <v>1</v>
      </c>
      <c r="N28" s="619">
        <f>Paramètres!AR6</f>
        <v>0</v>
      </c>
      <c r="O28" s="736">
        <v>120</v>
      </c>
      <c r="P28" s="170">
        <f>VALUE_Giant[[#This Row],[Valeur]]*VALUE_Giant[[#This Row],[Rang]]</f>
        <v>0</v>
      </c>
      <c r="Q28" s="726">
        <v>1</v>
      </c>
      <c r="R28" s="619">
        <f>Paramètres!AS6</f>
        <v>0</v>
      </c>
      <c r="S28" s="736">
        <v>100</v>
      </c>
      <c r="T28" s="170">
        <f>VALUE_Wall_Breaker[[#This Row],[Valeur]]*VALUE_Wall_Breaker[[#This Row],[Rang]]</f>
        <v>0</v>
      </c>
      <c r="U28" s="726">
        <v>1</v>
      </c>
      <c r="V28" s="619">
        <f>Paramètres!AT6</f>
        <v>0</v>
      </c>
      <c r="W28" s="736">
        <v>120</v>
      </c>
      <c r="X28" s="170">
        <f>VALUE_Balloon[[#This Row],[Valeur]]*VALUE_Balloon[[#This Row],[Rang]]</f>
        <v>0</v>
      </c>
      <c r="Y28" s="726">
        <v>1</v>
      </c>
      <c r="Z28" s="619">
        <f>Paramètres!AU6</f>
        <v>0</v>
      </c>
      <c r="AA28" s="736">
        <v>150</v>
      </c>
      <c r="AB28" s="170">
        <f>VALUE_Wizard[[#This Row],[Valeur]]*VALUE_Wizard[[#This Row],[Rang]]</f>
        <v>0</v>
      </c>
      <c r="AC28" s="731">
        <v>1</v>
      </c>
      <c r="AD28" s="619">
        <f>Paramètres!AV6</f>
        <v>0</v>
      </c>
      <c r="AE28" s="736">
        <v>180</v>
      </c>
      <c r="AF28" s="170">
        <f>VALUE_Healer[[#This Row],[Valeur]]*VALUE_Healer[[#This Row],[Rang]]</f>
        <v>0</v>
      </c>
      <c r="AG28" s="731">
        <v>1</v>
      </c>
      <c r="AH28" s="619">
        <f>Paramètres!AW6</f>
        <v>0</v>
      </c>
      <c r="AI28" s="736">
        <v>150</v>
      </c>
      <c r="AJ28" s="621">
        <f>VALUE_Dragon[[#This Row],[Valeur]]*VALUE_Dragon[[#This Row],[Rang]]</f>
        <v>0</v>
      </c>
      <c r="AK28" s="731">
        <v>1</v>
      </c>
      <c r="AL28" s="619">
        <f>Paramètres!AX6</f>
        <v>0</v>
      </c>
      <c r="AM28" s="736">
        <v>120</v>
      </c>
      <c r="AN28" s="621">
        <f>VALUE_PEKKA[[#This Row],[Valeur]]*VALUE_PEKKA[[#This Row],[Rang]]</f>
        <v>0</v>
      </c>
    </row>
    <row r="29" spans="1:40" x14ac:dyDescent="0.25">
      <c r="A29" s="470">
        <v>2</v>
      </c>
      <c r="B29" s="618">
        <f>Paramètres!AO7</f>
        <v>0</v>
      </c>
      <c r="C29" s="735">
        <v>200</v>
      </c>
      <c r="D29" s="171">
        <f>VALUE_Barbarian[[#This Row],[Valeur]]*VALUE_Barbarian[[#This Row],[Rang]]</f>
        <v>0</v>
      </c>
      <c r="E29" s="470">
        <v>2</v>
      </c>
      <c r="F29" s="618">
        <f>Paramètres!AP7</f>
        <v>0</v>
      </c>
      <c r="G29" s="735">
        <v>300</v>
      </c>
      <c r="H29" s="171">
        <f>VALUE_Archer[[#This Row],[Valeur]]*VALUE_Archer[[#This Row],[Rang]]</f>
        <v>0</v>
      </c>
      <c r="I29" s="470">
        <v>2</v>
      </c>
      <c r="J29" s="618">
        <f>Paramètres!AQ7</f>
        <v>0</v>
      </c>
      <c r="K29" s="735">
        <v>100</v>
      </c>
      <c r="L29" s="171">
        <f>VALUE_Goblin[[#This Row],[Valeur]]*VALUE_Goblin[[#This Row],[Rang]]</f>
        <v>0</v>
      </c>
      <c r="M29" s="470">
        <v>2</v>
      </c>
      <c r="N29" s="618">
        <f>Paramètres!AR7</f>
        <v>0</v>
      </c>
      <c r="O29" s="735">
        <v>240</v>
      </c>
      <c r="P29" s="171">
        <f>VALUE_Giant[[#This Row],[Valeur]]*VALUE_Giant[[#This Row],[Rang]]</f>
        <v>0</v>
      </c>
      <c r="Q29" s="470">
        <v>2</v>
      </c>
      <c r="R29" s="618">
        <f>Paramètres!AS7</f>
        <v>0</v>
      </c>
      <c r="S29" s="735">
        <v>200</v>
      </c>
      <c r="T29" s="171">
        <f>VALUE_Wall_Breaker[[#This Row],[Valeur]]*VALUE_Wall_Breaker[[#This Row],[Rang]]</f>
        <v>0</v>
      </c>
      <c r="U29" s="470">
        <v>2</v>
      </c>
      <c r="V29" s="618">
        <f>Paramètres!AT7</f>
        <v>0</v>
      </c>
      <c r="W29" s="735">
        <v>240</v>
      </c>
      <c r="X29" s="171">
        <f>VALUE_Balloon[[#This Row],[Valeur]]*VALUE_Balloon[[#This Row],[Rang]]</f>
        <v>0</v>
      </c>
      <c r="Y29" s="470">
        <v>2</v>
      </c>
      <c r="Z29" s="618">
        <f>Paramètres!AU7</f>
        <v>0</v>
      </c>
      <c r="AA29" s="735">
        <v>300</v>
      </c>
      <c r="AB29" s="171">
        <f>VALUE_Wizard[[#This Row],[Valeur]]*VALUE_Wizard[[#This Row],[Rang]]</f>
        <v>0</v>
      </c>
      <c r="AC29" s="553">
        <v>2</v>
      </c>
      <c r="AD29" s="618">
        <f>Paramètres!AV7</f>
        <v>0</v>
      </c>
      <c r="AE29" s="735">
        <v>360</v>
      </c>
      <c r="AF29" s="171">
        <f>VALUE_Healer[[#This Row],[Valeur]]*VALUE_Healer[[#This Row],[Rang]]</f>
        <v>0</v>
      </c>
      <c r="AG29" s="553">
        <v>2</v>
      </c>
      <c r="AH29" s="618">
        <f>Paramètres!AW7</f>
        <v>0</v>
      </c>
      <c r="AI29" s="735">
        <v>300</v>
      </c>
      <c r="AJ29" s="165">
        <f>VALUE_Dragon[[#This Row],[Valeur]]*VALUE_Dragon[[#This Row],[Rang]]</f>
        <v>0</v>
      </c>
      <c r="AK29" s="553">
        <v>2</v>
      </c>
      <c r="AL29" s="618">
        <f>Paramètres!AX7</f>
        <v>0</v>
      </c>
      <c r="AM29" s="735">
        <v>240</v>
      </c>
      <c r="AN29" s="165">
        <f>VALUE_PEKKA[[#This Row],[Valeur]]*VALUE_PEKKA[[#This Row],[Rang]]</f>
        <v>0</v>
      </c>
    </row>
    <row r="30" spans="1:40" x14ac:dyDescent="0.25">
      <c r="A30" s="470">
        <v>3</v>
      </c>
      <c r="B30" s="618">
        <f>Paramètres!AO8</f>
        <v>0</v>
      </c>
      <c r="C30" s="735">
        <v>300</v>
      </c>
      <c r="D30" s="171">
        <f>VALUE_Barbarian[[#This Row],[Valeur]]*VALUE_Barbarian[[#This Row],[Rang]]</f>
        <v>0</v>
      </c>
      <c r="E30" s="470">
        <v>3</v>
      </c>
      <c r="F30" s="618">
        <f>Paramètres!AP8</f>
        <v>0</v>
      </c>
      <c r="G30" s="735">
        <v>450</v>
      </c>
      <c r="H30" s="171">
        <f>VALUE_Archer[[#This Row],[Valeur]]*VALUE_Archer[[#This Row],[Rang]]</f>
        <v>0</v>
      </c>
      <c r="I30" s="470">
        <v>3</v>
      </c>
      <c r="J30" s="618">
        <f>Paramètres!AQ8</f>
        <v>0</v>
      </c>
      <c r="K30" s="735">
        <v>150</v>
      </c>
      <c r="L30" s="171">
        <f>VALUE_Goblin[[#This Row],[Valeur]]*VALUE_Goblin[[#This Row],[Rang]]</f>
        <v>0</v>
      </c>
      <c r="M30" s="470">
        <v>3</v>
      </c>
      <c r="N30" s="618">
        <f>Paramètres!AR8</f>
        <v>0</v>
      </c>
      <c r="O30" s="735">
        <v>360</v>
      </c>
      <c r="P30" s="171">
        <f>VALUE_Giant[[#This Row],[Valeur]]*VALUE_Giant[[#This Row],[Rang]]</f>
        <v>0</v>
      </c>
      <c r="Q30" s="470">
        <v>3</v>
      </c>
      <c r="R30" s="618">
        <f>Paramètres!AS8</f>
        <v>0</v>
      </c>
      <c r="S30" s="735">
        <v>300</v>
      </c>
      <c r="T30" s="171">
        <f>VALUE_Wall_Breaker[[#This Row],[Valeur]]*VALUE_Wall_Breaker[[#This Row],[Rang]]</f>
        <v>0</v>
      </c>
      <c r="U30" s="470">
        <v>3</v>
      </c>
      <c r="V30" s="618">
        <f>Paramètres!AT8</f>
        <v>0</v>
      </c>
      <c r="W30" s="735">
        <v>360</v>
      </c>
      <c r="X30" s="171">
        <f>VALUE_Balloon[[#This Row],[Valeur]]*VALUE_Balloon[[#This Row],[Rang]]</f>
        <v>0</v>
      </c>
      <c r="Y30" s="470">
        <v>3</v>
      </c>
      <c r="Z30" s="618">
        <f>Paramètres!AU8</f>
        <v>0</v>
      </c>
      <c r="AA30" s="735">
        <v>450</v>
      </c>
      <c r="AB30" s="171">
        <f>VALUE_Wizard[[#This Row],[Valeur]]*VALUE_Wizard[[#This Row],[Rang]]</f>
        <v>0</v>
      </c>
      <c r="AC30" s="553">
        <v>3</v>
      </c>
      <c r="AD30" s="618">
        <f>Paramètres!AV8</f>
        <v>0</v>
      </c>
      <c r="AE30" s="735">
        <v>540</v>
      </c>
      <c r="AF30" s="171">
        <f>VALUE_Healer[[#This Row],[Valeur]]*VALUE_Healer[[#This Row],[Rang]]</f>
        <v>0</v>
      </c>
      <c r="AG30" s="553">
        <v>3</v>
      </c>
      <c r="AH30" s="618">
        <f>Paramètres!AW8</f>
        <v>0</v>
      </c>
      <c r="AI30" s="735">
        <v>450</v>
      </c>
      <c r="AJ30" s="165">
        <f>VALUE_Dragon[[#This Row],[Valeur]]*VALUE_Dragon[[#This Row],[Rang]]</f>
        <v>0</v>
      </c>
      <c r="AK30" s="553">
        <v>3</v>
      </c>
      <c r="AL30" s="618">
        <f>Paramètres!AX8</f>
        <v>0</v>
      </c>
      <c r="AM30" s="735">
        <v>360</v>
      </c>
      <c r="AN30" s="165">
        <f>VALUE_PEKKA[[#This Row],[Valeur]]*VALUE_PEKKA[[#This Row],[Rang]]</f>
        <v>0</v>
      </c>
    </row>
    <row r="31" spans="1:40" ht="15.75" thickBot="1" x14ac:dyDescent="0.3">
      <c r="A31" s="470">
        <v>4</v>
      </c>
      <c r="B31" s="618">
        <f>Paramètres!AO9</f>
        <v>0</v>
      </c>
      <c r="C31" s="735">
        <v>400</v>
      </c>
      <c r="D31" s="171">
        <f>VALUE_Barbarian[[#This Row],[Valeur]]*VALUE_Barbarian[[#This Row],[Rang]]</f>
        <v>0</v>
      </c>
      <c r="E31" s="470">
        <v>4</v>
      </c>
      <c r="F31" s="618">
        <f>Paramètres!AP9</f>
        <v>0</v>
      </c>
      <c r="G31" s="735">
        <v>600</v>
      </c>
      <c r="H31" s="171">
        <f>VALUE_Archer[[#This Row],[Valeur]]*VALUE_Archer[[#This Row],[Rang]]</f>
        <v>0</v>
      </c>
      <c r="I31" s="470">
        <v>4</v>
      </c>
      <c r="J31" s="618">
        <f>Paramètres!AQ9</f>
        <v>0</v>
      </c>
      <c r="K31" s="735">
        <v>200</v>
      </c>
      <c r="L31" s="171">
        <f>VALUE_Goblin[[#This Row],[Valeur]]*VALUE_Goblin[[#This Row],[Rang]]</f>
        <v>0</v>
      </c>
      <c r="M31" s="470">
        <v>4</v>
      </c>
      <c r="N31" s="618">
        <f>Paramètres!AR9</f>
        <v>0</v>
      </c>
      <c r="O31" s="735">
        <v>480</v>
      </c>
      <c r="P31" s="171">
        <f>VALUE_Giant[[#This Row],[Valeur]]*VALUE_Giant[[#This Row],[Rang]]</f>
        <v>0</v>
      </c>
      <c r="Q31" s="470">
        <v>4</v>
      </c>
      <c r="R31" s="618">
        <f>Paramètres!AS9</f>
        <v>0</v>
      </c>
      <c r="S31" s="735">
        <v>400</v>
      </c>
      <c r="T31" s="171">
        <f>VALUE_Wall_Breaker[[#This Row],[Valeur]]*VALUE_Wall_Breaker[[#This Row],[Rang]]</f>
        <v>0</v>
      </c>
      <c r="U31" s="470">
        <v>4</v>
      </c>
      <c r="V31" s="618">
        <f>Paramètres!AT9</f>
        <v>0</v>
      </c>
      <c r="W31" s="735">
        <v>480</v>
      </c>
      <c r="X31" s="171">
        <f>VALUE_Balloon[[#This Row],[Valeur]]*VALUE_Balloon[[#This Row],[Rang]]</f>
        <v>0</v>
      </c>
      <c r="Y31" s="470">
        <v>4</v>
      </c>
      <c r="Z31" s="618">
        <f>Paramètres!AU9</f>
        <v>0</v>
      </c>
      <c r="AA31" s="735">
        <v>600</v>
      </c>
      <c r="AB31" s="171">
        <f>VALUE_Wizard[[#This Row],[Valeur]]*VALUE_Wizard[[#This Row],[Rang]]</f>
        <v>0</v>
      </c>
      <c r="AC31" s="732">
        <v>4</v>
      </c>
      <c r="AD31" s="620">
        <f>Paramètres!AV9</f>
        <v>0</v>
      </c>
      <c r="AE31" s="737">
        <v>720</v>
      </c>
      <c r="AF31" s="448">
        <f>VALUE_Healer[[#This Row],[Valeur]]*VALUE_Healer[[#This Row],[Rang]]</f>
        <v>0</v>
      </c>
      <c r="AG31" s="553">
        <v>4</v>
      </c>
      <c r="AH31" s="618">
        <f>Paramètres!AW9</f>
        <v>0</v>
      </c>
      <c r="AI31" s="735">
        <v>600</v>
      </c>
      <c r="AJ31" s="165">
        <f>VALUE_Dragon[[#This Row],[Valeur]]*VALUE_Dragon[[#This Row],[Rang]]</f>
        <v>0</v>
      </c>
      <c r="AK31" s="553">
        <v>4</v>
      </c>
      <c r="AL31" s="618">
        <f>Paramètres!AX9</f>
        <v>0</v>
      </c>
      <c r="AM31" s="735">
        <v>480</v>
      </c>
      <c r="AN31" s="165">
        <f>VALUE_PEKKA[[#This Row],[Valeur]]*VALUE_PEKKA[[#This Row],[Rang]]</f>
        <v>0</v>
      </c>
    </row>
    <row r="32" spans="1:40" ht="15.75" thickBot="1" x14ac:dyDescent="0.3">
      <c r="A32" s="470">
        <v>5</v>
      </c>
      <c r="B32" s="618">
        <f>Paramètres!AO10</f>
        <v>0</v>
      </c>
      <c r="C32" s="735">
        <v>500</v>
      </c>
      <c r="D32" s="171">
        <f>VALUE_Barbarian[[#This Row],[Valeur]]*VALUE_Barbarian[[#This Row],[Rang]]</f>
        <v>0</v>
      </c>
      <c r="E32" s="470">
        <v>5</v>
      </c>
      <c r="F32" s="618">
        <f>Paramètres!AP10</f>
        <v>0</v>
      </c>
      <c r="G32" s="735">
        <v>750</v>
      </c>
      <c r="H32" s="171">
        <f>VALUE_Archer[[#This Row],[Valeur]]*VALUE_Archer[[#This Row],[Rang]]</f>
        <v>0</v>
      </c>
      <c r="I32" s="470">
        <v>5</v>
      </c>
      <c r="J32" s="618">
        <f>Paramètres!AQ10</f>
        <v>0</v>
      </c>
      <c r="K32" s="735">
        <v>250</v>
      </c>
      <c r="L32" s="171">
        <f>VALUE_Goblin[[#This Row],[Valeur]]*VALUE_Goblin[[#This Row],[Rang]]</f>
        <v>0</v>
      </c>
      <c r="M32" s="470">
        <v>5</v>
      </c>
      <c r="N32" s="618">
        <f>Paramètres!AR10</f>
        <v>0</v>
      </c>
      <c r="O32" s="735">
        <v>600</v>
      </c>
      <c r="P32" s="171">
        <f>VALUE_Giant[[#This Row],[Valeur]]*VALUE_Giant[[#This Row],[Rang]]</f>
        <v>0</v>
      </c>
      <c r="Q32" s="470">
        <v>5</v>
      </c>
      <c r="R32" s="618">
        <f>Paramètres!AS10</f>
        <v>0</v>
      </c>
      <c r="S32" s="735">
        <v>500</v>
      </c>
      <c r="T32" s="171">
        <f>VALUE_Wall_Breaker[[#This Row],[Valeur]]*VALUE_Wall_Breaker[[#This Row],[Rang]]</f>
        <v>0</v>
      </c>
      <c r="U32" s="470">
        <v>5</v>
      </c>
      <c r="V32" s="618">
        <f>Paramètres!AT10</f>
        <v>0</v>
      </c>
      <c r="W32" s="735">
        <v>600</v>
      </c>
      <c r="X32" s="171">
        <f>VALUE_Balloon[[#This Row],[Valeur]]*VALUE_Balloon[[#This Row],[Rang]]</f>
        <v>0</v>
      </c>
      <c r="Y32" s="470">
        <v>5</v>
      </c>
      <c r="Z32" s="618">
        <f>Paramètres!AU10</f>
        <v>0</v>
      </c>
      <c r="AA32" s="735">
        <v>750</v>
      </c>
      <c r="AB32" s="171">
        <f>VALUE_Wizard[[#This Row],[Valeur]]*VALUE_Wizard[[#This Row],[Rang]]</f>
        <v>0</v>
      </c>
      <c r="AC32" s="152"/>
      <c r="AD32" s="152"/>
      <c r="AE32" s="152"/>
      <c r="AF32" s="152"/>
      <c r="AG32" s="554">
        <v>5</v>
      </c>
      <c r="AH32" s="827">
        <f>Paramètres!AW10</f>
        <v>0</v>
      </c>
      <c r="AI32" s="828">
        <v>750</v>
      </c>
      <c r="AJ32" s="167">
        <f>VALUE_Dragon[[#This Row],[Valeur]]*VALUE_Dragon[[#This Row],[Rang]]</f>
        <v>0</v>
      </c>
      <c r="AK32" s="732">
        <v>5</v>
      </c>
      <c r="AL32" s="620">
        <f>Paramètres!AX10</f>
        <v>0</v>
      </c>
      <c r="AM32" s="737">
        <v>600</v>
      </c>
      <c r="AN32" s="622">
        <f>VALUE_PEKKA[[#This Row],[Valeur]]*VALUE_PEKKA[[#This Row],[Rang]]</f>
        <v>0</v>
      </c>
    </row>
    <row r="33" spans="1:40" ht="15.75" thickBot="1" x14ac:dyDescent="0.3">
      <c r="A33" s="470">
        <v>6</v>
      </c>
      <c r="B33" s="618">
        <f>Paramètres!AO11</f>
        <v>0</v>
      </c>
      <c r="C33" s="735">
        <v>600</v>
      </c>
      <c r="D33" s="171">
        <f>VALUE_Barbarian[[#This Row],[Valeur]]*VALUE_Barbarian[[#This Row],[Rang]]</f>
        <v>0</v>
      </c>
      <c r="E33" s="470">
        <v>6</v>
      </c>
      <c r="F33" s="618">
        <f>Paramètres!AP11</f>
        <v>0</v>
      </c>
      <c r="G33" s="735">
        <v>900</v>
      </c>
      <c r="H33" s="171">
        <f>VALUE_Archer[[#This Row],[Valeur]]*VALUE_Archer[[#This Row],[Rang]]</f>
        <v>0</v>
      </c>
      <c r="I33" s="477">
        <v>6</v>
      </c>
      <c r="J33" s="620">
        <f>Paramètres!AQ11</f>
        <v>0</v>
      </c>
      <c r="K33" s="737">
        <v>300</v>
      </c>
      <c r="L33" s="448">
        <f>VALUE_Goblin[[#This Row],[Valeur]]*VALUE_Goblin[[#This Row],[Rang]]</f>
        <v>0</v>
      </c>
      <c r="M33" s="470">
        <v>6</v>
      </c>
      <c r="N33" s="618">
        <f>Paramètres!AR11</f>
        <v>0</v>
      </c>
      <c r="O33" s="735">
        <v>720</v>
      </c>
      <c r="P33" s="171">
        <f>VALUE_Giant[[#This Row],[Valeur]]*VALUE_Giant[[#This Row],[Rang]]</f>
        <v>0</v>
      </c>
      <c r="Q33" s="477">
        <v>6</v>
      </c>
      <c r="R33" s="620">
        <f>Paramètres!AS11</f>
        <v>0</v>
      </c>
      <c r="S33" s="737">
        <v>600</v>
      </c>
      <c r="T33" s="448">
        <f>VALUE_Wall_Breaker[[#This Row],[Valeur]]*VALUE_Wall_Breaker[[#This Row],[Rang]]</f>
        <v>0</v>
      </c>
      <c r="U33" s="477">
        <v>6</v>
      </c>
      <c r="V33" s="620">
        <f>Paramètres!AT11</f>
        <v>0</v>
      </c>
      <c r="W33" s="737">
        <v>720</v>
      </c>
      <c r="X33" s="448">
        <f>VALUE_Balloon[[#This Row],[Valeur]]*VALUE_Balloon[[#This Row],[Rang]]</f>
        <v>0</v>
      </c>
      <c r="Y33" s="477">
        <v>6</v>
      </c>
      <c r="Z33" s="620">
        <f>Paramètres!AU11</f>
        <v>0</v>
      </c>
      <c r="AA33" s="737">
        <v>900</v>
      </c>
      <c r="AB33" s="448">
        <f>VALUE_Wizard[[#This Row],[Valeur]]*VALUE_Wizard[[#This Row],[Rang]]</f>
        <v>0</v>
      </c>
      <c r="AC33" s="152"/>
      <c r="AD33" s="152"/>
      <c r="AE33" s="152"/>
      <c r="AF33" s="152"/>
      <c r="AG33" s="152"/>
      <c r="AH33" s="152"/>
      <c r="AI33" s="152"/>
      <c r="AJ33" s="152"/>
      <c r="AK33" s="152"/>
      <c r="AL33" s="152"/>
      <c r="AM33" s="152"/>
      <c r="AN33" s="152"/>
    </row>
    <row r="34" spans="1:40" ht="15.75" thickBot="1" x14ac:dyDescent="0.3">
      <c r="A34" s="477">
        <v>7</v>
      </c>
      <c r="B34" s="620">
        <f>Paramètres!AO12</f>
        <v>0</v>
      </c>
      <c r="C34" s="737">
        <v>700</v>
      </c>
      <c r="D34" s="448">
        <f>VALUE_Barbarian[[#This Row],[Valeur]]*VALUE_Barbarian[[#This Row],[Rang]]</f>
        <v>0</v>
      </c>
      <c r="E34" s="477">
        <v>7</v>
      </c>
      <c r="F34" s="620">
        <f>Paramètres!AP12</f>
        <v>0</v>
      </c>
      <c r="G34" s="737">
        <v>1050</v>
      </c>
      <c r="H34" s="448">
        <f>VALUE_Archer[[#This Row],[Valeur]]*VALUE_Archer[[#This Row],[Rang]]</f>
        <v>0</v>
      </c>
      <c r="I34" s="152"/>
      <c r="J34" s="152"/>
      <c r="K34" s="152"/>
      <c r="L34" s="152"/>
      <c r="M34" s="477">
        <v>7</v>
      </c>
      <c r="N34" s="620">
        <f>Paramètres!AR12</f>
        <v>0</v>
      </c>
      <c r="O34" s="737">
        <v>840</v>
      </c>
      <c r="P34" s="448">
        <f>VALUE_Giant[[#This Row],[Valeur]]*VALUE_Giant[[#This Row],[Rang]]</f>
        <v>0</v>
      </c>
      <c r="Q34" s="152"/>
      <c r="R34" s="152"/>
      <c r="S34" s="152"/>
      <c r="T34" s="152"/>
      <c r="U34" s="152"/>
      <c r="V34" s="152"/>
      <c r="W34" s="152"/>
      <c r="X34" s="152"/>
      <c r="Y34" s="152"/>
      <c r="Z34" s="152"/>
      <c r="AA34" s="152"/>
      <c r="AB34" s="152"/>
      <c r="AC34" s="152"/>
      <c r="AD34" s="152"/>
      <c r="AE34" s="152"/>
      <c r="AF34" s="152"/>
      <c r="AG34" s="152"/>
      <c r="AH34" s="152"/>
      <c r="AI34" s="152"/>
      <c r="AJ34" s="152"/>
      <c r="AK34" s="152"/>
      <c r="AL34" s="152"/>
      <c r="AM34" s="152"/>
      <c r="AN34" s="152"/>
    </row>
    <row r="35" spans="1:40" x14ac:dyDescent="0.25">
      <c r="A35" s="152"/>
      <c r="B35" s="152"/>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2"/>
      <c r="AG35" s="152"/>
      <c r="AH35" s="152"/>
      <c r="AI35" s="152"/>
      <c r="AJ35" s="152"/>
      <c r="AK35" s="152"/>
      <c r="AL35" s="152"/>
      <c r="AM35" s="152"/>
      <c r="AN35" s="152"/>
    </row>
    <row r="36" spans="1:40" ht="15.75" thickBot="1" x14ac:dyDescent="0.3">
      <c r="A36" s="152"/>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row>
    <row r="37" spans="1:40" ht="19.5" customHeight="1" thickBot="1" x14ac:dyDescent="0.3">
      <c r="A37" s="1269" t="s">
        <v>692</v>
      </c>
      <c r="B37" s="1270"/>
      <c r="C37" s="1270"/>
      <c r="D37" s="1270"/>
      <c r="E37" s="1270"/>
      <c r="F37" s="1270"/>
      <c r="G37" s="1270"/>
      <c r="H37" s="1270"/>
      <c r="I37" s="1270"/>
      <c r="J37" s="1270"/>
      <c r="K37" s="1270"/>
      <c r="L37" s="1270"/>
      <c r="M37" s="1270"/>
      <c r="N37" s="1270"/>
      <c r="O37" s="1270"/>
      <c r="P37" s="1270"/>
      <c r="Q37" s="1351"/>
      <c r="R37" s="1351"/>
      <c r="S37" s="1351"/>
      <c r="T37" s="1351"/>
      <c r="U37" s="1351"/>
      <c r="V37" s="1351"/>
      <c r="W37" s="1351"/>
      <c r="X37" s="1352"/>
      <c r="Y37" s="152"/>
      <c r="Z37" s="152"/>
      <c r="AA37" s="152"/>
      <c r="AB37" s="152"/>
      <c r="AC37" s="152"/>
      <c r="AD37" s="152"/>
      <c r="AE37" s="152"/>
      <c r="AF37" s="152"/>
      <c r="AG37" s="152"/>
      <c r="AH37" s="152"/>
      <c r="AI37" s="152"/>
      <c r="AJ37" s="152"/>
      <c r="AK37" s="152"/>
      <c r="AL37" s="734"/>
      <c r="AM37" s="734"/>
      <c r="AN37" s="734"/>
    </row>
    <row r="38" spans="1:40" ht="15.75" thickBot="1" x14ac:dyDescent="0.3">
      <c r="A38" s="1285" t="s">
        <v>183</v>
      </c>
      <c r="B38" s="1286"/>
      <c r="C38" s="1286"/>
      <c r="D38" s="1287"/>
      <c r="E38" s="1285" t="s">
        <v>245</v>
      </c>
      <c r="F38" s="1286"/>
      <c r="G38" s="1286"/>
      <c r="H38" s="1287"/>
      <c r="I38" s="1285" t="s">
        <v>66</v>
      </c>
      <c r="J38" s="1286"/>
      <c r="K38" s="1286"/>
      <c r="L38" s="1287"/>
      <c r="M38" s="1285" t="s">
        <v>67</v>
      </c>
      <c r="N38" s="1286"/>
      <c r="O38" s="1286"/>
      <c r="P38" s="1287"/>
      <c r="Q38" s="1285" t="s">
        <v>536</v>
      </c>
      <c r="R38" s="1286"/>
      <c r="S38" s="1286"/>
      <c r="T38" s="1287"/>
      <c r="U38" s="1285" t="s">
        <v>573</v>
      </c>
      <c r="V38" s="1286"/>
      <c r="W38" s="1286"/>
      <c r="X38" s="1287"/>
      <c r="Y38" s="152"/>
      <c r="Z38" s="152"/>
      <c r="AA38" s="152"/>
      <c r="AB38" s="152"/>
      <c r="AC38" s="152"/>
      <c r="AD38" s="152"/>
      <c r="AE38" s="152"/>
      <c r="AF38" s="152"/>
      <c r="AG38" s="152"/>
      <c r="AH38" s="152"/>
      <c r="AI38" s="152"/>
      <c r="AJ38" s="152"/>
      <c r="AK38" s="152"/>
      <c r="AL38" s="734"/>
      <c r="AM38" s="734"/>
      <c r="AN38" s="734"/>
    </row>
    <row r="39" spans="1:40" ht="15.75" thickBot="1" x14ac:dyDescent="0.3">
      <c r="A39" s="157" t="s">
        <v>17</v>
      </c>
      <c r="B39" s="158" t="s">
        <v>696</v>
      </c>
      <c r="C39" s="251" t="s">
        <v>677</v>
      </c>
      <c r="D39" s="159" t="s">
        <v>31</v>
      </c>
      <c r="E39" s="157" t="s">
        <v>17</v>
      </c>
      <c r="F39" s="158" t="s">
        <v>696</v>
      </c>
      <c r="G39" s="251" t="s">
        <v>677</v>
      </c>
      <c r="H39" s="159" t="s">
        <v>31</v>
      </c>
      <c r="I39" s="157" t="s">
        <v>17</v>
      </c>
      <c r="J39" s="158" t="s">
        <v>696</v>
      </c>
      <c r="K39" s="251" t="s">
        <v>677</v>
      </c>
      <c r="L39" s="159" t="s">
        <v>31</v>
      </c>
      <c r="M39" s="157" t="s">
        <v>17</v>
      </c>
      <c r="N39" s="158" t="s">
        <v>696</v>
      </c>
      <c r="O39" s="251" t="s">
        <v>677</v>
      </c>
      <c r="P39" s="159" t="s">
        <v>31</v>
      </c>
      <c r="Q39" s="157" t="s">
        <v>17</v>
      </c>
      <c r="R39" s="158" t="s">
        <v>696</v>
      </c>
      <c r="S39" s="251" t="s">
        <v>677</v>
      </c>
      <c r="T39" s="159" t="s">
        <v>31</v>
      </c>
      <c r="U39" s="157" t="s">
        <v>17</v>
      </c>
      <c r="V39" s="158" t="s">
        <v>696</v>
      </c>
      <c r="W39" s="251" t="s">
        <v>677</v>
      </c>
      <c r="X39" s="159" t="s">
        <v>31</v>
      </c>
      <c r="Y39" s="152"/>
      <c r="Z39" s="152"/>
      <c r="AA39" s="152"/>
      <c r="AB39" s="152"/>
      <c r="AC39" s="152"/>
      <c r="AD39" s="152"/>
      <c r="AE39" s="152"/>
      <c r="AF39" s="152"/>
      <c r="AG39" s="152"/>
      <c r="AH39" s="152"/>
      <c r="AI39" s="152"/>
      <c r="AJ39" s="152"/>
      <c r="AK39" s="152"/>
      <c r="AL39" s="734"/>
      <c r="AM39" s="734"/>
      <c r="AN39" s="734"/>
    </row>
    <row r="40" spans="1:40" x14ac:dyDescent="0.25">
      <c r="A40" s="726">
        <v>1</v>
      </c>
      <c r="B40" s="619">
        <f>Paramètres!AY6</f>
        <v>0</v>
      </c>
      <c r="C40" s="736">
        <v>120</v>
      </c>
      <c r="D40" s="170">
        <f>VALUE_Minion[[#This Row],[Valeur]]*VALUE_Minion[[#This Row],[Rang]]</f>
        <v>0</v>
      </c>
      <c r="E40" s="731">
        <v>1</v>
      </c>
      <c r="F40" s="619">
        <f>Paramètres!AZ6</f>
        <v>0</v>
      </c>
      <c r="G40" s="736">
        <v>120</v>
      </c>
      <c r="H40" s="170">
        <f>VALUE_Hog_Rider[[#This Row],[Valeur]]*VALUE_Hog_Rider[[#This Row],[Rang]]</f>
        <v>0</v>
      </c>
      <c r="I40" s="731">
        <v>1</v>
      </c>
      <c r="J40" s="619">
        <f>Paramètres!BA6</f>
        <v>0</v>
      </c>
      <c r="K40" s="736">
        <v>100</v>
      </c>
      <c r="L40" s="170">
        <f>VALUE_Valkyrie[[#This Row],[Valeur]]*VALUE_Valkyrie[[#This Row],[Rang]]</f>
        <v>0</v>
      </c>
      <c r="M40" s="726">
        <v>1</v>
      </c>
      <c r="N40" s="619">
        <f>Paramètres!BB6</f>
        <v>0</v>
      </c>
      <c r="O40" s="736">
        <v>120</v>
      </c>
      <c r="P40" s="170">
        <f>VALUE_Golem[[#This Row],[Valeur]]*VALUE_Golem[[#This Row],[Rang]]</f>
        <v>0</v>
      </c>
      <c r="Q40" s="731">
        <v>1</v>
      </c>
      <c r="R40" s="619">
        <f>Paramètres!BC6</f>
        <v>0</v>
      </c>
      <c r="S40" s="736">
        <v>900</v>
      </c>
      <c r="T40" s="170">
        <f>VALUE_Witch[[#This Row],[Valeur]]*VALUE_Witch[[#This Row],[Rang]]</f>
        <v>0</v>
      </c>
      <c r="U40" s="726">
        <v>1</v>
      </c>
      <c r="V40" s="619">
        <f>Paramètres!BD6</f>
        <v>0</v>
      </c>
      <c r="W40" s="736">
        <v>120</v>
      </c>
      <c r="X40" s="170">
        <f>VALUE_Lava_Hound[[#This Row],[Valeur]]*VALUE_Lava_Hound[[#This Row],[Rang]]</f>
        <v>0</v>
      </c>
      <c r="Y40" s="152"/>
      <c r="Z40" s="152"/>
      <c r="AA40" s="152"/>
      <c r="AB40" s="152"/>
      <c r="AC40" s="152"/>
      <c r="AD40" s="152"/>
      <c r="AE40" s="152"/>
      <c r="AF40" s="152"/>
      <c r="AG40" s="152"/>
      <c r="AH40" s="152"/>
      <c r="AI40" s="152"/>
      <c r="AJ40" s="152"/>
      <c r="AK40" s="152"/>
      <c r="AL40" s="734"/>
      <c r="AM40" s="734"/>
      <c r="AN40" s="734"/>
    </row>
    <row r="41" spans="1:40" ht="15.75" thickBot="1" x14ac:dyDescent="0.3">
      <c r="A41" s="470">
        <v>2</v>
      </c>
      <c r="B41" s="618">
        <f>Paramètres!AY7</f>
        <v>0</v>
      </c>
      <c r="C41" s="735">
        <v>240</v>
      </c>
      <c r="D41" s="171">
        <f>VALUE_Minion[[#This Row],[Valeur]]*VALUE_Minion[[#This Row],[Rang]]</f>
        <v>0</v>
      </c>
      <c r="E41" s="553">
        <v>2</v>
      </c>
      <c r="F41" s="618">
        <f>Paramètres!AZ7</f>
        <v>0</v>
      </c>
      <c r="G41" s="735">
        <v>240</v>
      </c>
      <c r="H41" s="171">
        <f>VALUE_Hog_Rider[[#This Row],[Valeur]]*VALUE_Hog_Rider[[#This Row],[Rang]]</f>
        <v>0</v>
      </c>
      <c r="I41" s="553">
        <v>2</v>
      </c>
      <c r="J41" s="618">
        <f>Paramètres!BA7</f>
        <v>0</v>
      </c>
      <c r="K41" s="735">
        <v>200</v>
      </c>
      <c r="L41" s="171">
        <f>VALUE_Valkyrie[[#This Row],[Valeur]]*VALUE_Valkyrie[[#This Row],[Rang]]</f>
        <v>0</v>
      </c>
      <c r="M41" s="470">
        <v>2</v>
      </c>
      <c r="N41" s="618">
        <f>Paramètres!BB7</f>
        <v>0</v>
      </c>
      <c r="O41" s="735">
        <v>240</v>
      </c>
      <c r="P41" s="171">
        <f>VALUE_Golem[[#This Row],[Valeur]]*VALUE_Golem[[#This Row],[Rang]]</f>
        <v>0</v>
      </c>
      <c r="Q41" s="732">
        <v>2</v>
      </c>
      <c r="R41" s="620">
        <f>Paramètres!BC7</f>
        <v>0</v>
      </c>
      <c r="S41" s="737">
        <v>2100</v>
      </c>
      <c r="T41" s="448">
        <f>VALUE_Witch[[#This Row],[Valeur]]*VALUE_Witch[[#This Row],[Rang]]</f>
        <v>0</v>
      </c>
      <c r="U41" s="470">
        <v>2</v>
      </c>
      <c r="V41" s="618">
        <f>Paramètres!BD7</f>
        <v>0</v>
      </c>
      <c r="W41" s="735">
        <v>240</v>
      </c>
      <c r="X41" s="171">
        <f>VALUE_Lava_Hound[[#This Row],[Valeur]]*VALUE_Lava_Hound[[#This Row],[Rang]]</f>
        <v>0</v>
      </c>
      <c r="Y41" s="152"/>
      <c r="Z41" s="152"/>
      <c r="AA41" s="152"/>
      <c r="AB41" s="152"/>
      <c r="AC41" s="152"/>
      <c r="AD41" s="152"/>
      <c r="AE41" s="152"/>
      <c r="AF41" s="152"/>
      <c r="AG41" s="152"/>
      <c r="AH41" s="152"/>
      <c r="AI41" s="152"/>
      <c r="AJ41" s="152"/>
      <c r="AK41" s="152"/>
      <c r="AL41" s="734"/>
      <c r="AM41" s="734"/>
      <c r="AN41" s="734"/>
    </row>
    <row r="42" spans="1:40" ht="15.75" thickBot="1" x14ac:dyDescent="0.3">
      <c r="A42" s="470">
        <v>3</v>
      </c>
      <c r="B42" s="618">
        <f>Paramètres!AY8</f>
        <v>0</v>
      </c>
      <c r="C42" s="735">
        <v>360</v>
      </c>
      <c r="D42" s="171">
        <f>VALUE_Minion[[#This Row],[Valeur]]*VALUE_Minion[[#This Row],[Rang]]</f>
        <v>0</v>
      </c>
      <c r="E42" s="553">
        <v>3</v>
      </c>
      <c r="F42" s="618">
        <f>Paramètres!AZ8</f>
        <v>0</v>
      </c>
      <c r="G42" s="735">
        <v>360</v>
      </c>
      <c r="H42" s="171">
        <f>VALUE_Hog_Rider[[#This Row],[Valeur]]*VALUE_Hog_Rider[[#This Row],[Rang]]</f>
        <v>0</v>
      </c>
      <c r="I42" s="553">
        <v>3</v>
      </c>
      <c r="J42" s="618">
        <f>Paramètres!BA8</f>
        <v>0</v>
      </c>
      <c r="K42" s="735">
        <v>300</v>
      </c>
      <c r="L42" s="171">
        <f>VALUE_Valkyrie[[#This Row],[Valeur]]*VALUE_Valkyrie[[#This Row],[Rang]]</f>
        <v>0</v>
      </c>
      <c r="M42" s="470">
        <v>3</v>
      </c>
      <c r="N42" s="618">
        <f>Paramètres!BB8</f>
        <v>0</v>
      </c>
      <c r="O42" s="735">
        <v>360</v>
      </c>
      <c r="P42" s="171">
        <f>VALUE_Golem[[#This Row],[Valeur]]*VALUE_Golem[[#This Row],[Rang]]</f>
        <v>0</v>
      </c>
      <c r="Q42" s="152"/>
      <c r="R42" s="152"/>
      <c r="S42" s="152"/>
      <c r="T42" s="152"/>
      <c r="U42" s="477">
        <v>3</v>
      </c>
      <c r="V42" s="620">
        <f>Paramètres!BD8</f>
        <v>0</v>
      </c>
      <c r="W42" s="737">
        <v>360</v>
      </c>
      <c r="X42" s="448">
        <f>VALUE_Lava_Hound[[#This Row],[Valeur]]*VALUE_Lava_Hound[[#This Row],[Rang]]</f>
        <v>0</v>
      </c>
      <c r="Y42" s="152"/>
      <c r="Z42" s="152"/>
      <c r="AA42" s="152"/>
      <c r="AB42" s="152"/>
      <c r="AC42" s="152"/>
      <c r="AD42" s="152"/>
      <c r="AE42" s="152"/>
      <c r="AF42" s="152"/>
      <c r="AG42" s="152"/>
      <c r="AH42" s="152"/>
      <c r="AI42" s="152"/>
      <c r="AJ42" s="152"/>
      <c r="AK42" s="152"/>
      <c r="AL42" s="734"/>
      <c r="AM42" s="734"/>
      <c r="AN42" s="734"/>
    </row>
    <row r="43" spans="1:40" ht="15.75" thickBot="1" x14ac:dyDescent="0.3">
      <c r="A43" s="470">
        <v>4</v>
      </c>
      <c r="B43" s="618">
        <f>Paramètres!AY9</f>
        <v>0</v>
      </c>
      <c r="C43" s="735">
        <v>480</v>
      </c>
      <c r="D43" s="171">
        <f>VALUE_Minion[[#This Row],[Valeur]]*VALUE_Minion[[#This Row],[Rang]]</f>
        <v>0</v>
      </c>
      <c r="E43" s="553">
        <v>4</v>
      </c>
      <c r="F43" s="618">
        <f>Paramètres!AZ9</f>
        <v>0</v>
      </c>
      <c r="G43" s="735">
        <v>480</v>
      </c>
      <c r="H43" s="171">
        <f>VALUE_Hog_Rider[[#This Row],[Valeur]]*VALUE_Hog_Rider[[#This Row],[Rang]]</f>
        <v>0</v>
      </c>
      <c r="I43" s="732">
        <v>4</v>
      </c>
      <c r="J43" s="620">
        <f>Paramètres!BA9</f>
        <v>0</v>
      </c>
      <c r="K43" s="737">
        <v>400</v>
      </c>
      <c r="L43" s="448">
        <f>VALUE_Valkyrie[[#This Row],[Valeur]]*VALUE_Valkyrie[[#This Row],[Rang]]</f>
        <v>0</v>
      </c>
      <c r="M43" s="470">
        <v>4</v>
      </c>
      <c r="N43" s="618">
        <f>Paramètres!BB9</f>
        <v>0</v>
      </c>
      <c r="O43" s="735">
        <v>480</v>
      </c>
      <c r="P43" s="171">
        <f>VALUE_Golem[[#This Row],[Valeur]]*VALUE_Golem[[#This Row],[Rang]]</f>
        <v>0</v>
      </c>
      <c r="Q43" s="152"/>
      <c r="R43" s="152"/>
      <c r="S43" s="152"/>
      <c r="T43" s="152"/>
      <c r="U43" s="152"/>
      <c r="V43" s="152"/>
      <c r="W43" s="152"/>
      <c r="X43" s="152"/>
      <c r="Y43" s="152"/>
      <c r="Z43" s="152"/>
      <c r="AA43" s="152"/>
      <c r="AB43" s="152"/>
      <c r="AC43" s="152"/>
      <c r="AD43" s="152"/>
      <c r="AE43" s="152"/>
      <c r="AF43" s="152"/>
      <c r="AG43" s="152"/>
      <c r="AH43" s="152"/>
      <c r="AI43" s="152"/>
      <c r="AJ43" s="152"/>
      <c r="AK43" s="152"/>
      <c r="AL43" s="734"/>
      <c r="AM43" s="734"/>
      <c r="AN43" s="734"/>
    </row>
    <row r="44" spans="1:40" ht="15.75" thickBot="1" x14ac:dyDescent="0.3">
      <c r="A44" s="470">
        <v>5</v>
      </c>
      <c r="B44" s="618">
        <f>Paramètres!AY10</f>
        <v>0</v>
      </c>
      <c r="C44" s="735">
        <v>600</v>
      </c>
      <c r="D44" s="171">
        <f>VALUE_Minion[[#This Row],[Valeur]]*VALUE_Minion[[#This Row],[Rang]]</f>
        <v>0</v>
      </c>
      <c r="E44" s="732">
        <v>5</v>
      </c>
      <c r="F44" s="620">
        <f>Paramètres!AZ10</f>
        <v>0</v>
      </c>
      <c r="G44" s="737">
        <v>600</v>
      </c>
      <c r="H44" s="448">
        <f>VALUE_Hog_Rider[[#This Row],[Valeur]]*VALUE_Hog_Rider[[#This Row],[Rang]]</f>
        <v>0</v>
      </c>
      <c r="I44" s="152"/>
      <c r="J44" s="152"/>
      <c r="K44" s="152"/>
      <c r="L44" s="152"/>
      <c r="M44" s="477">
        <v>5</v>
      </c>
      <c r="N44" s="620">
        <f>Paramètres!BB10</f>
        <v>0</v>
      </c>
      <c r="O44" s="737">
        <v>600</v>
      </c>
      <c r="P44" s="448">
        <f>VALUE_Golem[[#This Row],[Valeur]]*VALUE_Golem[[#This Row],[Rang]]</f>
        <v>0</v>
      </c>
      <c r="Q44" s="152"/>
      <c r="R44" s="152"/>
      <c r="S44" s="152"/>
      <c r="T44" s="152"/>
      <c r="U44" s="152"/>
      <c r="V44" s="152"/>
      <c r="W44" s="152"/>
      <c r="X44" s="152"/>
      <c r="Y44" s="152"/>
      <c r="Z44" s="152"/>
      <c r="AA44" s="152"/>
      <c r="AB44" s="152"/>
      <c r="AC44" s="152"/>
      <c r="AD44" s="152"/>
      <c r="AE44" s="152"/>
      <c r="AF44" s="152"/>
      <c r="AG44" s="152"/>
      <c r="AH44" s="152"/>
      <c r="AI44" s="152"/>
      <c r="AJ44" s="152"/>
      <c r="AK44" s="152"/>
      <c r="AL44" s="734"/>
      <c r="AM44" s="734"/>
      <c r="AN44" s="734"/>
    </row>
    <row r="45" spans="1:40" ht="15.75" thickBot="1" x14ac:dyDescent="0.3">
      <c r="A45" s="477">
        <v>6</v>
      </c>
      <c r="B45" s="620">
        <f>Paramètres!AY11</f>
        <v>0</v>
      </c>
      <c r="C45" s="737">
        <v>720</v>
      </c>
      <c r="D45" s="448">
        <f>VALUE_Minion[[#This Row],[Valeur]]*VALUE_Minion[[#This Row],[Rang]]</f>
        <v>0</v>
      </c>
      <c r="E45" s="152"/>
      <c r="F45" s="152"/>
      <c r="G45" s="152"/>
      <c r="H45" s="152"/>
      <c r="I45" s="152"/>
      <c r="J45" s="152"/>
      <c r="K45" s="152"/>
      <c r="L45" s="152"/>
      <c r="M45" s="152"/>
      <c r="N45" s="152"/>
      <c r="O45" s="152"/>
      <c r="P45" s="152"/>
      <c r="Q45" s="152"/>
      <c r="R45" s="152"/>
      <c r="S45" s="152"/>
      <c r="T45" s="152"/>
      <c r="U45" s="152"/>
      <c r="V45" s="152"/>
      <c r="W45" s="152"/>
      <c r="X45" s="152"/>
      <c r="Y45" s="152"/>
      <c r="Z45" s="152"/>
      <c r="AA45" s="152"/>
      <c r="AB45" s="152"/>
      <c r="AC45" s="152"/>
      <c r="AD45" s="152"/>
      <c r="AE45" s="152"/>
      <c r="AF45" s="152"/>
      <c r="AG45" s="152"/>
      <c r="AH45" s="152"/>
      <c r="AI45" s="152"/>
      <c r="AJ45" s="152"/>
      <c r="AK45" s="152"/>
      <c r="AL45" s="734"/>
      <c r="AM45" s="734"/>
      <c r="AN45" s="734"/>
    </row>
    <row r="46" spans="1:40" x14ac:dyDescent="0.25">
      <c r="A46" s="152"/>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52"/>
      <c r="AH46" s="152"/>
      <c r="AI46" s="152"/>
      <c r="AJ46" s="152"/>
      <c r="AK46" s="152"/>
      <c r="AL46" s="734"/>
      <c r="AM46" s="734"/>
      <c r="AN46" s="734"/>
    </row>
    <row r="47" spans="1:40" ht="15.75" thickBot="1" x14ac:dyDescent="0.3">
      <c r="A47" s="152"/>
      <c r="B47" s="152"/>
      <c r="C47" s="152"/>
      <c r="D47" s="152"/>
      <c r="E47" s="152"/>
      <c r="F47" s="152"/>
      <c r="G47" s="152"/>
      <c r="H47" s="152"/>
      <c r="I47" s="152"/>
      <c r="J47" s="152"/>
      <c r="K47" s="152"/>
      <c r="L47" s="152"/>
      <c r="M47" s="152"/>
      <c r="N47" s="152"/>
      <c r="O47" s="152"/>
      <c r="P47" s="152"/>
      <c r="Q47" s="152"/>
      <c r="R47" s="152"/>
      <c r="S47" s="152"/>
      <c r="T47" s="152"/>
      <c r="U47" s="152"/>
      <c r="V47" s="152"/>
      <c r="W47" s="152"/>
      <c r="X47" s="152"/>
      <c r="Y47" s="152"/>
      <c r="Z47" s="152"/>
      <c r="AA47" s="152"/>
      <c r="AB47" s="152"/>
      <c r="AC47" s="152"/>
      <c r="AD47" s="152"/>
      <c r="AE47" s="152"/>
      <c r="AF47" s="152"/>
      <c r="AG47" s="152"/>
      <c r="AH47" s="152"/>
      <c r="AI47" s="152"/>
      <c r="AJ47" s="152"/>
      <c r="AK47" s="152"/>
      <c r="AL47" s="734"/>
      <c r="AM47" s="734"/>
      <c r="AN47" s="734"/>
    </row>
    <row r="48" spans="1:40" ht="19.5" customHeight="1" thickBot="1" x14ac:dyDescent="0.3">
      <c r="A48" s="1269" t="s">
        <v>680</v>
      </c>
      <c r="B48" s="1355"/>
      <c r="C48" s="1355"/>
      <c r="D48" s="1355"/>
      <c r="E48" s="1355"/>
      <c r="F48" s="1355"/>
      <c r="G48" s="1355"/>
      <c r="H48" s="1355"/>
      <c r="I48" s="1355"/>
      <c r="J48" s="1355"/>
      <c r="K48" s="1355"/>
      <c r="L48" s="1355"/>
      <c r="M48" s="1355"/>
      <c r="N48" s="1355"/>
      <c r="O48" s="1355"/>
      <c r="P48" s="1355"/>
      <c r="Q48" s="1355"/>
      <c r="R48" s="1355"/>
      <c r="S48" s="1355"/>
      <c r="T48" s="1355"/>
      <c r="U48" s="1355"/>
      <c r="V48" s="1355"/>
      <c r="W48" s="1355"/>
      <c r="X48" s="1355"/>
      <c r="Y48" s="1355"/>
      <c r="Z48" s="1355"/>
      <c r="AA48" s="1355"/>
      <c r="AB48" s="1355"/>
      <c r="AC48" s="1355"/>
      <c r="AD48" s="1355"/>
      <c r="AE48" s="1355"/>
      <c r="AF48" s="1355"/>
      <c r="AG48" s="1355"/>
      <c r="AH48" s="1355"/>
      <c r="AI48" s="1355"/>
      <c r="AJ48" s="1355"/>
      <c r="AK48" s="1355"/>
      <c r="AL48" s="1355"/>
      <c r="AM48" s="1355"/>
      <c r="AN48" s="1356"/>
    </row>
    <row r="49" spans="1:40" ht="15.75" customHeight="1" thickBot="1" x14ac:dyDescent="0.3">
      <c r="A49" s="1279" t="s">
        <v>206</v>
      </c>
      <c r="B49" s="1280"/>
      <c r="C49" s="1280"/>
      <c r="D49" s="1281"/>
      <c r="E49" s="1279" t="s">
        <v>205</v>
      </c>
      <c r="F49" s="1280"/>
      <c r="G49" s="1280"/>
      <c r="H49" s="1281"/>
      <c r="I49" s="1279" t="s">
        <v>204</v>
      </c>
      <c r="J49" s="1280"/>
      <c r="K49" s="1280"/>
      <c r="L49" s="1281"/>
      <c r="M49" s="1279" t="s">
        <v>203</v>
      </c>
      <c r="N49" s="1280"/>
      <c r="O49" s="1280"/>
      <c r="P49" s="1281"/>
      <c r="Q49" s="1279" t="s">
        <v>202</v>
      </c>
      <c r="R49" s="1280"/>
      <c r="S49" s="1280"/>
      <c r="T49" s="1281"/>
      <c r="U49" s="1279" t="s">
        <v>454</v>
      </c>
      <c r="V49" s="1280"/>
      <c r="W49" s="1280"/>
      <c r="X49" s="1281"/>
      <c r="Y49" s="1279" t="s">
        <v>643</v>
      </c>
      <c r="Z49" s="1280"/>
      <c r="AA49" s="1280"/>
      <c r="AB49" s="1281"/>
      <c r="AC49" s="1279" t="s">
        <v>201</v>
      </c>
      <c r="AD49" s="1280"/>
      <c r="AE49" s="1280"/>
      <c r="AF49" s="1281"/>
      <c r="AG49" s="1279" t="s">
        <v>200</v>
      </c>
      <c r="AH49" s="1280"/>
      <c r="AI49" s="1280"/>
      <c r="AJ49" s="1281"/>
      <c r="AK49" s="1279" t="s">
        <v>199</v>
      </c>
      <c r="AL49" s="1280"/>
      <c r="AM49" s="1280"/>
      <c r="AN49" s="1281"/>
    </row>
    <row r="50" spans="1:40" ht="15.75" thickBot="1" x14ac:dyDescent="0.3">
      <c r="A50" s="178" t="s">
        <v>17</v>
      </c>
      <c r="B50" s="411" t="s">
        <v>696</v>
      </c>
      <c r="C50" s="161" t="s">
        <v>677</v>
      </c>
      <c r="D50" s="179" t="s">
        <v>31</v>
      </c>
      <c r="E50" s="733" t="s">
        <v>17</v>
      </c>
      <c r="F50" s="741" t="s">
        <v>696</v>
      </c>
      <c r="G50" s="161" t="s">
        <v>677</v>
      </c>
      <c r="H50" s="179" t="s">
        <v>31</v>
      </c>
      <c r="I50" s="178" t="s">
        <v>17</v>
      </c>
      <c r="J50" s="411" t="s">
        <v>696</v>
      </c>
      <c r="K50" s="161" t="s">
        <v>677</v>
      </c>
      <c r="L50" s="179" t="s">
        <v>31</v>
      </c>
      <c r="M50" s="160" t="s">
        <v>17</v>
      </c>
      <c r="N50" s="411" t="s">
        <v>696</v>
      </c>
      <c r="O50" s="161" t="s">
        <v>677</v>
      </c>
      <c r="P50" s="162" t="s">
        <v>31</v>
      </c>
      <c r="Q50" s="160" t="s">
        <v>17</v>
      </c>
      <c r="R50" s="411" t="s">
        <v>696</v>
      </c>
      <c r="S50" s="161" t="s">
        <v>677</v>
      </c>
      <c r="T50" s="179" t="s">
        <v>31</v>
      </c>
      <c r="U50" s="160" t="s">
        <v>17</v>
      </c>
      <c r="V50" s="411" t="s">
        <v>696</v>
      </c>
      <c r="W50" s="161" t="s">
        <v>677</v>
      </c>
      <c r="X50" s="162" t="s">
        <v>31</v>
      </c>
      <c r="Y50" s="178" t="s">
        <v>17</v>
      </c>
      <c r="Z50" s="411" t="s">
        <v>696</v>
      </c>
      <c r="AA50" s="161" t="s">
        <v>677</v>
      </c>
      <c r="AB50" s="179" t="s">
        <v>31</v>
      </c>
      <c r="AC50" s="178" t="s">
        <v>17</v>
      </c>
      <c r="AD50" s="411" t="s">
        <v>696</v>
      </c>
      <c r="AE50" s="161" t="s">
        <v>677</v>
      </c>
      <c r="AF50" s="179" t="s">
        <v>31</v>
      </c>
      <c r="AG50" s="178" t="s">
        <v>17</v>
      </c>
      <c r="AH50" s="411" t="s">
        <v>696</v>
      </c>
      <c r="AI50" s="161" t="s">
        <v>677</v>
      </c>
      <c r="AJ50" s="179" t="s">
        <v>31</v>
      </c>
      <c r="AK50" s="178" t="s">
        <v>17</v>
      </c>
      <c r="AL50" s="411" t="s">
        <v>696</v>
      </c>
      <c r="AM50" s="161" t="s">
        <v>677</v>
      </c>
      <c r="AN50" s="162" t="s">
        <v>31</v>
      </c>
    </row>
    <row r="51" spans="1:40" x14ac:dyDescent="0.25">
      <c r="A51" s="728">
        <v>1</v>
      </c>
      <c r="B51" s="738">
        <f>Paramètres!N6</f>
        <v>0</v>
      </c>
      <c r="C51" s="736">
        <v>4.2</v>
      </c>
      <c r="D51" s="170">
        <f>VALUE_Wall[[#This Row],[Valeur]]*VALUE_Wall[[#This Row],[Rang]]</f>
        <v>0</v>
      </c>
      <c r="E51" s="728">
        <v>1</v>
      </c>
      <c r="F51" s="738">
        <f>Paramètres!O6</f>
        <v>0</v>
      </c>
      <c r="G51" s="744">
        <v>100</v>
      </c>
      <c r="H51" s="747">
        <f>VALUE_Cannon[[#This Row],[Valeur]]*VALUE_Cannon[[#This Row],[Rang]]</f>
        <v>0</v>
      </c>
      <c r="I51" s="729">
        <v>1</v>
      </c>
      <c r="J51" s="738">
        <f>Paramètres!P6</f>
        <v>0</v>
      </c>
      <c r="K51" s="736">
        <v>100</v>
      </c>
      <c r="L51" s="170">
        <f>VALUE_Archer_Tower[[#This Row],[Valeur]]*VALUE_Archer_Tower[[#This Row],[Rang]]</f>
        <v>0</v>
      </c>
      <c r="M51" s="728">
        <v>1</v>
      </c>
      <c r="N51" s="738">
        <f>Paramètres!Q6</f>
        <v>0</v>
      </c>
      <c r="O51" s="736">
        <v>500</v>
      </c>
      <c r="P51" s="170">
        <f>VALUE_Mortar[[#This Row],[Valeur]]*VALUE_Mortar[[#This Row],[Rang]]</f>
        <v>0</v>
      </c>
      <c r="Q51" s="728">
        <v>1</v>
      </c>
      <c r="R51" s="738">
        <f>Paramètres!R6</f>
        <v>0</v>
      </c>
      <c r="S51" s="736">
        <v>40</v>
      </c>
      <c r="T51" s="170">
        <f>VALUE_Air_Defense[[#This Row],[Valeur]]*VALUE_Air_Defense[[#This Row],[Rang]]</f>
        <v>0</v>
      </c>
      <c r="U51" s="728">
        <v>1</v>
      </c>
      <c r="V51" s="738">
        <f>Paramètres!S6</f>
        <v>0</v>
      </c>
      <c r="W51" s="736">
        <v>500</v>
      </c>
      <c r="X51" s="170">
        <f>VALUE_Wizard_Tower[[#This Row],[Valeur]]*VALUE_Wizard_Tower[[#This Row],[Rang]]</f>
        <v>0</v>
      </c>
      <c r="Y51" s="728">
        <v>1</v>
      </c>
      <c r="Z51" s="738">
        <f>Paramètres!T6</f>
        <v>0</v>
      </c>
      <c r="AA51" s="736">
        <v>10</v>
      </c>
      <c r="AB51" s="170">
        <f>VALUE_Air_Sweeper[[#This Row],[Valeur]]*VALUE_Air_Sweeper[[#This Row],[Rang]]</f>
        <v>0</v>
      </c>
      <c r="AC51" s="728">
        <v>1</v>
      </c>
      <c r="AD51" s="738">
        <f>Paramètres!U6</f>
        <v>0</v>
      </c>
      <c r="AE51" s="736">
        <v>100</v>
      </c>
      <c r="AF51" s="170">
        <f>VALUE_Hidden_Tesla[[#This Row],[Valeur]]*VALUE_Hidden_Tesla[[#This Row],[Rang]]</f>
        <v>0</v>
      </c>
      <c r="AG51" s="728">
        <v>1</v>
      </c>
      <c r="AH51" s="738">
        <f>Paramètres!V6</f>
        <v>0</v>
      </c>
      <c r="AI51" s="736">
        <v>400</v>
      </c>
      <c r="AJ51" s="170">
        <f>VALUE_XBow[[#This Row],[Valeur]]*VALUE_XBow[[#This Row],[Rang]]</f>
        <v>0</v>
      </c>
      <c r="AK51" s="728">
        <v>1</v>
      </c>
      <c r="AL51" s="738">
        <f>Paramètres!X6</f>
        <v>0</v>
      </c>
      <c r="AM51" s="736">
        <v>1000</v>
      </c>
      <c r="AN51" s="170">
        <f>VALUE_Inferno_Tower[[#This Row],[Valeur]]*VALUE_Inferno_Tower[[#This Row],[Rang]]</f>
        <v>0</v>
      </c>
    </row>
    <row r="52" spans="1:40" x14ac:dyDescent="0.25">
      <c r="A52" s="470">
        <v>2</v>
      </c>
      <c r="B52" s="739">
        <f>Paramètres!N7</f>
        <v>0</v>
      </c>
      <c r="C52" s="735">
        <v>8.4</v>
      </c>
      <c r="D52" s="171">
        <f>VALUE_Wall[[#This Row],[Valeur]]*VALUE_Wall[[#This Row],[Rang]]</f>
        <v>0</v>
      </c>
      <c r="E52" s="470">
        <v>2</v>
      </c>
      <c r="F52" s="739">
        <f>Paramètres!O7</f>
        <v>0</v>
      </c>
      <c r="G52" s="745">
        <v>199</v>
      </c>
      <c r="H52" s="748">
        <f>VALUE_Cannon[[#This Row],[Valeur]]*VALUE_Cannon[[#This Row],[Rang]]</f>
        <v>0</v>
      </c>
      <c r="I52" s="749">
        <v>2</v>
      </c>
      <c r="J52" s="739">
        <f>Paramètres!P7</f>
        <v>0</v>
      </c>
      <c r="K52" s="735">
        <v>199</v>
      </c>
      <c r="L52" s="171">
        <f>VALUE_Archer_Tower[[#This Row],[Valeur]]*VALUE_Archer_Tower[[#This Row],[Rang]]</f>
        <v>0</v>
      </c>
      <c r="M52" s="470">
        <v>2</v>
      </c>
      <c r="N52" s="739">
        <f>Paramètres!Q7</f>
        <v>0</v>
      </c>
      <c r="O52" s="735">
        <v>990</v>
      </c>
      <c r="P52" s="171">
        <f>VALUE_Mortar[[#This Row],[Valeur]]*VALUE_Mortar[[#This Row],[Rang]]</f>
        <v>0</v>
      </c>
      <c r="Q52" s="470">
        <v>2</v>
      </c>
      <c r="R52" s="739">
        <f>Paramètres!R7</f>
        <v>0</v>
      </c>
      <c r="S52" s="735">
        <v>80</v>
      </c>
      <c r="T52" s="171">
        <f>VALUE_Air_Defense[[#This Row],[Valeur]]*VALUE_Air_Defense[[#This Row],[Rang]]</f>
        <v>0</v>
      </c>
      <c r="U52" s="470">
        <v>2</v>
      </c>
      <c r="V52" s="739">
        <f>Paramètres!S7</f>
        <v>0</v>
      </c>
      <c r="W52" s="735">
        <v>970</v>
      </c>
      <c r="X52" s="171">
        <f>VALUE_Wizard_Tower[[#This Row],[Valeur]]*VALUE_Wizard_Tower[[#This Row],[Rang]]</f>
        <v>0</v>
      </c>
      <c r="Y52" s="470">
        <v>2</v>
      </c>
      <c r="Z52" s="739">
        <f>Paramètres!T7</f>
        <v>0</v>
      </c>
      <c r="AA52" s="735">
        <v>20</v>
      </c>
      <c r="AB52" s="171">
        <f>VALUE_Air_Sweeper[[#This Row],[Valeur]]*VALUE_Air_Sweeper[[#This Row],[Rang]]</f>
        <v>0</v>
      </c>
      <c r="AC52" s="470">
        <v>2</v>
      </c>
      <c r="AD52" s="739">
        <f>Paramètres!U7</f>
        <v>0</v>
      </c>
      <c r="AE52" s="735">
        <v>200</v>
      </c>
      <c r="AF52" s="171">
        <f>VALUE_Hidden_Tesla[[#This Row],[Valeur]]*VALUE_Hidden_Tesla[[#This Row],[Rang]]</f>
        <v>0</v>
      </c>
      <c r="AG52" s="470">
        <v>2</v>
      </c>
      <c r="AH52" s="739">
        <f>Paramètres!V7</f>
        <v>0</v>
      </c>
      <c r="AI52" s="735">
        <v>800</v>
      </c>
      <c r="AJ52" s="171">
        <f>VALUE_XBow[[#This Row],[Valeur]]*VALUE_XBow[[#This Row],[Rang]]</f>
        <v>0</v>
      </c>
      <c r="AK52" s="470">
        <v>2</v>
      </c>
      <c r="AL52" s="739">
        <f>Paramètres!X7</f>
        <v>0</v>
      </c>
      <c r="AM52" s="735">
        <v>2000</v>
      </c>
      <c r="AN52" s="171">
        <f>VALUE_Inferno_Tower[[#This Row],[Valeur]]*VALUE_Inferno_Tower[[#This Row],[Rang]]</f>
        <v>0</v>
      </c>
    </row>
    <row r="53" spans="1:40" ht="15.75" thickBot="1" x14ac:dyDescent="0.3">
      <c r="A53" s="470">
        <v>3</v>
      </c>
      <c r="B53" s="739">
        <f>Paramètres!N8</f>
        <v>0</v>
      </c>
      <c r="C53" s="735">
        <v>12.600000000000001</v>
      </c>
      <c r="D53" s="171">
        <f>VALUE_Wall[[#This Row],[Valeur]]*VALUE_Wall[[#This Row],[Rang]]</f>
        <v>0</v>
      </c>
      <c r="E53" s="470">
        <v>3</v>
      </c>
      <c r="F53" s="739">
        <f>Paramètres!O8</f>
        <v>0</v>
      </c>
      <c r="G53" s="745">
        <v>297</v>
      </c>
      <c r="H53" s="748">
        <f>VALUE_Cannon[[#This Row],[Valeur]]*VALUE_Cannon[[#This Row],[Rang]]</f>
        <v>0</v>
      </c>
      <c r="I53" s="749">
        <v>3</v>
      </c>
      <c r="J53" s="739">
        <f>Paramètres!P8</f>
        <v>0</v>
      </c>
      <c r="K53" s="735">
        <v>297</v>
      </c>
      <c r="L53" s="171">
        <f>VALUE_Archer_Tower[[#This Row],[Valeur]]*VALUE_Archer_Tower[[#This Row],[Rang]]</f>
        <v>0</v>
      </c>
      <c r="M53" s="470">
        <v>3</v>
      </c>
      <c r="N53" s="739">
        <f>Paramètres!Q8</f>
        <v>0</v>
      </c>
      <c r="O53" s="735">
        <v>1470</v>
      </c>
      <c r="P53" s="171">
        <f>VALUE_Mortar[[#This Row],[Valeur]]*VALUE_Mortar[[#This Row],[Rang]]</f>
        <v>0</v>
      </c>
      <c r="Q53" s="470">
        <v>3</v>
      </c>
      <c r="R53" s="739">
        <f>Paramètres!R8</f>
        <v>0</v>
      </c>
      <c r="S53" s="735">
        <v>120</v>
      </c>
      <c r="T53" s="171">
        <f>VALUE_Air_Defense[[#This Row],[Valeur]]*VALUE_Air_Defense[[#This Row],[Rang]]</f>
        <v>0</v>
      </c>
      <c r="U53" s="470">
        <v>3</v>
      </c>
      <c r="V53" s="739">
        <f>Paramètres!S8</f>
        <v>0</v>
      </c>
      <c r="W53" s="735">
        <v>1410</v>
      </c>
      <c r="X53" s="171">
        <f>VALUE_Wizard_Tower[[#This Row],[Valeur]]*VALUE_Wizard_Tower[[#This Row],[Rang]]</f>
        <v>0</v>
      </c>
      <c r="Y53" s="470">
        <v>3</v>
      </c>
      <c r="Z53" s="739">
        <f>Paramètres!T8</f>
        <v>0</v>
      </c>
      <c r="AA53" s="735">
        <v>30</v>
      </c>
      <c r="AB53" s="171">
        <f>VALUE_Air_Sweeper[[#This Row],[Valeur]]*VALUE_Air_Sweeper[[#This Row],[Rang]]</f>
        <v>0</v>
      </c>
      <c r="AC53" s="470">
        <v>3</v>
      </c>
      <c r="AD53" s="739">
        <f>Paramètres!U8</f>
        <v>0</v>
      </c>
      <c r="AE53" s="735">
        <v>300</v>
      </c>
      <c r="AF53" s="171">
        <f>VALUE_Hidden_Tesla[[#This Row],[Valeur]]*VALUE_Hidden_Tesla[[#This Row],[Rang]]</f>
        <v>0</v>
      </c>
      <c r="AG53" s="470">
        <v>3</v>
      </c>
      <c r="AH53" s="739">
        <f>Paramètres!V8</f>
        <v>0</v>
      </c>
      <c r="AI53" s="735">
        <v>1200</v>
      </c>
      <c r="AJ53" s="171">
        <f>VALUE_XBow[[#This Row],[Valeur]]*VALUE_XBow[[#This Row],[Rang]]</f>
        <v>0</v>
      </c>
      <c r="AK53" s="477">
        <v>3</v>
      </c>
      <c r="AL53" s="740">
        <f>Paramètres!X8</f>
        <v>0</v>
      </c>
      <c r="AM53" s="737">
        <v>3000</v>
      </c>
      <c r="AN53" s="448">
        <f>VALUE_Inferno_Tower[[#This Row],[Valeur]]*VALUE_Inferno_Tower[[#This Row],[Rang]]</f>
        <v>0</v>
      </c>
    </row>
    <row r="54" spans="1:40" ht="15.75" thickBot="1" x14ac:dyDescent="0.3">
      <c r="A54" s="470">
        <v>4</v>
      </c>
      <c r="B54" s="739">
        <f>Paramètres!N9</f>
        <v>0</v>
      </c>
      <c r="C54" s="735">
        <v>16.8</v>
      </c>
      <c r="D54" s="171">
        <f>VALUE_Wall[[#This Row],[Valeur]]*VALUE_Wall[[#This Row],[Rang]]</f>
        <v>0</v>
      </c>
      <c r="E54" s="470">
        <v>4</v>
      </c>
      <c r="F54" s="739">
        <f>Paramètres!O9</f>
        <v>0</v>
      </c>
      <c r="G54" s="745">
        <v>394</v>
      </c>
      <c r="H54" s="748">
        <f>VALUE_Cannon[[#This Row],[Valeur]]*VALUE_Cannon[[#This Row],[Rang]]</f>
        <v>0</v>
      </c>
      <c r="I54" s="749">
        <v>4</v>
      </c>
      <c r="J54" s="739">
        <f>Paramètres!P9</f>
        <v>0</v>
      </c>
      <c r="K54" s="735">
        <v>394</v>
      </c>
      <c r="L54" s="171">
        <f>VALUE_Archer_Tower[[#This Row],[Valeur]]*VALUE_Archer_Tower[[#This Row],[Rang]]</f>
        <v>0</v>
      </c>
      <c r="M54" s="470">
        <v>4</v>
      </c>
      <c r="N54" s="739">
        <f>Paramètres!Q9</f>
        <v>0</v>
      </c>
      <c r="O54" s="735">
        <v>1940</v>
      </c>
      <c r="P54" s="171">
        <f>VALUE_Mortar[[#This Row],[Valeur]]*VALUE_Mortar[[#This Row],[Rang]]</f>
        <v>0</v>
      </c>
      <c r="Q54" s="470">
        <v>4</v>
      </c>
      <c r="R54" s="739">
        <f>Paramètres!R9</f>
        <v>0</v>
      </c>
      <c r="S54" s="735">
        <v>160</v>
      </c>
      <c r="T54" s="171">
        <f>VALUE_Air_Defense[[#This Row],[Valeur]]*VALUE_Air_Defense[[#This Row],[Rang]]</f>
        <v>0</v>
      </c>
      <c r="U54" s="470">
        <v>4</v>
      </c>
      <c r="V54" s="739">
        <f>Paramètres!S9</f>
        <v>0</v>
      </c>
      <c r="W54" s="735">
        <v>1820</v>
      </c>
      <c r="X54" s="171">
        <f>VALUE_Wizard_Tower[[#This Row],[Valeur]]*VALUE_Wizard_Tower[[#This Row],[Rang]]</f>
        <v>0</v>
      </c>
      <c r="Y54" s="470">
        <v>4</v>
      </c>
      <c r="Z54" s="739">
        <f>Paramètres!T9</f>
        <v>0</v>
      </c>
      <c r="AA54" s="735">
        <v>40</v>
      </c>
      <c r="AB54" s="171">
        <f>VALUE_Air_Sweeper[[#This Row],[Valeur]]*VALUE_Air_Sweeper[[#This Row],[Rang]]</f>
        <v>0</v>
      </c>
      <c r="AC54" s="470">
        <v>4</v>
      </c>
      <c r="AD54" s="739">
        <f>Paramètres!U9</f>
        <v>0</v>
      </c>
      <c r="AE54" s="735">
        <v>400</v>
      </c>
      <c r="AF54" s="171">
        <f>VALUE_Hidden_Tesla[[#This Row],[Valeur]]*VALUE_Hidden_Tesla[[#This Row],[Rang]]</f>
        <v>0</v>
      </c>
      <c r="AG54" s="477">
        <v>4</v>
      </c>
      <c r="AH54" s="740">
        <f>Paramètres!V9</f>
        <v>0</v>
      </c>
      <c r="AI54" s="737">
        <v>1600</v>
      </c>
      <c r="AJ54" s="448">
        <f>VALUE_XBow[[#This Row],[Valeur]]*VALUE_XBow[[#This Row],[Rang]]</f>
        <v>0</v>
      </c>
      <c r="AK54" s="137"/>
      <c r="AL54" s="137"/>
      <c r="AM54" s="137"/>
      <c r="AN54" s="734"/>
    </row>
    <row r="55" spans="1:40" x14ac:dyDescent="0.25">
      <c r="A55" s="470">
        <v>5</v>
      </c>
      <c r="B55" s="739">
        <f>Paramètres!N10</f>
        <v>0</v>
      </c>
      <c r="C55" s="735">
        <v>21</v>
      </c>
      <c r="D55" s="171">
        <f>VALUE_Wall[[#This Row],[Valeur]]*VALUE_Wall[[#This Row],[Rang]]</f>
        <v>0</v>
      </c>
      <c r="E55" s="470">
        <v>5</v>
      </c>
      <c r="F55" s="739">
        <f>Paramètres!O10</f>
        <v>0</v>
      </c>
      <c r="G55" s="745">
        <v>490</v>
      </c>
      <c r="H55" s="748">
        <f>VALUE_Cannon[[#This Row],[Valeur]]*VALUE_Cannon[[#This Row],[Rang]]</f>
        <v>0</v>
      </c>
      <c r="I55" s="749">
        <v>5</v>
      </c>
      <c r="J55" s="739">
        <f>Paramètres!P10</f>
        <v>0</v>
      </c>
      <c r="K55" s="735">
        <v>490</v>
      </c>
      <c r="L55" s="171">
        <f>VALUE_Archer_Tower[[#This Row],[Valeur]]*VALUE_Archer_Tower[[#This Row],[Rang]]</f>
        <v>0</v>
      </c>
      <c r="M55" s="470">
        <v>5</v>
      </c>
      <c r="N55" s="739">
        <f>Paramètres!Q10</f>
        <v>0</v>
      </c>
      <c r="O55" s="735">
        <v>2400</v>
      </c>
      <c r="P55" s="171">
        <f>VALUE_Mortar[[#This Row],[Valeur]]*VALUE_Mortar[[#This Row],[Rang]]</f>
        <v>0</v>
      </c>
      <c r="Q55" s="470">
        <v>5</v>
      </c>
      <c r="R55" s="739">
        <f>Paramètres!R10</f>
        <v>0</v>
      </c>
      <c r="S55" s="735">
        <v>200</v>
      </c>
      <c r="T55" s="171">
        <f>VALUE_Air_Defense[[#This Row],[Valeur]]*VALUE_Air_Defense[[#This Row],[Rang]]</f>
        <v>0</v>
      </c>
      <c r="U55" s="470">
        <v>5</v>
      </c>
      <c r="V55" s="739">
        <f>Paramètres!S10</f>
        <v>0</v>
      </c>
      <c r="W55" s="735">
        <v>2200</v>
      </c>
      <c r="X55" s="171">
        <f>VALUE_Wizard_Tower[[#This Row],[Valeur]]*VALUE_Wizard_Tower[[#This Row],[Rang]]</f>
        <v>0</v>
      </c>
      <c r="Y55" s="470">
        <v>5</v>
      </c>
      <c r="Z55" s="739">
        <f>Paramètres!T10</f>
        <v>0</v>
      </c>
      <c r="AA55" s="735">
        <v>50</v>
      </c>
      <c r="AB55" s="171">
        <f>VALUE_Air_Sweeper[[#This Row],[Valeur]]*VALUE_Air_Sweeper[[#This Row],[Rang]]</f>
        <v>0</v>
      </c>
      <c r="AC55" s="470">
        <v>5</v>
      </c>
      <c r="AD55" s="739">
        <f>Paramètres!U10</f>
        <v>0</v>
      </c>
      <c r="AE55" s="735">
        <v>500</v>
      </c>
      <c r="AF55" s="171">
        <f>VALUE_Hidden_Tesla[[#This Row],[Valeur]]*VALUE_Hidden_Tesla[[#This Row],[Rang]]</f>
        <v>0</v>
      </c>
      <c r="AG55" s="152"/>
      <c r="AH55" s="152"/>
      <c r="AI55" s="152"/>
      <c r="AJ55" s="152"/>
      <c r="AK55" s="152"/>
      <c r="AL55" s="152"/>
      <c r="AM55" s="734"/>
      <c r="AN55" s="734"/>
    </row>
    <row r="56" spans="1:40" ht="15.75" thickBot="1" x14ac:dyDescent="0.3">
      <c r="A56" s="470">
        <v>6</v>
      </c>
      <c r="B56" s="739">
        <f>Paramètres!N11</f>
        <v>0</v>
      </c>
      <c r="C56" s="735">
        <v>25.2</v>
      </c>
      <c r="D56" s="171">
        <f>VALUE_Wall[[#This Row],[Valeur]]*VALUE_Wall[[#This Row],[Rang]]</f>
        <v>0</v>
      </c>
      <c r="E56" s="470">
        <v>6</v>
      </c>
      <c r="F56" s="739">
        <f>Paramètres!O11</f>
        <v>0</v>
      </c>
      <c r="G56" s="745">
        <v>585</v>
      </c>
      <c r="H56" s="748">
        <f>VALUE_Cannon[[#This Row],[Valeur]]*VALUE_Cannon[[#This Row],[Rang]]</f>
        <v>0</v>
      </c>
      <c r="I56" s="749">
        <v>6</v>
      </c>
      <c r="J56" s="739">
        <f>Paramètres!P11</f>
        <v>0</v>
      </c>
      <c r="K56" s="735">
        <v>585</v>
      </c>
      <c r="L56" s="171">
        <f>VALUE_Archer_Tower[[#This Row],[Valeur]]*VALUE_Archer_Tower[[#This Row],[Rang]]</f>
        <v>0</v>
      </c>
      <c r="M56" s="470">
        <v>6</v>
      </c>
      <c r="N56" s="739">
        <f>Paramètres!Q11</f>
        <v>0</v>
      </c>
      <c r="O56" s="735">
        <v>2850</v>
      </c>
      <c r="P56" s="171">
        <f>VALUE_Mortar[[#This Row],[Valeur]]*VALUE_Mortar[[#This Row],[Rang]]</f>
        <v>0</v>
      </c>
      <c r="Q56" s="470">
        <v>6</v>
      </c>
      <c r="R56" s="739">
        <f>Paramètres!R11</f>
        <v>0</v>
      </c>
      <c r="S56" s="735">
        <v>240</v>
      </c>
      <c r="T56" s="171">
        <f>VALUE_Air_Defense[[#This Row],[Valeur]]*VALUE_Air_Defense[[#This Row],[Rang]]</f>
        <v>0</v>
      </c>
      <c r="U56" s="470">
        <v>6</v>
      </c>
      <c r="V56" s="739">
        <f>Paramètres!S11</f>
        <v>0</v>
      </c>
      <c r="W56" s="735">
        <v>2550</v>
      </c>
      <c r="X56" s="171">
        <f>VALUE_Wizard_Tower[[#This Row],[Valeur]]*VALUE_Wizard_Tower[[#This Row],[Rang]]</f>
        <v>0</v>
      </c>
      <c r="Y56" s="477">
        <v>6</v>
      </c>
      <c r="Z56" s="740">
        <f>Paramètres!T11</f>
        <v>0</v>
      </c>
      <c r="AA56" s="737">
        <v>60</v>
      </c>
      <c r="AB56" s="448">
        <f>VALUE_Air_Sweeper[[#This Row],[Valeur]]*VALUE_Air_Sweeper[[#This Row],[Rang]]</f>
        <v>0</v>
      </c>
      <c r="AC56" s="470">
        <v>6</v>
      </c>
      <c r="AD56" s="739">
        <f>Paramètres!U11</f>
        <v>0</v>
      </c>
      <c r="AE56" s="735">
        <v>600</v>
      </c>
      <c r="AF56" s="171">
        <f>VALUE_Hidden_Tesla[[#This Row],[Valeur]]*VALUE_Hidden_Tesla[[#This Row],[Rang]]</f>
        <v>0</v>
      </c>
      <c r="AG56" s="152"/>
      <c r="AH56" s="152"/>
      <c r="AI56" s="152"/>
      <c r="AJ56" s="152"/>
      <c r="AK56" s="152"/>
      <c r="AL56" s="152"/>
      <c r="AM56" s="734"/>
      <c r="AN56" s="734"/>
    </row>
    <row r="57" spans="1:40" x14ac:dyDescent="0.25">
      <c r="A57" s="470">
        <v>7</v>
      </c>
      <c r="B57" s="739">
        <f>Paramètres!N12</f>
        <v>0</v>
      </c>
      <c r="C57" s="735">
        <v>29.4</v>
      </c>
      <c r="D57" s="171">
        <f>VALUE_Wall[[#This Row],[Valeur]]*VALUE_Wall[[#This Row],[Rang]]</f>
        <v>0</v>
      </c>
      <c r="E57" s="470">
        <v>7</v>
      </c>
      <c r="F57" s="739">
        <f>Paramètres!O12</f>
        <v>0</v>
      </c>
      <c r="G57" s="745">
        <v>679</v>
      </c>
      <c r="H57" s="748">
        <f>VALUE_Cannon[[#This Row],[Valeur]]*VALUE_Cannon[[#This Row],[Rang]]</f>
        <v>0</v>
      </c>
      <c r="I57" s="749">
        <v>7</v>
      </c>
      <c r="J57" s="739">
        <f>Paramètres!P12</f>
        <v>0</v>
      </c>
      <c r="K57" s="735">
        <v>679</v>
      </c>
      <c r="L57" s="171">
        <f>VALUE_Archer_Tower[[#This Row],[Valeur]]*VALUE_Archer_Tower[[#This Row],[Rang]]</f>
        <v>0</v>
      </c>
      <c r="M57" s="470">
        <v>7</v>
      </c>
      <c r="N57" s="739">
        <f>Paramètres!Q12</f>
        <v>0</v>
      </c>
      <c r="O57" s="735">
        <v>3290</v>
      </c>
      <c r="P57" s="171">
        <f>VALUE_Mortar[[#This Row],[Valeur]]*VALUE_Mortar[[#This Row],[Rang]]</f>
        <v>0</v>
      </c>
      <c r="Q57" s="470">
        <v>7</v>
      </c>
      <c r="R57" s="739">
        <f>Paramètres!R12</f>
        <v>0</v>
      </c>
      <c r="S57" s="735">
        <v>280</v>
      </c>
      <c r="T57" s="171">
        <f>VALUE_Air_Defense[[#This Row],[Valeur]]*VALUE_Air_Defense[[#This Row],[Rang]]</f>
        <v>0</v>
      </c>
      <c r="U57" s="470">
        <v>7</v>
      </c>
      <c r="V57" s="739">
        <f>Paramètres!S12</f>
        <v>0</v>
      </c>
      <c r="W57" s="735">
        <v>2870</v>
      </c>
      <c r="X57" s="171">
        <f>VALUE_Wizard_Tower[[#This Row],[Valeur]]*VALUE_Wizard_Tower[[#This Row],[Rang]]</f>
        <v>0</v>
      </c>
      <c r="Y57" s="152"/>
      <c r="Z57" s="152"/>
      <c r="AA57" s="152"/>
      <c r="AB57" s="734"/>
      <c r="AC57" s="470">
        <v>7</v>
      </c>
      <c r="AD57" s="739">
        <f>Paramètres!U12</f>
        <v>0</v>
      </c>
      <c r="AE57" s="735">
        <v>700</v>
      </c>
      <c r="AF57" s="171">
        <f>VALUE_Hidden_Tesla[[#This Row],[Valeur]]*VALUE_Hidden_Tesla[[#This Row],[Rang]]</f>
        <v>0</v>
      </c>
      <c r="AG57" s="152"/>
      <c r="AH57" s="152"/>
      <c r="AI57" s="152"/>
      <c r="AJ57" s="152"/>
      <c r="AK57" s="152"/>
      <c r="AL57" s="152"/>
      <c r="AM57" s="734"/>
      <c r="AN57" s="734"/>
    </row>
    <row r="58" spans="1:40" ht="15.75" thickBot="1" x14ac:dyDescent="0.3">
      <c r="A58" s="470">
        <v>8</v>
      </c>
      <c r="B58" s="739">
        <f>Paramètres!N13</f>
        <v>0</v>
      </c>
      <c r="C58" s="735">
        <v>33.6</v>
      </c>
      <c r="D58" s="171">
        <f>VALUE_Wall[[#This Row],[Valeur]]*VALUE_Wall[[#This Row],[Rang]]</f>
        <v>0</v>
      </c>
      <c r="E58" s="470">
        <v>8</v>
      </c>
      <c r="F58" s="739">
        <f>Paramètres!O13</f>
        <v>0</v>
      </c>
      <c r="G58" s="745">
        <v>772</v>
      </c>
      <c r="H58" s="748">
        <f>VALUE_Cannon[[#This Row],[Valeur]]*VALUE_Cannon[[#This Row],[Rang]]</f>
        <v>0</v>
      </c>
      <c r="I58" s="749">
        <v>8</v>
      </c>
      <c r="J58" s="739">
        <f>Paramètres!P13</f>
        <v>0</v>
      </c>
      <c r="K58" s="735">
        <v>772</v>
      </c>
      <c r="L58" s="171">
        <f>VALUE_Archer_Tower[[#This Row],[Valeur]]*VALUE_Archer_Tower[[#This Row],[Rang]]</f>
        <v>0</v>
      </c>
      <c r="M58" s="477">
        <v>8</v>
      </c>
      <c r="N58" s="740">
        <f>Paramètres!Q13</f>
        <v>0</v>
      </c>
      <c r="O58" s="735">
        <v>3720</v>
      </c>
      <c r="P58" s="448">
        <f>VALUE_Mortar[[#This Row],[Valeur]]*VALUE_Mortar[[#This Row],[Rang]]</f>
        <v>0</v>
      </c>
      <c r="Q58" s="477">
        <v>8</v>
      </c>
      <c r="R58" s="740">
        <f>Paramètres!R13</f>
        <v>0</v>
      </c>
      <c r="S58" s="737">
        <v>320</v>
      </c>
      <c r="T58" s="448">
        <f>VALUE_Air_Defense[[#This Row],[Valeur]]*VALUE_Air_Defense[[#This Row],[Rang]]</f>
        <v>0</v>
      </c>
      <c r="U58" s="477">
        <v>8</v>
      </c>
      <c r="V58" s="740">
        <f>Paramètres!S13</f>
        <v>0</v>
      </c>
      <c r="W58" s="735">
        <v>3160</v>
      </c>
      <c r="X58" s="448">
        <f>VALUE_Wizard_Tower[[#This Row],[Valeur]]*VALUE_Wizard_Tower[[#This Row],[Rang]]</f>
        <v>0</v>
      </c>
      <c r="Y58" s="152"/>
      <c r="Z58" s="152"/>
      <c r="AA58" s="152"/>
      <c r="AB58" s="734"/>
      <c r="AC58" s="477">
        <v>8</v>
      </c>
      <c r="AD58" s="740">
        <f>Paramètres!U13</f>
        <v>0</v>
      </c>
      <c r="AE58" s="737">
        <v>800</v>
      </c>
      <c r="AF58" s="448">
        <f>VALUE_Hidden_Tesla[[#This Row],[Valeur]]*VALUE_Hidden_Tesla[[#This Row],[Rang]]</f>
        <v>0</v>
      </c>
      <c r="AG58" s="152"/>
      <c r="AH58" s="152"/>
      <c r="AI58" s="152"/>
      <c r="AJ58" s="137"/>
      <c r="AK58" s="137"/>
      <c r="AL58" s="137"/>
      <c r="AM58" s="734"/>
      <c r="AN58" s="734"/>
    </row>
    <row r="59" spans="1:40" x14ac:dyDescent="0.25">
      <c r="A59" s="470">
        <v>9</v>
      </c>
      <c r="B59" s="739">
        <f>Paramètres!N14</f>
        <v>0</v>
      </c>
      <c r="C59" s="735">
        <v>37.800000000000004</v>
      </c>
      <c r="D59" s="171">
        <f>VALUE_Wall[[#This Row],[Valeur]]*VALUE_Wall[[#This Row],[Rang]]</f>
        <v>0</v>
      </c>
      <c r="E59" s="470">
        <v>9</v>
      </c>
      <c r="F59" s="739">
        <f>Paramètres!O14</f>
        <v>0</v>
      </c>
      <c r="G59" s="745">
        <v>864</v>
      </c>
      <c r="H59" s="748">
        <f>VALUE_Cannon[[#This Row],[Valeur]]*VALUE_Cannon[[#This Row],[Rang]]</f>
        <v>0</v>
      </c>
      <c r="I59" s="749">
        <v>9</v>
      </c>
      <c r="J59" s="739">
        <f>Paramètres!P14</f>
        <v>0</v>
      </c>
      <c r="K59" s="735">
        <v>864</v>
      </c>
      <c r="L59" s="171">
        <f>VALUE_Archer_Tower[[#This Row],[Valeur]]*VALUE_Archer_Tower[[#This Row],[Rang]]</f>
        <v>0</v>
      </c>
      <c r="M59" s="152"/>
      <c r="N59" s="152"/>
      <c r="O59" s="152"/>
      <c r="P59" s="152"/>
      <c r="Q59" s="152"/>
      <c r="R59" s="152"/>
      <c r="S59" s="152"/>
      <c r="T59" s="152"/>
      <c r="U59" s="152"/>
      <c r="V59" s="152"/>
      <c r="W59" s="152"/>
      <c r="X59" s="152"/>
      <c r="Y59" s="152"/>
      <c r="Z59" s="152"/>
      <c r="AA59" s="152"/>
      <c r="AB59" s="152"/>
      <c r="AC59" s="152"/>
      <c r="AD59" s="152"/>
      <c r="AE59" s="152"/>
      <c r="AF59" s="152"/>
      <c r="AG59" s="152"/>
      <c r="AH59" s="734"/>
      <c r="AI59" s="734"/>
      <c r="AJ59" s="734"/>
      <c r="AK59" s="734"/>
      <c r="AL59" s="734"/>
      <c r="AM59" s="734"/>
      <c r="AN59" s="734"/>
    </row>
    <row r="60" spans="1:40" x14ac:dyDescent="0.25">
      <c r="A60" s="470">
        <v>10</v>
      </c>
      <c r="B60" s="739">
        <f>Paramètres!N15</f>
        <v>0</v>
      </c>
      <c r="C60" s="735">
        <v>42.000000000000007</v>
      </c>
      <c r="D60" s="171">
        <f>VALUE_Wall[[#This Row],[Valeur]]*VALUE_Wall[[#This Row],[Rang]]</f>
        <v>0</v>
      </c>
      <c r="E60" s="470">
        <v>10</v>
      </c>
      <c r="F60" s="739">
        <f>Paramètres!O15</f>
        <v>0</v>
      </c>
      <c r="G60" s="745">
        <v>955</v>
      </c>
      <c r="H60" s="748">
        <f>VALUE_Cannon[[#This Row],[Valeur]]*VALUE_Cannon[[#This Row],[Rang]]</f>
        <v>0</v>
      </c>
      <c r="I60" s="749">
        <v>10</v>
      </c>
      <c r="J60" s="739">
        <f>Paramètres!P15</f>
        <v>0</v>
      </c>
      <c r="K60" s="735">
        <v>955</v>
      </c>
      <c r="L60" s="171">
        <f>VALUE_Archer_Tower[[#This Row],[Valeur]]*VALUE_Archer_Tower[[#This Row],[Rang]]</f>
        <v>0</v>
      </c>
      <c r="M60" s="152"/>
      <c r="N60" s="152"/>
      <c r="O60" s="506"/>
      <c r="P60" s="152"/>
      <c r="Q60" s="152"/>
      <c r="R60" s="152"/>
      <c r="S60" s="152"/>
      <c r="T60" s="152"/>
      <c r="U60" s="152"/>
      <c r="V60" s="152"/>
      <c r="W60" s="152"/>
      <c r="X60" s="152"/>
      <c r="Y60" s="152"/>
      <c r="Z60" s="152"/>
      <c r="AA60" s="152"/>
      <c r="AB60" s="152"/>
      <c r="AC60" s="152"/>
      <c r="AD60" s="152"/>
      <c r="AE60" s="152"/>
      <c r="AF60" s="152"/>
      <c r="AG60" s="152"/>
      <c r="AH60" s="734"/>
      <c r="AI60" s="734"/>
      <c r="AJ60" s="734"/>
      <c r="AK60" s="734"/>
      <c r="AL60" s="734"/>
      <c r="AM60" s="734"/>
      <c r="AN60" s="734"/>
    </row>
    <row r="61" spans="1:40" ht="15.75" thickBot="1" x14ac:dyDescent="0.3">
      <c r="A61" s="477">
        <v>11</v>
      </c>
      <c r="B61" s="740">
        <f>Paramètres!N16</f>
        <v>0</v>
      </c>
      <c r="C61" s="737">
        <v>46.20000000000001</v>
      </c>
      <c r="D61" s="448">
        <f>VALUE_Wall[[#This Row],[Valeur]]*VALUE_Wall[[#This Row],[Rang]]</f>
        <v>0</v>
      </c>
      <c r="E61" s="470">
        <v>11</v>
      </c>
      <c r="F61" s="739">
        <f>Paramètres!O16</f>
        <v>0</v>
      </c>
      <c r="G61" s="745">
        <v>1045</v>
      </c>
      <c r="H61" s="748">
        <f>VALUE_Cannon[[#This Row],[Valeur]]*VALUE_Cannon[[#This Row],[Rang]]</f>
        <v>0</v>
      </c>
      <c r="I61" s="749">
        <v>11</v>
      </c>
      <c r="J61" s="739">
        <f>Paramètres!P16</f>
        <v>0</v>
      </c>
      <c r="K61" s="735">
        <v>1045</v>
      </c>
      <c r="L61" s="171">
        <f>VALUE_Archer_Tower[[#This Row],[Valeur]]*VALUE_Archer_Tower[[#This Row],[Rang]]</f>
        <v>0</v>
      </c>
      <c r="M61" s="152"/>
      <c r="N61" s="152"/>
      <c r="O61" s="506"/>
      <c r="P61" s="152"/>
      <c r="Q61" s="152"/>
      <c r="R61" s="152"/>
      <c r="S61" s="152"/>
      <c r="T61" s="152"/>
      <c r="U61" s="152"/>
      <c r="V61" s="152"/>
      <c r="W61" s="152"/>
      <c r="X61" s="152"/>
      <c r="Y61" s="152"/>
      <c r="Z61" s="152"/>
      <c r="AA61" s="152"/>
      <c r="AB61" s="152"/>
      <c r="AC61" s="734"/>
      <c r="AD61" s="734"/>
      <c r="AE61" s="734"/>
      <c r="AF61" s="734"/>
      <c r="AG61" s="734"/>
      <c r="AH61" s="734"/>
      <c r="AI61" s="734"/>
      <c r="AJ61" s="734"/>
      <c r="AK61" s="734"/>
      <c r="AL61" s="734"/>
      <c r="AM61" s="734"/>
      <c r="AN61" s="734"/>
    </row>
    <row r="62" spans="1:40" x14ac:dyDescent="0.25">
      <c r="A62" s="152"/>
      <c r="B62" s="152"/>
      <c r="C62" s="152"/>
      <c r="D62" s="734"/>
      <c r="E62" s="470">
        <v>12</v>
      </c>
      <c r="F62" s="739">
        <f>Paramètres!O17</f>
        <v>0</v>
      </c>
      <c r="G62" s="745">
        <v>1134</v>
      </c>
      <c r="H62" s="748">
        <f>VALUE_Cannon[[#This Row],[Valeur]]*VALUE_Cannon[[#This Row],[Rang]]</f>
        <v>0</v>
      </c>
      <c r="I62" s="749">
        <v>12</v>
      </c>
      <c r="J62" s="739">
        <f>Paramètres!P17</f>
        <v>0</v>
      </c>
      <c r="K62" s="735">
        <v>1134</v>
      </c>
      <c r="L62" s="171">
        <f>VALUE_Archer_Tower[[#This Row],[Valeur]]*VALUE_Archer_Tower[[#This Row],[Rang]]</f>
        <v>0</v>
      </c>
      <c r="M62" s="152"/>
      <c r="N62" s="152"/>
      <c r="O62" s="152"/>
      <c r="P62" s="152"/>
      <c r="Q62" s="152"/>
      <c r="R62" s="152"/>
      <c r="S62" s="152"/>
      <c r="T62" s="152"/>
      <c r="U62" s="152"/>
      <c r="V62" s="152"/>
      <c r="W62" s="152"/>
      <c r="X62" s="152"/>
      <c r="Y62" s="152"/>
      <c r="Z62" s="152"/>
      <c r="AA62" s="152"/>
      <c r="AB62" s="152"/>
      <c r="AC62" s="152"/>
      <c r="AD62" s="152"/>
      <c r="AE62" s="152"/>
      <c r="AF62" s="152"/>
      <c r="AG62" s="152"/>
      <c r="AH62" s="734"/>
      <c r="AI62" s="734"/>
      <c r="AJ62" s="734"/>
      <c r="AK62" s="734"/>
      <c r="AL62" s="734"/>
      <c r="AM62" s="734"/>
      <c r="AN62" s="734"/>
    </row>
    <row r="63" spans="1:40" ht="15.75" thickBot="1" x14ac:dyDescent="0.3">
      <c r="A63" s="152"/>
      <c r="B63" s="152"/>
      <c r="C63" s="152"/>
      <c r="D63" s="734"/>
      <c r="E63" s="477">
        <v>13</v>
      </c>
      <c r="F63" s="740">
        <f>Paramètres!O18</f>
        <v>0</v>
      </c>
      <c r="G63" s="746">
        <v>1222</v>
      </c>
      <c r="H63" s="750">
        <f>VALUE_Cannon[[#This Row],[Valeur]]*VALUE_Cannon[[#This Row],[Rang]]</f>
        <v>0</v>
      </c>
      <c r="I63" s="751">
        <v>13</v>
      </c>
      <c r="J63" s="740">
        <f>Paramètres!P18</f>
        <v>0</v>
      </c>
      <c r="K63" s="737">
        <v>1222</v>
      </c>
      <c r="L63" s="448">
        <f>VALUE_Archer_Tower[[#This Row],[Valeur]]*VALUE_Archer_Tower[[#This Row],[Rang]]</f>
        <v>0</v>
      </c>
      <c r="M63" s="152"/>
      <c r="N63" s="152"/>
      <c r="O63" s="152"/>
      <c r="P63" s="152"/>
      <c r="Q63" s="152"/>
      <c r="R63" s="152"/>
      <c r="S63" s="152"/>
      <c r="T63" s="152"/>
      <c r="U63" s="152"/>
      <c r="V63" s="152"/>
      <c r="W63" s="152"/>
      <c r="X63" s="152"/>
      <c r="Y63" s="152"/>
      <c r="Z63" s="152"/>
      <c r="AA63" s="152"/>
      <c r="AB63" s="152"/>
      <c r="AC63" s="152"/>
      <c r="AD63" s="152"/>
      <c r="AE63" s="152"/>
      <c r="AF63" s="152"/>
      <c r="AG63" s="152"/>
      <c r="AH63" s="152"/>
      <c r="AI63" s="152"/>
      <c r="AJ63" s="152"/>
      <c r="AK63" s="152"/>
      <c r="AL63" s="734"/>
      <c r="AM63" s="734"/>
      <c r="AN63" s="734"/>
    </row>
    <row r="64" spans="1:40" x14ac:dyDescent="0.25">
      <c r="A64" s="152"/>
      <c r="B64" s="152"/>
      <c r="C64" s="152"/>
      <c r="D64" s="734"/>
      <c r="E64" s="734"/>
      <c r="F64" s="734"/>
      <c r="G64" s="734"/>
      <c r="H64" s="734"/>
      <c r="I64" s="734"/>
      <c r="J64" s="734"/>
      <c r="K64" s="734"/>
      <c r="L64" s="734"/>
      <c r="M64" s="734"/>
      <c r="N64" s="734"/>
      <c r="O64" s="734"/>
      <c r="P64" s="734"/>
      <c r="Q64" s="734"/>
      <c r="R64" s="734"/>
      <c r="S64" s="734"/>
      <c r="T64" s="734"/>
      <c r="U64" s="734"/>
      <c r="V64" s="734"/>
      <c r="W64" s="734"/>
      <c r="X64" s="734"/>
      <c r="Y64" s="734"/>
      <c r="Z64" s="734"/>
      <c r="AA64" s="734"/>
      <c r="AB64" s="734"/>
      <c r="AC64" s="152"/>
      <c r="AD64" s="152"/>
      <c r="AE64" s="152"/>
      <c r="AF64" s="152"/>
      <c r="AG64" s="152"/>
      <c r="AH64" s="152"/>
      <c r="AI64" s="152"/>
      <c r="AJ64" s="152"/>
      <c r="AK64" s="152"/>
      <c r="AL64" s="734"/>
      <c r="AM64" s="734"/>
      <c r="AN64" s="734"/>
    </row>
    <row r="65" spans="1:40" ht="15.75" thickBot="1" x14ac:dyDescent="0.3">
      <c r="A65" s="152"/>
      <c r="B65" s="152"/>
      <c r="C65" s="152"/>
      <c r="D65" s="152"/>
      <c r="E65" s="152"/>
      <c r="F65" s="152"/>
      <c r="G65" s="152"/>
      <c r="H65" s="152"/>
      <c r="I65" s="152"/>
      <c r="J65" s="152"/>
      <c r="K65" s="152"/>
      <c r="L65" s="152"/>
      <c r="M65" s="152"/>
      <c r="N65" s="152"/>
      <c r="O65" s="152"/>
      <c r="P65" s="152"/>
      <c r="Q65" s="152"/>
      <c r="R65" s="152"/>
      <c r="S65" s="152"/>
      <c r="T65" s="152"/>
      <c r="U65" s="152"/>
      <c r="V65" s="152"/>
      <c r="W65" s="152"/>
      <c r="X65" s="152"/>
      <c r="Y65" s="734"/>
      <c r="Z65" s="734"/>
      <c r="AA65" s="734"/>
      <c r="AB65" s="734"/>
      <c r="AC65" s="152"/>
      <c r="AD65" s="152"/>
      <c r="AE65" s="152"/>
      <c r="AF65" s="152"/>
      <c r="AG65" s="152"/>
      <c r="AH65" s="152"/>
      <c r="AI65" s="152"/>
      <c r="AJ65" s="152"/>
      <c r="AK65" s="152"/>
      <c r="AL65" s="734"/>
      <c r="AM65" s="734"/>
      <c r="AN65" s="734"/>
    </row>
    <row r="66" spans="1:40" ht="19.5" customHeight="1" thickBot="1" x14ac:dyDescent="0.3">
      <c r="A66" s="1354" t="s">
        <v>681</v>
      </c>
      <c r="B66" s="1354"/>
      <c r="C66" s="1354"/>
      <c r="D66" s="1354"/>
      <c r="E66" s="1354"/>
      <c r="F66" s="1354"/>
      <c r="G66" s="1354"/>
      <c r="H66" s="1354"/>
      <c r="I66" s="1354"/>
      <c r="J66" s="1354"/>
      <c r="K66" s="1354"/>
      <c r="L66" s="1354"/>
      <c r="M66" s="1354"/>
      <c r="N66" s="1354"/>
      <c r="O66" s="1354"/>
      <c r="P66" s="1354"/>
      <c r="Q66" s="1354"/>
      <c r="R66" s="1354"/>
      <c r="S66" s="1354"/>
      <c r="T66" s="1354"/>
      <c r="U66" s="1354"/>
      <c r="V66" s="1354"/>
      <c r="W66" s="1354"/>
      <c r="X66" s="1354"/>
      <c r="Y66" s="734"/>
      <c r="Z66" s="734"/>
      <c r="AA66" s="734"/>
      <c r="AB66" s="734"/>
      <c r="AC66" s="152"/>
      <c r="AD66" s="152"/>
      <c r="AE66" s="152"/>
      <c r="AF66" s="152"/>
      <c r="AG66" s="152"/>
      <c r="AH66" s="152"/>
      <c r="AI66" s="152"/>
      <c r="AJ66" s="152"/>
      <c r="AK66" s="152"/>
      <c r="AL66" s="734"/>
      <c r="AM66" s="734"/>
      <c r="AN66" s="734"/>
    </row>
    <row r="67" spans="1:40" ht="15.75" customHeight="1" thickBot="1" x14ac:dyDescent="0.3">
      <c r="A67" s="1353" t="s">
        <v>561</v>
      </c>
      <c r="B67" s="1353"/>
      <c r="C67" s="1353"/>
      <c r="D67" s="1353"/>
      <c r="E67" s="1353" t="s">
        <v>559</v>
      </c>
      <c r="F67" s="1353"/>
      <c r="G67" s="1353"/>
      <c r="H67" s="1353"/>
      <c r="I67" s="1353" t="s">
        <v>558</v>
      </c>
      <c r="J67" s="1353"/>
      <c r="K67" s="1353"/>
      <c r="L67" s="1353"/>
      <c r="M67" s="1353" t="s">
        <v>560</v>
      </c>
      <c r="N67" s="1353"/>
      <c r="O67" s="1353"/>
      <c r="P67" s="1353"/>
      <c r="Q67" s="1353" t="s">
        <v>562</v>
      </c>
      <c r="R67" s="1353"/>
      <c r="S67" s="1353"/>
      <c r="T67" s="1353"/>
      <c r="U67" s="1353" t="s">
        <v>564</v>
      </c>
      <c r="V67" s="1353"/>
      <c r="W67" s="1353"/>
      <c r="X67" s="1353"/>
      <c r="Y67" s="734"/>
      <c r="Z67" s="734"/>
      <c r="AA67" s="734"/>
      <c r="AB67" s="734"/>
      <c r="AC67" s="152"/>
      <c r="AD67" s="152"/>
      <c r="AE67" s="152"/>
      <c r="AF67" s="152"/>
      <c r="AG67" s="152"/>
      <c r="AH67" s="152"/>
      <c r="AI67" s="152"/>
      <c r="AJ67" s="152"/>
      <c r="AK67" s="152"/>
      <c r="AL67" s="734"/>
      <c r="AM67" s="734"/>
      <c r="AN67" s="734"/>
    </row>
    <row r="68" spans="1:40" ht="15.75" thickBot="1" x14ac:dyDescent="0.3">
      <c r="A68" s="602" t="s">
        <v>17</v>
      </c>
      <c r="B68" s="251" t="s">
        <v>696</v>
      </c>
      <c r="C68" s="251" t="s">
        <v>677</v>
      </c>
      <c r="D68" s="159" t="s">
        <v>31</v>
      </c>
      <c r="E68" s="602" t="s">
        <v>17</v>
      </c>
      <c r="F68" s="251" t="s">
        <v>696</v>
      </c>
      <c r="G68" s="251" t="s">
        <v>677</v>
      </c>
      <c r="H68" s="159" t="s">
        <v>31</v>
      </c>
      <c r="I68" s="602" t="s">
        <v>17</v>
      </c>
      <c r="J68" s="251" t="s">
        <v>696</v>
      </c>
      <c r="K68" s="251" t="s">
        <v>677</v>
      </c>
      <c r="L68" s="159" t="s">
        <v>31</v>
      </c>
      <c r="M68" s="602" t="s">
        <v>17</v>
      </c>
      <c r="N68" s="251" t="s">
        <v>696</v>
      </c>
      <c r="O68" s="251" t="s">
        <v>677</v>
      </c>
      <c r="P68" s="159" t="s">
        <v>31</v>
      </c>
      <c r="Q68" s="602" t="s">
        <v>17</v>
      </c>
      <c r="R68" s="251" t="s">
        <v>696</v>
      </c>
      <c r="S68" s="251" t="s">
        <v>677</v>
      </c>
      <c r="T68" s="159" t="s">
        <v>31</v>
      </c>
      <c r="U68" s="602" t="s">
        <v>17</v>
      </c>
      <c r="V68" s="251" t="s">
        <v>696</v>
      </c>
      <c r="W68" s="251" t="s">
        <v>677</v>
      </c>
      <c r="X68" s="159" t="s">
        <v>31</v>
      </c>
      <c r="Y68" s="734"/>
      <c r="Z68" s="734"/>
      <c r="AA68" s="734"/>
      <c r="AB68" s="734"/>
      <c r="AC68" s="152"/>
      <c r="AD68" s="152"/>
      <c r="AE68" s="152"/>
      <c r="AF68" s="152"/>
      <c r="AG68" s="152"/>
      <c r="AH68" s="152"/>
      <c r="AI68" s="152"/>
      <c r="AJ68" s="152"/>
      <c r="AK68" s="152"/>
      <c r="AL68" s="734"/>
      <c r="AM68" s="734"/>
      <c r="AN68" s="734"/>
    </row>
    <row r="69" spans="1:40" ht="15.75" thickBot="1" x14ac:dyDescent="0.3">
      <c r="A69" s="728">
        <v>1</v>
      </c>
      <c r="B69" s="738">
        <f>Paramètres!Y6</f>
        <v>0</v>
      </c>
      <c r="C69" s="736">
        <v>100</v>
      </c>
      <c r="D69" s="170">
        <f>VALUE_Bomb[[#This Row],[Valeur]]*VALUE_Bomb[[#This Row],[Rang]]</f>
        <v>0</v>
      </c>
      <c r="E69" s="727">
        <v>1</v>
      </c>
      <c r="F69" s="754">
        <f>Paramètres!Z6</f>
        <v>0</v>
      </c>
      <c r="G69" s="755">
        <v>20</v>
      </c>
      <c r="H69" s="756">
        <f>VALUE_Spring_Trap[Valeur]*VALUE_Spring_Trap[Rang]</f>
        <v>0</v>
      </c>
      <c r="I69" s="728">
        <v>1</v>
      </c>
      <c r="J69" s="738">
        <f>Paramètres!AA6</f>
        <v>0</v>
      </c>
      <c r="K69" s="736">
        <v>100</v>
      </c>
      <c r="L69" s="170">
        <f>VALUE_Giant_Bomb[[#This Row],[Valeur]]*VALUE_Giant_Bomb[[#This Row],[Rang]]</f>
        <v>0</v>
      </c>
      <c r="M69" s="728">
        <v>1</v>
      </c>
      <c r="N69" s="738">
        <f>Paramètres!AB6</f>
        <v>0</v>
      </c>
      <c r="O69" s="736">
        <v>50</v>
      </c>
      <c r="P69" s="170">
        <f>VALUE_Air_Bomb[[#This Row],[Valeur]]*VALUE_Air_Bomb[[#This Row],[Rang]]</f>
        <v>0</v>
      </c>
      <c r="Q69" s="728">
        <v>1</v>
      </c>
      <c r="R69" s="738">
        <f>Paramètres!AC6</f>
        <v>0</v>
      </c>
      <c r="S69" s="736">
        <v>20</v>
      </c>
      <c r="T69" s="170">
        <f>VALUE_Seeking_Air_Mine[[#This Row],[Valeur]]*VALUE_Seeking_Air_Mine[[#This Row],[Rang]]</f>
        <v>0</v>
      </c>
      <c r="U69" s="728">
        <v>1</v>
      </c>
      <c r="V69" s="738">
        <f>Paramètres!AD6</f>
        <v>0</v>
      </c>
      <c r="W69" s="736">
        <v>50</v>
      </c>
      <c r="X69" s="170">
        <f>VALUE_Skeleton_Trap[[#This Row],[Valeur]]*VALUE_Skeleton_Trap[[#This Row],[Rang]]</f>
        <v>0</v>
      </c>
      <c r="Y69" s="734"/>
      <c r="Z69" s="734"/>
      <c r="AA69" s="734"/>
      <c r="AB69" s="734"/>
      <c r="AC69" s="152"/>
      <c r="AD69" s="152"/>
      <c r="AE69" s="152"/>
      <c r="AF69" s="152"/>
      <c r="AG69" s="152"/>
      <c r="AH69" s="152"/>
      <c r="AI69" s="152"/>
      <c r="AJ69" s="152"/>
      <c r="AK69" s="152"/>
      <c r="AL69" s="734"/>
      <c r="AM69" s="734"/>
      <c r="AN69" s="734"/>
    </row>
    <row r="70" spans="1:40" x14ac:dyDescent="0.25">
      <c r="A70" s="470">
        <v>2</v>
      </c>
      <c r="B70" s="739">
        <f>Paramètres!Y7</f>
        <v>0</v>
      </c>
      <c r="C70" s="735">
        <v>200</v>
      </c>
      <c r="D70" s="171">
        <f>VALUE_Bomb[[#This Row],[Valeur]]*VALUE_Bomb[[#This Row],[Rang]]</f>
        <v>0</v>
      </c>
      <c r="E70" s="506"/>
      <c r="F70" s="506"/>
      <c r="G70" s="506"/>
      <c r="H70" s="752"/>
      <c r="I70" s="470">
        <v>2</v>
      </c>
      <c r="J70" s="739">
        <f>Paramètres!AA7</f>
        <v>0</v>
      </c>
      <c r="K70" s="735">
        <v>200</v>
      </c>
      <c r="L70" s="171">
        <f>VALUE_Giant_Bomb[[#This Row],[Valeur]]*VALUE_Giant_Bomb[[#This Row],[Rang]]</f>
        <v>0</v>
      </c>
      <c r="M70" s="470">
        <v>2</v>
      </c>
      <c r="N70" s="739">
        <f>Paramètres!AB7</f>
        <v>0</v>
      </c>
      <c r="O70" s="735">
        <v>100</v>
      </c>
      <c r="P70" s="171">
        <f>VALUE_Air_Bomb[[#This Row],[Valeur]]*VALUE_Air_Bomb[[#This Row],[Rang]]</f>
        <v>0</v>
      </c>
      <c r="Q70" s="470">
        <v>2</v>
      </c>
      <c r="R70" s="739">
        <f>Paramètres!AC7</f>
        <v>0</v>
      </c>
      <c r="S70" s="735">
        <v>40</v>
      </c>
      <c r="T70" s="171">
        <f>VALUE_Seeking_Air_Mine[[#This Row],[Valeur]]*VALUE_Seeking_Air_Mine[[#This Row],[Rang]]</f>
        <v>0</v>
      </c>
      <c r="U70" s="470">
        <v>2</v>
      </c>
      <c r="V70" s="739">
        <f>Paramètres!AD7</f>
        <v>0</v>
      </c>
      <c r="W70" s="735">
        <v>50</v>
      </c>
      <c r="X70" s="171">
        <f>VALUE_Skeleton_Trap[[#This Row],[Valeur]]*VALUE_Skeleton_Trap[[#This Row],[Rang]]</f>
        <v>0</v>
      </c>
      <c r="Y70" s="734"/>
      <c r="Z70" s="734"/>
      <c r="AA70" s="734"/>
      <c r="AB70" s="734"/>
      <c r="AC70" s="152"/>
      <c r="AD70" s="152"/>
      <c r="AE70" s="152"/>
      <c r="AF70" s="152"/>
      <c r="AG70" s="152"/>
      <c r="AH70" s="152"/>
      <c r="AI70" s="152"/>
      <c r="AJ70" s="152"/>
      <c r="AK70" s="152"/>
      <c r="AL70" s="734"/>
      <c r="AM70" s="734"/>
      <c r="AN70" s="734"/>
    </row>
    <row r="71" spans="1:40" ht="15.75" thickBot="1" x14ac:dyDescent="0.3">
      <c r="A71" s="470">
        <v>3</v>
      </c>
      <c r="B71" s="739">
        <f>Paramètres!Y8</f>
        <v>0</v>
      </c>
      <c r="C71" s="735">
        <v>300</v>
      </c>
      <c r="D71" s="171">
        <f>VALUE_Bomb[[#This Row],[Valeur]]*VALUE_Bomb[[#This Row],[Rang]]</f>
        <v>0</v>
      </c>
      <c r="E71" s="506"/>
      <c r="F71" s="506"/>
      <c r="G71" s="506"/>
      <c r="H71" s="752"/>
      <c r="I71" s="470">
        <v>3</v>
      </c>
      <c r="J71" s="739">
        <f>Paramètres!AA8</f>
        <v>0</v>
      </c>
      <c r="K71" s="735">
        <v>300</v>
      </c>
      <c r="L71" s="171">
        <f>VALUE_Giant_Bomb[[#This Row],[Valeur]]*VALUE_Giant_Bomb[[#This Row],[Rang]]</f>
        <v>0</v>
      </c>
      <c r="M71" s="470">
        <v>3</v>
      </c>
      <c r="N71" s="739">
        <f>Paramètres!AB8</f>
        <v>0</v>
      </c>
      <c r="O71" s="735">
        <v>150</v>
      </c>
      <c r="P71" s="171">
        <f>VALUE_Air_Bomb[[#This Row],[Valeur]]*VALUE_Air_Bomb[[#This Row],[Rang]]</f>
        <v>0</v>
      </c>
      <c r="Q71" s="477">
        <v>3</v>
      </c>
      <c r="R71" s="740">
        <f>Paramètres!AC8</f>
        <v>0</v>
      </c>
      <c r="S71" s="737">
        <v>60</v>
      </c>
      <c r="T71" s="448">
        <f>VALUE_Seeking_Air_Mine[[#This Row],[Valeur]]*VALUE_Seeking_Air_Mine[[#This Row],[Rang]]</f>
        <v>0</v>
      </c>
      <c r="U71" s="477">
        <v>3</v>
      </c>
      <c r="V71" s="740">
        <f>Paramètres!AD8</f>
        <v>0</v>
      </c>
      <c r="W71" s="737">
        <v>50</v>
      </c>
      <c r="X71" s="448">
        <f>VALUE_Skeleton_Trap[[#This Row],[Valeur]]*VALUE_Skeleton_Trap[[#This Row],[Rang]]</f>
        <v>0</v>
      </c>
      <c r="Y71" s="734"/>
      <c r="Z71" s="734"/>
      <c r="AA71" s="734"/>
      <c r="AB71" s="734"/>
      <c r="AC71" s="152"/>
      <c r="AD71" s="152"/>
      <c r="AE71" s="152"/>
      <c r="AF71" s="152"/>
      <c r="AG71" s="152"/>
      <c r="AH71" s="152"/>
      <c r="AI71" s="152"/>
      <c r="AJ71" s="152"/>
      <c r="AK71" s="152"/>
      <c r="AL71" s="734"/>
      <c r="AM71" s="734"/>
      <c r="AN71" s="734"/>
    </row>
    <row r="72" spans="1:40" ht="15.75" thickBot="1" x14ac:dyDescent="0.3">
      <c r="A72" s="470">
        <v>4</v>
      </c>
      <c r="B72" s="739">
        <f>Paramètres!Y9</f>
        <v>0</v>
      </c>
      <c r="C72" s="735">
        <v>400</v>
      </c>
      <c r="D72" s="171">
        <f>VALUE_Bomb[[#This Row],[Valeur]]*VALUE_Bomb[[#This Row],[Rang]]</f>
        <v>0</v>
      </c>
      <c r="E72" s="506"/>
      <c r="F72" s="506"/>
      <c r="G72" s="506"/>
      <c r="H72" s="752"/>
      <c r="I72" s="477">
        <v>4</v>
      </c>
      <c r="J72" s="740">
        <f>Paramètres!AA9</f>
        <v>0</v>
      </c>
      <c r="K72" s="737">
        <v>400</v>
      </c>
      <c r="L72" s="448">
        <f>VALUE_Giant_Bomb[[#This Row],[Valeur]]*VALUE_Giant_Bomb[[#This Row],[Rang]]</f>
        <v>0</v>
      </c>
      <c r="M72" s="477">
        <v>4</v>
      </c>
      <c r="N72" s="740">
        <f>Paramètres!AB9</f>
        <v>0</v>
      </c>
      <c r="O72" s="737">
        <v>200</v>
      </c>
      <c r="P72" s="448">
        <f>VALUE_Air_Bomb[[#This Row],[Valeur]]*VALUE_Air_Bomb[[#This Row],[Rang]]</f>
        <v>0</v>
      </c>
      <c r="Q72" s="506"/>
      <c r="R72" s="506"/>
      <c r="S72" s="506"/>
      <c r="T72" s="506"/>
      <c r="U72" s="506"/>
      <c r="V72" s="506"/>
      <c r="W72" s="506"/>
      <c r="X72" s="753"/>
      <c r="Y72" s="734"/>
      <c r="Z72" s="734"/>
      <c r="AA72" s="734"/>
      <c r="AB72" s="734"/>
      <c r="AC72" s="152"/>
      <c r="AD72" s="152"/>
      <c r="AE72" s="152"/>
      <c r="AF72" s="152"/>
      <c r="AG72" s="152"/>
      <c r="AH72" s="152"/>
      <c r="AI72" s="152"/>
      <c r="AJ72" s="152"/>
      <c r="AK72" s="152"/>
      <c r="AL72" s="734"/>
      <c r="AM72" s="734"/>
      <c r="AN72" s="734"/>
    </row>
    <row r="73" spans="1:40" x14ac:dyDescent="0.25">
      <c r="A73" s="470">
        <v>5</v>
      </c>
      <c r="B73" s="739">
        <f>Paramètres!Y10</f>
        <v>0</v>
      </c>
      <c r="C73" s="735">
        <v>500</v>
      </c>
      <c r="D73" s="171">
        <f>VALUE_Bomb[[#This Row],[Valeur]]*VALUE_Bomb[[#This Row],[Rang]]</f>
        <v>0</v>
      </c>
      <c r="E73" s="506"/>
      <c r="F73" s="506"/>
      <c r="G73" s="506"/>
      <c r="H73" s="753"/>
      <c r="I73" s="752"/>
      <c r="J73" s="752"/>
      <c r="K73" s="752"/>
      <c r="L73" s="752"/>
      <c r="M73" s="752"/>
      <c r="N73" s="752"/>
      <c r="O73" s="752"/>
      <c r="P73" s="752"/>
      <c r="Q73" s="752"/>
      <c r="R73" s="752"/>
      <c r="S73" s="752"/>
      <c r="T73" s="752"/>
      <c r="U73" s="752"/>
      <c r="V73" s="752"/>
      <c r="W73" s="752"/>
      <c r="X73" s="752"/>
      <c r="Y73" s="734"/>
      <c r="Z73" s="734"/>
      <c r="AA73" s="734"/>
      <c r="AB73" s="734"/>
      <c r="AC73" s="152"/>
      <c r="AD73" s="152"/>
      <c r="AE73" s="152"/>
      <c r="AF73" s="152"/>
      <c r="AG73" s="152"/>
      <c r="AH73" s="152"/>
      <c r="AI73" s="152"/>
      <c r="AJ73" s="152"/>
      <c r="AK73" s="152"/>
      <c r="AL73" s="734"/>
      <c r="AM73" s="734"/>
      <c r="AN73" s="734"/>
    </row>
    <row r="74" spans="1:40" ht="15.75" thickBot="1" x14ac:dyDescent="0.3">
      <c r="A74" s="477">
        <v>6</v>
      </c>
      <c r="B74" s="740">
        <f>Paramètres!Y11</f>
        <v>0</v>
      </c>
      <c r="C74" s="737">
        <v>600</v>
      </c>
      <c r="D74" s="448">
        <f>VALUE_Bomb[[#This Row],[Valeur]]*VALUE_Bomb[[#This Row],[Rang]]</f>
        <v>0</v>
      </c>
      <c r="E74" s="506"/>
      <c r="F74" s="506"/>
      <c r="G74" s="506"/>
      <c r="H74" s="506"/>
      <c r="I74" s="752"/>
      <c r="J74" s="752"/>
      <c r="K74" s="752"/>
      <c r="L74" s="752"/>
      <c r="M74" s="752"/>
      <c r="N74" s="752"/>
      <c r="O74" s="752"/>
      <c r="P74" s="752"/>
      <c r="Q74" s="752"/>
      <c r="R74" s="752"/>
      <c r="S74" s="752"/>
      <c r="T74" s="752"/>
      <c r="U74" s="752"/>
      <c r="V74" s="752"/>
      <c r="W74" s="752"/>
      <c r="X74" s="752"/>
      <c r="Y74" s="734"/>
      <c r="Z74" s="734"/>
      <c r="AA74" s="734"/>
      <c r="AB74" s="734"/>
      <c r="AC74" s="152"/>
      <c r="AD74" s="152"/>
      <c r="AE74" s="152"/>
      <c r="AF74" s="152"/>
      <c r="AG74" s="152"/>
      <c r="AH74" s="152"/>
      <c r="AI74" s="152"/>
      <c r="AJ74" s="152"/>
      <c r="AK74" s="152"/>
      <c r="AL74" s="734"/>
      <c r="AM74" s="734"/>
      <c r="AN74" s="734"/>
    </row>
    <row r="75" spans="1:40" x14ac:dyDescent="0.25">
      <c r="A75" s="152"/>
      <c r="B75" s="152"/>
      <c r="C75" s="152"/>
      <c r="D75" s="152"/>
      <c r="E75" s="152"/>
      <c r="F75" s="152"/>
      <c r="G75" s="152"/>
      <c r="H75" s="152"/>
      <c r="I75" s="152"/>
      <c r="J75" s="152"/>
      <c r="K75" s="152"/>
      <c r="L75" s="152"/>
      <c r="M75" s="152"/>
      <c r="N75" s="152"/>
      <c r="O75" s="152"/>
      <c r="P75" s="152"/>
      <c r="Q75" s="152"/>
      <c r="R75" s="152"/>
      <c r="S75" s="152"/>
      <c r="T75" s="734"/>
      <c r="U75" s="734"/>
      <c r="V75" s="734"/>
      <c r="W75" s="734"/>
      <c r="X75" s="734"/>
      <c r="Y75" s="734"/>
      <c r="Z75" s="734"/>
      <c r="AA75" s="734"/>
      <c r="AB75" s="734"/>
      <c r="AC75" s="152"/>
      <c r="AD75" s="152"/>
      <c r="AE75" s="152"/>
      <c r="AF75" s="152"/>
      <c r="AG75" s="152"/>
      <c r="AH75" s="152"/>
      <c r="AI75" s="152"/>
      <c r="AJ75" s="152"/>
      <c r="AK75" s="152"/>
      <c r="AL75" s="734"/>
      <c r="AM75" s="734"/>
      <c r="AN75" s="734"/>
    </row>
    <row r="76" spans="1:40" ht="15.75" thickBot="1" x14ac:dyDescent="0.3">
      <c r="A76" s="152"/>
      <c r="B76" s="152"/>
      <c r="C76" s="152"/>
      <c r="D76" s="152"/>
      <c r="E76" s="152"/>
      <c r="F76" s="152"/>
      <c r="G76" s="152"/>
      <c r="H76" s="152"/>
      <c r="I76" s="152"/>
      <c r="J76" s="152"/>
      <c r="K76" s="152"/>
      <c r="L76" s="152"/>
      <c r="M76" s="152"/>
      <c r="N76" s="152"/>
      <c r="O76" s="152"/>
      <c r="P76" s="152"/>
      <c r="Q76" s="152"/>
      <c r="R76" s="152"/>
      <c r="S76" s="152"/>
      <c r="T76" s="734"/>
      <c r="U76" s="734"/>
      <c r="V76" s="734"/>
      <c r="W76" s="734"/>
      <c r="X76" s="734"/>
      <c r="Y76" s="734"/>
      <c r="Z76" s="734"/>
      <c r="AA76" s="734"/>
      <c r="AB76" s="734"/>
      <c r="AC76" s="734"/>
      <c r="AD76" s="734"/>
      <c r="AE76" s="734"/>
      <c r="AF76" s="734"/>
      <c r="AG76" s="734"/>
      <c r="AH76" s="734"/>
      <c r="AI76" s="734"/>
      <c r="AJ76" s="734"/>
      <c r="AK76" s="734"/>
      <c r="AL76" s="734"/>
      <c r="AM76" s="734"/>
      <c r="AN76" s="734"/>
    </row>
    <row r="77" spans="1:40" ht="19.5" customHeight="1" thickBot="1" x14ac:dyDescent="0.3">
      <c r="A77" s="1269" t="s">
        <v>683</v>
      </c>
      <c r="B77" s="1270"/>
      <c r="C77" s="1270"/>
      <c r="D77" s="1270"/>
      <c r="E77" s="1270"/>
      <c r="F77" s="1270"/>
      <c r="G77" s="1270"/>
      <c r="H77" s="1271"/>
      <c r="I77" s="152"/>
      <c r="J77" s="152"/>
      <c r="K77" s="734"/>
      <c r="L77" s="734"/>
      <c r="M77" s="1269" t="s">
        <v>678</v>
      </c>
      <c r="N77" s="1270"/>
      <c r="O77" s="1270"/>
      <c r="P77" s="1270"/>
      <c r="Q77" s="1270"/>
      <c r="R77" s="1270"/>
      <c r="S77" s="1270"/>
      <c r="T77" s="1270"/>
      <c r="U77" s="1270"/>
      <c r="V77" s="1270"/>
      <c r="W77" s="1270"/>
      <c r="X77" s="1270"/>
      <c r="Y77" s="1270"/>
      <c r="Z77" s="1270"/>
      <c r="AA77" s="1270"/>
      <c r="AB77" s="1270"/>
      <c r="AC77" s="1270"/>
      <c r="AD77" s="1270"/>
      <c r="AE77" s="1270"/>
      <c r="AF77" s="1270"/>
      <c r="AG77" s="1270"/>
      <c r="AH77" s="1270"/>
      <c r="AI77" s="1270"/>
      <c r="AJ77" s="1271"/>
      <c r="AK77" s="734"/>
      <c r="AL77" s="734"/>
      <c r="AM77" s="734"/>
      <c r="AN77" s="734"/>
    </row>
    <row r="78" spans="1:40" ht="15.75" customHeight="1" thickBot="1" x14ac:dyDescent="0.3">
      <c r="A78" s="1288" t="s">
        <v>196</v>
      </c>
      <c r="B78" s="1289"/>
      <c r="C78" s="1289"/>
      <c r="D78" s="1289"/>
      <c r="E78" s="1282" t="s">
        <v>182</v>
      </c>
      <c r="F78" s="1283"/>
      <c r="G78" s="1283"/>
      <c r="H78" s="1284"/>
      <c r="I78" s="152"/>
      <c r="J78" s="152"/>
      <c r="K78" s="734"/>
      <c r="L78" s="734"/>
      <c r="M78" s="1285" t="s">
        <v>176</v>
      </c>
      <c r="N78" s="1286"/>
      <c r="O78" s="1286"/>
      <c r="P78" s="1287"/>
      <c r="Q78" s="1285" t="s">
        <v>211</v>
      </c>
      <c r="R78" s="1286"/>
      <c r="S78" s="1286"/>
      <c r="T78" s="1287"/>
      <c r="U78" s="1285" t="s">
        <v>212</v>
      </c>
      <c r="V78" s="1286"/>
      <c r="W78" s="1286"/>
      <c r="X78" s="1287"/>
      <c r="Y78" s="1288" t="s">
        <v>451</v>
      </c>
      <c r="Z78" s="1289"/>
      <c r="AA78" s="1289"/>
      <c r="AB78" s="1290"/>
      <c r="AC78" s="1285" t="s">
        <v>210</v>
      </c>
      <c r="AD78" s="1286"/>
      <c r="AE78" s="1286"/>
      <c r="AF78" s="1287"/>
      <c r="AG78" s="1285" t="s">
        <v>452</v>
      </c>
      <c r="AH78" s="1286"/>
      <c r="AI78" s="1286"/>
      <c r="AJ78" s="1286"/>
      <c r="AK78" s="734"/>
      <c r="AL78" s="734"/>
      <c r="AM78" s="734"/>
      <c r="AN78" s="734"/>
    </row>
    <row r="79" spans="1:40" ht="15.75" thickBot="1" x14ac:dyDescent="0.3">
      <c r="A79" s="602" t="s">
        <v>17</v>
      </c>
      <c r="B79" s="251" t="s">
        <v>696</v>
      </c>
      <c r="C79" s="251" t="s">
        <v>677</v>
      </c>
      <c r="D79" s="759" t="s">
        <v>31</v>
      </c>
      <c r="E79" s="602" t="s">
        <v>17</v>
      </c>
      <c r="F79" s="251" t="s">
        <v>696</v>
      </c>
      <c r="G79" s="251" t="s">
        <v>677</v>
      </c>
      <c r="H79" s="159" t="s">
        <v>31</v>
      </c>
      <c r="I79" s="152"/>
      <c r="J79" s="152"/>
      <c r="K79" s="734"/>
      <c r="L79" s="734"/>
      <c r="M79" s="157" t="s">
        <v>17</v>
      </c>
      <c r="N79" s="730" t="s">
        <v>696</v>
      </c>
      <c r="O79" s="602" t="s">
        <v>677</v>
      </c>
      <c r="P79" s="159" t="s">
        <v>31</v>
      </c>
      <c r="Q79" s="157" t="s">
        <v>17</v>
      </c>
      <c r="R79" s="730" t="s">
        <v>696</v>
      </c>
      <c r="S79" s="602" t="s">
        <v>677</v>
      </c>
      <c r="T79" s="159" t="s">
        <v>31</v>
      </c>
      <c r="U79" s="157" t="s">
        <v>17</v>
      </c>
      <c r="V79" s="730" t="s">
        <v>696</v>
      </c>
      <c r="W79" s="602" t="s">
        <v>677</v>
      </c>
      <c r="X79" s="159" t="s">
        <v>31</v>
      </c>
      <c r="Y79" s="157" t="s">
        <v>17</v>
      </c>
      <c r="Z79" s="730" t="s">
        <v>696</v>
      </c>
      <c r="AA79" s="602" t="s">
        <v>677</v>
      </c>
      <c r="AB79" s="159" t="s">
        <v>31</v>
      </c>
      <c r="AC79" s="157" t="s">
        <v>17</v>
      </c>
      <c r="AD79" s="730" t="s">
        <v>696</v>
      </c>
      <c r="AE79" s="602" t="s">
        <v>677</v>
      </c>
      <c r="AF79" s="159" t="s">
        <v>31</v>
      </c>
      <c r="AG79" s="157" t="s">
        <v>17</v>
      </c>
      <c r="AH79" s="730" t="s">
        <v>696</v>
      </c>
      <c r="AI79" s="602" t="s">
        <v>677</v>
      </c>
      <c r="AJ79" s="159" t="s">
        <v>31</v>
      </c>
      <c r="AK79" s="734"/>
      <c r="AL79" s="734"/>
      <c r="AM79" s="734"/>
      <c r="AN79" s="734"/>
    </row>
    <row r="80" spans="1:40" x14ac:dyDescent="0.25">
      <c r="A80" s="474">
        <v>1</v>
      </c>
      <c r="B80" s="757">
        <f>Paramètres!BF6</f>
        <v>0</v>
      </c>
      <c r="C80" s="758">
        <v>15</v>
      </c>
      <c r="D80" s="163">
        <f>VALUE_Barbarian_King[[#This Row],[Valeur]]*VALUE_Barbarian_King[[#This Row],[Rang]]</f>
        <v>0</v>
      </c>
      <c r="E80" s="474">
        <v>1</v>
      </c>
      <c r="F80" s="757">
        <f>Paramètres!BH6</f>
        <v>0</v>
      </c>
      <c r="G80" s="758">
        <v>26</v>
      </c>
      <c r="H80" s="536">
        <f>VALUE_Archer_Queen[[#This Row],[Valeur]]*VALUE_Archer_Queen[[#This Row],[Rang]]</f>
        <v>0</v>
      </c>
      <c r="I80" s="152"/>
      <c r="J80" s="185"/>
      <c r="K80" s="734"/>
      <c r="L80" s="734"/>
      <c r="M80" s="726">
        <v>1</v>
      </c>
      <c r="N80" s="738">
        <f>Paramètres!B6</f>
        <v>0</v>
      </c>
      <c r="O80" s="736">
        <v>0</v>
      </c>
      <c r="P80" s="170">
        <f>VALUE_Gold_Mine[[#This Row],[Valeur]]*VALUE_Gold_Mine[[#This Row],[Rang]]</f>
        <v>0</v>
      </c>
      <c r="Q80" s="726">
        <v>1</v>
      </c>
      <c r="R80" s="738">
        <f>Paramètres!D6</f>
        <v>0</v>
      </c>
      <c r="S80" s="736">
        <v>0</v>
      </c>
      <c r="T80" s="170">
        <f>VALUE_Dark_Elixir_Drill[[#This Row],[Valeur]]*VALUE_Dark_Elixir_Drill[[#This Row],[Rang]]</f>
        <v>0</v>
      </c>
      <c r="U80" s="726">
        <v>1</v>
      </c>
      <c r="V80" s="738">
        <f>Paramètres!E6</f>
        <v>0</v>
      </c>
      <c r="W80" s="736">
        <v>0</v>
      </c>
      <c r="X80" s="170">
        <f>VALUE_Gold_Storage[[#This Row],[Valeur]]*VALUE_Gold_Storage[[#This Row],[Rang]]</f>
        <v>0</v>
      </c>
      <c r="Y80" s="726">
        <v>1</v>
      </c>
      <c r="Z80" s="738">
        <f>Paramètres!G6</f>
        <v>0</v>
      </c>
      <c r="AA80" s="736">
        <v>0</v>
      </c>
      <c r="AB80" s="170">
        <f>VALUE_Dark_Elixir_Storage[[#This Row],[Valeur]]*VALUE_Dark_Elixir_Storage[[#This Row],[Rang]]</f>
        <v>0</v>
      </c>
      <c r="AC80" s="726">
        <v>1</v>
      </c>
      <c r="AD80" s="738">
        <f>Paramètres!C6</f>
        <v>0</v>
      </c>
      <c r="AE80" s="736">
        <v>0</v>
      </c>
      <c r="AF80" s="170">
        <f>VALUE_Elixir_Collector[[#This Row],[Valeur]]*VALUE_Elixir_Collector[[#This Row],[Rang]]</f>
        <v>0</v>
      </c>
      <c r="AG80" s="726">
        <v>1</v>
      </c>
      <c r="AH80" s="738">
        <f>Paramètres!F6</f>
        <v>0</v>
      </c>
      <c r="AI80" s="736">
        <v>0</v>
      </c>
      <c r="AJ80" s="170">
        <f>VALUE_Elixir_Storage[[#This Row],[Valeur]]*VALUE_Elixir_Storage[[#This Row],[Rang]]</f>
        <v>0</v>
      </c>
      <c r="AK80" s="734"/>
      <c r="AL80" s="734"/>
      <c r="AM80" s="734"/>
      <c r="AN80" s="734"/>
    </row>
    <row r="81" spans="1:40" ht="19.5" customHeight="1" x14ac:dyDescent="0.25">
      <c r="A81" s="470">
        <v>2</v>
      </c>
      <c r="B81" s="739">
        <f>Paramètres!BF7</f>
        <v>0</v>
      </c>
      <c r="C81" s="735">
        <f>15+C80</f>
        <v>30</v>
      </c>
      <c r="D81" s="165">
        <f>VALUE_Barbarian_King[[#This Row],[Valeur]]*VALUE_Barbarian_King[[#This Row],[Rang]]</f>
        <v>0</v>
      </c>
      <c r="E81" s="470">
        <v>2</v>
      </c>
      <c r="F81" s="739">
        <f>Paramètres!BH7</f>
        <v>0</v>
      </c>
      <c r="G81" s="735">
        <f>G80+26</f>
        <v>52</v>
      </c>
      <c r="H81" s="171">
        <f>VALUE_Archer_Queen[[#This Row],[Valeur]]*VALUE_Archer_Queen[[#This Row],[Rang]]</f>
        <v>0</v>
      </c>
      <c r="I81" s="152"/>
      <c r="J81" s="185"/>
      <c r="K81" s="734"/>
      <c r="L81" s="734"/>
      <c r="M81" s="470">
        <v>2</v>
      </c>
      <c r="N81" s="739">
        <f>Paramètres!B7</f>
        <v>0</v>
      </c>
      <c r="O81" s="735">
        <v>0</v>
      </c>
      <c r="P81" s="171">
        <f>VALUE_Gold_Mine[[#This Row],[Valeur]]*VALUE_Gold_Mine[[#This Row],[Rang]]</f>
        <v>0</v>
      </c>
      <c r="Q81" s="470">
        <v>2</v>
      </c>
      <c r="R81" s="739">
        <f>Paramètres!D7</f>
        <v>0</v>
      </c>
      <c r="S81" s="735">
        <v>0</v>
      </c>
      <c r="T81" s="171">
        <f>VALUE_Dark_Elixir_Drill[[#This Row],[Valeur]]*VALUE_Dark_Elixir_Drill[[#This Row],[Rang]]</f>
        <v>0</v>
      </c>
      <c r="U81" s="470">
        <v>2</v>
      </c>
      <c r="V81" s="739">
        <f>Paramètres!E7</f>
        <v>0</v>
      </c>
      <c r="W81" s="735">
        <v>0</v>
      </c>
      <c r="X81" s="171">
        <f>VALUE_Gold_Storage[[#This Row],[Valeur]]*VALUE_Gold_Storage[[#This Row],[Rang]]</f>
        <v>0</v>
      </c>
      <c r="Y81" s="470">
        <v>2</v>
      </c>
      <c r="Z81" s="739">
        <f>Paramètres!G7</f>
        <v>0</v>
      </c>
      <c r="AA81" s="735">
        <v>0</v>
      </c>
      <c r="AB81" s="171">
        <f>VALUE_Dark_Elixir_Storage[[#This Row],[Valeur]]*VALUE_Dark_Elixir_Storage[[#This Row],[Rang]]</f>
        <v>0</v>
      </c>
      <c r="AC81" s="470">
        <v>2</v>
      </c>
      <c r="AD81" s="739">
        <f>Paramètres!C7</f>
        <v>0</v>
      </c>
      <c r="AE81" s="735">
        <v>0</v>
      </c>
      <c r="AF81" s="171">
        <f>VALUE_Elixir_Collector[[#This Row],[Valeur]]*VALUE_Elixir_Collector[[#This Row],[Rang]]</f>
        <v>0</v>
      </c>
      <c r="AG81" s="470">
        <v>2</v>
      </c>
      <c r="AH81" s="739">
        <f>Paramètres!F7</f>
        <v>0</v>
      </c>
      <c r="AI81" s="735">
        <v>0</v>
      </c>
      <c r="AJ81" s="171">
        <f>VALUE_Elixir_Storage[[#This Row],[Valeur]]*VALUE_Elixir_Storage[[#This Row],[Rang]]</f>
        <v>0</v>
      </c>
      <c r="AK81" s="734"/>
      <c r="AL81" s="734"/>
      <c r="AM81" s="734"/>
      <c r="AN81" s="734"/>
    </row>
    <row r="82" spans="1:40" ht="15.75" customHeight="1" x14ac:dyDescent="0.25">
      <c r="A82" s="470">
        <v>3</v>
      </c>
      <c r="B82" s="739">
        <f>Paramètres!BF8</f>
        <v>0</v>
      </c>
      <c r="C82" s="735">
        <f t="shared" ref="C82:C83" si="0">15+C81</f>
        <v>45</v>
      </c>
      <c r="D82" s="165">
        <f>VALUE_Barbarian_King[[#This Row],[Valeur]]*VALUE_Barbarian_King[[#This Row],[Rang]]</f>
        <v>0</v>
      </c>
      <c r="E82" s="470">
        <v>3</v>
      </c>
      <c r="F82" s="739">
        <f>Paramètres!BH8</f>
        <v>0</v>
      </c>
      <c r="G82" s="735">
        <f t="shared" ref="G82:G83" si="1">G81+26</f>
        <v>78</v>
      </c>
      <c r="H82" s="171">
        <f>VALUE_Archer_Queen[[#This Row],[Valeur]]*VALUE_Archer_Queen[[#This Row],[Rang]]</f>
        <v>0</v>
      </c>
      <c r="I82" s="152"/>
      <c r="J82" s="185"/>
      <c r="K82" s="734"/>
      <c r="L82" s="734"/>
      <c r="M82" s="470">
        <v>3</v>
      </c>
      <c r="N82" s="739">
        <f>Paramètres!B8</f>
        <v>0</v>
      </c>
      <c r="O82" s="735">
        <v>0</v>
      </c>
      <c r="P82" s="171">
        <f>VALUE_Gold_Mine[[#This Row],[Valeur]]*VALUE_Gold_Mine[[#This Row],[Rang]]</f>
        <v>0</v>
      </c>
      <c r="Q82" s="470">
        <v>3</v>
      </c>
      <c r="R82" s="739">
        <f>Paramètres!D8</f>
        <v>0</v>
      </c>
      <c r="S82" s="735">
        <v>0</v>
      </c>
      <c r="T82" s="171">
        <f>VALUE_Dark_Elixir_Drill[[#This Row],[Valeur]]*VALUE_Dark_Elixir_Drill[[#This Row],[Rang]]</f>
        <v>0</v>
      </c>
      <c r="U82" s="470">
        <v>3</v>
      </c>
      <c r="V82" s="739">
        <f>Paramètres!E8</f>
        <v>0</v>
      </c>
      <c r="W82" s="735">
        <v>0</v>
      </c>
      <c r="X82" s="171">
        <f>VALUE_Gold_Storage[[#This Row],[Valeur]]*VALUE_Gold_Storage[[#This Row],[Rang]]</f>
        <v>0</v>
      </c>
      <c r="Y82" s="470">
        <v>3</v>
      </c>
      <c r="Z82" s="739">
        <f>Paramètres!G8</f>
        <v>0</v>
      </c>
      <c r="AA82" s="735">
        <v>0</v>
      </c>
      <c r="AB82" s="171">
        <f>VALUE_Dark_Elixir_Storage[[#This Row],[Valeur]]*VALUE_Dark_Elixir_Storage[[#This Row],[Rang]]</f>
        <v>0</v>
      </c>
      <c r="AC82" s="470">
        <v>3</v>
      </c>
      <c r="AD82" s="739">
        <f>Paramètres!C8</f>
        <v>0</v>
      </c>
      <c r="AE82" s="735">
        <v>0</v>
      </c>
      <c r="AF82" s="171">
        <f>VALUE_Elixir_Collector[[#This Row],[Valeur]]*VALUE_Elixir_Collector[[#This Row],[Rang]]</f>
        <v>0</v>
      </c>
      <c r="AG82" s="470">
        <v>3</v>
      </c>
      <c r="AH82" s="739">
        <f>Paramètres!F8</f>
        <v>0</v>
      </c>
      <c r="AI82" s="735">
        <v>0</v>
      </c>
      <c r="AJ82" s="171">
        <f>VALUE_Elixir_Storage[[#This Row],[Valeur]]*VALUE_Elixir_Storage[[#This Row],[Rang]]</f>
        <v>0</v>
      </c>
      <c r="AK82" s="734"/>
      <c r="AL82" s="734"/>
      <c r="AM82" s="734"/>
      <c r="AN82" s="734"/>
    </row>
    <row r="83" spans="1:40" x14ac:dyDescent="0.25">
      <c r="A83" s="470">
        <v>4</v>
      </c>
      <c r="B83" s="739">
        <f>Paramètres!BF9</f>
        <v>0</v>
      </c>
      <c r="C83" s="735">
        <f t="shared" si="0"/>
        <v>60</v>
      </c>
      <c r="D83" s="165">
        <f>VALUE_Barbarian_King[[#This Row],[Valeur]]*VALUE_Barbarian_King[[#This Row],[Rang]]</f>
        <v>0</v>
      </c>
      <c r="E83" s="470">
        <v>4</v>
      </c>
      <c r="F83" s="739">
        <f>Paramètres!BH9</f>
        <v>0</v>
      </c>
      <c r="G83" s="735">
        <f t="shared" si="1"/>
        <v>104</v>
      </c>
      <c r="H83" s="171">
        <f>VALUE_Archer_Queen[[#This Row],[Valeur]]*VALUE_Archer_Queen[[#This Row],[Rang]]</f>
        <v>0</v>
      </c>
      <c r="I83" s="152"/>
      <c r="J83" s="185"/>
      <c r="K83" s="734"/>
      <c r="L83" s="734"/>
      <c r="M83" s="470">
        <v>4</v>
      </c>
      <c r="N83" s="739">
        <f>Paramètres!B9</f>
        <v>0</v>
      </c>
      <c r="O83" s="735">
        <v>0</v>
      </c>
      <c r="P83" s="171">
        <f>VALUE_Gold_Mine[[#This Row],[Valeur]]*VALUE_Gold_Mine[[#This Row],[Rang]]</f>
        <v>0</v>
      </c>
      <c r="Q83" s="470">
        <v>4</v>
      </c>
      <c r="R83" s="739">
        <f>Paramètres!D9</f>
        <v>0</v>
      </c>
      <c r="S83" s="735">
        <v>0</v>
      </c>
      <c r="T83" s="171">
        <f>VALUE_Dark_Elixir_Drill[[#This Row],[Valeur]]*VALUE_Dark_Elixir_Drill[[#This Row],[Rang]]</f>
        <v>0</v>
      </c>
      <c r="U83" s="470">
        <v>4</v>
      </c>
      <c r="V83" s="739">
        <f>Paramètres!E9</f>
        <v>0</v>
      </c>
      <c r="W83" s="735">
        <v>0</v>
      </c>
      <c r="X83" s="171">
        <f>VALUE_Gold_Storage[[#This Row],[Valeur]]*VALUE_Gold_Storage[[#This Row],[Rang]]</f>
        <v>0</v>
      </c>
      <c r="Y83" s="470">
        <v>4</v>
      </c>
      <c r="Z83" s="739">
        <f>Paramètres!G9</f>
        <v>0</v>
      </c>
      <c r="AA83" s="735">
        <v>0</v>
      </c>
      <c r="AB83" s="171">
        <f>VALUE_Dark_Elixir_Storage[[#This Row],[Valeur]]*VALUE_Dark_Elixir_Storage[[#This Row],[Rang]]</f>
        <v>0</v>
      </c>
      <c r="AC83" s="470">
        <v>4</v>
      </c>
      <c r="AD83" s="739">
        <f>Paramètres!C9</f>
        <v>0</v>
      </c>
      <c r="AE83" s="735">
        <v>0</v>
      </c>
      <c r="AF83" s="171">
        <f>VALUE_Elixir_Collector[[#This Row],[Valeur]]*VALUE_Elixir_Collector[[#This Row],[Rang]]</f>
        <v>0</v>
      </c>
      <c r="AG83" s="470">
        <v>4</v>
      </c>
      <c r="AH83" s="739">
        <f>Paramètres!F9</f>
        <v>0</v>
      </c>
      <c r="AI83" s="735">
        <v>0</v>
      </c>
      <c r="AJ83" s="171">
        <f>VALUE_Elixir_Storage[[#This Row],[Valeur]]*VALUE_Elixir_Storage[[#This Row],[Rang]]</f>
        <v>0</v>
      </c>
      <c r="AK83" s="734"/>
      <c r="AL83" s="734"/>
      <c r="AM83" s="734"/>
      <c r="AN83" s="734"/>
    </row>
    <row r="84" spans="1:40" x14ac:dyDescent="0.25">
      <c r="A84" s="470">
        <v>5</v>
      </c>
      <c r="B84" s="739">
        <f>Paramètres!BF10</f>
        <v>0</v>
      </c>
      <c r="C84" s="735">
        <f>16+C83</f>
        <v>76</v>
      </c>
      <c r="D84" s="165">
        <f>VALUE_Barbarian_King[[#This Row],[Valeur]]*VALUE_Barbarian_King[[#This Row],[Rang]]</f>
        <v>0</v>
      </c>
      <c r="E84" s="470">
        <v>5</v>
      </c>
      <c r="F84" s="739">
        <f>Paramètres!BH10</f>
        <v>0</v>
      </c>
      <c r="G84" s="735">
        <f>G83+27</f>
        <v>131</v>
      </c>
      <c r="H84" s="171">
        <f>VALUE_Archer_Queen[[#This Row],[Valeur]]*VALUE_Archer_Queen[[#This Row],[Rang]]</f>
        <v>0</v>
      </c>
      <c r="I84" s="152"/>
      <c r="J84" s="185"/>
      <c r="K84" s="734"/>
      <c r="L84" s="734"/>
      <c r="M84" s="470">
        <v>5</v>
      </c>
      <c r="N84" s="739">
        <f>Paramètres!B10</f>
        <v>0</v>
      </c>
      <c r="O84" s="735">
        <v>0</v>
      </c>
      <c r="P84" s="171">
        <f>VALUE_Gold_Mine[[#This Row],[Valeur]]*VALUE_Gold_Mine[[#This Row],[Rang]]</f>
        <v>0</v>
      </c>
      <c r="Q84" s="470">
        <v>5</v>
      </c>
      <c r="R84" s="739">
        <f>Paramètres!D10</f>
        <v>0</v>
      </c>
      <c r="S84" s="735">
        <v>0</v>
      </c>
      <c r="T84" s="171">
        <f>VALUE_Dark_Elixir_Drill[[#This Row],[Valeur]]*VALUE_Dark_Elixir_Drill[[#This Row],[Rang]]</f>
        <v>0</v>
      </c>
      <c r="U84" s="470">
        <v>5</v>
      </c>
      <c r="V84" s="739">
        <f>Paramètres!E10</f>
        <v>0</v>
      </c>
      <c r="W84" s="735">
        <v>0</v>
      </c>
      <c r="X84" s="171">
        <f>VALUE_Gold_Storage[[#This Row],[Valeur]]*VALUE_Gold_Storage[[#This Row],[Rang]]</f>
        <v>0</v>
      </c>
      <c r="Y84" s="470">
        <v>5</v>
      </c>
      <c r="Z84" s="739">
        <f>Paramètres!G10</f>
        <v>0</v>
      </c>
      <c r="AA84" s="735">
        <v>0</v>
      </c>
      <c r="AB84" s="171">
        <f>VALUE_Dark_Elixir_Storage[[#This Row],[Valeur]]*VALUE_Dark_Elixir_Storage[[#This Row],[Rang]]</f>
        <v>0</v>
      </c>
      <c r="AC84" s="470">
        <v>5</v>
      </c>
      <c r="AD84" s="739">
        <f>Paramètres!C10</f>
        <v>0</v>
      </c>
      <c r="AE84" s="735">
        <v>0</v>
      </c>
      <c r="AF84" s="171">
        <f>VALUE_Elixir_Collector[[#This Row],[Valeur]]*VALUE_Elixir_Collector[[#This Row],[Rang]]</f>
        <v>0</v>
      </c>
      <c r="AG84" s="470">
        <v>5</v>
      </c>
      <c r="AH84" s="739">
        <f>Paramètres!F10</f>
        <v>0</v>
      </c>
      <c r="AI84" s="735">
        <v>0</v>
      </c>
      <c r="AJ84" s="171">
        <f>VALUE_Elixir_Storage[[#This Row],[Valeur]]*VALUE_Elixir_Storage[[#This Row],[Rang]]</f>
        <v>0</v>
      </c>
      <c r="AK84" s="734"/>
      <c r="AL84" s="734"/>
      <c r="AM84" s="734"/>
      <c r="AN84" s="734"/>
    </row>
    <row r="85" spans="1:40" ht="15.75" thickBot="1" x14ac:dyDescent="0.3">
      <c r="A85" s="470">
        <v>6</v>
      </c>
      <c r="B85" s="739">
        <f>Paramètres!BF11</f>
        <v>0</v>
      </c>
      <c r="C85" s="735">
        <f t="shared" ref="C85:C88" si="2">16+C84</f>
        <v>92</v>
      </c>
      <c r="D85" s="165">
        <f>VALUE_Barbarian_King[[#This Row],[Valeur]]*VALUE_Barbarian_King[[#This Row],[Rang]]</f>
        <v>0</v>
      </c>
      <c r="E85" s="470">
        <v>6</v>
      </c>
      <c r="F85" s="739">
        <f>Paramètres!BH11</f>
        <v>0</v>
      </c>
      <c r="G85" s="735">
        <f t="shared" ref="G85:G88" si="3">G84+27</f>
        <v>158</v>
      </c>
      <c r="H85" s="171">
        <f>VALUE_Archer_Queen[[#This Row],[Valeur]]*VALUE_Archer_Queen[[#This Row],[Rang]]</f>
        <v>0</v>
      </c>
      <c r="I85" s="152"/>
      <c r="J85" s="185"/>
      <c r="K85" s="734"/>
      <c r="L85" s="734"/>
      <c r="M85" s="470">
        <v>6</v>
      </c>
      <c r="N85" s="739">
        <f>Paramètres!B11</f>
        <v>0</v>
      </c>
      <c r="O85" s="735">
        <v>0</v>
      </c>
      <c r="P85" s="171">
        <f>VALUE_Gold_Mine[[#This Row],[Valeur]]*VALUE_Gold_Mine[[#This Row],[Rang]]</f>
        <v>0</v>
      </c>
      <c r="Q85" s="477">
        <v>6</v>
      </c>
      <c r="R85" s="740">
        <f>Paramètres!D11</f>
        <v>0</v>
      </c>
      <c r="S85" s="737">
        <v>0</v>
      </c>
      <c r="T85" s="448">
        <f>VALUE_Dark_Elixir_Drill[[#This Row],[Valeur]]*VALUE_Dark_Elixir_Drill[[#This Row],[Rang]]</f>
        <v>0</v>
      </c>
      <c r="U85" s="470">
        <v>6</v>
      </c>
      <c r="V85" s="739">
        <f>Paramètres!E11</f>
        <v>0</v>
      </c>
      <c r="W85" s="735">
        <v>0</v>
      </c>
      <c r="X85" s="171">
        <f>VALUE_Gold_Storage[[#This Row],[Valeur]]*VALUE_Gold_Storage[[#This Row],[Rang]]</f>
        <v>0</v>
      </c>
      <c r="Y85" s="477">
        <v>6</v>
      </c>
      <c r="Z85" s="740">
        <f>Paramètres!G11</f>
        <v>0</v>
      </c>
      <c r="AA85" s="737">
        <v>0</v>
      </c>
      <c r="AB85" s="448">
        <f>VALUE_Dark_Elixir_Storage[[#This Row],[Valeur]]*VALUE_Dark_Elixir_Storage[[#This Row],[Rang]]</f>
        <v>0</v>
      </c>
      <c r="AC85" s="470">
        <v>6</v>
      </c>
      <c r="AD85" s="739">
        <f>Paramètres!C11</f>
        <v>0</v>
      </c>
      <c r="AE85" s="735">
        <v>0</v>
      </c>
      <c r="AF85" s="171">
        <f>VALUE_Elixir_Collector[[#This Row],[Valeur]]*VALUE_Elixir_Collector[[#This Row],[Rang]]</f>
        <v>0</v>
      </c>
      <c r="AG85" s="470">
        <v>6</v>
      </c>
      <c r="AH85" s="739">
        <f>Paramètres!F11</f>
        <v>0</v>
      </c>
      <c r="AI85" s="735">
        <v>0</v>
      </c>
      <c r="AJ85" s="171">
        <f>VALUE_Elixir_Storage[[#This Row],[Valeur]]*VALUE_Elixir_Storage[[#This Row],[Rang]]</f>
        <v>0</v>
      </c>
      <c r="AK85" s="734"/>
      <c r="AL85" s="734"/>
      <c r="AM85" s="734"/>
      <c r="AN85" s="734"/>
    </row>
    <row r="86" spans="1:40" x14ac:dyDescent="0.25">
      <c r="A86" s="470">
        <v>7</v>
      </c>
      <c r="B86" s="739">
        <f>Paramètres!BF12</f>
        <v>0</v>
      </c>
      <c r="C86" s="735">
        <f t="shared" si="2"/>
        <v>108</v>
      </c>
      <c r="D86" s="165">
        <f>VALUE_Barbarian_King[[#This Row],[Valeur]]*VALUE_Barbarian_King[[#This Row],[Rang]]</f>
        <v>0</v>
      </c>
      <c r="E86" s="470">
        <v>7</v>
      </c>
      <c r="F86" s="739">
        <f>Paramètres!BH12</f>
        <v>0</v>
      </c>
      <c r="G86" s="735">
        <f t="shared" si="3"/>
        <v>185</v>
      </c>
      <c r="H86" s="171">
        <f>VALUE_Archer_Queen[[#This Row],[Valeur]]*VALUE_Archer_Queen[[#This Row],[Rang]]</f>
        <v>0</v>
      </c>
      <c r="I86" s="152"/>
      <c r="J86" s="185"/>
      <c r="K86" s="734"/>
      <c r="L86" s="734"/>
      <c r="M86" s="470">
        <v>7</v>
      </c>
      <c r="N86" s="739">
        <f>Paramètres!B12</f>
        <v>0</v>
      </c>
      <c r="O86" s="735">
        <v>0</v>
      </c>
      <c r="P86" s="171">
        <f>VALUE_Gold_Mine[[#This Row],[Valeur]]*VALUE_Gold_Mine[[#This Row],[Rang]]</f>
        <v>0</v>
      </c>
      <c r="Q86" s="152"/>
      <c r="R86" s="152"/>
      <c r="S86" s="152"/>
      <c r="T86" s="734"/>
      <c r="U86" s="470">
        <v>7</v>
      </c>
      <c r="V86" s="739">
        <f>Paramètres!E12</f>
        <v>0</v>
      </c>
      <c r="W86" s="735">
        <v>0</v>
      </c>
      <c r="X86" s="171">
        <f>VALUE_Gold_Storage[[#This Row],[Valeur]]*VALUE_Gold_Storage[[#This Row],[Rang]]</f>
        <v>0</v>
      </c>
      <c r="Y86" s="152"/>
      <c r="Z86" s="152"/>
      <c r="AA86" s="152"/>
      <c r="AB86" s="734"/>
      <c r="AC86" s="470">
        <v>7</v>
      </c>
      <c r="AD86" s="739">
        <f>Paramètres!C12</f>
        <v>0</v>
      </c>
      <c r="AE86" s="735">
        <v>0</v>
      </c>
      <c r="AF86" s="171">
        <f>VALUE_Elixir_Collector[[#This Row],[Valeur]]*VALUE_Elixir_Collector[[#This Row],[Rang]]</f>
        <v>0</v>
      </c>
      <c r="AG86" s="470">
        <v>7</v>
      </c>
      <c r="AH86" s="739">
        <f>Paramètres!F12</f>
        <v>0</v>
      </c>
      <c r="AI86" s="735">
        <v>0</v>
      </c>
      <c r="AJ86" s="171">
        <f>VALUE_Elixir_Storage[[#This Row],[Valeur]]*VALUE_Elixir_Storage[[#This Row],[Rang]]</f>
        <v>0</v>
      </c>
      <c r="AK86" s="734"/>
      <c r="AL86" s="734"/>
      <c r="AM86" s="734"/>
      <c r="AN86" s="734"/>
    </row>
    <row r="87" spans="1:40" x14ac:dyDescent="0.25">
      <c r="A87" s="470">
        <v>8</v>
      </c>
      <c r="B87" s="739">
        <f>Paramètres!BF13</f>
        <v>0</v>
      </c>
      <c r="C87" s="735">
        <f t="shared" si="2"/>
        <v>124</v>
      </c>
      <c r="D87" s="165">
        <f>VALUE_Barbarian_King[[#This Row],[Valeur]]*VALUE_Barbarian_King[[#This Row],[Rang]]</f>
        <v>0</v>
      </c>
      <c r="E87" s="470">
        <v>8</v>
      </c>
      <c r="F87" s="739">
        <f>Paramètres!BH13</f>
        <v>0</v>
      </c>
      <c r="G87" s="735">
        <f t="shared" si="3"/>
        <v>212</v>
      </c>
      <c r="H87" s="171">
        <f>VALUE_Archer_Queen[[#This Row],[Valeur]]*VALUE_Archer_Queen[[#This Row],[Rang]]</f>
        <v>0</v>
      </c>
      <c r="I87" s="152"/>
      <c r="J87" s="185"/>
      <c r="K87" s="734"/>
      <c r="L87" s="734"/>
      <c r="M87" s="470">
        <v>8</v>
      </c>
      <c r="N87" s="739">
        <f>Paramètres!B13</f>
        <v>0</v>
      </c>
      <c r="O87" s="735">
        <v>0</v>
      </c>
      <c r="P87" s="171">
        <f>VALUE_Gold_Mine[[#This Row],[Valeur]]*VALUE_Gold_Mine[[#This Row],[Rang]]</f>
        <v>0</v>
      </c>
      <c r="Q87" s="152"/>
      <c r="R87" s="152"/>
      <c r="S87" s="152"/>
      <c r="T87" s="734"/>
      <c r="U87" s="470">
        <v>8</v>
      </c>
      <c r="V87" s="739">
        <f>Paramètres!E13</f>
        <v>0</v>
      </c>
      <c r="W87" s="735">
        <v>0</v>
      </c>
      <c r="X87" s="171">
        <f>VALUE_Gold_Storage[[#This Row],[Valeur]]*VALUE_Gold_Storage[[#This Row],[Rang]]</f>
        <v>0</v>
      </c>
      <c r="Y87" s="152"/>
      <c r="Z87" s="152"/>
      <c r="AA87" s="152"/>
      <c r="AB87" s="734"/>
      <c r="AC87" s="470">
        <v>8</v>
      </c>
      <c r="AD87" s="739">
        <f>Paramètres!C13</f>
        <v>0</v>
      </c>
      <c r="AE87" s="735">
        <v>0</v>
      </c>
      <c r="AF87" s="171">
        <f>VALUE_Elixir_Collector[[#This Row],[Valeur]]*VALUE_Elixir_Collector[[#This Row],[Rang]]</f>
        <v>0</v>
      </c>
      <c r="AG87" s="470">
        <v>8</v>
      </c>
      <c r="AH87" s="739">
        <f>Paramètres!F13</f>
        <v>0</v>
      </c>
      <c r="AI87" s="735">
        <v>0</v>
      </c>
      <c r="AJ87" s="171">
        <f>VALUE_Elixir_Storage[[#This Row],[Valeur]]*VALUE_Elixir_Storage[[#This Row],[Rang]]</f>
        <v>0</v>
      </c>
      <c r="AK87" s="734"/>
      <c r="AL87" s="734"/>
      <c r="AM87" s="734"/>
      <c r="AN87" s="734"/>
    </row>
    <row r="88" spans="1:40" x14ac:dyDescent="0.25">
      <c r="A88" s="470">
        <v>9</v>
      </c>
      <c r="B88" s="739">
        <f>Paramètres!BF14</f>
        <v>0</v>
      </c>
      <c r="C88" s="735">
        <f t="shared" si="2"/>
        <v>140</v>
      </c>
      <c r="D88" s="165">
        <f>VALUE_Barbarian_King[[#This Row],[Valeur]]*VALUE_Barbarian_King[[#This Row],[Rang]]</f>
        <v>0</v>
      </c>
      <c r="E88" s="470">
        <v>9</v>
      </c>
      <c r="F88" s="739">
        <f>Paramètres!BH14</f>
        <v>0</v>
      </c>
      <c r="G88" s="735">
        <f t="shared" si="3"/>
        <v>239</v>
      </c>
      <c r="H88" s="171">
        <f>VALUE_Archer_Queen[[#This Row],[Valeur]]*VALUE_Archer_Queen[[#This Row],[Rang]]</f>
        <v>0</v>
      </c>
      <c r="I88" s="152"/>
      <c r="J88" s="185"/>
      <c r="K88" s="734"/>
      <c r="L88" s="734"/>
      <c r="M88" s="470">
        <v>9</v>
      </c>
      <c r="N88" s="739">
        <f>Paramètres!B14</f>
        <v>0</v>
      </c>
      <c r="O88" s="735">
        <v>0</v>
      </c>
      <c r="P88" s="171">
        <f>VALUE_Gold_Mine[[#This Row],[Valeur]]*VALUE_Gold_Mine[[#This Row],[Rang]]</f>
        <v>0</v>
      </c>
      <c r="Q88" s="152"/>
      <c r="R88" s="152"/>
      <c r="S88" s="152"/>
      <c r="T88" s="734"/>
      <c r="U88" s="470">
        <v>9</v>
      </c>
      <c r="V88" s="739">
        <f>Paramètres!E14</f>
        <v>0</v>
      </c>
      <c r="W88" s="735">
        <v>0</v>
      </c>
      <c r="X88" s="171">
        <f>VALUE_Gold_Storage[[#This Row],[Valeur]]*VALUE_Gold_Storage[[#This Row],[Rang]]</f>
        <v>0</v>
      </c>
      <c r="Y88" s="152"/>
      <c r="Z88" s="152"/>
      <c r="AA88" s="152"/>
      <c r="AB88" s="734"/>
      <c r="AC88" s="470">
        <v>9</v>
      </c>
      <c r="AD88" s="739">
        <f>Paramètres!C14</f>
        <v>0</v>
      </c>
      <c r="AE88" s="735">
        <v>0</v>
      </c>
      <c r="AF88" s="171">
        <f>VALUE_Elixir_Collector[[#This Row],[Valeur]]*VALUE_Elixir_Collector[[#This Row],[Rang]]</f>
        <v>0</v>
      </c>
      <c r="AG88" s="470">
        <v>9</v>
      </c>
      <c r="AH88" s="739">
        <f>Paramètres!F14</f>
        <v>0</v>
      </c>
      <c r="AI88" s="735">
        <v>0</v>
      </c>
      <c r="AJ88" s="171">
        <f>VALUE_Elixir_Storage[[#This Row],[Valeur]]*VALUE_Elixir_Storage[[#This Row],[Rang]]</f>
        <v>0</v>
      </c>
      <c r="AK88" s="734"/>
      <c r="AL88" s="734"/>
      <c r="AM88" s="734"/>
      <c r="AN88" s="734"/>
    </row>
    <row r="89" spans="1:40" x14ac:dyDescent="0.25">
      <c r="A89" s="470">
        <v>10</v>
      </c>
      <c r="B89" s="739">
        <f>Paramètres!BF15</f>
        <v>0</v>
      </c>
      <c r="C89" s="735">
        <f>17+C88</f>
        <v>157</v>
      </c>
      <c r="D89" s="165">
        <f>VALUE_Barbarian_King[[#This Row],[Valeur]]*VALUE_Barbarian_King[[#This Row],[Rang]]</f>
        <v>0</v>
      </c>
      <c r="E89" s="470">
        <v>10</v>
      </c>
      <c r="F89" s="739">
        <f>Paramètres!BH15</f>
        <v>0</v>
      </c>
      <c r="G89" s="735">
        <f>G88+28</f>
        <v>267</v>
      </c>
      <c r="H89" s="171">
        <f>VALUE_Archer_Queen[[#This Row],[Valeur]]*VALUE_Archer_Queen[[#This Row],[Rang]]</f>
        <v>0</v>
      </c>
      <c r="I89" s="152"/>
      <c r="J89" s="185"/>
      <c r="K89" s="734"/>
      <c r="L89" s="734"/>
      <c r="M89" s="470">
        <v>10</v>
      </c>
      <c r="N89" s="739">
        <f>Paramètres!B15</f>
        <v>0</v>
      </c>
      <c r="O89" s="735">
        <v>0</v>
      </c>
      <c r="P89" s="171">
        <f>VALUE_Gold_Mine[[#This Row],[Valeur]]*VALUE_Gold_Mine[[#This Row],[Rang]]</f>
        <v>0</v>
      </c>
      <c r="Q89" s="152"/>
      <c r="R89" s="152"/>
      <c r="S89" s="152"/>
      <c r="T89" s="734"/>
      <c r="U89" s="470">
        <v>10</v>
      </c>
      <c r="V89" s="739">
        <f>Paramètres!E15</f>
        <v>0</v>
      </c>
      <c r="W89" s="735">
        <v>0</v>
      </c>
      <c r="X89" s="171">
        <f>VALUE_Gold_Storage[[#This Row],[Valeur]]*VALUE_Gold_Storage[[#This Row],[Rang]]</f>
        <v>0</v>
      </c>
      <c r="Y89" s="152"/>
      <c r="Z89" s="152"/>
      <c r="AA89" s="152"/>
      <c r="AB89" s="734"/>
      <c r="AC89" s="470">
        <v>10</v>
      </c>
      <c r="AD89" s="739">
        <f>Paramètres!C15</f>
        <v>0</v>
      </c>
      <c r="AE89" s="735">
        <v>0</v>
      </c>
      <c r="AF89" s="171">
        <f>VALUE_Elixir_Collector[[#This Row],[Valeur]]*VALUE_Elixir_Collector[[#This Row],[Rang]]</f>
        <v>0</v>
      </c>
      <c r="AG89" s="470">
        <v>10</v>
      </c>
      <c r="AH89" s="739">
        <f>Paramètres!F15</f>
        <v>0</v>
      </c>
      <c r="AI89" s="735">
        <v>0</v>
      </c>
      <c r="AJ89" s="171">
        <f>VALUE_Elixir_Storage[[#This Row],[Valeur]]*VALUE_Elixir_Storage[[#This Row],[Rang]]</f>
        <v>0</v>
      </c>
      <c r="AK89" s="734"/>
      <c r="AL89" s="734"/>
      <c r="AM89" s="734"/>
      <c r="AN89" s="734"/>
    </row>
    <row r="90" spans="1:40" ht="15.75" thickBot="1" x14ac:dyDescent="0.3">
      <c r="A90" s="470">
        <v>11</v>
      </c>
      <c r="B90" s="739">
        <f>Paramètres!BF16</f>
        <v>0</v>
      </c>
      <c r="C90" s="735">
        <f t="shared" ref="C90:C93" si="4">17+C89</f>
        <v>174</v>
      </c>
      <c r="D90" s="165">
        <f>VALUE_Barbarian_King[[#This Row],[Valeur]]*VALUE_Barbarian_King[[#This Row],[Rang]]</f>
        <v>0</v>
      </c>
      <c r="E90" s="470">
        <v>11</v>
      </c>
      <c r="F90" s="739">
        <f>Paramètres!BH16</f>
        <v>0</v>
      </c>
      <c r="G90" s="735">
        <f t="shared" ref="G90:G93" si="5">G89+28</f>
        <v>295</v>
      </c>
      <c r="H90" s="171">
        <f>VALUE_Archer_Queen[[#This Row],[Valeur]]*VALUE_Archer_Queen[[#This Row],[Rang]]</f>
        <v>0</v>
      </c>
      <c r="I90" s="152"/>
      <c r="J90" s="185"/>
      <c r="K90" s="152"/>
      <c r="L90" s="152"/>
      <c r="M90" s="470">
        <v>11</v>
      </c>
      <c r="N90" s="739">
        <f>Paramètres!B16</f>
        <v>0</v>
      </c>
      <c r="O90" s="735">
        <v>0</v>
      </c>
      <c r="P90" s="171">
        <f>VALUE_Gold_Mine[[#This Row],[Valeur]]*VALUE_Gold_Mine[[#This Row],[Rang]]</f>
        <v>0</v>
      </c>
      <c r="Q90" s="152"/>
      <c r="R90" s="152"/>
      <c r="S90" s="152"/>
      <c r="T90" s="734"/>
      <c r="U90" s="477">
        <v>11</v>
      </c>
      <c r="V90" s="740">
        <f>Paramètres!E16</f>
        <v>0</v>
      </c>
      <c r="W90" s="737">
        <v>0</v>
      </c>
      <c r="X90" s="448">
        <f>VALUE_Gold_Storage[[#This Row],[Valeur]]*VALUE_Gold_Storage[[#This Row],[Rang]]</f>
        <v>0</v>
      </c>
      <c r="Y90" s="152"/>
      <c r="Z90" s="152"/>
      <c r="AA90" s="152"/>
      <c r="AB90" s="734"/>
      <c r="AC90" s="470">
        <v>11</v>
      </c>
      <c r="AD90" s="739">
        <f>Paramètres!C16</f>
        <v>0</v>
      </c>
      <c r="AE90" s="735">
        <v>0</v>
      </c>
      <c r="AF90" s="171">
        <f>VALUE_Elixir_Collector[[#This Row],[Valeur]]*VALUE_Elixir_Collector[[#This Row],[Rang]]</f>
        <v>0</v>
      </c>
      <c r="AG90" s="477">
        <v>11</v>
      </c>
      <c r="AH90" s="740">
        <f>Paramètres!F16</f>
        <v>0</v>
      </c>
      <c r="AI90" s="737">
        <v>0</v>
      </c>
      <c r="AJ90" s="448">
        <f>VALUE_Elixir_Storage[[#This Row],[Valeur]]*VALUE_Elixir_Storage[[#This Row],[Rang]]</f>
        <v>0</v>
      </c>
      <c r="AK90" s="734"/>
      <c r="AL90" s="734"/>
      <c r="AM90" s="734"/>
      <c r="AN90" s="734"/>
    </row>
    <row r="91" spans="1:40" ht="15.75" thickBot="1" x14ac:dyDescent="0.3">
      <c r="A91" s="470">
        <v>12</v>
      </c>
      <c r="B91" s="739">
        <f>Paramètres!BF17</f>
        <v>0</v>
      </c>
      <c r="C91" s="735">
        <f t="shared" si="4"/>
        <v>191</v>
      </c>
      <c r="D91" s="165">
        <f>VALUE_Barbarian_King[[#This Row],[Valeur]]*VALUE_Barbarian_King[[#This Row],[Rang]]</f>
        <v>0</v>
      </c>
      <c r="E91" s="470">
        <v>12</v>
      </c>
      <c r="F91" s="739">
        <f>Paramètres!BH17</f>
        <v>0</v>
      </c>
      <c r="G91" s="735">
        <f t="shared" si="5"/>
        <v>323</v>
      </c>
      <c r="H91" s="171">
        <f>VALUE_Archer_Queen[[#This Row],[Valeur]]*VALUE_Archer_Queen[[#This Row],[Rang]]</f>
        <v>0</v>
      </c>
      <c r="I91" s="152"/>
      <c r="J91" s="185"/>
      <c r="K91" s="152"/>
      <c r="L91" s="152"/>
      <c r="M91" s="477">
        <v>12</v>
      </c>
      <c r="N91" s="740">
        <f>Paramètres!B17</f>
        <v>0</v>
      </c>
      <c r="O91" s="737">
        <v>0</v>
      </c>
      <c r="P91" s="448">
        <f>VALUE_Gold_Mine[[#This Row],[Valeur]]*VALUE_Gold_Mine[[#This Row],[Rang]]</f>
        <v>0</v>
      </c>
      <c r="Q91" s="152"/>
      <c r="R91" s="152"/>
      <c r="S91" s="152"/>
      <c r="T91" s="152"/>
      <c r="U91" s="152"/>
      <c r="V91" s="137"/>
      <c r="W91" s="137"/>
      <c r="X91" s="137"/>
      <c r="Y91" s="152"/>
      <c r="AA91" s="734"/>
      <c r="AB91" s="734"/>
      <c r="AC91" s="477">
        <v>12</v>
      </c>
      <c r="AD91" s="740">
        <f>Paramètres!C17</f>
        <v>0</v>
      </c>
      <c r="AE91" s="737">
        <v>0</v>
      </c>
      <c r="AF91" s="448">
        <f>VALUE_Elixir_Collector[[#This Row],[Valeur]]*VALUE_Elixir_Collector[[#This Row],[Rang]]</f>
        <v>0</v>
      </c>
      <c r="AG91" s="152"/>
      <c r="AH91" s="152"/>
      <c r="AI91" s="152"/>
      <c r="AJ91" s="152"/>
      <c r="AK91" s="734"/>
      <c r="AL91" s="734"/>
      <c r="AM91" s="734"/>
      <c r="AN91" s="734"/>
    </row>
    <row r="92" spans="1:40" x14ac:dyDescent="0.25">
      <c r="A92" s="470">
        <v>13</v>
      </c>
      <c r="B92" s="739">
        <f>Paramètres!BF18</f>
        <v>0</v>
      </c>
      <c r="C92" s="735">
        <f t="shared" si="4"/>
        <v>208</v>
      </c>
      <c r="D92" s="165">
        <f>VALUE_Barbarian_King[[#This Row],[Valeur]]*VALUE_Barbarian_King[[#This Row],[Rang]]</f>
        <v>0</v>
      </c>
      <c r="E92" s="470">
        <v>13</v>
      </c>
      <c r="F92" s="739">
        <f>Paramètres!BH18</f>
        <v>0</v>
      </c>
      <c r="G92" s="735">
        <f t="shared" si="5"/>
        <v>351</v>
      </c>
      <c r="H92" s="171">
        <f>VALUE_Archer_Queen[[#This Row],[Valeur]]*VALUE_Archer_Queen[[#This Row],[Rang]]</f>
        <v>0</v>
      </c>
      <c r="I92" s="152"/>
      <c r="J92" s="185"/>
      <c r="K92" s="152"/>
      <c r="L92" s="152"/>
      <c r="M92" s="137"/>
      <c r="N92" s="137"/>
      <c r="O92" s="137"/>
      <c r="P92" s="152"/>
      <c r="Q92" s="152"/>
      <c r="R92" s="152"/>
      <c r="S92" s="152"/>
      <c r="T92" s="152"/>
      <c r="U92" s="137"/>
      <c r="V92" s="137"/>
      <c r="W92" s="137"/>
      <c r="X92" s="152"/>
      <c r="Y92" s="152"/>
      <c r="Z92" s="152"/>
      <c r="AA92" s="152"/>
      <c r="AB92" s="152"/>
      <c r="AC92" s="152"/>
      <c r="AD92" s="152"/>
      <c r="AE92" s="152"/>
      <c r="AF92" s="152"/>
      <c r="AG92" s="152"/>
      <c r="AH92" s="152"/>
      <c r="AI92" s="152"/>
      <c r="AJ92" s="152"/>
      <c r="AK92" s="152"/>
      <c r="AL92" s="152"/>
      <c r="AM92" s="152"/>
      <c r="AN92" s="152"/>
    </row>
    <row r="93" spans="1:40" ht="15.75" thickBot="1" x14ac:dyDescent="0.3">
      <c r="A93" s="470">
        <v>14</v>
      </c>
      <c r="B93" s="739">
        <f>Paramètres!BF19</f>
        <v>0</v>
      </c>
      <c r="C93" s="735">
        <f t="shared" si="4"/>
        <v>225</v>
      </c>
      <c r="D93" s="165">
        <f>VALUE_Barbarian_King[[#This Row],[Valeur]]*VALUE_Barbarian_King[[#This Row],[Rang]]</f>
        <v>0</v>
      </c>
      <c r="E93" s="470">
        <v>14</v>
      </c>
      <c r="F93" s="739">
        <f>Paramètres!BH19</f>
        <v>0</v>
      </c>
      <c r="G93" s="735">
        <f t="shared" si="5"/>
        <v>379</v>
      </c>
      <c r="H93" s="171">
        <f>VALUE_Archer_Queen[[#This Row],[Valeur]]*VALUE_Archer_Queen[[#This Row],[Rang]]</f>
        <v>0</v>
      </c>
      <c r="I93" s="152"/>
      <c r="J93" s="185"/>
      <c r="K93" s="152"/>
      <c r="L93" s="152"/>
      <c r="M93" s="137"/>
      <c r="N93" s="137"/>
      <c r="O93" s="137"/>
      <c r="P93" s="152"/>
      <c r="Q93" s="152"/>
      <c r="R93" s="152"/>
      <c r="S93" s="152"/>
      <c r="T93" s="152"/>
      <c r="U93" s="137"/>
      <c r="V93" s="137"/>
      <c r="W93" s="137"/>
      <c r="X93" s="152"/>
      <c r="Y93" s="152"/>
      <c r="Z93" s="152"/>
      <c r="AA93" s="152"/>
      <c r="AB93" s="152"/>
      <c r="AC93" s="152"/>
      <c r="AD93" s="152"/>
      <c r="AE93" s="152"/>
      <c r="AF93" s="152"/>
      <c r="AG93" s="152"/>
      <c r="AH93" s="152"/>
      <c r="AI93" s="152"/>
      <c r="AJ93" s="152"/>
      <c r="AK93" s="734"/>
      <c r="AL93" s="734"/>
      <c r="AM93" s="734"/>
      <c r="AN93" s="734"/>
    </row>
    <row r="94" spans="1:40" ht="19.5" thickBot="1" x14ac:dyDescent="0.3">
      <c r="A94" s="470">
        <v>15</v>
      </c>
      <c r="B94" s="739">
        <f>Paramètres!BF20</f>
        <v>0</v>
      </c>
      <c r="C94" s="735">
        <f>18+C93</f>
        <v>243</v>
      </c>
      <c r="D94" s="165">
        <f>VALUE_Barbarian_King[[#This Row],[Valeur]]*VALUE_Barbarian_King[[#This Row],[Rang]]</f>
        <v>0</v>
      </c>
      <c r="E94" s="470">
        <v>15</v>
      </c>
      <c r="F94" s="739">
        <f>Paramètres!BH20</f>
        <v>0</v>
      </c>
      <c r="G94" s="735">
        <f>G93+29</f>
        <v>408</v>
      </c>
      <c r="H94" s="171">
        <f>VALUE_Archer_Queen[[#This Row],[Valeur]]*VALUE_Archer_Queen[[#This Row],[Rang]]</f>
        <v>0</v>
      </c>
      <c r="I94" s="152"/>
      <c r="J94" s="185"/>
      <c r="K94" s="152"/>
      <c r="L94" s="152"/>
      <c r="M94" s="1269" t="s">
        <v>679</v>
      </c>
      <c r="N94" s="1270"/>
      <c r="O94" s="1270"/>
      <c r="P94" s="1270"/>
      <c r="Q94" s="1270"/>
      <c r="R94" s="1270"/>
      <c r="S94" s="1270"/>
      <c r="T94" s="1270"/>
      <c r="U94" s="1270"/>
      <c r="V94" s="1270"/>
      <c r="W94" s="1270"/>
      <c r="X94" s="1270"/>
      <c r="Y94" s="1270"/>
      <c r="Z94" s="1270"/>
      <c r="AA94" s="1270"/>
      <c r="AB94" s="1270"/>
      <c r="AC94" s="1270"/>
      <c r="AD94" s="1270"/>
      <c r="AE94" s="1270"/>
      <c r="AF94" s="1270"/>
      <c r="AG94" s="1270"/>
      <c r="AH94" s="1270"/>
      <c r="AI94" s="1270"/>
      <c r="AJ94" s="1271"/>
      <c r="AK94" s="734"/>
      <c r="AL94" s="734"/>
      <c r="AM94" s="734"/>
      <c r="AN94" s="734"/>
    </row>
    <row r="95" spans="1:40" ht="15.75" thickBot="1" x14ac:dyDescent="0.3">
      <c r="A95" s="470">
        <v>16</v>
      </c>
      <c r="B95" s="739">
        <f>Paramètres!BF21</f>
        <v>0</v>
      </c>
      <c r="C95" s="735">
        <f t="shared" ref="C95:C98" si="6">18+C94</f>
        <v>261</v>
      </c>
      <c r="D95" s="165">
        <f>VALUE_Barbarian_King[[#This Row],[Valeur]]*VALUE_Barbarian_King[[#This Row],[Rang]]</f>
        <v>0</v>
      </c>
      <c r="E95" s="470">
        <v>16</v>
      </c>
      <c r="F95" s="739">
        <f>Paramètres!BH21</f>
        <v>0</v>
      </c>
      <c r="G95" s="735">
        <f t="shared" ref="G95:G98" si="7">G94+29</f>
        <v>437</v>
      </c>
      <c r="H95" s="171">
        <f>VALUE_Archer_Queen[[#This Row],[Valeur]]*VALUE_Archer_Queen[[#This Row],[Rang]]</f>
        <v>0</v>
      </c>
      <c r="I95" s="152"/>
      <c r="J95" s="185"/>
      <c r="K95" s="152"/>
      <c r="L95" s="152"/>
      <c r="M95" s="1285" t="s">
        <v>343</v>
      </c>
      <c r="N95" s="1286"/>
      <c r="O95" s="1286"/>
      <c r="P95" s="1287"/>
      <c r="Q95" s="1285" t="s">
        <v>207</v>
      </c>
      <c r="R95" s="1286"/>
      <c r="S95" s="1286"/>
      <c r="T95" s="1287"/>
      <c r="U95" s="1285" t="s">
        <v>338</v>
      </c>
      <c r="V95" s="1286"/>
      <c r="W95" s="1286"/>
      <c r="X95" s="1287"/>
      <c r="Y95" s="1285" t="s">
        <v>208</v>
      </c>
      <c r="Z95" s="1286"/>
      <c r="AA95" s="1286"/>
      <c r="AB95" s="1287"/>
      <c r="AC95" s="1285" t="s">
        <v>209</v>
      </c>
      <c r="AD95" s="1286"/>
      <c r="AE95" s="1286"/>
      <c r="AF95" s="1287"/>
      <c r="AG95" s="1285" t="s">
        <v>701</v>
      </c>
      <c r="AH95" s="1286"/>
      <c r="AI95" s="1286"/>
      <c r="AJ95" s="1287"/>
      <c r="AK95" s="734"/>
      <c r="AL95" s="734"/>
      <c r="AM95" s="734"/>
      <c r="AN95" s="734"/>
    </row>
    <row r="96" spans="1:40" ht="15.75" thickBot="1" x14ac:dyDescent="0.3">
      <c r="A96" s="470">
        <v>17</v>
      </c>
      <c r="B96" s="739">
        <f>Paramètres!BF22</f>
        <v>0</v>
      </c>
      <c r="C96" s="735">
        <f t="shared" si="6"/>
        <v>279</v>
      </c>
      <c r="D96" s="165">
        <f>VALUE_Barbarian_King[[#This Row],[Valeur]]*VALUE_Barbarian_King[[#This Row],[Rang]]</f>
        <v>0</v>
      </c>
      <c r="E96" s="470">
        <v>17</v>
      </c>
      <c r="F96" s="739">
        <f>Paramètres!BH22</f>
        <v>0</v>
      </c>
      <c r="G96" s="735">
        <f t="shared" si="7"/>
        <v>466</v>
      </c>
      <c r="H96" s="171">
        <f>VALUE_Archer_Queen[[#This Row],[Valeur]]*VALUE_Archer_Queen[[#This Row],[Rang]]</f>
        <v>0</v>
      </c>
      <c r="I96" s="152"/>
      <c r="J96" s="185"/>
      <c r="K96" s="152"/>
      <c r="L96" s="152"/>
      <c r="M96" s="157" t="s">
        <v>17</v>
      </c>
      <c r="N96" s="730" t="s">
        <v>696</v>
      </c>
      <c r="O96" s="602" t="s">
        <v>677</v>
      </c>
      <c r="P96" s="159" t="s">
        <v>31</v>
      </c>
      <c r="Q96" s="157" t="s">
        <v>17</v>
      </c>
      <c r="R96" s="730" t="s">
        <v>696</v>
      </c>
      <c r="S96" s="602" t="s">
        <v>677</v>
      </c>
      <c r="T96" s="159" t="s">
        <v>31</v>
      </c>
      <c r="U96" s="157" t="s">
        <v>17</v>
      </c>
      <c r="V96" s="730" t="s">
        <v>696</v>
      </c>
      <c r="W96" s="602" t="s">
        <v>677</v>
      </c>
      <c r="X96" s="159" t="s">
        <v>31</v>
      </c>
      <c r="Y96" s="157" t="s">
        <v>17</v>
      </c>
      <c r="Z96" s="730" t="s">
        <v>696</v>
      </c>
      <c r="AA96" s="602" t="s">
        <v>677</v>
      </c>
      <c r="AB96" s="159" t="s">
        <v>31</v>
      </c>
      <c r="AC96" s="157" t="s">
        <v>17</v>
      </c>
      <c r="AD96" s="730" t="s">
        <v>696</v>
      </c>
      <c r="AE96" s="602" t="s">
        <v>677</v>
      </c>
      <c r="AF96" s="159" t="s">
        <v>31</v>
      </c>
      <c r="AG96" s="157" t="s">
        <v>17</v>
      </c>
      <c r="AH96" s="730" t="s">
        <v>696</v>
      </c>
      <c r="AI96" s="602" t="s">
        <v>677</v>
      </c>
      <c r="AJ96" s="159" t="s">
        <v>31</v>
      </c>
      <c r="AK96" s="734"/>
      <c r="AL96" s="734"/>
      <c r="AM96" s="734"/>
      <c r="AN96" s="734"/>
    </row>
    <row r="97" spans="1:40" x14ac:dyDescent="0.25">
      <c r="A97" s="470">
        <v>18</v>
      </c>
      <c r="B97" s="739">
        <f>Paramètres!BF23</f>
        <v>0</v>
      </c>
      <c r="C97" s="735">
        <f t="shared" si="6"/>
        <v>297</v>
      </c>
      <c r="D97" s="165">
        <f>VALUE_Barbarian_King[[#This Row],[Valeur]]*VALUE_Barbarian_King[[#This Row],[Rang]]</f>
        <v>0</v>
      </c>
      <c r="E97" s="470">
        <v>18</v>
      </c>
      <c r="F97" s="739">
        <f>Paramètres!BH23</f>
        <v>0</v>
      </c>
      <c r="G97" s="735">
        <f t="shared" si="7"/>
        <v>495</v>
      </c>
      <c r="H97" s="171">
        <f>VALUE_Archer_Queen[[#This Row],[Valeur]]*VALUE_Archer_Queen[[#This Row],[Rang]]</f>
        <v>0</v>
      </c>
      <c r="I97" s="152"/>
      <c r="J97" s="185"/>
      <c r="K97" s="152"/>
      <c r="L97" s="152"/>
      <c r="M97" s="726">
        <v>1</v>
      </c>
      <c r="N97" s="738">
        <f>Paramètres!I6</f>
        <v>0</v>
      </c>
      <c r="O97" s="736">
        <v>0</v>
      </c>
      <c r="P97" s="170">
        <f>VALUE_Dark_Barrack[[#This Row],[Valeur]]*VALUE_Dark_Barrack[[#This Row],[Rang]]</f>
        <v>0</v>
      </c>
      <c r="Q97" s="726">
        <v>1</v>
      </c>
      <c r="R97" s="738">
        <f>Paramètres!H6</f>
        <v>0</v>
      </c>
      <c r="S97" s="736">
        <v>0</v>
      </c>
      <c r="T97" s="170">
        <f>VALUE_Barrack[[#This Row],[Valeur]]*VALUE_Barrack[[#This Row],[Rang]]</f>
        <v>0</v>
      </c>
      <c r="U97" s="726">
        <v>1</v>
      </c>
      <c r="V97" s="738">
        <f>Paramètres!J6</f>
        <v>0</v>
      </c>
      <c r="W97" s="736">
        <v>0</v>
      </c>
      <c r="X97" s="170">
        <f>VALUE_Army_Camp[[#This Row],[Valeur]]*VALUE_Army_Camp[[#This Row],[Rang]]</f>
        <v>0</v>
      </c>
      <c r="Y97" s="726">
        <v>1</v>
      </c>
      <c r="Z97" s="738">
        <f>Paramètres!K6</f>
        <v>0</v>
      </c>
      <c r="AA97" s="736">
        <v>0</v>
      </c>
      <c r="AB97" s="170">
        <f>VALUE_Laboratory[[#This Row],[Valeur]]*VALUE_Laboratory[[#This Row],[Rang]]</f>
        <v>0</v>
      </c>
      <c r="AC97" s="726">
        <v>1</v>
      </c>
      <c r="AD97" s="738">
        <f>Paramètres!L6</f>
        <v>0</v>
      </c>
      <c r="AE97" s="736">
        <v>0</v>
      </c>
      <c r="AF97" s="170">
        <f>VALUE_Spell_Factory[[#This Row],[Valeur]]*VALUE_Spell_Factory[[#This Row],[Rang]]</f>
        <v>0</v>
      </c>
      <c r="AG97" s="811">
        <v>1</v>
      </c>
      <c r="AH97" s="738">
        <f>Paramètres!M6</f>
        <v>0</v>
      </c>
      <c r="AI97" s="736">
        <v>0</v>
      </c>
      <c r="AJ97" s="170">
        <f>VALUE_Dark_Spell_Factory[[#This Row],[Valeur]]*VALUE_Dark_Spell_Factory[[#This Row],[Rang]]</f>
        <v>0</v>
      </c>
      <c r="AK97" s="734"/>
      <c r="AL97" s="734"/>
      <c r="AM97" s="734"/>
      <c r="AN97" s="734"/>
    </row>
    <row r="98" spans="1:40" x14ac:dyDescent="0.25">
      <c r="A98" s="470">
        <v>19</v>
      </c>
      <c r="B98" s="739">
        <f>Paramètres!BF24</f>
        <v>0</v>
      </c>
      <c r="C98" s="735">
        <f t="shared" si="6"/>
        <v>315</v>
      </c>
      <c r="D98" s="165">
        <f>VALUE_Barbarian_King[[#This Row],[Valeur]]*VALUE_Barbarian_King[[#This Row],[Rang]]</f>
        <v>0</v>
      </c>
      <c r="E98" s="470">
        <v>19</v>
      </c>
      <c r="F98" s="739">
        <f>Paramètres!BH24</f>
        <v>0</v>
      </c>
      <c r="G98" s="735">
        <f t="shared" si="7"/>
        <v>524</v>
      </c>
      <c r="H98" s="171">
        <f>VALUE_Archer_Queen[[#This Row],[Valeur]]*VALUE_Archer_Queen[[#This Row],[Rang]]</f>
        <v>0</v>
      </c>
      <c r="I98" s="152"/>
      <c r="J98" s="185"/>
      <c r="K98" s="152"/>
      <c r="L98" s="152"/>
      <c r="M98" s="470">
        <v>2</v>
      </c>
      <c r="N98" s="739">
        <f>Paramètres!I7</f>
        <v>0</v>
      </c>
      <c r="O98" s="735">
        <v>0</v>
      </c>
      <c r="P98" s="171">
        <f>VALUE_Dark_Barrack[[#This Row],[Valeur]]*VALUE_Dark_Barrack[[#This Row],[Rang]]</f>
        <v>0</v>
      </c>
      <c r="Q98" s="470">
        <v>2</v>
      </c>
      <c r="R98" s="739">
        <f>Paramètres!H7</f>
        <v>0</v>
      </c>
      <c r="S98" s="735">
        <v>0</v>
      </c>
      <c r="T98" s="171">
        <f>VALUE_Barrack[[#This Row],[Valeur]]*VALUE_Barrack[[#This Row],[Rang]]</f>
        <v>0</v>
      </c>
      <c r="U98" s="470">
        <v>2</v>
      </c>
      <c r="V98" s="739">
        <f>Paramètres!J7</f>
        <v>0</v>
      </c>
      <c r="W98" s="735">
        <v>0</v>
      </c>
      <c r="X98" s="171">
        <f>VALUE_Army_Camp[[#This Row],[Valeur]]*VALUE_Army_Camp[[#This Row],[Rang]]</f>
        <v>0</v>
      </c>
      <c r="Y98" s="470">
        <v>2</v>
      </c>
      <c r="Z98" s="739">
        <f>Paramètres!K7</f>
        <v>0</v>
      </c>
      <c r="AA98" s="735">
        <v>0</v>
      </c>
      <c r="AB98" s="171">
        <f>VALUE_Laboratory[[#This Row],[Valeur]]*VALUE_Laboratory[[#This Row],[Rang]]</f>
        <v>0</v>
      </c>
      <c r="AC98" s="470">
        <v>2</v>
      </c>
      <c r="AD98" s="739">
        <f>Paramètres!L7</f>
        <v>0</v>
      </c>
      <c r="AE98" s="735">
        <v>0</v>
      </c>
      <c r="AF98" s="171">
        <f>VALUE_Spell_Factory[[#This Row],[Valeur]]*VALUE_Spell_Factory[[#This Row],[Rang]]</f>
        <v>0</v>
      </c>
      <c r="AG98" s="470">
        <v>2</v>
      </c>
      <c r="AH98" s="739">
        <f>Paramètres!M7</f>
        <v>0</v>
      </c>
      <c r="AI98" s="735">
        <v>0</v>
      </c>
      <c r="AJ98" s="171">
        <f>VALUE_Dark_Spell_Factory[[#This Row],[Valeur]]*VALUE_Dark_Spell_Factory[[#This Row],[Rang]]</f>
        <v>0</v>
      </c>
      <c r="AK98" s="734"/>
      <c r="AL98" s="734"/>
      <c r="AM98" s="734"/>
      <c r="AN98" s="734"/>
    </row>
    <row r="99" spans="1:40" x14ac:dyDescent="0.25">
      <c r="A99" s="470">
        <v>20</v>
      </c>
      <c r="B99" s="739">
        <f>Paramètres!BF25</f>
        <v>0</v>
      </c>
      <c r="C99" s="735">
        <f>19+C98</f>
        <v>334</v>
      </c>
      <c r="D99" s="165">
        <f>VALUE_Barbarian_King[[#This Row],[Valeur]]*VALUE_Barbarian_King[[#This Row],[Rang]]</f>
        <v>0</v>
      </c>
      <c r="E99" s="470">
        <v>20</v>
      </c>
      <c r="F99" s="739">
        <f>Paramètres!BH25</f>
        <v>0</v>
      </c>
      <c r="G99" s="735">
        <f>G98+30</f>
        <v>554</v>
      </c>
      <c r="H99" s="171">
        <f>VALUE_Archer_Queen[[#This Row],[Valeur]]*VALUE_Archer_Queen[[#This Row],[Rang]]</f>
        <v>0</v>
      </c>
      <c r="I99" s="152"/>
      <c r="J99" s="185"/>
      <c r="K99" s="152"/>
      <c r="L99" s="152"/>
      <c r="M99" s="470">
        <v>3</v>
      </c>
      <c r="N99" s="739">
        <f>Paramètres!I8</f>
        <v>0</v>
      </c>
      <c r="O99" s="735">
        <v>0</v>
      </c>
      <c r="P99" s="171">
        <f>VALUE_Dark_Barrack[[#This Row],[Valeur]]*VALUE_Dark_Barrack[[#This Row],[Rang]]</f>
        <v>0</v>
      </c>
      <c r="Q99" s="470">
        <v>3</v>
      </c>
      <c r="R99" s="739">
        <f>Paramètres!H8</f>
        <v>0</v>
      </c>
      <c r="S99" s="735">
        <v>0</v>
      </c>
      <c r="T99" s="171">
        <f>VALUE_Barrack[[#This Row],[Valeur]]*VALUE_Barrack[[#This Row],[Rang]]</f>
        <v>0</v>
      </c>
      <c r="U99" s="470">
        <v>3</v>
      </c>
      <c r="V99" s="739">
        <f>Paramètres!J8</f>
        <v>0</v>
      </c>
      <c r="W99" s="735">
        <v>0</v>
      </c>
      <c r="X99" s="171">
        <f>VALUE_Army_Camp[[#This Row],[Valeur]]*VALUE_Army_Camp[[#This Row],[Rang]]</f>
        <v>0</v>
      </c>
      <c r="Y99" s="470">
        <v>3</v>
      </c>
      <c r="Z99" s="739">
        <f>Paramètres!K8</f>
        <v>0</v>
      </c>
      <c r="AA99" s="735">
        <v>0</v>
      </c>
      <c r="AB99" s="171">
        <f>VALUE_Laboratory[[#This Row],[Valeur]]*VALUE_Laboratory[[#This Row],[Rang]]</f>
        <v>0</v>
      </c>
      <c r="AC99" s="470">
        <v>3</v>
      </c>
      <c r="AD99" s="739">
        <f>Paramètres!L8</f>
        <v>0</v>
      </c>
      <c r="AE99" s="735">
        <v>0</v>
      </c>
      <c r="AF99" s="171">
        <f>VALUE_Spell_Factory[[#This Row],[Valeur]]*VALUE_Spell_Factory[[#This Row],[Rang]]</f>
        <v>0</v>
      </c>
      <c r="AG99" s="470">
        <v>3</v>
      </c>
      <c r="AH99" s="739">
        <f>Paramètres!M8</f>
        <v>0</v>
      </c>
      <c r="AI99" s="735">
        <v>0</v>
      </c>
      <c r="AJ99" s="171">
        <f>VALUE_Dark_Spell_Factory[[#This Row],[Valeur]]*VALUE_Dark_Spell_Factory[[#This Row],[Rang]]</f>
        <v>0</v>
      </c>
      <c r="AK99" s="734"/>
      <c r="AL99" s="734"/>
      <c r="AM99" s="734"/>
      <c r="AN99" s="734"/>
    </row>
    <row r="100" spans="1:40" x14ac:dyDescent="0.25">
      <c r="A100" s="470">
        <v>21</v>
      </c>
      <c r="B100" s="739">
        <f>Paramètres!BF26</f>
        <v>0</v>
      </c>
      <c r="C100" s="735">
        <f t="shared" ref="C100:C103" si="8">19+C99</f>
        <v>353</v>
      </c>
      <c r="D100" s="165">
        <f>VALUE_Barbarian_King[[#This Row],[Valeur]]*VALUE_Barbarian_King[[#This Row],[Rang]]</f>
        <v>0</v>
      </c>
      <c r="E100" s="470">
        <v>21</v>
      </c>
      <c r="F100" s="739">
        <f>Paramètres!BH26</f>
        <v>0</v>
      </c>
      <c r="G100" s="735">
        <f t="shared" ref="G100:G103" si="9">G99+30</f>
        <v>584</v>
      </c>
      <c r="H100" s="171">
        <f>VALUE_Archer_Queen[[#This Row],[Valeur]]*VALUE_Archer_Queen[[#This Row],[Rang]]</f>
        <v>0</v>
      </c>
      <c r="I100" s="152"/>
      <c r="J100" s="185"/>
      <c r="K100" s="152"/>
      <c r="L100" s="152"/>
      <c r="M100" s="470">
        <v>4</v>
      </c>
      <c r="N100" s="739">
        <f>Paramètres!I9</f>
        <v>0</v>
      </c>
      <c r="O100" s="735">
        <v>0</v>
      </c>
      <c r="P100" s="171">
        <f>VALUE_Dark_Barrack[[#This Row],[Valeur]]*VALUE_Dark_Barrack[[#This Row],[Rang]]</f>
        <v>0</v>
      </c>
      <c r="Q100" s="470">
        <v>4</v>
      </c>
      <c r="R100" s="739">
        <f>Paramètres!H9</f>
        <v>0</v>
      </c>
      <c r="S100" s="735">
        <v>0</v>
      </c>
      <c r="T100" s="171">
        <f>VALUE_Barrack[[#This Row],[Valeur]]*VALUE_Barrack[[#This Row],[Rang]]</f>
        <v>0</v>
      </c>
      <c r="U100" s="470">
        <v>4</v>
      </c>
      <c r="V100" s="739">
        <f>Paramètres!J9</f>
        <v>0</v>
      </c>
      <c r="W100" s="735">
        <v>0</v>
      </c>
      <c r="X100" s="171">
        <f>VALUE_Army_Camp[[#This Row],[Valeur]]*VALUE_Army_Camp[[#This Row],[Rang]]</f>
        <v>0</v>
      </c>
      <c r="Y100" s="470">
        <v>4</v>
      </c>
      <c r="Z100" s="739">
        <f>Paramètres!K9</f>
        <v>0</v>
      </c>
      <c r="AA100" s="735">
        <v>0</v>
      </c>
      <c r="AB100" s="171">
        <f>VALUE_Laboratory[[#This Row],[Valeur]]*VALUE_Laboratory[[#This Row],[Rang]]</f>
        <v>0</v>
      </c>
      <c r="AC100" s="470">
        <v>4</v>
      </c>
      <c r="AD100" s="739">
        <f>Paramètres!L9</f>
        <v>0</v>
      </c>
      <c r="AE100" s="735">
        <v>0</v>
      </c>
      <c r="AF100" s="171">
        <f>VALUE_Spell_Factory[[#This Row],[Valeur]]*VALUE_Spell_Factory[[#This Row],[Rang]]</f>
        <v>0</v>
      </c>
      <c r="AG100" s="152"/>
      <c r="AH100" s="734"/>
      <c r="AI100" s="734"/>
      <c r="AJ100" s="734"/>
      <c r="AK100" s="734"/>
      <c r="AL100" s="734"/>
      <c r="AM100" s="734"/>
      <c r="AN100" s="734"/>
    </row>
    <row r="101" spans="1:40" ht="15.75" thickBot="1" x14ac:dyDescent="0.3">
      <c r="A101" s="470">
        <v>22</v>
      </c>
      <c r="B101" s="739">
        <f>Paramètres!BF27</f>
        <v>0</v>
      </c>
      <c r="C101" s="735">
        <f>19+C100</f>
        <v>372</v>
      </c>
      <c r="D101" s="165">
        <f>VALUE_Barbarian_King[[#This Row],[Valeur]]*VALUE_Barbarian_King[[#This Row],[Rang]]</f>
        <v>0</v>
      </c>
      <c r="E101" s="470">
        <v>22</v>
      </c>
      <c r="F101" s="739">
        <f>Paramètres!BH27</f>
        <v>0</v>
      </c>
      <c r="G101" s="735">
        <f t="shared" si="9"/>
        <v>614</v>
      </c>
      <c r="H101" s="171">
        <f>VALUE_Archer_Queen[[#This Row],[Valeur]]*VALUE_Archer_Queen[[#This Row],[Rang]]</f>
        <v>0</v>
      </c>
      <c r="I101" s="152"/>
      <c r="J101" s="185"/>
      <c r="K101" s="152"/>
      <c r="L101" s="152"/>
      <c r="M101" s="470">
        <v>5</v>
      </c>
      <c r="N101" s="739">
        <f>Paramètres!I10</f>
        <v>0</v>
      </c>
      <c r="O101" s="735">
        <v>0</v>
      </c>
      <c r="P101" s="171">
        <f>VALUE_Dark_Barrack[[#This Row],[Valeur]]*VALUE_Dark_Barrack[[#This Row],[Rang]]</f>
        <v>0</v>
      </c>
      <c r="Q101" s="470">
        <v>5</v>
      </c>
      <c r="R101" s="739">
        <f>Paramètres!H10</f>
        <v>0</v>
      </c>
      <c r="S101" s="735">
        <v>0</v>
      </c>
      <c r="T101" s="171">
        <f>VALUE_Barrack[[#This Row],[Valeur]]*VALUE_Barrack[[#This Row],[Rang]]</f>
        <v>0</v>
      </c>
      <c r="U101" s="470">
        <v>5</v>
      </c>
      <c r="V101" s="739">
        <f>Paramètres!J10</f>
        <v>0</v>
      </c>
      <c r="W101" s="735">
        <v>0</v>
      </c>
      <c r="X101" s="171">
        <f>VALUE_Army_Camp[[#This Row],[Valeur]]*VALUE_Army_Camp[[#This Row],[Rang]]</f>
        <v>0</v>
      </c>
      <c r="Y101" s="470">
        <v>5</v>
      </c>
      <c r="Z101" s="739">
        <f>Paramètres!K10</f>
        <v>0</v>
      </c>
      <c r="AA101" s="735">
        <v>0</v>
      </c>
      <c r="AB101" s="171">
        <f>VALUE_Laboratory[[#This Row],[Valeur]]*VALUE_Laboratory[[#This Row],[Rang]]</f>
        <v>0</v>
      </c>
      <c r="AC101" s="477">
        <v>5</v>
      </c>
      <c r="AD101" s="740">
        <f>Paramètres!L10</f>
        <v>0</v>
      </c>
      <c r="AE101" s="737">
        <v>0</v>
      </c>
      <c r="AF101" s="448">
        <f>VALUE_Spell_Factory[[#This Row],[Valeur]]*VALUE_Spell_Factory[[#This Row],[Rang]]</f>
        <v>0</v>
      </c>
      <c r="AG101" s="152"/>
      <c r="AH101" s="734"/>
      <c r="AI101" s="734"/>
      <c r="AJ101" s="734"/>
      <c r="AK101" s="734"/>
      <c r="AL101" s="734"/>
      <c r="AM101" s="734"/>
      <c r="AN101" s="734"/>
    </row>
    <row r="102" spans="1:40" ht="15.75" thickBot="1" x14ac:dyDescent="0.3">
      <c r="A102" s="470">
        <v>23</v>
      </c>
      <c r="B102" s="739">
        <f>Paramètres!BF28</f>
        <v>0</v>
      </c>
      <c r="C102" s="735">
        <f t="shared" si="8"/>
        <v>391</v>
      </c>
      <c r="D102" s="165">
        <f>VALUE_Barbarian_King[[#This Row],[Valeur]]*VALUE_Barbarian_King[[#This Row],[Rang]]</f>
        <v>0</v>
      </c>
      <c r="E102" s="470">
        <v>23</v>
      </c>
      <c r="F102" s="739">
        <f>Paramètres!BH28</f>
        <v>0</v>
      </c>
      <c r="G102" s="735">
        <f t="shared" si="9"/>
        <v>644</v>
      </c>
      <c r="H102" s="171">
        <f>VALUE_Archer_Queen[[#This Row],[Valeur]]*VALUE_Archer_Queen[[#This Row],[Rang]]</f>
        <v>0</v>
      </c>
      <c r="I102" s="152"/>
      <c r="J102" s="185"/>
      <c r="K102" s="152"/>
      <c r="L102" s="152"/>
      <c r="M102" s="477">
        <v>6</v>
      </c>
      <c r="N102" s="740">
        <f>Paramètres!I11</f>
        <v>0</v>
      </c>
      <c r="O102" s="737">
        <v>0</v>
      </c>
      <c r="P102" s="448">
        <f>VALUE_Dark_Barrack[[#This Row],[Valeur]]*VALUE_Dark_Barrack[[#This Row],[Rang]]</f>
        <v>0</v>
      </c>
      <c r="Q102" s="470">
        <v>6</v>
      </c>
      <c r="R102" s="739">
        <f>Paramètres!H11</f>
        <v>0</v>
      </c>
      <c r="S102" s="735">
        <v>0</v>
      </c>
      <c r="T102" s="171">
        <f>VALUE_Barrack[[#This Row],[Valeur]]*VALUE_Barrack[[#This Row],[Rang]]</f>
        <v>0</v>
      </c>
      <c r="U102" s="470">
        <v>6</v>
      </c>
      <c r="V102" s="739">
        <f>Paramètres!J11</f>
        <v>0</v>
      </c>
      <c r="W102" s="735">
        <v>0</v>
      </c>
      <c r="X102" s="171">
        <f>VALUE_Army_Camp[[#This Row],[Valeur]]*VALUE_Army_Camp[[#This Row],[Rang]]</f>
        <v>0</v>
      </c>
      <c r="Y102" s="470">
        <v>6</v>
      </c>
      <c r="Z102" s="739">
        <f>Paramètres!K11</f>
        <v>0</v>
      </c>
      <c r="AA102" s="735">
        <v>0</v>
      </c>
      <c r="AB102" s="171">
        <f>VALUE_Laboratory[[#This Row],[Valeur]]*VALUE_Laboratory[[#This Row],[Rang]]</f>
        <v>0</v>
      </c>
      <c r="AC102" s="152"/>
      <c r="AD102" s="152"/>
      <c r="AE102" s="152"/>
      <c r="AF102" s="152"/>
      <c r="AG102" s="734"/>
      <c r="AH102" s="734"/>
      <c r="AI102" s="734"/>
      <c r="AJ102" s="734"/>
      <c r="AK102" s="734"/>
      <c r="AL102" s="734"/>
      <c r="AM102" s="734"/>
      <c r="AN102" s="734"/>
    </row>
    <row r="103" spans="1:40" x14ac:dyDescent="0.25">
      <c r="A103" s="470">
        <v>24</v>
      </c>
      <c r="B103" s="739">
        <f>Paramètres!BF29</f>
        <v>0</v>
      </c>
      <c r="C103" s="735">
        <f t="shared" si="8"/>
        <v>410</v>
      </c>
      <c r="D103" s="165">
        <f>VALUE_Barbarian_King[[#This Row],[Valeur]]*VALUE_Barbarian_King[[#This Row],[Rang]]</f>
        <v>0</v>
      </c>
      <c r="E103" s="470">
        <v>24</v>
      </c>
      <c r="F103" s="739">
        <f>Paramètres!BH29</f>
        <v>0</v>
      </c>
      <c r="G103" s="735">
        <f t="shared" si="9"/>
        <v>674</v>
      </c>
      <c r="H103" s="171">
        <f>VALUE_Archer_Queen[[#This Row],[Valeur]]*VALUE_Archer_Queen[[#This Row],[Rang]]</f>
        <v>0</v>
      </c>
      <c r="I103" s="152"/>
      <c r="J103" s="185"/>
      <c r="K103" s="152"/>
      <c r="L103" s="152"/>
      <c r="M103" s="152"/>
      <c r="N103" s="152"/>
      <c r="O103" s="152"/>
      <c r="P103" s="734"/>
      <c r="Q103" s="470">
        <v>7</v>
      </c>
      <c r="R103" s="739">
        <f>Paramètres!H12</f>
        <v>0</v>
      </c>
      <c r="S103" s="735">
        <v>0</v>
      </c>
      <c r="T103" s="171">
        <f>VALUE_Barrack[[#This Row],[Valeur]]*VALUE_Barrack[[#This Row],[Rang]]</f>
        <v>0</v>
      </c>
      <c r="U103" s="470">
        <v>7</v>
      </c>
      <c r="V103" s="739">
        <f>Paramètres!J12</f>
        <v>0</v>
      </c>
      <c r="W103" s="735">
        <v>0</v>
      </c>
      <c r="X103" s="171">
        <f>VALUE_Army_Camp[[#This Row],[Valeur]]*VALUE_Army_Camp[[#This Row],[Rang]]</f>
        <v>0</v>
      </c>
      <c r="Y103" s="470">
        <v>7</v>
      </c>
      <c r="Z103" s="739">
        <f>Paramètres!K12</f>
        <v>0</v>
      </c>
      <c r="AA103" s="735">
        <v>0</v>
      </c>
      <c r="AB103" s="171">
        <f>VALUE_Laboratory[[#This Row],[Valeur]]*VALUE_Laboratory[[#This Row],[Rang]]</f>
        <v>0</v>
      </c>
      <c r="AC103" s="152"/>
      <c r="AD103" s="152"/>
      <c r="AE103" s="152"/>
      <c r="AF103" s="152"/>
      <c r="AG103" s="734"/>
      <c r="AH103" s="734"/>
      <c r="AI103" s="734"/>
      <c r="AJ103" s="734"/>
      <c r="AK103" s="734"/>
      <c r="AL103" s="734"/>
      <c r="AM103" s="734"/>
      <c r="AN103" s="734"/>
    </row>
    <row r="104" spans="1:40" ht="15.75" thickBot="1" x14ac:dyDescent="0.3">
      <c r="A104" s="470">
        <v>25</v>
      </c>
      <c r="B104" s="739">
        <f>Paramètres!BF30</f>
        <v>0</v>
      </c>
      <c r="C104" s="735">
        <f>20+C103</f>
        <v>430</v>
      </c>
      <c r="D104" s="165">
        <f>VALUE_Barbarian_King[[#This Row],[Valeur]]*VALUE_Barbarian_King[[#This Row],[Rang]]</f>
        <v>0</v>
      </c>
      <c r="E104" s="470">
        <v>25</v>
      </c>
      <c r="F104" s="739">
        <f>Paramètres!BH30</f>
        <v>0</v>
      </c>
      <c r="G104" s="735">
        <f>G103+31</f>
        <v>705</v>
      </c>
      <c r="H104" s="171">
        <f>VALUE_Archer_Queen[[#This Row],[Valeur]]*VALUE_Archer_Queen[[#This Row],[Rang]]</f>
        <v>0</v>
      </c>
      <c r="I104" s="152"/>
      <c r="J104" s="185"/>
      <c r="K104" s="152"/>
      <c r="L104" s="152"/>
      <c r="M104" s="152"/>
      <c r="N104" s="152"/>
      <c r="O104" s="152"/>
      <c r="P104" s="734"/>
      <c r="Q104" s="470">
        <v>8</v>
      </c>
      <c r="R104" s="739">
        <f>Paramètres!H13</f>
        <v>0</v>
      </c>
      <c r="S104" s="735">
        <v>0</v>
      </c>
      <c r="T104" s="171">
        <f>VALUE_Barrack[[#This Row],[Valeur]]*VALUE_Barrack[[#This Row],[Rang]]</f>
        <v>0</v>
      </c>
      <c r="U104" s="477">
        <v>8</v>
      </c>
      <c r="V104" s="740">
        <f>Paramètres!J13</f>
        <v>0</v>
      </c>
      <c r="W104" s="737">
        <v>0</v>
      </c>
      <c r="X104" s="448">
        <f>VALUE_Army_Camp[[#This Row],[Valeur]]*VALUE_Army_Camp[[#This Row],[Rang]]</f>
        <v>0</v>
      </c>
      <c r="Y104" s="477">
        <v>8</v>
      </c>
      <c r="Z104" s="740">
        <f>Paramètres!K13</f>
        <v>0</v>
      </c>
      <c r="AA104" s="737">
        <v>0</v>
      </c>
      <c r="AB104" s="448">
        <f>VALUE_Laboratory[[#This Row],[Valeur]]*VALUE_Laboratory[[#This Row],[Rang]]</f>
        <v>0</v>
      </c>
      <c r="AC104" s="137"/>
      <c r="AD104" s="137"/>
      <c r="AE104" s="137"/>
      <c r="AF104" s="152"/>
      <c r="AG104" s="734"/>
      <c r="AH104" s="734"/>
      <c r="AI104" s="734"/>
      <c r="AJ104" s="734"/>
      <c r="AK104" s="734"/>
      <c r="AL104" s="734"/>
      <c r="AM104" s="734"/>
      <c r="AN104" s="734"/>
    </row>
    <row r="105" spans="1:40" x14ac:dyDescent="0.25">
      <c r="A105" s="470">
        <v>26</v>
      </c>
      <c r="B105" s="739">
        <f>Paramètres!BF31</f>
        <v>0</v>
      </c>
      <c r="C105" s="735">
        <f t="shared" ref="C105:C108" si="10">20+C104</f>
        <v>450</v>
      </c>
      <c r="D105" s="165">
        <f>VALUE_Barbarian_King[[#This Row],[Valeur]]*VALUE_Barbarian_King[[#This Row],[Rang]]</f>
        <v>0</v>
      </c>
      <c r="E105" s="470">
        <v>26</v>
      </c>
      <c r="F105" s="739">
        <f>Paramètres!BH31</f>
        <v>0</v>
      </c>
      <c r="G105" s="735">
        <f t="shared" ref="G105:G108" si="11">G104+31</f>
        <v>736</v>
      </c>
      <c r="H105" s="171">
        <f>VALUE_Archer_Queen[[#This Row],[Valeur]]*VALUE_Archer_Queen[[#This Row],[Rang]]</f>
        <v>0</v>
      </c>
      <c r="I105" s="152"/>
      <c r="J105" s="185"/>
      <c r="K105" s="152"/>
      <c r="L105" s="152"/>
      <c r="M105" s="152"/>
      <c r="N105" s="152"/>
      <c r="O105" s="152"/>
      <c r="P105" s="734"/>
      <c r="Q105" s="470">
        <v>9</v>
      </c>
      <c r="R105" s="739">
        <f>Paramètres!H14</f>
        <v>0</v>
      </c>
      <c r="S105" s="735">
        <v>0</v>
      </c>
      <c r="T105" s="171">
        <f>VALUE_Barrack[[#This Row],[Valeur]]*VALUE_Barrack[[#This Row],[Rang]]</f>
        <v>0</v>
      </c>
      <c r="U105" s="152"/>
      <c r="V105" s="152"/>
      <c r="W105" s="152"/>
      <c r="X105" s="152"/>
      <c r="Y105" s="152"/>
      <c r="Z105" s="152"/>
      <c r="AA105" s="152"/>
      <c r="AB105" s="152"/>
      <c r="AC105" s="152"/>
      <c r="AD105" s="152"/>
      <c r="AE105" s="734"/>
      <c r="AF105" s="734"/>
      <c r="AG105" s="734"/>
      <c r="AH105" s="734"/>
      <c r="AI105" s="734"/>
      <c r="AJ105" s="734"/>
      <c r="AK105" s="734"/>
      <c r="AL105" s="734"/>
      <c r="AM105" s="734"/>
      <c r="AN105" s="734"/>
    </row>
    <row r="106" spans="1:40" ht="15.75" thickBot="1" x14ac:dyDescent="0.3">
      <c r="A106" s="470">
        <v>27</v>
      </c>
      <c r="B106" s="739">
        <f>Paramètres!BF32</f>
        <v>0</v>
      </c>
      <c r="C106" s="735">
        <f t="shared" si="10"/>
        <v>470</v>
      </c>
      <c r="D106" s="165">
        <f>VALUE_Barbarian_King[[#This Row],[Valeur]]*VALUE_Barbarian_King[[#This Row],[Rang]]</f>
        <v>0</v>
      </c>
      <c r="E106" s="470">
        <v>27</v>
      </c>
      <c r="F106" s="739">
        <f>Paramètres!BH32</f>
        <v>0</v>
      </c>
      <c r="G106" s="735">
        <f t="shared" si="11"/>
        <v>767</v>
      </c>
      <c r="H106" s="171">
        <f>VALUE_Archer_Queen[[#This Row],[Valeur]]*VALUE_Archer_Queen[[#This Row],[Rang]]</f>
        <v>0</v>
      </c>
      <c r="I106" s="152"/>
      <c r="J106" s="185"/>
      <c r="K106" s="152"/>
      <c r="L106" s="152"/>
      <c r="M106" s="152"/>
      <c r="N106" s="152"/>
      <c r="O106" s="152"/>
      <c r="P106" s="734"/>
      <c r="Q106" s="477">
        <v>10</v>
      </c>
      <c r="R106" s="740">
        <f>Paramètres!H15</f>
        <v>0</v>
      </c>
      <c r="S106" s="737">
        <v>0</v>
      </c>
      <c r="T106" s="448">
        <f>VALUE_Barrack[[#This Row],[Valeur]]*VALUE_Barrack[[#This Row],[Rang]]</f>
        <v>0</v>
      </c>
      <c r="U106" s="152"/>
      <c r="V106" s="152"/>
      <c r="W106" s="152"/>
      <c r="X106" s="152"/>
      <c r="Y106" s="152"/>
      <c r="Z106" s="152"/>
      <c r="AA106" s="152"/>
      <c r="AB106" s="152"/>
      <c r="AC106" s="152"/>
      <c r="AD106" s="152"/>
      <c r="AE106" s="734"/>
      <c r="AF106" s="734"/>
      <c r="AG106" s="734"/>
      <c r="AH106" s="734"/>
      <c r="AI106" s="734"/>
      <c r="AJ106" s="734"/>
      <c r="AK106" s="734"/>
      <c r="AL106" s="734"/>
      <c r="AM106" s="734"/>
      <c r="AN106" s="734"/>
    </row>
    <row r="107" spans="1:40" ht="19.5" thickBot="1" x14ac:dyDescent="0.3">
      <c r="A107" s="470">
        <v>28</v>
      </c>
      <c r="B107" s="739">
        <f>Paramètres!BF33</f>
        <v>0</v>
      </c>
      <c r="C107" s="735">
        <f t="shared" si="10"/>
        <v>490</v>
      </c>
      <c r="D107" s="165">
        <f>VALUE_Barbarian_King[[#This Row],[Valeur]]*VALUE_Barbarian_King[[#This Row],[Rang]]</f>
        <v>0</v>
      </c>
      <c r="E107" s="470">
        <v>28</v>
      </c>
      <c r="F107" s="739">
        <f>Paramètres!BH33</f>
        <v>0</v>
      </c>
      <c r="G107" s="735">
        <f t="shared" si="11"/>
        <v>798</v>
      </c>
      <c r="H107" s="171">
        <f>VALUE_Archer_Queen[[#This Row],[Valeur]]*VALUE_Archer_Queen[[#This Row],[Rang]]</f>
        <v>0</v>
      </c>
      <c r="I107" s="152"/>
      <c r="J107" s="185"/>
      <c r="K107" s="152"/>
      <c r="L107" s="152"/>
      <c r="M107" s="152"/>
      <c r="N107" s="734"/>
      <c r="O107" s="734"/>
      <c r="P107" s="734"/>
      <c r="Q107" s="734"/>
      <c r="R107" s="734"/>
      <c r="S107" s="734"/>
      <c r="T107" s="734"/>
      <c r="U107" s="734"/>
      <c r="V107" s="152"/>
      <c r="W107" s="152"/>
      <c r="X107" s="152"/>
      <c r="Y107" s="152"/>
      <c r="Z107" s="152"/>
      <c r="AA107" s="152"/>
      <c r="AB107" s="152"/>
      <c r="AC107" s="1269" t="s">
        <v>682</v>
      </c>
      <c r="AD107" s="1270"/>
      <c r="AE107" s="1270"/>
      <c r="AF107" s="1270"/>
      <c r="AG107" s="1270"/>
      <c r="AH107" s="1270"/>
      <c r="AI107" s="1270"/>
      <c r="AJ107" s="1271"/>
      <c r="AK107" s="734"/>
      <c r="AL107" s="734"/>
      <c r="AM107" s="734"/>
      <c r="AN107" s="734"/>
    </row>
    <row r="108" spans="1:40" ht="15.75" thickBot="1" x14ac:dyDescent="0.3">
      <c r="A108" s="470">
        <v>29</v>
      </c>
      <c r="B108" s="739">
        <f>Paramètres!BF34</f>
        <v>0</v>
      </c>
      <c r="C108" s="735">
        <f t="shared" si="10"/>
        <v>510</v>
      </c>
      <c r="D108" s="165">
        <f>VALUE_Barbarian_King[[#This Row],[Valeur]]*VALUE_Barbarian_King[[#This Row],[Rang]]</f>
        <v>0</v>
      </c>
      <c r="E108" s="470">
        <v>29</v>
      </c>
      <c r="F108" s="739">
        <f>Paramètres!BH34</f>
        <v>0</v>
      </c>
      <c r="G108" s="735">
        <f t="shared" si="11"/>
        <v>829</v>
      </c>
      <c r="H108" s="171">
        <f>VALUE_Archer_Queen[[#This Row],[Valeur]]*VALUE_Archer_Queen[[#This Row],[Rang]]</f>
        <v>0</v>
      </c>
      <c r="I108" s="152"/>
      <c r="J108" s="185"/>
      <c r="K108" s="152"/>
      <c r="L108" s="152"/>
      <c r="M108" s="152"/>
      <c r="N108" s="734"/>
      <c r="O108" s="734"/>
      <c r="P108" s="734"/>
      <c r="Q108" s="734"/>
      <c r="R108" s="734"/>
      <c r="S108" s="734"/>
      <c r="T108" s="734"/>
      <c r="U108" s="734"/>
      <c r="V108" s="152"/>
      <c r="W108" s="152"/>
      <c r="X108" s="152"/>
      <c r="Y108" s="152"/>
      <c r="Z108" s="152"/>
      <c r="AA108" s="152"/>
      <c r="AB108" s="152"/>
      <c r="AC108" s="1285" t="s">
        <v>198</v>
      </c>
      <c r="AD108" s="1286"/>
      <c r="AE108" s="1286"/>
      <c r="AF108" s="1287"/>
      <c r="AG108" s="1285" t="s">
        <v>197</v>
      </c>
      <c r="AH108" s="1286"/>
      <c r="AI108" s="1286"/>
      <c r="AJ108" s="1287"/>
      <c r="AK108" s="734"/>
      <c r="AL108" s="734"/>
      <c r="AM108" s="734"/>
      <c r="AN108" s="734"/>
    </row>
    <row r="109" spans="1:40" ht="19.5" thickBot="1" x14ac:dyDescent="0.3">
      <c r="A109" s="470">
        <v>30</v>
      </c>
      <c r="B109" s="739">
        <f>Paramètres!BF35</f>
        <v>0</v>
      </c>
      <c r="C109" s="735">
        <f>21+C108</f>
        <v>531</v>
      </c>
      <c r="D109" s="165">
        <f>VALUE_Barbarian_King[[#This Row],[Valeur]]*VALUE_Barbarian_King[[#This Row],[Rang]]</f>
        <v>0</v>
      </c>
      <c r="E109" s="470">
        <v>30</v>
      </c>
      <c r="F109" s="739">
        <f>Paramètres!BH35</f>
        <v>0</v>
      </c>
      <c r="G109" s="735">
        <f>G108+32</f>
        <v>861</v>
      </c>
      <c r="H109" s="171">
        <f>VALUE_Archer_Queen[[#This Row],[Valeur]]*VALUE_Archer_Queen[[#This Row],[Rang]]</f>
        <v>0</v>
      </c>
      <c r="I109" s="152"/>
      <c r="J109" s="185"/>
      <c r="K109" s="152"/>
      <c r="L109" s="152"/>
      <c r="M109" s="1269" t="s">
        <v>725</v>
      </c>
      <c r="N109" s="1270"/>
      <c r="O109" s="1270"/>
      <c r="P109" s="1270"/>
      <c r="Q109" s="1270"/>
      <c r="R109" s="1270"/>
      <c r="S109" s="1270"/>
      <c r="T109" s="1270"/>
      <c r="U109" s="1270"/>
      <c r="V109" s="1270"/>
      <c r="W109" s="1270"/>
      <c r="X109" s="1270"/>
      <c r="Y109" s="152"/>
      <c r="Z109" s="152"/>
      <c r="AA109" s="152"/>
      <c r="AB109" s="152"/>
      <c r="AC109" s="157" t="s">
        <v>17</v>
      </c>
      <c r="AD109" s="730" t="s">
        <v>696</v>
      </c>
      <c r="AE109" s="602" t="s">
        <v>677</v>
      </c>
      <c r="AF109" s="159" t="s">
        <v>31</v>
      </c>
      <c r="AG109" s="157" t="s">
        <v>17</v>
      </c>
      <c r="AH109" s="730" t="s">
        <v>696</v>
      </c>
      <c r="AI109" s="602" t="s">
        <v>677</v>
      </c>
      <c r="AJ109" s="159" t="s">
        <v>31</v>
      </c>
      <c r="AK109" s="734"/>
      <c r="AL109" s="734"/>
      <c r="AM109" s="734"/>
      <c r="AN109" s="734"/>
    </row>
    <row r="110" spans="1:40" ht="15.75" thickBot="1" x14ac:dyDescent="0.3">
      <c r="A110" s="470">
        <v>31</v>
      </c>
      <c r="B110" s="739">
        <f>Paramètres!BF36</f>
        <v>0</v>
      </c>
      <c r="C110" s="735">
        <f t="shared" ref="C110:C113" si="12">21+C109</f>
        <v>552</v>
      </c>
      <c r="D110" s="165">
        <f>VALUE_Barbarian_King[[#This Row],[Valeur]]*VALUE_Barbarian_King[[#This Row],[Rang]]</f>
        <v>0</v>
      </c>
      <c r="E110" s="470">
        <v>31</v>
      </c>
      <c r="F110" s="739">
        <f>Paramètres!BH36</f>
        <v>0</v>
      </c>
      <c r="G110" s="735">
        <f t="shared" ref="G110:G113" si="13">G109+32</f>
        <v>893</v>
      </c>
      <c r="H110" s="171">
        <f>VALUE_Archer_Queen[[#This Row],[Valeur]]*VALUE_Archer_Queen[[#This Row],[Rang]]</f>
        <v>0</v>
      </c>
      <c r="I110" s="152"/>
      <c r="J110" s="185"/>
      <c r="K110" s="152"/>
      <c r="L110" s="152"/>
      <c r="M110" s="1279" t="s">
        <v>706</v>
      </c>
      <c r="N110" s="1280"/>
      <c r="O110" s="1280"/>
      <c r="P110" s="1281"/>
      <c r="Q110" s="1279" t="s">
        <v>718</v>
      </c>
      <c r="R110" s="1280"/>
      <c r="S110" s="1280"/>
      <c r="T110" s="1281"/>
      <c r="U110" s="1279" t="s">
        <v>707</v>
      </c>
      <c r="V110" s="1280"/>
      <c r="W110" s="1280"/>
      <c r="X110" s="1281"/>
      <c r="Y110" s="152"/>
      <c r="Z110" s="152"/>
      <c r="AA110" s="152"/>
      <c r="AB110" s="152"/>
      <c r="AC110" s="726">
        <v>1</v>
      </c>
      <c r="AD110" s="738">
        <f>Paramètres!AE6</f>
        <v>0</v>
      </c>
      <c r="AE110" s="736">
        <v>0</v>
      </c>
      <c r="AF110" s="170">
        <f>VALUE_Clan_Castle[[#This Row],[Valeur]]*VALUE_Clan_Castle[[#This Row],[Rang]]</f>
        <v>0</v>
      </c>
      <c r="AG110" s="726">
        <v>1</v>
      </c>
      <c r="AH110" s="738">
        <f>Paramètres!AF6</f>
        <v>1</v>
      </c>
      <c r="AI110" s="736">
        <v>0</v>
      </c>
      <c r="AJ110" s="170">
        <f>VALUE_Town_Home[[#This Row],[Valeur]]*VALUE_Town_Home[[#This Row],[Rang]]</f>
        <v>0</v>
      </c>
      <c r="AK110" s="734"/>
      <c r="AL110" s="734"/>
      <c r="AM110" s="734"/>
      <c r="AN110" s="734"/>
    </row>
    <row r="111" spans="1:40" ht="15.75" thickBot="1" x14ac:dyDescent="0.3">
      <c r="A111" s="470">
        <v>32</v>
      </c>
      <c r="B111" s="739">
        <f>Paramètres!BF37</f>
        <v>0</v>
      </c>
      <c r="C111" s="735">
        <f t="shared" si="12"/>
        <v>573</v>
      </c>
      <c r="D111" s="165">
        <f>VALUE_Barbarian_King[[#This Row],[Valeur]]*VALUE_Barbarian_King[[#This Row],[Rang]]</f>
        <v>0</v>
      </c>
      <c r="E111" s="470">
        <v>32</v>
      </c>
      <c r="F111" s="739">
        <f>Paramètres!BH37</f>
        <v>0</v>
      </c>
      <c r="G111" s="735">
        <f t="shared" si="13"/>
        <v>925</v>
      </c>
      <c r="H111" s="171">
        <f>VALUE_Archer_Queen[[#This Row],[Valeur]]*VALUE_Archer_Queen[[#This Row],[Rang]]</f>
        <v>0</v>
      </c>
      <c r="I111" s="152"/>
      <c r="J111" s="185"/>
      <c r="K111" s="152"/>
      <c r="L111" s="152"/>
      <c r="M111" s="173" t="s">
        <v>17</v>
      </c>
      <c r="N111" s="450" t="s">
        <v>696</v>
      </c>
      <c r="O111" s="451" t="s">
        <v>677</v>
      </c>
      <c r="P111" s="452" t="s">
        <v>31</v>
      </c>
      <c r="Q111" s="173" t="s">
        <v>17</v>
      </c>
      <c r="R111" s="450" t="s">
        <v>696</v>
      </c>
      <c r="S111" s="451" t="s">
        <v>677</v>
      </c>
      <c r="T111" s="452" t="s">
        <v>31</v>
      </c>
      <c r="U111" s="173" t="s">
        <v>17</v>
      </c>
      <c r="V111" s="450" t="s">
        <v>696</v>
      </c>
      <c r="W111" s="451" t="s">
        <v>677</v>
      </c>
      <c r="X111" s="452" t="s">
        <v>31</v>
      </c>
      <c r="Y111" s="152"/>
      <c r="Z111" s="152"/>
      <c r="AA111" s="152"/>
      <c r="AB111" s="152"/>
      <c r="AC111" s="470">
        <v>2</v>
      </c>
      <c r="AD111" s="739">
        <f>Paramètres!AE7</f>
        <v>0</v>
      </c>
      <c r="AE111" s="735">
        <v>0</v>
      </c>
      <c r="AF111" s="171">
        <f>VALUE_Clan_Castle[[#This Row],[Valeur]]*VALUE_Clan_Castle[[#This Row],[Rang]]</f>
        <v>0</v>
      </c>
      <c r="AG111" s="470">
        <v>2</v>
      </c>
      <c r="AH111" s="739">
        <f>Paramètres!AF7</f>
        <v>0</v>
      </c>
      <c r="AI111" s="735">
        <v>0</v>
      </c>
      <c r="AJ111" s="171">
        <f>VALUE_Town_Home[[#This Row],[Valeur]]*VALUE_Town_Home[[#This Row],[Rang]]</f>
        <v>0</v>
      </c>
      <c r="AK111" s="734"/>
      <c r="AL111" s="734"/>
      <c r="AM111" s="734"/>
      <c r="AN111" s="734"/>
    </row>
    <row r="112" spans="1:40" x14ac:dyDescent="0.25">
      <c r="A112" s="470">
        <v>33</v>
      </c>
      <c r="B112" s="739">
        <f>Paramètres!BF38</f>
        <v>0</v>
      </c>
      <c r="C112" s="735">
        <f t="shared" si="12"/>
        <v>594</v>
      </c>
      <c r="D112" s="165">
        <f>VALUE_Barbarian_King[[#This Row],[Valeur]]*VALUE_Barbarian_King[[#This Row],[Rang]]</f>
        <v>0</v>
      </c>
      <c r="E112" s="470">
        <v>33</v>
      </c>
      <c r="F112" s="739">
        <f>Paramètres!BH38</f>
        <v>0</v>
      </c>
      <c r="G112" s="735">
        <f t="shared" si="13"/>
        <v>957</v>
      </c>
      <c r="H112" s="171">
        <f>VALUE_Archer_Queen[[#This Row],[Valeur]]*VALUE_Archer_Queen[[#This Row],[Rang]]</f>
        <v>0</v>
      </c>
      <c r="I112" s="152"/>
      <c r="J112" s="185"/>
      <c r="K112" s="152"/>
      <c r="L112" s="152"/>
      <c r="M112" s="857">
        <v>1</v>
      </c>
      <c r="N112" s="738">
        <f>Paramètres!AL6</f>
        <v>0</v>
      </c>
      <c r="O112" s="736">
        <v>0</v>
      </c>
      <c r="P112" s="170">
        <f>VALUE_Spell_Poison[[#This Row],[Valeur]]*VALUE_Spell_Poison[[#This Row],[Rang]]</f>
        <v>0</v>
      </c>
      <c r="Q112" s="731">
        <v>1</v>
      </c>
      <c r="R112" s="738">
        <f>Paramètres!AM6</f>
        <v>0</v>
      </c>
      <c r="S112" s="736">
        <v>0</v>
      </c>
      <c r="T112" s="621">
        <f>VALUE_Spell_Earthquake[[#This Row],[Valeur]]*VALUE_Spell_Earthquake[[#This Row],[Rang]]</f>
        <v>0</v>
      </c>
      <c r="U112" s="856">
        <v>1</v>
      </c>
      <c r="V112" s="738">
        <f>Paramètres!AN6</f>
        <v>0</v>
      </c>
      <c r="W112" s="736">
        <v>0</v>
      </c>
      <c r="X112" s="621">
        <f>VALUE_Spell_Haste[[#This Row],[Valeur]]*VALUE_Spell_Haste[[#This Row],[Rang]]</f>
        <v>0</v>
      </c>
      <c r="Y112" s="152"/>
      <c r="Z112" s="152"/>
      <c r="AA112" s="152"/>
      <c r="AB112" s="152"/>
      <c r="AC112" s="470">
        <v>3</v>
      </c>
      <c r="AD112" s="739">
        <f>Paramètres!AE8</f>
        <v>0</v>
      </c>
      <c r="AE112" s="735">
        <v>0</v>
      </c>
      <c r="AF112" s="171">
        <f>VALUE_Clan_Castle[[#This Row],[Valeur]]*VALUE_Clan_Castle[[#This Row],[Rang]]</f>
        <v>0</v>
      </c>
      <c r="AG112" s="470">
        <v>3</v>
      </c>
      <c r="AH112" s="739">
        <f>Paramètres!AF8</f>
        <v>0</v>
      </c>
      <c r="AI112" s="735">
        <v>0</v>
      </c>
      <c r="AJ112" s="171">
        <f>VALUE_Town_Home[[#This Row],[Valeur]]*VALUE_Town_Home[[#This Row],[Rang]]</f>
        <v>0</v>
      </c>
      <c r="AK112" s="734"/>
      <c r="AL112" s="734"/>
      <c r="AM112" s="734"/>
      <c r="AN112" s="734"/>
    </row>
    <row r="113" spans="1:40" x14ac:dyDescent="0.25">
      <c r="A113" s="470">
        <v>34</v>
      </c>
      <c r="B113" s="739">
        <f>Paramètres!BF39</f>
        <v>0</v>
      </c>
      <c r="C113" s="735">
        <f t="shared" si="12"/>
        <v>615</v>
      </c>
      <c r="D113" s="165">
        <f>VALUE_Barbarian_King[[#This Row],[Valeur]]*VALUE_Barbarian_King[[#This Row],[Rang]]</f>
        <v>0</v>
      </c>
      <c r="E113" s="470">
        <v>34</v>
      </c>
      <c r="F113" s="739">
        <f>Paramètres!BH39</f>
        <v>0</v>
      </c>
      <c r="G113" s="735">
        <f t="shared" si="13"/>
        <v>989</v>
      </c>
      <c r="H113" s="171">
        <f>VALUE_Archer_Queen[[#This Row],[Valeur]]*VALUE_Archer_Queen[[#This Row],[Rang]]</f>
        <v>0</v>
      </c>
      <c r="I113" s="152"/>
      <c r="J113" s="185"/>
      <c r="K113" s="152"/>
      <c r="L113" s="152"/>
      <c r="M113" s="470">
        <v>2</v>
      </c>
      <c r="N113" s="739">
        <f>Paramètres!AL7</f>
        <v>0</v>
      </c>
      <c r="O113" s="735">
        <v>0</v>
      </c>
      <c r="P113" s="171">
        <f>VALUE_Spell_Poison[[#This Row],[Valeur]]*VALUE_Spell_Poison[[#This Row],[Rang]]</f>
        <v>0</v>
      </c>
      <c r="Q113" s="553">
        <v>2</v>
      </c>
      <c r="R113" s="739">
        <f>Paramètres!AM7</f>
        <v>0</v>
      </c>
      <c r="S113" s="735">
        <v>0</v>
      </c>
      <c r="T113" s="165">
        <f>VALUE_Spell_Earthquake[[#This Row],[Valeur]]*VALUE_Spell_Earthquake[[#This Row],[Rang]]</f>
        <v>0</v>
      </c>
      <c r="U113" s="470">
        <v>2</v>
      </c>
      <c r="V113" s="739">
        <f>Paramètres!AN7</f>
        <v>0</v>
      </c>
      <c r="W113" s="735">
        <v>0</v>
      </c>
      <c r="X113" s="165">
        <f>VALUE_Spell_Haste[[#This Row],[Valeur]]*VALUE_Spell_Haste[[#This Row],[Rang]]</f>
        <v>0</v>
      </c>
      <c r="Y113" s="152"/>
      <c r="Z113" s="152"/>
      <c r="AA113" s="152"/>
      <c r="AB113" s="152"/>
      <c r="AC113" s="470">
        <v>4</v>
      </c>
      <c r="AD113" s="739">
        <f>Paramètres!AE9</f>
        <v>0</v>
      </c>
      <c r="AE113" s="735">
        <v>0</v>
      </c>
      <c r="AF113" s="171">
        <f>VALUE_Clan_Castle[[#This Row],[Valeur]]*VALUE_Clan_Castle[[#This Row],[Rang]]</f>
        <v>0</v>
      </c>
      <c r="AG113" s="470">
        <v>4</v>
      </c>
      <c r="AH113" s="739">
        <f>Paramètres!AF9</f>
        <v>0</v>
      </c>
      <c r="AI113" s="735">
        <v>0</v>
      </c>
      <c r="AJ113" s="171">
        <f>VALUE_Town_Home[[#This Row],[Valeur]]*VALUE_Town_Home[[#This Row],[Rang]]</f>
        <v>0</v>
      </c>
      <c r="AK113" s="734"/>
      <c r="AL113" s="734"/>
      <c r="AM113" s="734"/>
      <c r="AN113" s="734"/>
    </row>
    <row r="114" spans="1:40" x14ac:dyDescent="0.25">
      <c r="A114" s="470">
        <v>35</v>
      </c>
      <c r="B114" s="739">
        <f>Paramètres!BF40</f>
        <v>0</v>
      </c>
      <c r="C114" s="735">
        <f>22+C113</f>
        <v>637</v>
      </c>
      <c r="D114" s="165">
        <f>VALUE_Barbarian_King[[#This Row],[Valeur]]*VALUE_Barbarian_King[[#This Row],[Rang]]</f>
        <v>0</v>
      </c>
      <c r="E114" s="470">
        <v>35</v>
      </c>
      <c r="F114" s="739">
        <f>Paramètres!BH40</f>
        <v>0</v>
      </c>
      <c r="G114" s="735">
        <f>G113+33</f>
        <v>1022</v>
      </c>
      <c r="H114" s="171">
        <f>VALUE_Archer_Queen[[#This Row],[Valeur]]*VALUE_Archer_Queen[[#This Row],[Rang]]</f>
        <v>0</v>
      </c>
      <c r="I114" s="152"/>
      <c r="J114" s="185"/>
      <c r="K114" s="152"/>
      <c r="L114" s="152"/>
      <c r="M114" s="470">
        <v>3</v>
      </c>
      <c r="N114" s="739">
        <f>Paramètres!AL8</f>
        <v>0</v>
      </c>
      <c r="O114" s="735">
        <v>0</v>
      </c>
      <c r="P114" s="171">
        <f>VALUE_Spell_Poison[[#This Row],[Valeur]]*VALUE_Spell_Poison[[#This Row],[Rang]]</f>
        <v>0</v>
      </c>
      <c r="Q114" s="553">
        <v>3</v>
      </c>
      <c r="R114" s="739">
        <f>Paramètres!AM8</f>
        <v>0</v>
      </c>
      <c r="S114" s="735">
        <v>0</v>
      </c>
      <c r="T114" s="165">
        <f>VALUE_Spell_Earthquake[[#This Row],[Valeur]]*VALUE_Spell_Earthquake[[#This Row],[Rang]]</f>
        <v>0</v>
      </c>
      <c r="U114" s="470">
        <v>3</v>
      </c>
      <c r="V114" s="739">
        <f>Paramètres!AN8</f>
        <v>0</v>
      </c>
      <c r="W114" s="735">
        <v>0</v>
      </c>
      <c r="X114" s="165">
        <f>VALUE_Spell_Haste[[#This Row],[Valeur]]*VALUE_Spell_Haste[[#This Row],[Rang]]</f>
        <v>0</v>
      </c>
      <c r="Y114" s="152"/>
      <c r="Z114" s="152"/>
      <c r="AA114" s="152"/>
      <c r="AB114" s="152"/>
      <c r="AC114" s="470">
        <v>5</v>
      </c>
      <c r="AD114" s="739">
        <f>Paramètres!AE10</f>
        <v>0</v>
      </c>
      <c r="AE114" s="735">
        <v>0</v>
      </c>
      <c r="AF114" s="171">
        <f>VALUE_Clan_Castle[[#This Row],[Valeur]]*VALUE_Clan_Castle[[#This Row],[Rang]]</f>
        <v>0</v>
      </c>
      <c r="AG114" s="470">
        <v>5</v>
      </c>
      <c r="AH114" s="739">
        <f>Paramètres!AF10</f>
        <v>0</v>
      </c>
      <c r="AI114" s="735">
        <v>0</v>
      </c>
      <c r="AJ114" s="171">
        <f>VALUE_Town_Home[[#This Row],[Valeur]]*VALUE_Town_Home[[#This Row],[Rang]]</f>
        <v>0</v>
      </c>
      <c r="AK114" s="734"/>
      <c r="AL114" s="734"/>
      <c r="AM114" s="734"/>
      <c r="AN114" s="734"/>
    </row>
    <row r="115" spans="1:40" ht="15.75" thickBot="1" x14ac:dyDescent="0.3">
      <c r="A115" s="470">
        <v>36</v>
      </c>
      <c r="B115" s="739">
        <f>Paramètres!BF41</f>
        <v>0</v>
      </c>
      <c r="C115" s="735">
        <f t="shared" ref="C115:C119" si="14">22+C114</f>
        <v>659</v>
      </c>
      <c r="D115" s="165">
        <f>VALUE_Barbarian_King[[#This Row],[Valeur]]*VALUE_Barbarian_King[[#This Row],[Rang]]</f>
        <v>0</v>
      </c>
      <c r="E115" s="470">
        <v>36</v>
      </c>
      <c r="F115" s="739">
        <f>Paramètres!BH41</f>
        <v>0</v>
      </c>
      <c r="G115" s="735">
        <f t="shared" ref="G115:G119" si="15">G114+33</f>
        <v>1055</v>
      </c>
      <c r="H115" s="171">
        <f>VALUE_Archer_Queen[[#This Row],[Valeur]]*VALUE_Archer_Queen[[#This Row],[Rang]]</f>
        <v>0</v>
      </c>
      <c r="I115" s="152"/>
      <c r="J115" s="185"/>
      <c r="K115" s="152"/>
      <c r="L115" s="152"/>
      <c r="M115" s="477">
        <v>4</v>
      </c>
      <c r="N115" s="740">
        <f>Paramètres!AL9</f>
        <v>0</v>
      </c>
      <c r="O115" s="737">
        <v>0</v>
      </c>
      <c r="P115" s="448">
        <f>VALUE_Spell_Poison[[#This Row],[Valeur]]*VALUE_Spell_Poison[[#This Row],[Rang]]</f>
        <v>0</v>
      </c>
      <c r="Q115" s="553">
        <v>4</v>
      </c>
      <c r="R115" s="739">
        <f>Paramètres!AM9</f>
        <v>0</v>
      </c>
      <c r="S115" s="735">
        <v>0</v>
      </c>
      <c r="T115" s="165">
        <f>VALUE_Spell_Earthquake[[#This Row],[Valeur]]*VALUE_Spell_Earthquake[[#This Row],[Rang]]</f>
        <v>0</v>
      </c>
      <c r="U115" s="470">
        <v>4</v>
      </c>
      <c r="V115" s="739">
        <f>Paramètres!AN9</f>
        <v>0</v>
      </c>
      <c r="W115" s="735">
        <v>0</v>
      </c>
      <c r="X115" s="171">
        <f>VALUE_Spell_Haste[[#This Row],[Valeur]]*VALUE_Spell_Haste[[#This Row],[Rang]]</f>
        <v>0</v>
      </c>
      <c r="Y115" s="152"/>
      <c r="Z115" s="152"/>
      <c r="AA115" s="152"/>
      <c r="AB115" s="152"/>
      <c r="AC115" s="477">
        <v>6</v>
      </c>
      <c r="AD115" s="740">
        <f>Paramètres!AE11</f>
        <v>0</v>
      </c>
      <c r="AE115" s="737">
        <v>0</v>
      </c>
      <c r="AF115" s="448">
        <f>VALUE_Clan_Castle[[#This Row],[Valeur]]*VALUE_Clan_Castle[[#This Row],[Rang]]</f>
        <v>0</v>
      </c>
      <c r="AG115" s="470">
        <v>6</v>
      </c>
      <c r="AH115" s="739">
        <f>Paramètres!AF11</f>
        <v>0</v>
      </c>
      <c r="AI115" s="735">
        <v>0</v>
      </c>
      <c r="AJ115" s="171">
        <f>VALUE_Town_Home[[#This Row],[Valeur]]*VALUE_Town_Home[[#This Row],[Rang]]</f>
        <v>0</v>
      </c>
      <c r="AK115" s="734"/>
      <c r="AL115" s="734"/>
      <c r="AM115" s="734"/>
      <c r="AN115" s="734"/>
    </row>
    <row r="116" spans="1:40" x14ac:dyDescent="0.25">
      <c r="A116" s="470">
        <v>37</v>
      </c>
      <c r="B116" s="739">
        <f>Paramètres!BF42</f>
        <v>0</v>
      </c>
      <c r="C116" s="735">
        <f t="shared" si="14"/>
        <v>681</v>
      </c>
      <c r="D116" s="165">
        <f>VALUE_Barbarian_King[[#This Row],[Valeur]]*VALUE_Barbarian_King[[#This Row],[Rang]]</f>
        <v>0</v>
      </c>
      <c r="E116" s="470">
        <v>37</v>
      </c>
      <c r="F116" s="739">
        <f>Paramètres!BH42</f>
        <v>0</v>
      </c>
      <c r="G116" s="735">
        <f t="shared" si="15"/>
        <v>1088</v>
      </c>
      <c r="H116" s="171">
        <f>VALUE_Archer_Queen[[#This Row],[Valeur]]*VALUE_Archer_Queen[[#This Row],[Rang]]</f>
        <v>0</v>
      </c>
      <c r="I116" s="152"/>
      <c r="J116" s="734"/>
      <c r="K116" s="734"/>
      <c r="L116" s="734"/>
      <c r="M116" s="734"/>
      <c r="N116" s="734"/>
      <c r="O116" s="734"/>
      <c r="P116" s="734"/>
      <c r="Q116" s="734"/>
      <c r="R116" s="734"/>
      <c r="S116" s="734"/>
      <c r="T116" s="734"/>
      <c r="U116" s="734"/>
      <c r="V116" s="152"/>
      <c r="W116" s="152"/>
      <c r="X116" s="152"/>
      <c r="Y116" s="152"/>
      <c r="Z116" s="152"/>
      <c r="AA116" s="152"/>
      <c r="AB116" s="152"/>
      <c r="AC116" s="152"/>
      <c r="AD116" s="152"/>
      <c r="AE116" s="152"/>
      <c r="AF116" s="734"/>
      <c r="AG116" s="470">
        <v>7</v>
      </c>
      <c r="AH116" s="739">
        <f>Paramètres!AF12</f>
        <v>0</v>
      </c>
      <c r="AI116" s="735">
        <v>0</v>
      </c>
      <c r="AJ116" s="171">
        <f>VALUE_Town_Home[[#This Row],[Valeur]]*VALUE_Town_Home[[#This Row],[Rang]]</f>
        <v>0</v>
      </c>
      <c r="AK116" s="734"/>
      <c r="AL116" s="734"/>
      <c r="AM116" s="734"/>
      <c r="AN116" s="734"/>
    </row>
    <row r="117" spans="1:40" x14ac:dyDescent="0.25">
      <c r="A117" s="470">
        <v>38</v>
      </c>
      <c r="B117" s="739">
        <f>Paramètres!BF43</f>
        <v>0</v>
      </c>
      <c r="C117" s="735">
        <f t="shared" si="14"/>
        <v>703</v>
      </c>
      <c r="D117" s="165">
        <f>VALUE_Barbarian_King[[#This Row],[Valeur]]*VALUE_Barbarian_King[[#This Row],[Rang]]</f>
        <v>0</v>
      </c>
      <c r="E117" s="470">
        <v>38</v>
      </c>
      <c r="F117" s="739">
        <f>Paramètres!BH43</f>
        <v>0</v>
      </c>
      <c r="G117" s="735">
        <f t="shared" si="15"/>
        <v>1121</v>
      </c>
      <c r="H117" s="171">
        <f>VALUE_Archer_Queen[[#This Row],[Valeur]]*VALUE_Archer_Queen[[#This Row],[Rang]]</f>
        <v>0</v>
      </c>
      <c r="I117" s="152"/>
      <c r="J117" s="734"/>
      <c r="K117" s="734"/>
      <c r="L117" s="734"/>
      <c r="M117" s="734"/>
      <c r="N117" s="734"/>
      <c r="O117" s="734"/>
      <c r="P117" s="734"/>
      <c r="Q117" s="734"/>
      <c r="R117" s="734"/>
      <c r="S117" s="734"/>
      <c r="T117" s="734"/>
      <c r="U117" s="734"/>
      <c r="V117" s="152"/>
      <c r="W117" s="152"/>
      <c r="X117" s="152"/>
      <c r="Y117" s="152"/>
      <c r="Z117" s="152"/>
      <c r="AA117" s="152"/>
      <c r="AB117" s="152"/>
      <c r="AC117" s="152"/>
      <c r="AD117" s="152"/>
      <c r="AE117" s="152"/>
      <c r="AF117" s="734"/>
      <c r="AG117" s="470">
        <v>8</v>
      </c>
      <c r="AH117" s="739">
        <f>Paramètres!AF13</f>
        <v>0</v>
      </c>
      <c r="AI117" s="735">
        <v>0</v>
      </c>
      <c r="AJ117" s="171">
        <f>VALUE_Town_Home[[#This Row],[Valeur]]*VALUE_Town_Home[[#This Row],[Rang]]</f>
        <v>0</v>
      </c>
      <c r="AK117" s="734"/>
      <c r="AL117" s="734"/>
      <c r="AM117" s="734"/>
      <c r="AN117" s="734"/>
    </row>
    <row r="118" spans="1:40" x14ac:dyDescent="0.25">
      <c r="A118" s="470">
        <v>39</v>
      </c>
      <c r="B118" s="739">
        <f>Paramètres!BF44</f>
        <v>0</v>
      </c>
      <c r="C118" s="735">
        <f t="shared" si="14"/>
        <v>725</v>
      </c>
      <c r="D118" s="165">
        <f>VALUE_Barbarian_King[[#This Row],[Valeur]]*VALUE_Barbarian_King[[#This Row],[Rang]]</f>
        <v>0</v>
      </c>
      <c r="E118" s="470">
        <v>39</v>
      </c>
      <c r="F118" s="739">
        <f>Paramètres!BH44</f>
        <v>0</v>
      </c>
      <c r="G118" s="735">
        <f t="shared" si="15"/>
        <v>1154</v>
      </c>
      <c r="H118" s="171">
        <f>VALUE_Archer_Queen[[#This Row],[Valeur]]*VALUE_Archer_Queen[[#This Row],[Rang]]</f>
        <v>0</v>
      </c>
      <c r="I118" s="152"/>
      <c r="J118" s="734"/>
      <c r="K118" s="734"/>
      <c r="L118" s="734"/>
      <c r="M118" s="734"/>
      <c r="N118" s="734"/>
      <c r="O118" s="734"/>
      <c r="P118" s="734"/>
      <c r="Q118" s="734"/>
      <c r="R118" s="734"/>
      <c r="S118" s="734"/>
      <c r="T118" s="734"/>
      <c r="U118" s="734"/>
      <c r="V118" s="152"/>
      <c r="W118" s="152"/>
      <c r="X118" s="152"/>
      <c r="Y118" s="152"/>
      <c r="Z118" s="152"/>
      <c r="AA118" s="152"/>
      <c r="AB118" s="152"/>
      <c r="AC118" s="152"/>
      <c r="AD118" s="152"/>
      <c r="AE118" s="152"/>
      <c r="AF118" s="734"/>
      <c r="AG118" s="470">
        <v>9</v>
      </c>
      <c r="AH118" s="739">
        <f>Paramètres!AF14</f>
        <v>0</v>
      </c>
      <c r="AI118" s="735">
        <v>0</v>
      </c>
      <c r="AJ118" s="171">
        <f>VALUE_Town_Home[[#This Row],[Valeur]]*VALUE_Town_Home[[#This Row],[Rang]]</f>
        <v>0</v>
      </c>
      <c r="AK118" s="734"/>
      <c r="AL118" s="734"/>
      <c r="AM118" s="734"/>
      <c r="AN118" s="734"/>
    </row>
    <row r="119" spans="1:40" ht="15.75" thickBot="1" x14ac:dyDescent="0.3">
      <c r="A119" s="477">
        <v>40</v>
      </c>
      <c r="B119" s="740">
        <f>Paramètres!BF45</f>
        <v>0</v>
      </c>
      <c r="C119" s="737">
        <f t="shared" si="14"/>
        <v>747</v>
      </c>
      <c r="D119" s="622">
        <f>VALUE_Barbarian_King[[#This Row],[Valeur]]*VALUE_Barbarian_King[[#This Row],[Rang]]</f>
        <v>0</v>
      </c>
      <c r="E119" s="477">
        <v>40</v>
      </c>
      <c r="F119" s="740">
        <f>Paramètres!BH45</f>
        <v>0</v>
      </c>
      <c r="G119" s="737">
        <f t="shared" si="15"/>
        <v>1187</v>
      </c>
      <c r="H119" s="448">
        <f>VALUE_Archer_Queen[[#This Row],[Valeur]]*VALUE_Archer_Queen[[#This Row],[Rang]]</f>
        <v>0</v>
      </c>
      <c r="I119" s="152"/>
      <c r="J119" s="734"/>
      <c r="K119" s="734"/>
      <c r="L119" s="734"/>
      <c r="M119" s="734"/>
      <c r="N119" s="734"/>
      <c r="O119" s="734"/>
      <c r="P119" s="734"/>
      <c r="Q119" s="734"/>
      <c r="R119" s="734"/>
      <c r="S119" s="734"/>
      <c r="T119" s="734"/>
      <c r="U119" s="734"/>
      <c r="V119" s="152"/>
      <c r="W119" s="152"/>
      <c r="X119" s="152"/>
      <c r="Y119" s="152"/>
      <c r="Z119" s="152"/>
      <c r="AA119" s="152"/>
      <c r="AB119" s="152"/>
      <c r="AC119" s="152"/>
      <c r="AD119" s="152"/>
      <c r="AE119" s="152"/>
      <c r="AF119" s="734"/>
      <c r="AG119" s="477">
        <v>10</v>
      </c>
      <c r="AH119" s="740">
        <f>Paramètres!AF15</f>
        <v>0</v>
      </c>
      <c r="AI119" s="737">
        <v>0</v>
      </c>
      <c r="AJ119" s="448">
        <f>VALUE_Town_Home[[#This Row],[Valeur]]*VALUE_Town_Home[[#This Row],[Rang]]</f>
        <v>0</v>
      </c>
      <c r="AK119" s="734"/>
      <c r="AL119" s="734"/>
      <c r="AM119" s="734"/>
      <c r="AN119" s="734"/>
    </row>
  </sheetData>
  <sheetProtection selectLockedCells="1"/>
  <mergeCells count="78">
    <mergeCell ref="M110:P110"/>
    <mergeCell ref="Q110:T110"/>
    <mergeCell ref="U110:X110"/>
    <mergeCell ref="M109:X109"/>
    <mergeCell ref="AG108:AJ108"/>
    <mergeCell ref="Y49:AB49"/>
    <mergeCell ref="AC49:AF49"/>
    <mergeCell ref="Y95:AB95"/>
    <mergeCell ref="AC95:AF95"/>
    <mergeCell ref="AC108:AF108"/>
    <mergeCell ref="AC107:AJ107"/>
    <mergeCell ref="M77:AJ77"/>
    <mergeCell ref="AC78:AF78"/>
    <mergeCell ref="AG95:AJ95"/>
    <mergeCell ref="M94:AJ94"/>
    <mergeCell ref="M95:P95"/>
    <mergeCell ref="Q95:T95"/>
    <mergeCell ref="U95:X95"/>
    <mergeCell ref="Q78:T78"/>
    <mergeCell ref="U78:X78"/>
    <mergeCell ref="Q67:T67"/>
    <mergeCell ref="A67:D67"/>
    <mergeCell ref="E67:H67"/>
    <mergeCell ref="I67:L67"/>
    <mergeCell ref="M67:P67"/>
    <mergeCell ref="M78:P78"/>
    <mergeCell ref="A77:H77"/>
    <mergeCell ref="E78:H78"/>
    <mergeCell ref="A78:D78"/>
    <mergeCell ref="U67:X67"/>
    <mergeCell ref="M38:P38"/>
    <mergeCell ref="Q38:T38"/>
    <mergeCell ref="AG78:AJ78"/>
    <mergeCell ref="Y78:AB78"/>
    <mergeCell ref="A66:X66"/>
    <mergeCell ref="A48:AN48"/>
    <mergeCell ref="A49:D49"/>
    <mergeCell ref="E49:H49"/>
    <mergeCell ref="AG49:AJ49"/>
    <mergeCell ref="AK49:AN49"/>
    <mergeCell ref="I49:L49"/>
    <mergeCell ref="M49:P49"/>
    <mergeCell ref="Q49:T49"/>
    <mergeCell ref="U49:X49"/>
    <mergeCell ref="U38:X38"/>
    <mergeCell ref="AG26:AJ26"/>
    <mergeCell ref="AK26:AN26"/>
    <mergeCell ref="A37:X37"/>
    <mergeCell ref="A25:AN25"/>
    <mergeCell ref="A26:D26"/>
    <mergeCell ref="E26:H26"/>
    <mergeCell ref="I26:L26"/>
    <mergeCell ref="M26:P26"/>
    <mergeCell ref="Q26:T26"/>
    <mergeCell ref="U26:X26"/>
    <mergeCell ref="Y26:AB26"/>
    <mergeCell ref="AC26:AF26"/>
    <mergeCell ref="A38:D38"/>
    <mergeCell ref="E38:H38"/>
    <mergeCell ref="I38:L38"/>
    <mergeCell ref="A13:T13"/>
    <mergeCell ref="A14:D14"/>
    <mergeCell ref="E14:H14"/>
    <mergeCell ref="I14:L14"/>
    <mergeCell ref="M14:P14"/>
    <mergeCell ref="Q14:T14"/>
    <mergeCell ref="K4:L4"/>
    <mergeCell ref="K5:L5"/>
    <mergeCell ref="D5:H5"/>
    <mergeCell ref="D6:H6"/>
    <mergeCell ref="D7:H7"/>
    <mergeCell ref="D8:H8"/>
    <mergeCell ref="D9:H9"/>
    <mergeCell ref="D10:H10"/>
    <mergeCell ref="D11:H11"/>
    <mergeCell ref="D2:H2"/>
    <mergeCell ref="D4:H4"/>
    <mergeCell ref="D3:H3"/>
  </mergeCells>
  <pageMargins left="0.7" right="0.7" top="0.75" bottom="0.75" header="0.3" footer="0.3"/>
  <pageSetup paperSize="9" orientation="portrait" r:id="rId1"/>
  <tableParts count="5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1">
    <tabColor theme="0" tint="-0.499984740745262"/>
  </sheetPr>
  <dimension ref="A1:F74"/>
  <sheetViews>
    <sheetView showGridLines="0" workbookViewId="0">
      <selection activeCell="I4" sqref="I4"/>
    </sheetView>
  </sheetViews>
  <sheetFormatPr baseColWidth="10" defaultColWidth="11.42578125" defaultRowHeight="11.25" x14ac:dyDescent="0.25"/>
  <cols>
    <col min="1" max="2" width="10.7109375" style="406" customWidth="1"/>
    <col min="3" max="3" width="30.7109375" style="481" customWidth="1"/>
    <col min="4" max="4" width="70.7109375" style="481" hidden="1" customWidth="1"/>
    <col min="5" max="5" width="70.7109375" style="481" customWidth="1"/>
    <col min="6" max="6" width="60.85546875" style="406" bestFit="1" customWidth="1"/>
    <col min="7" max="16384" width="11.42578125" style="406"/>
  </cols>
  <sheetData>
    <row r="1" spans="1:6" ht="75.75" customHeight="1" thickBot="1" x14ac:dyDescent="0.3">
      <c r="A1" s="1269" t="s">
        <v>354</v>
      </c>
      <c r="B1" s="1270"/>
      <c r="C1" s="1270"/>
      <c r="D1" s="1270"/>
      <c r="E1" s="1270"/>
      <c r="F1" s="1271"/>
    </row>
    <row r="2" spans="1:6" ht="13.5" thickBot="1" x14ac:dyDescent="0.3">
      <c r="A2" s="464" t="s">
        <v>94</v>
      </c>
      <c r="B2" s="465" t="s">
        <v>165</v>
      </c>
      <c r="C2" s="466" t="s">
        <v>355</v>
      </c>
      <c r="D2" s="467" t="s">
        <v>425</v>
      </c>
      <c r="E2" s="468" t="s">
        <v>95</v>
      </c>
      <c r="F2" s="469" t="s">
        <v>356</v>
      </c>
    </row>
    <row r="3" spans="1:6" ht="42" customHeight="1" x14ac:dyDescent="0.25">
      <c r="A3" s="470" t="s">
        <v>826</v>
      </c>
      <c r="B3" s="471">
        <v>42495</v>
      </c>
      <c r="C3" s="472" t="str">
        <f>"COC - Cost &amp; Time Calcultator " &amp; A3 &amp; ".xlsx"</f>
        <v>COC - Cost &amp; Time Calcultator V7.02.xlsx</v>
      </c>
      <c r="D3" s="565"/>
      <c r="E3" s="952" t="s">
        <v>827</v>
      </c>
      <c r="F3" s="672" t="s">
        <v>828</v>
      </c>
    </row>
    <row r="4" spans="1:6" ht="42" customHeight="1" x14ac:dyDescent="0.25">
      <c r="A4" s="470" t="s">
        <v>822</v>
      </c>
      <c r="B4" s="471">
        <v>42461</v>
      </c>
      <c r="C4" s="472" t="str">
        <f>"COC - Cost &amp; Time Calcultator " &amp; A4 &amp; ".xlsx"</f>
        <v>COC - Cost &amp; Time Calcultator V7.01.xlsx</v>
      </c>
      <c r="D4" s="565"/>
      <c r="E4" s="952" t="s">
        <v>823</v>
      </c>
      <c r="F4" s="672" t="s">
        <v>825</v>
      </c>
    </row>
    <row r="5" spans="1:6" ht="33.75" x14ac:dyDescent="0.25">
      <c r="A5" s="470" t="s">
        <v>820</v>
      </c>
      <c r="B5" s="471">
        <v>42455</v>
      </c>
      <c r="C5" s="472" t="str">
        <f>"COC - Cost &amp; Time Calcultator " &amp; A5 &amp; ".xlsx"</f>
        <v>COC - Cost &amp; Time Calcultator V7.xlsx</v>
      </c>
      <c r="D5" s="565"/>
      <c r="E5" s="952" t="s">
        <v>821</v>
      </c>
      <c r="F5" s="672" t="s">
        <v>824</v>
      </c>
    </row>
    <row r="6" spans="1:6" ht="22.5" x14ac:dyDescent="0.25">
      <c r="A6" s="470" t="s">
        <v>816</v>
      </c>
      <c r="B6" s="471">
        <v>42399</v>
      </c>
      <c r="C6" s="472" t="str">
        <f>"COC - Cost &amp; Time Calcultator " &amp; A6 &amp; ".xlsx"</f>
        <v>COC - Cost &amp; Time Calcultator V6.07.xlsx</v>
      </c>
      <c r="D6" s="565"/>
      <c r="E6" s="952" t="s">
        <v>814</v>
      </c>
      <c r="F6" s="672"/>
    </row>
    <row r="7" spans="1:6" ht="22.5" x14ac:dyDescent="0.25">
      <c r="A7" s="470" t="s">
        <v>813</v>
      </c>
      <c r="B7" s="471">
        <v>42388</v>
      </c>
      <c r="C7" s="472" t="str">
        <f>"COC - Cost &amp; Time Calcultator " &amp; A7 &amp; ".xlsx"</f>
        <v>COC - Cost &amp; Time Calcultator V6.04.xlsx</v>
      </c>
      <c r="D7" s="565"/>
      <c r="E7" s="952" t="s">
        <v>814</v>
      </c>
      <c r="F7" s="672"/>
    </row>
    <row r="8" spans="1:6" ht="45" x14ac:dyDescent="0.25">
      <c r="A8" s="470" t="s">
        <v>809</v>
      </c>
      <c r="B8" s="471">
        <v>42379</v>
      </c>
      <c r="C8" s="472" t="str">
        <f>"COC - Cost &amp; Time Calcultator " &amp; A8 &amp; ".xlsx"</f>
        <v>COC - Cost &amp; Time Calcultator V6.03.xlsx</v>
      </c>
      <c r="D8" s="565"/>
      <c r="E8" s="952" t="s">
        <v>817</v>
      </c>
      <c r="F8" s="672" t="s">
        <v>811</v>
      </c>
    </row>
    <row r="9" spans="1:6" ht="33.75" x14ac:dyDescent="0.25">
      <c r="A9" s="470" t="s">
        <v>807</v>
      </c>
      <c r="B9" s="471">
        <v>42362</v>
      </c>
      <c r="C9" s="472" t="str">
        <f>"COC - Cost &amp; Time Calcultator " &amp; A9 &amp; ".xlsx"</f>
        <v>COC - Cost &amp; Time Calcultator V6.02.xlsx</v>
      </c>
      <c r="D9" s="565"/>
      <c r="E9" s="952" t="s">
        <v>808</v>
      </c>
      <c r="F9" s="672" t="s">
        <v>810</v>
      </c>
    </row>
    <row r="10" spans="1:6" ht="90" x14ac:dyDescent="0.25">
      <c r="A10" s="470" t="s">
        <v>748</v>
      </c>
      <c r="B10" s="471">
        <v>42357</v>
      </c>
      <c r="C10" s="472" t="str">
        <f>"COC - Cost &amp; Time Calcultator " &amp; A10 &amp; ".xlsx"</f>
        <v>COC - Cost &amp; Time Calcultator V6.01.01.xlsx</v>
      </c>
      <c r="D10" s="565"/>
      <c r="E10" s="952" t="s">
        <v>803</v>
      </c>
      <c r="F10" s="672" t="s">
        <v>804</v>
      </c>
    </row>
    <row r="11" spans="1:6" ht="30" x14ac:dyDescent="0.25">
      <c r="A11" s="470" t="s">
        <v>742</v>
      </c>
      <c r="B11" s="471">
        <v>42350</v>
      </c>
      <c r="C11" s="472" t="str">
        <f>"COC - Cost &amp; Time Calcultator " &amp; A11 &amp; ".xlsx"</f>
        <v>COC - Cost &amp; Time Calcultator V6.01.xlsx</v>
      </c>
      <c r="D11" s="565"/>
      <c r="E11" s="381" t="s">
        <v>747</v>
      </c>
      <c r="F11" s="672" t="s">
        <v>746</v>
      </c>
    </row>
    <row r="12" spans="1:6" ht="45" x14ac:dyDescent="0.25">
      <c r="A12" s="470" t="s">
        <v>733</v>
      </c>
      <c r="B12" s="471">
        <v>42342</v>
      </c>
      <c r="C12" s="472" t="str">
        <f>"COC - Cost &amp; Time Calcultator " &amp; A12 &amp; ".xlsx"</f>
        <v>COC - Cost &amp; Time Calcultator V5.04.xlsx</v>
      </c>
      <c r="D12" s="565"/>
      <c r="E12" s="381" t="s">
        <v>734</v>
      </c>
      <c r="F12" s="672" t="s">
        <v>735</v>
      </c>
    </row>
    <row r="13" spans="1:6" ht="33.75" x14ac:dyDescent="0.25">
      <c r="A13" s="470" t="s">
        <v>729</v>
      </c>
      <c r="B13" s="471">
        <v>42322</v>
      </c>
      <c r="C13" s="472" t="str">
        <f>"COC - Cost &amp; Time Calcultator " &amp; A13 &amp; ".xlsx"</f>
        <v>COC - Cost &amp; Time Calcultator V5.03.xlsx</v>
      </c>
      <c r="D13" s="565"/>
      <c r="E13" s="381" t="s">
        <v>730</v>
      </c>
      <c r="F13" s="672" t="s">
        <v>731</v>
      </c>
    </row>
    <row r="14" spans="1:6" ht="36.75" customHeight="1" x14ac:dyDescent="0.25">
      <c r="A14" s="470" t="s">
        <v>726</v>
      </c>
      <c r="B14" s="471">
        <v>42299</v>
      </c>
      <c r="C14" s="472" t="str">
        <f>"COC - Cost &amp; Time Calcultator " &amp; A14 &amp; ".xlsx"</f>
        <v>COC - Cost &amp; Time Calcultator V5.02.xlsx</v>
      </c>
      <c r="D14" s="565"/>
      <c r="E14" s="381" t="s">
        <v>727</v>
      </c>
      <c r="F14" s="672" t="s">
        <v>728</v>
      </c>
    </row>
    <row r="15" spans="1:6" ht="45" x14ac:dyDescent="0.25">
      <c r="A15" s="470" t="s">
        <v>722</v>
      </c>
      <c r="B15" s="471">
        <v>42266</v>
      </c>
      <c r="C15" s="472" t="str">
        <f>"COC - Cost &amp; Time Calcultator " &amp; A15 &amp; ".xlsx"</f>
        <v>COC - Cost &amp; Time Calcultator V5.01.xlsx</v>
      </c>
      <c r="D15" s="565"/>
      <c r="E15" s="381" t="s">
        <v>723</v>
      </c>
      <c r="F15" s="672" t="s">
        <v>724</v>
      </c>
    </row>
    <row r="16" spans="1:6" ht="33.75" x14ac:dyDescent="0.25">
      <c r="A16" s="470" t="s">
        <v>712</v>
      </c>
      <c r="B16" s="471">
        <v>42189</v>
      </c>
      <c r="C16" s="472" t="str">
        <f>"COC - Cost &amp; Time Calcultator " &amp; A16 &amp; ".xlsx"</f>
        <v>COC - Cost &amp; Time Calcultator V5.xlsx</v>
      </c>
      <c r="D16" s="565"/>
      <c r="E16" s="952" t="s">
        <v>713</v>
      </c>
      <c r="F16" s="473"/>
    </row>
    <row r="17" spans="1:6" ht="33.75" x14ac:dyDescent="0.25">
      <c r="A17" s="470" t="s">
        <v>699</v>
      </c>
      <c r="B17" s="471">
        <v>42175</v>
      </c>
      <c r="C17" s="472" t="str">
        <f>"COC - Cost &amp; Time Calcultator " &amp; A17 &amp; ".xlsx"</f>
        <v>COC - Cost &amp; Time Calcultator V4.17.08.xlsx</v>
      </c>
      <c r="D17" s="565"/>
      <c r="E17" s="381" t="s">
        <v>700</v>
      </c>
      <c r="F17" s="473"/>
    </row>
    <row r="18" spans="1:6" ht="22.5" x14ac:dyDescent="0.25">
      <c r="A18" s="470" t="s">
        <v>676</v>
      </c>
      <c r="B18" s="471">
        <v>42167</v>
      </c>
      <c r="C18" s="472" t="str">
        <f>"COC - Cost &amp; Time Calcultator " &amp; A18 &amp; ".xlsx"</f>
        <v>COC - Cost &amp; Time Calcultator V4.17.07.xlsx</v>
      </c>
      <c r="D18" s="565"/>
      <c r="E18" s="381" t="s">
        <v>675</v>
      </c>
      <c r="F18" s="473"/>
    </row>
    <row r="19" spans="1:6" ht="33.75" x14ac:dyDescent="0.25">
      <c r="A19" s="470" t="s">
        <v>670</v>
      </c>
      <c r="B19" s="471">
        <v>42160</v>
      </c>
      <c r="C19" s="472" t="str">
        <f>"COC - Cost &amp; Time Calcultator " &amp; A19 &amp; ".xlsx"</f>
        <v>COC - Cost &amp; Time Calcultator V4.17.06.xlsx</v>
      </c>
      <c r="D19" s="565"/>
      <c r="E19" s="381" t="s">
        <v>669</v>
      </c>
      <c r="F19" s="672"/>
    </row>
    <row r="20" spans="1:6" ht="33.75" x14ac:dyDescent="0.25">
      <c r="A20" s="470" t="s">
        <v>665</v>
      </c>
      <c r="B20" s="471">
        <v>42160</v>
      </c>
      <c r="C20" s="472" t="str">
        <f>"COC - Cost &amp; Time Calcultator " &amp; A20 &amp; ".xlsx"</f>
        <v>COC - Cost &amp; Time Calcultator V4.17.05.xlsx</v>
      </c>
      <c r="D20" s="565"/>
      <c r="E20" s="952" t="s">
        <v>666</v>
      </c>
      <c r="F20" s="672" t="s">
        <v>667</v>
      </c>
    </row>
    <row r="21" spans="1:6" ht="45" x14ac:dyDescent="0.25">
      <c r="A21" s="470" t="s">
        <v>660</v>
      </c>
      <c r="B21" s="471">
        <v>42154</v>
      </c>
      <c r="C21" s="472" t="str">
        <f>"COC - Cost &amp; Time Calcultator " &amp; A21 &amp; ".xlsx"</f>
        <v>COC - Cost &amp; Time Calcultator V4.17.04.xlsx</v>
      </c>
      <c r="D21" s="565"/>
      <c r="E21" s="952" t="s">
        <v>661</v>
      </c>
      <c r="F21" s="672" t="s">
        <v>663</v>
      </c>
    </row>
    <row r="22" spans="1:6" ht="78.75" x14ac:dyDescent="0.25">
      <c r="A22" s="470" t="s">
        <v>650</v>
      </c>
      <c r="B22" s="471">
        <v>42138</v>
      </c>
      <c r="C22" s="472" t="str">
        <f>"COC - Cost &amp; Time Calcultator " &amp; A22 &amp; ".xlsx"</f>
        <v>COC - Cost &amp; Time Calcultator V4.17.03.xlsx</v>
      </c>
      <c r="D22" s="952" t="s">
        <v>652</v>
      </c>
      <c r="E22" s="952" t="s">
        <v>658</v>
      </c>
      <c r="F22" s="473" t="s">
        <v>657</v>
      </c>
    </row>
    <row r="23" spans="1:6" x14ac:dyDescent="0.25">
      <c r="A23" s="470" t="s">
        <v>649</v>
      </c>
      <c r="B23" s="471">
        <v>42124</v>
      </c>
      <c r="C23" s="472" t="str">
        <f>"COC - Cost &amp; Time Calcultator " &amp; A23 &amp; ".xlsx"</f>
        <v>COC - Cost &amp; Time Calcultator V4.17.00.xlsx</v>
      </c>
      <c r="D23" s="565"/>
      <c r="E23" s="543" t="s">
        <v>647</v>
      </c>
      <c r="F23" s="473"/>
    </row>
    <row r="24" spans="1:6" ht="112.5" x14ac:dyDescent="0.25">
      <c r="A24" s="470" t="s">
        <v>636</v>
      </c>
      <c r="B24" s="471">
        <v>41984</v>
      </c>
      <c r="C24" s="472" t="str">
        <f>"COC - Cost &amp; Time Calcultator " &amp; A24 &amp; ".xlsx"</f>
        <v>COC - Cost &amp; Time Calcultator V4.16.00.xlsx</v>
      </c>
      <c r="D24" s="565"/>
      <c r="E24" s="381" t="s">
        <v>635</v>
      </c>
      <c r="F24" s="473"/>
    </row>
    <row r="25" spans="1:6" ht="22.5" x14ac:dyDescent="0.25">
      <c r="A25" s="470" t="s">
        <v>637</v>
      </c>
      <c r="B25" s="471">
        <v>41977</v>
      </c>
      <c r="C25" s="472" t="str">
        <f>"COC - Cost &amp; Time Calcultator " &amp; A25 &amp; ".xlsx"</f>
        <v>COC - Cost &amp; Time Calcultator V4.15.00.xlsx</v>
      </c>
      <c r="D25" s="565"/>
      <c r="E25" s="381" t="s">
        <v>638</v>
      </c>
      <c r="F25" s="473"/>
    </row>
    <row r="26" spans="1:6" ht="33.75" x14ac:dyDescent="0.25">
      <c r="A26" s="470" t="s">
        <v>630</v>
      </c>
      <c r="B26" s="471">
        <v>41974</v>
      </c>
      <c r="C26" s="472" t="str">
        <f>"COC - Cost &amp; Time Calcultator " &amp; A26 &amp; ".xlsx"</f>
        <v>COC - Cost &amp; Time Calcultator V4.14.xlsx</v>
      </c>
      <c r="D26" s="565"/>
      <c r="E26" s="381" t="s">
        <v>631</v>
      </c>
      <c r="F26" s="473"/>
    </row>
    <row r="27" spans="1:6" x14ac:dyDescent="0.25">
      <c r="A27" s="470" t="s">
        <v>632</v>
      </c>
      <c r="B27" s="471">
        <v>41974</v>
      </c>
      <c r="C27" s="472" t="str">
        <f>"COC - Cost &amp; Time Calcultator " &amp; A27 &amp; ".xlsx"</f>
        <v>COC - Cost &amp; Time Calcultator V4.13,09.xlsx</v>
      </c>
      <c r="D27" s="565"/>
      <c r="E27" s="381"/>
      <c r="F27" s="473"/>
    </row>
    <row r="28" spans="1:6" ht="33.75" x14ac:dyDescent="0.25">
      <c r="A28" s="470" t="s">
        <v>628</v>
      </c>
      <c r="B28" s="471">
        <v>41973</v>
      </c>
      <c r="C28" s="472" t="str">
        <f>"COC - Cost &amp; Time Calcultator " &amp; A28 &amp; ".xlsx"</f>
        <v>COC - Cost &amp; Time Calcultator V4.13,07.xlsx</v>
      </c>
      <c r="D28" s="565"/>
      <c r="E28" s="381" t="s">
        <v>629</v>
      </c>
      <c r="F28" s="473"/>
    </row>
    <row r="29" spans="1:6" ht="33.75" x14ac:dyDescent="0.25">
      <c r="A29" s="470" t="s">
        <v>627</v>
      </c>
      <c r="B29" s="471">
        <v>41972</v>
      </c>
      <c r="C29" s="472" t="str">
        <f>"COC - Cost &amp; Time Calcultator " &amp; A29 &amp; ".xlsx"</f>
        <v>COC - Cost &amp; Time Calcultator V4.13,06.xlsx</v>
      </c>
      <c r="D29" s="565"/>
      <c r="E29" s="381" t="s">
        <v>626</v>
      </c>
      <c r="F29" s="473"/>
    </row>
    <row r="30" spans="1:6" ht="33.75" x14ac:dyDescent="0.25">
      <c r="A30" s="470" t="s">
        <v>622</v>
      </c>
      <c r="B30" s="471">
        <v>41971</v>
      </c>
      <c r="C30" s="472" t="str">
        <f>"COC - Cost &amp; Time Calcultator " &amp; A30 &amp; ".xlsx"</f>
        <v>COC - Cost &amp; Time Calcultator V4.13,05.xlsx</v>
      </c>
      <c r="D30" s="565"/>
      <c r="E30" s="381" t="s">
        <v>623</v>
      </c>
      <c r="F30" s="473"/>
    </row>
    <row r="31" spans="1:6" ht="22.5" x14ac:dyDescent="0.25">
      <c r="A31" s="470" t="s">
        <v>621</v>
      </c>
      <c r="B31" s="471">
        <v>41969</v>
      </c>
      <c r="C31" s="472" t="str">
        <f>"COC - Cost &amp; Time Calcultator " &amp; A31 &amp; ".xlsx"</f>
        <v>COC - Cost &amp; Time Calcultator V4.13,04.xlsx</v>
      </c>
      <c r="D31" s="565"/>
      <c r="E31" s="381" t="s">
        <v>624</v>
      </c>
      <c r="F31" s="473"/>
    </row>
    <row r="32" spans="1:6" ht="112.5" x14ac:dyDescent="0.25">
      <c r="A32" s="470" t="s">
        <v>620</v>
      </c>
      <c r="B32" s="471">
        <v>41968</v>
      </c>
      <c r="C32" s="472" t="str">
        <f>"COC - Cost &amp; Time Calcultator " &amp; A32 &amp; ".xlsx"</f>
        <v>COC - Cost &amp; Time Calcultator V4.13,03.xlsx</v>
      </c>
      <c r="D32" s="565"/>
      <c r="E32" s="381" t="s">
        <v>625</v>
      </c>
      <c r="F32" s="473"/>
    </row>
    <row r="33" spans="1:6" ht="33.75" x14ac:dyDescent="0.25">
      <c r="A33" s="470" t="s">
        <v>618</v>
      </c>
      <c r="B33" s="471">
        <v>41966</v>
      </c>
      <c r="C33" s="472" t="str">
        <f>"COC - Cost &amp; Time Calcultator " &amp; A33 &amp; ".xlsx"</f>
        <v>COC - Cost &amp; Time Calcultator V4.13,02.xlsx</v>
      </c>
      <c r="D33" s="565"/>
      <c r="E33" s="381" t="s">
        <v>619</v>
      </c>
      <c r="F33" s="672"/>
    </row>
    <row r="34" spans="1:6" ht="22.5" x14ac:dyDescent="0.25">
      <c r="A34" s="470" t="s">
        <v>616</v>
      </c>
      <c r="B34" s="471">
        <v>41966</v>
      </c>
      <c r="C34" s="472" t="str">
        <f>"COC - Cost &amp; Time Calcultator " &amp; A34 &amp; ".xlsx"</f>
        <v>COC - Cost &amp; Time Calcultator V4.13,01.xlsx</v>
      </c>
      <c r="D34" s="565"/>
      <c r="E34" s="381" t="s">
        <v>617</v>
      </c>
      <c r="F34" s="473"/>
    </row>
    <row r="35" spans="1:6" ht="33.75" x14ac:dyDescent="0.25">
      <c r="A35" s="470" t="s">
        <v>614</v>
      </c>
      <c r="B35" s="471">
        <v>41965</v>
      </c>
      <c r="C35" s="472" t="str">
        <f>"COC - Cost &amp; Time Calcultator " &amp; A35 &amp; ".xlsx"</f>
        <v>COC - Cost &amp; Time Calcultator V4.13.xlsx</v>
      </c>
      <c r="D35" s="565"/>
      <c r="E35" s="952" t="s">
        <v>615</v>
      </c>
      <c r="F35" s="473"/>
    </row>
    <row r="36" spans="1:6" ht="22.5" x14ac:dyDescent="0.25">
      <c r="A36" s="470" t="s">
        <v>610</v>
      </c>
      <c r="B36" s="471">
        <v>41960</v>
      </c>
      <c r="C36" s="472" t="str">
        <f>"COC - Cost &amp; Time Calcultator " &amp; A36 &amp; ".xlsx"</f>
        <v>COC - Cost &amp; Time Calcultator V4.12.xlsx</v>
      </c>
      <c r="D36" s="432" t="s">
        <v>611</v>
      </c>
      <c r="E36" s="432" t="s">
        <v>612</v>
      </c>
      <c r="F36" s="473"/>
    </row>
    <row r="37" spans="1:6" ht="22.5" x14ac:dyDescent="0.25">
      <c r="A37" s="470" t="s">
        <v>605</v>
      </c>
      <c r="B37" s="471">
        <v>41958</v>
      </c>
      <c r="C37" s="472" t="str">
        <f>"COC - Cost &amp; Time Calcultator " &amp; A37 &amp; ".xlsx"</f>
        <v>COC - Cost &amp; Time Calcultator V4.11,01.xlsx</v>
      </c>
      <c r="D37" s="952" t="s">
        <v>606</v>
      </c>
      <c r="E37" s="952" t="s">
        <v>606</v>
      </c>
      <c r="F37" s="473"/>
    </row>
    <row r="38" spans="1:6" ht="45" x14ac:dyDescent="0.25">
      <c r="A38" s="470" t="s">
        <v>603</v>
      </c>
      <c r="B38" s="471">
        <v>41958</v>
      </c>
      <c r="C38" s="472" t="str">
        <f>"COC - Cost &amp; Time Calcultator " &amp; A38 &amp; ".xlsx"</f>
        <v>COC - Cost &amp; Time Calcultator V4.11.xlsx</v>
      </c>
      <c r="D38" s="381" t="s">
        <v>604</v>
      </c>
      <c r="E38" s="381" t="s">
        <v>604</v>
      </c>
      <c r="F38" s="473"/>
    </row>
    <row r="39" spans="1:6" ht="33.75" x14ac:dyDescent="0.25">
      <c r="A39" s="470" t="s">
        <v>594</v>
      </c>
      <c r="B39" s="471">
        <v>41956</v>
      </c>
      <c r="C39" s="472" t="str">
        <f>"COC - Cost &amp; Time Calcultator " &amp; A39 &amp; ".xlsx"</f>
        <v>COC - Cost &amp; Time Calcultator V4.09.01.xlsx</v>
      </c>
      <c r="D39" s="381" t="s">
        <v>595</v>
      </c>
      <c r="E39" s="381" t="s">
        <v>595</v>
      </c>
      <c r="F39" s="473"/>
    </row>
    <row r="40" spans="1:6" ht="56.25" x14ac:dyDescent="0.25">
      <c r="A40" s="470" t="s">
        <v>588</v>
      </c>
      <c r="B40" s="471">
        <v>41954</v>
      </c>
      <c r="C40" s="472" t="str">
        <f>"COC - Cost &amp; Time Calcultator " &amp; A40 &amp; ".xlsx"</f>
        <v>COC - Cost &amp; Time Calcultator V4.07.02.xlsx</v>
      </c>
      <c r="D40" s="543" t="s">
        <v>587</v>
      </c>
      <c r="E40" s="543" t="s">
        <v>587</v>
      </c>
      <c r="F40" s="672"/>
    </row>
    <row r="41" spans="1:6" ht="33.75" x14ac:dyDescent="0.25">
      <c r="A41" s="470" t="s">
        <v>585</v>
      </c>
      <c r="B41" s="471">
        <v>41953</v>
      </c>
      <c r="C41" s="472" t="str">
        <f>"COC - Calcultator " &amp; A41 &amp; ".xlsm"</f>
        <v>COC - Calcultator V4.07.01.xlsm</v>
      </c>
      <c r="D41" s="543" t="s">
        <v>586</v>
      </c>
      <c r="E41" s="543" t="s">
        <v>586</v>
      </c>
      <c r="F41" s="473"/>
    </row>
    <row r="42" spans="1:6" ht="56.25" x14ac:dyDescent="0.25">
      <c r="A42" s="470" t="s">
        <v>583</v>
      </c>
      <c r="B42" s="471">
        <v>41953</v>
      </c>
      <c r="C42" s="472" t="str">
        <f>"COC - Calcultator " &amp; A42 &amp; ".xlsm"</f>
        <v>COC - Calcultator V4.07.xlsm</v>
      </c>
      <c r="D42" s="543" t="s">
        <v>584</v>
      </c>
      <c r="E42" s="543" t="s">
        <v>584</v>
      </c>
      <c r="F42" s="473"/>
    </row>
    <row r="43" spans="1:6" ht="33.75" x14ac:dyDescent="0.25">
      <c r="A43" s="470" t="s">
        <v>580</v>
      </c>
      <c r="B43" s="471">
        <v>41952</v>
      </c>
      <c r="C43" s="472" t="str">
        <f>"COC - Calcultator " &amp; A43 &amp; ".xlsm"</f>
        <v>COC - Calcultator v4.06.xlsm</v>
      </c>
      <c r="D43" s="952" t="s">
        <v>581</v>
      </c>
      <c r="E43" s="952" t="s">
        <v>581</v>
      </c>
      <c r="F43" s="473"/>
    </row>
    <row r="44" spans="1:6" ht="22.5" x14ac:dyDescent="0.25">
      <c r="A44" s="470" t="s">
        <v>577</v>
      </c>
      <c r="B44" s="471">
        <v>41950</v>
      </c>
      <c r="C44" s="472" t="str">
        <f>"COC - Calcultator " &amp; A44 &amp; ".xlsm"</f>
        <v>COC - Calcultator v4.05.xlsm</v>
      </c>
      <c r="D44" s="952" t="s">
        <v>578</v>
      </c>
      <c r="E44" s="381" t="s">
        <v>578</v>
      </c>
      <c r="F44" s="473"/>
    </row>
    <row r="45" spans="1:6" ht="22.5" x14ac:dyDescent="0.25">
      <c r="A45" s="470" t="s">
        <v>576</v>
      </c>
      <c r="B45" s="471">
        <v>41949</v>
      </c>
      <c r="C45" s="472" t="str">
        <f>"COC - Calcultator " &amp; A45 &amp; ".xlsm"</f>
        <v>COC - Calcultator v4.04.xlsm</v>
      </c>
      <c r="D45" s="952" t="s">
        <v>579</v>
      </c>
      <c r="E45" s="381" t="s">
        <v>579</v>
      </c>
      <c r="F45" s="473"/>
    </row>
    <row r="46" spans="1:6" ht="45" x14ac:dyDescent="0.25">
      <c r="A46" s="470" t="s">
        <v>574</v>
      </c>
      <c r="B46" s="471">
        <v>41949</v>
      </c>
      <c r="C46" s="472" t="str">
        <f>"COC - Calcultator " &amp; A46 &amp; ".xlsm"</f>
        <v>COC - Calcultator v4.03.xlsm</v>
      </c>
      <c r="D46" s="952" t="s">
        <v>575</v>
      </c>
      <c r="E46" s="381" t="s">
        <v>575</v>
      </c>
      <c r="F46" s="473"/>
    </row>
    <row r="47" spans="1:6" ht="67.5" x14ac:dyDescent="0.25">
      <c r="A47" s="470" t="s">
        <v>569</v>
      </c>
      <c r="B47" s="471">
        <v>41942</v>
      </c>
      <c r="C47" s="472" t="str">
        <f>"COC - Calcultator " &amp; A47 &amp; ".xlsm"</f>
        <v>COC - Calcultator v4.02.xlsm</v>
      </c>
      <c r="D47" s="952" t="s">
        <v>571</v>
      </c>
      <c r="E47" s="381" t="s">
        <v>571</v>
      </c>
      <c r="F47" s="473"/>
    </row>
    <row r="48" spans="1:6" x14ac:dyDescent="0.25">
      <c r="A48" s="470" t="s">
        <v>568</v>
      </c>
      <c r="B48" s="471">
        <v>41940</v>
      </c>
      <c r="C48" s="472" t="str">
        <f>"COC - Calcultator " &amp; A48 &amp; ".xlsm"</f>
        <v>COC - Calcultator v4.01.xlsm</v>
      </c>
      <c r="D48" s="952" t="s">
        <v>570</v>
      </c>
      <c r="E48" s="381" t="s">
        <v>570</v>
      </c>
      <c r="F48" s="473"/>
    </row>
    <row r="49" spans="1:6" ht="78.75" x14ac:dyDescent="0.25">
      <c r="A49" s="470" t="s">
        <v>567</v>
      </c>
      <c r="B49" s="471">
        <v>41940</v>
      </c>
      <c r="C49" s="472" t="str">
        <f>"COC - Calcultator " &amp; A49 &amp; ".xlsm"</f>
        <v>COC - Calcultator v4.00.xlsm</v>
      </c>
      <c r="D49" s="952" t="s">
        <v>609</v>
      </c>
      <c r="E49" s="381" t="s">
        <v>572</v>
      </c>
      <c r="F49" s="473"/>
    </row>
    <row r="50" spans="1:6" ht="56.25" x14ac:dyDescent="0.25">
      <c r="A50" s="470" t="s">
        <v>550</v>
      </c>
      <c r="B50" s="471">
        <v>41514</v>
      </c>
      <c r="C50" s="472" t="str">
        <f>"COC - Calcultator " &amp; A50 &amp; ".xlsm"</f>
        <v>COC - Calcultator v2.00.xlsm</v>
      </c>
      <c r="D50" s="432" t="s">
        <v>552</v>
      </c>
      <c r="E50" s="381" t="s">
        <v>551</v>
      </c>
      <c r="F50" s="473"/>
    </row>
    <row r="51" spans="1:6" ht="56.25" x14ac:dyDescent="0.25">
      <c r="A51" s="470" t="s">
        <v>543</v>
      </c>
      <c r="B51" s="471">
        <v>41502</v>
      </c>
      <c r="C51" s="472" t="str">
        <f>"COC - Calcultator " &amp; A51 &amp; ".xlsm"</f>
        <v>COC - Calcultator v1.91.xlsm</v>
      </c>
      <c r="D51" s="432" t="s">
        <v>545</v>
      </c>
      <c r="E51" s="381" t="s">
        <v>544</v>
      </c>
      <c r="F51" s="672"/>
    </row>
    <row r="52" spans="1:6" ht="22.5" x14ac:dyDescent="0.25">
      <c r="A52" s="470" t="s">
        <v>537</v>
      </c>
      <c r="B52" s="471">
        <v>41498</v>
      </c>
      <c r="C52" s="472" t="str">
        <f>"COC - Calcultator " &amp; A52 &amp; ".xlsm"</f>
        <v>COC - Calcultator v1.90.xlsm</v>
      </c>
      <c r="D52" s="432" t="s">
        <v>541</v>
      </c>
      <c r="E52" s="381" t="s">
        <v>542</v>
      </c>
      <c r="F52" s="473"/>
    </row>
    <row r="53" spans="1:6" ht="33.75" x14ac:dyDescent="0.25">
      <c r="A53" s="470" t="s">
        <v>533</v>
      </c>
      <c r="B53" s="471">
        <v>41481</v>
      </c>
      <c r="C53" s="472" t="str">
        <f>"COC - Calcultator " &amp; A53 &amp; ".xlsm"</f>
        <v>COC - Calcultator v1.82.xlsm</v>
      </c>
      <c r="D53" s="432" t="s">
        <v>546</v>
      </c>
      <c r="E53" s="381" t="s">
        <v>534</v>
      </c>
      <c r="F53" s="473"/>
    </row>
    <row r="54" spans="1:6" ht="33.75" x14ac:dyDescent="0.25">
      <c r="A54" s="470" t="s">
        <v>513</v>
      </c>
      <c r="B54" s="471">
        <v>41479</v>
      </c>
      <c r="C54" s="472" t="str">
        <f>"COC - Calcultator " &amp; A54 &amp; ".xlsm"</f>
        <v>COC - Calcultator v1.81.xlsm</v>
      </c>
      <c r="D54" s="432" t="s">
        <v>516</v>
      </c>
      <c r="E54" s="952" t="s">
        <v>515</v>
      </c>
      <c r="F54" s="473"/>
    </row>
    <row r="55" spans="1:6" x14ac:dyDescent="0.25">
      <c r="A55" s="470" t="s">
        <v>505</v>
      </c>
      <c r="B55" s="471">
        <v>41479</v>
      </c>
      <c r="C55" s="472" t="str">
        <f>"COC - Calcultator " &amp; A55 &amp; ".xlsm"</f>
        <v>COC - Calcultator v1.80.xlsm</v>
      </c>
      <c r="D55" s="432" t="s">
        <v>507</v>
      </c>
      <c r="E55" s="381" t="s">
        <v>506</v>
      </c>
      <c r="F55" s="473"/>
    </row>
    <row r="56" spans="1:6" ht="67.5" x14ac:dyDescent="0.25">
      <c r="A56" s="470" t="s">
        <v>459</v>
      </c>
      <c r="B56" s="471">
        <v>41471</v>
      </c>
      <c r="C56" s="472" t="str">
        <f>"COC - Calcultator " &amp; A56 &amp; ".xlsm"</f>
        <v>COC - Calcultator v1.71.xlsm</v>
      </c>
      <c r="D56" s="952" t="s">
        <v>547</v>
      </c>
      <c r="E56" s="381" t="s">
        <v>460</v>
      </c>
      <c r="F56" s="473"/>
    </row>
    <row r="57" spans="1:6" ht="67.5" x14ac:dyDescent="0.25">
      <c r="A57" s="474" t="s">
        <v>424</v>
      </c>
      <c r="B57" s="475">
        <v>41467</v>
      </c>
      <c r="C57" s="476" t="str">
        <f>"COC - Calcultator " &amp; A57 &amp; ".xlsm"</f>
        <v>COC - Calcultator v1.70.xlsm</v>
      </c>
      <c r="D57" s="380" t="s">
        <v>450</v>
      </c>
      <c r="E57" s="380" t="s">
        <v>449</v>
      </c>
      <c r="F57" s="473"/>
    </row>
    <row r="58" spans="1:6" ht="22.5" x14ac:dyDescent="0.25">
      <c r="A58" s="470" t="s">
        <v>166</v>
      </c>
      <c r="B58" s="471">
        <v>41464</v>
      </c>
      <c r="C58" s="472" t="str">
        <f>"COC - Calcultator " &amp; A58 &amp; ".xlsx"</f>
        <v>COC - Calcultator v1.61.xlsx</v>
      </c>
      <c r="D58" s="952" t="s">
        <v>444</v>
      </c>
      <c r="E58" s="381" t="s">
        <v>360</v>
      </c>
      <c r="F58" s="473"/>
    </row>
    <row r="59" spans="1:6" ht="90" x14ac:dyDescent="0.25">
      <c r="A59" s="470" t="s">
        <v>167</v>
      </c>
      <c r="B59" s="471">
        <v>41463</v>
      </c>
      <c r="C59" s="472" t="str">
        <f>"COC - Calcultator " &amp; A59 &amp; ".xlsx"</f>
        <v>COC - Calcultator v1.60.xlsx</v>
      </c>
      <c r="D59" s="952" t="s">
        <v>438</v>
      </c>
      <c r="E59" s="381" t="s">
        <v>437</v>
      </c>
      <c r="F59" s="473"/>
    </row>
    <row r="60" spans="1:6" ht="78.75" x14ac:dyDescent="0.25">
      <c r="A60" s="470" t="s">
        <v>168</v>
      </c>
      <c r="B60" s="471">
        <v>41457</v>
      </c>
      <c r="C60" s="472" t="str">
        <f>"COC - Calcultator " &amp; A60 &amp; ".xlsx"</f>
        <v>COC - Calcultator v1.50.xlsx</v>
      </c>
      <c r="D60" s="952" t="s">
        <v>445</v>
      </c>
      <c r="E60" s="381" t="s">
        <v>443</v>
      </c>
      <c r="F60" s="473"/>
    </row>
    <row r="61" spans="1:6" x14ac:dyDescent="0.25">
      <c r="A61" s="470" t="s">
        <v>538</v>
      </c>
      <c r="B61" s="471">
        <v>41452</v>
      </c>
      <c r="C61" s="472" t="str">
        <f>"COC - Cost &amp; Time Calcultator " &amp; A61 &amp; ".xlsx"</f>
        <v>COC - Cost &amp; Time Calcultator v1.41 - FR.xlsx</v>
      </c>
      <c r="D61" s="952" t="s">
        <v>540</v>
      </c>
      <c r="E61" s="381" t="s">
        <v>539</v>
      </c>
      <c r="F61" s="473"/>
    </row>
    <row r="62" spans="1:6" ht="33.75" x14ac:dyDescent="0.25">
      <c r="A62" s="470" t="s">
        <v>145</v>
      </c>
      <c r="B62" s="471">
        <v>41452</v>
      </c>
      <c r="C62" s="472" t="str">
        <f>"COC - Cost &amp; Time Calcultator " &amp; A62 &amp; ".xlsx"</f>
        <v>COC - Cost &amp; Time Calcultator v1.41.xlsx</v>
      </c>
      <c r="D62" s="952" t="s">
        <v>440</v>
      </c>
      <c r="E62" s="381" t="s">
        <v>441</v>
      </c>
      <c r="F62" s="473"/>
    </row>
    <row r="63" spans="1:6" ht="78.75" x14ac:dyDescent="0.25">
      <c r="A63" s="470" t="s">
        <v>169</v>
      </c>
      <c r="B63" s="471">
        <v>41452</v>
      </c>
      <c r="C63" s="472" t="str">
        <f>"COC - Cost &amp; Time Calcultator " &amp; A63 &amp; ".xlsx"</f>
        <v>COC - Cost &amp; Time Calcultator v1.40.xlsx</v>
      </c>
      <c r="D63" s="952" t="s">
        <v>548</v>
      </c>
      <c r="E63" s="381" t="s">
        <v>442</v>
      </c>
      <c r="F63" s="473"/>
    </row>
    <row r="64" spans="1:6" ht="45" x14ac:dyDescent="0.25">
      <c r="A64" s="470" t="s">
        <v>144</v>
      </c>
      <c r="B64" s="471">
        <v>41451</v>
      </c>
      <c r="C64" s="472" t="str">
        <f>"COC - Cost &amp; Time Calcultator " &amp; A64 &amp; ".xlsx"</f>
        <v>COC - Cost &amp; Time Calcultator v1.31.xlsx</v>
      </c>
      <c r="D64" s="952" t="s">
        <v>434</v>
      </c>
      <c r="E64" s="381" t="s">
        <v>436</v>
      </c>
      <c r="F64" s="473"/>
    </row>
    <row r="65" spans="1:6" ht="67.5" x14ac:dyDescent="0.25">
      <c r="A65" s="470" t="s">
        <v>170</v>
      </c>
      <c r="B65" s="471">
        <v>41450</v>
      </c>
      <c r="C65" s="472" t="str">
        <f>"COC - Cost &amp; Time Calcultator " &amp; A65 &amp; ".xlsx"</f>
        <v>COC - Cost &amp; Time Calcultator v1.30.xlsx</v>
      </c>
      <c r="D65" s="952" t="s">
        <v>549</v>
      </c>
      <c r="E65" s="381" t="s">
        <v>429</v>
      </c>
      <c r="F65" s="473"/>
    </row>
    <row r="66" spans="1:6" x14ac:dyDescent="0.25">
      <c r="A66" s="470" t="s">
        <v>143</v>
      </c>
      <c r="B66" s="471">
        <v>41450</v>
      </c>
      <c r="C66" s="472" t="str">
        <f>"COC - Cost &amp; Time Calcultator " &amp; A66 &amp; ".xlsx"</f>
        <v>COC - Cost &amp; Time Calcultator v1.23.xlsx</v>
      </c>
      <c r="D66" s="952" t="s">
        <v>115</v>
      </c>
      <c r="E66" s="381" t="s">
        <v>430</v>
      </c>
      <c r="F66" s="473"/>
    </row>
    <row r="67" spans="1:6" x14ac:dyDescent="0.25">
      <c r="A67" s="470" t="s">
        <v>142</v>
      </c>
      <c r="B67" s="471">
        <v>41449</v>
      </c>
      <c r="C67" s="472" t="str">
        <f>"COC - Cost &amp; Time Calcultator " &amp; A67 &amp; ".xlsx"</f>
        <v>COC - Cost &amp; Time Calcultator v1.22.xlsx</v>
      </c>
      <c r="D67" s="952" t="s">
        <v>99</v>
      </c>
      <c r="E67" s="381" t="s">
        <v>428</v>
      </c>
      <c r="F67" s="473"/>
    </row>
    <row r="68" spans="1:6" ht="33.75" x14ac:dyDescent="0.25">
      <c r="A68" s="470" t="s">
        <v>141</v>
      </c>
      <c r="B68" s="471">
        <v>41446</v>
      </c>
      <c r="C68" s="472" t="str">
        <f>"COC - Cost &amp; Time Calcultator " &amp; A68 &amp; ".xlsx"</f>
        <v>COC - Cost &amp; Time Calcultator v1.21.xlsx</v>
      </c>
      <c r="D68" s="952" t="s">
        <v>116</v>
      </c>
      <c r="E68" s="381" t="s">
        <v>427</v>
      </c>
      <c r="F68" s="473"/>
    </row>
    <row r="69" spans="1:6" ht="33.75" x14ac:dyDescent="0.25">
      <c r="A69" s="470" t="s">
        <v>171</v>
      </c>
      <c r="B69" s="471">
        <v>41445</v>
      </c>
      <c r="C69" s="472" t="str">
        <f>"COC - Cost &amp; Time Calcultator " &amp; A69 &amp; ".xlsx"</f>
        <v>COC - Cost &amp; Time Calcultator v1.20.xlsx</v>
      </c>
      <c r="D69" s="952" t="s">
        <v>117</v>
      </c>
      <c r="E69" s="381" t="s">
        <v>435</v>
      </c>
      <c r="F69" s="473"/>
    </row>
    <row r="70" spans="1:6" ht="33.75" x14ac:dyDescent="0.25">
      <c r="A70" s="470" t="s">
        <v>172</v>
      </c>
      <c r="B70" s="471">
        <v>41444</v>
      </c>
      <c r="C70" s="472" t="str">
        <f>"COC - Cost &amp; Time Calcultator " &amp; A70 &amp; ".xlsx"</f>
        <v>COC - Cost &amp; Time Calcultator v1.10.xlsx</v>
      </c>
      <c r="D70" s="952" t="s">
        <v>446</v>
      </c>
      <c r="E70" s="381" t="s">
        <v>431</v>
      </c>
      <c r="F70" s="473"/>
    </row>
    <row r="71" spans="1:6" x14ac:dyDescent="0.25">
      <c r="A71" s="470" t="s">
        <v>140</v>
      </c>
      <c r="B71" s="471">
        <v>41443</v>
      </c>
      <c r="C71" s="472" t="str">
        <f>"COC - Cost &amp; Time Calcultator " &amp; A71 &amp; ".xlsx"</f>
        <v>COC - Cost &amp; Time Calcultator v1.01.xlsx</v>
      </c>
      <c r="D71" s="952" t="s">
        <v>433</v>
      </c>
      <c r="E71" s="381" t="s">
        <v>432</v>
      </c>
      <c r="F71" s="473"/>
    </row>
    <row r="72" spans="1:6" x14ac:dyDescent="0.25">
      <c r="A72" s="470" t="s">
        <v>173</v>
      </c>
      <c r="B72" s="471">
        <v>41443</v>
      </c>
      <c r="C72" s="472" t="str">
        <f>"COC - Cost &amp; Time Calcultator " &amp; A72 &amp; ".xlsx"</f>
        <v>COC - Cost &amp; Time Calcultator v1.00.xlsx</v>
      </c>
      <c r="D72" s="952" t="s">
        <v>98</v>
      </c>
      <c r="E72" s="381" t="s">
        <v>426</v>
      </c>
      <c r="F72" s="473"/>
    </row>
    <row r="73" spans="1:6" ht="57" thickBot="1" x14ac:dyDescent="0.3">
      <c r="A73" s="477" t="s">
        <v>591</v>
      </c>
      <c r="B73" s="478">
        <v>41955</v>
      </c>
      <c r="C73" s="479" t="str">
        <f>"COC - Cost &amp; Time Calcultator " &amp; A73 &amp; ".xlsx"</f>
        <v>COC - Cost &amp; Time Calcultator V.4.9.xlsx</v>
      </c>
      <c r="D73" s="480" t="s">
        <v>592</v>
      </c>
      <c r="E73" s="480" t="s">
        <v>592</v>
      </c>
      <c r="F73" s="473"/>
    </row>
    <row r="74" spans="1:6" ht="45" x14ac:dyDescent="0.25">
      <c r="A74" s="1026" t="s">
        <v>589</v>
      </c>
      <c r="B74" s="1358">
        <v>41955</v>
      </c>
      <c r="C74" s="1357" t="str">
        <f>"COC - Cost &amp; Time Calcultator " &amp; A74 &amp; ".xlsx"</f>
        <v>COC - Cost &amp; Time Calcultator V.4.8.xlsx</v>
      </c>
      <c r="D74" s="1359" t="s">
        <v>590</v>
      </c>
      <c r="E74" s="1359" t="s">
        <v>590</v>
      </c>
      <c r="F74" s="473"/>
    </row>
  </sheetData>
  <sheetProtection selectLockedCells="1"/>
  <mergeCells count="1">
    <mergeCell ref="A1:F1"/>
  </mergeCells>
  <hyperlinks>
    <hyperlink ref="F15" r:id="rId1"/>
    <hyperlink ref="F14" r:id="rId2"/>
    <hyperlink ref="F21" r:id="rId3"/>
    <hyperlink ref="F11" r:id="rId4"/>
    <hyperlink ref="F10" r:id="rId5"/>
    <hyperlink ref="F9" r:id="rId6"/>
    <hyperlink ref="F8" r:id="rId7"/>
    <hyperlink ref="F5" r:id="rId8"/>
    <hyperlink ref="F4" r:id="rId9"/>
    <hyperlink ref="F3" r:id="rId10"/>
  </hyperlinks>
  <pageMargins left="0.7" right="0.7" top="0.75" bottom="0.75" header="0.3" footer="0.3"/>
  <pageSetup paperSize="9" orientation="portrait" r:id="rId11"/>
  <tableParts count="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21</vt:i4>
      </vt:variant>
      <vt:variant>
        <vt:lpstr>Plages nommées</vt:lpstr>
      </vt:variant>
      <vt:variant>
        <vt:i4>9</vt:i4>
      </vt:variant>
    </vt:vector>
  </HeadingPairs>
  <TitlesOfParts>
    <vt:vector size="30" baseType="lpstr">
      <vt:lpstr>Composition et mode d'emplois</vt:lpstr>
      <vt:lpstr>Planning</vt:lpstr>
      <vt:lpstr>À Faire - Récapitulatif</vt:lpstr>
      <vt:lpstr>À Faire - Détails</vt:lpstr>
      <vt:lpstr>Production</vt:lpstr>
      <vt:lpstr>Rentabilité</vt:lpstr>
      <vt:lpstr>Combats - Loots</vt:lpstr>
      <vt:lpstr>Formation de Troupes</vt:lpstr>
      <vt:lpstr>Bâtiments</vt:lpstr>
      <vt:lpstr>Améliorations - Sorts &amp; Troupes</vt:lpstr>
      <vt:lpstr>Héros</vt:lpstr>
      <vt:lpstr>Coûts des Améliorations</vt:lpstr>
      <vt:lpstr>Gains et Stockage</vt:lpstr>
      <vt:lpstr>Trophées</vt:lpstr>
      <vt:lpstr>Coûts de Formation</vt:lpstr>
      <vt:lpstr>Calendrier</vt:lpstr>
      <vt:lpstr>Traduction</vt:lpstr>
      <vt:lpstr>Paramètres - Admin</vt:lpstr>
      <vt:lpstr>Paramètres</vt:lpstr>
      <vt:lpstr>Valeur du Village</vt:lpstr>
      <vt:lpstr>Journal des Modifications</vt:lpstr>
      <vt:lpstr>Attack_Defense</vt:lpstr>
      <vt:lpstr>Calendar</vt:lpstr>
      <vt:lpstr>Langue</vt:lpstr>
      <vt:lpstr>Pas</vt:lpstr>
      <vt:lpstr>Period</vt:lpstr>
      <vt:lpstr>period_selected</vt:lpstr>
      <vt:lpstr>TimeDisplay</vt:lpstr>
      <vt:lpstr>TimeDisplay2</vt:lpstr>
      <vt:lpstr>'À Faire - Récapitulatif'!Zone_d_impression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Fernandes</dc:creator>
  <cp:lastModifiedBy>THIERRY</cp:lastModifiedBy>
  <cp:lastPrinted>2013-10-09T11:09:46Z</cp:lastPrinted>
  <dcterms:created xsi:type="dcterms:W3CDTF">2012-02-21T09:02:25Z</dcterms:created>
  <dcterms:modified xsi:type="dcterms:W3CDTF">2016-05-05T11:23:14Z</dcterms:modified>
</cp:coreProperties>
</file>