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0730" windowHeight="11760" tabRatio="813" firstSheet="1" activeTab="9"/>
  </bookViews>
  <sheets>
    <sheet name="Groupes" sheetId="1" state="hidden" r:id="rId1"/>
    <sheet name="Groupe A" sheetId="2" r:id="rId2"/>
    <sheet name="Groupe B" sheetId="4" r:id="rId3"/>
    <sheet name="Groupe C" sheetId="5" r:id="rId4"/>
    <sheet name="Groupe D" sheetId="6" r:id="rId5"/>
    <sheet name="Groupe E" sheetId="7" r:id="rId6"/>
    <sheet name="Groupe F" sheetId="8" r:id="rId7"/>
    <sheet name="Classement des 3e" sheetId="14" r:id="rId8"/>
    <sheet name="Tableau final" sheetId="12" r:id="rId9"/>
    <sheet name="Règles de calcul" sheetId="13" r:id="rId10"/>
    <sheet name="Report" sheetId="16" state="hidden" r:id="rId11"/>
    <sheet name="Feuil2" sheetId="15" state="hidden" r:id="rId12"/>
  </sheets>
  <functionGroups builtInGroupCount="17"/>
  <calcPr calcId="145621"/>
</workbook>
</file>

<file path=xl/calcChain.xml><?xml version="1.0" encoding="utf-8"?>
<calcChain xmlns="http://schemas.openxmlformats.org/spreadsheetml/2006/main">
  <c r="C35" i="16" l="1"/>
  <c r="B35" i="16"/>
  <c r="C34" i="16"/>
  <c r="B34" i="16"/>
  <c r="C25" i="16"/>
  <c r="B25" i="16"/>
  <c r="C24" i="16"/>
  <c r="B24" i="16"/>
  <c r="C12" i="16"/>
  <c r="B12" i="16"/>
  <c r="C13" i="16"/>
  <c r="B13" i="16"/>
  <c r="C37" i="16"/>
  <c r="B37" i="16"/>
  <c r="C36" i="16"/>
  <c r="B36" i="16"/>
  <c r="C20" i="16"/>
  <c r="B20" i="16"/>
  <c r="C23" i="16"/>
  <c r="B23" i="16"/>
  <c r="C10" i="16"/>
  <c r="B10" i="16"/>
  <c r="C11" i="16"/>
  <c r="B11" i="16"/>
  <c r="C33" i="16"/>
  <c r="B33" i="16"/>
  <c r="C32" i="16"/>
  <c r="B32" i="16"/>
  <c r="C22" i="16"/>
  <c r="B22" i="16"/>
  <c r="C21" i="16"/>
  <c r="B21" i="16"/>
  <c r="C6" i="16"/>
  <c r="B6" i="16"/>
  <c r="C9" i="16"/>
  <c r="B9" i="16"/>
  <c r="C31" i="16"/>
  <c r="B31" i="16"/>
  <c r="C30" i="16"/>
  <c r="B30" i="16"/>
  <c r="C19" i="16"/>
  <c r="B19" i="16"/>
  <c r="C18" i="16"/>
  <c r="B18" i="16"/>
  <c r="C7" i="16"/>
  <c r="B7" i="16"/>
  <c r="C8" i="16"/>
  <c r="B8" i="16"/>
  <c r="C29" i="16"/>
  <c r="B29" i="16"/>
  <c r="C28" i="16"/>
  <c r="B28" i="16"/>
  <c r="C17" i="16"/>
  <c r="B17" i="16"/>
  <c r="C14" i="16"/>
  <c r="B14" i="16"/>
  <c r="C5" i="16"/>
  <c r="B5" i="16"/>
  <c r="C4" i="16"/>
  <c r="B4" i="16"/>
  <c r="C27" i="16"/>
  <c r="B27" i="16"/>
  <c r="C26" i="16"/>
  <c r="B26" i="16"/>
  <c r="C15" i="16"/>
  <c r="B15" i="16"/>
  <c r="C16" i="16"/>
  <c r="B16" i="16"/>
  <c r="C3" i="16"/>
  <c r="B3" i="16"/>
  <c r="C2" i="16"/>
  <c r="B2" i="16"/>
  <c r="D18" i="16" l="1"/>
  <c r="D36" i="16"/>
  <c r="D24" i="16"/>
  <c r="D34" i="16"/>
  <c r="D32" i="16"/>
  <c r="D30" i="16"/>
  <c r="D28" i="16"/>
  <c r="D14" i="16"/>
  <c r="D4" i="16"/>
  <c r="D5" i="16"/>
  <c r="D26" i="16"/>
  <c r="D16" i="16"/>
  <c r="D2" i="16"/>
  <c r="D8" i="16"/>
  <c r="D31" i="16"/>
  <c r="D9" i="16"/>
  <c r="D6" i="16"/>
  <c r="D21" i="16"/>
  <c r="D33" i="16"/>
  <c r="D11" i="16"/>
  <c r="D23" i="16"/>
  <c r="D20" i="16"/>
  <c r="D13" i="16"/>
  <c r="D25" i="16"/>
  <c r="D35" i="16"/>
  <c r="D12" i="16"/>
  <c r="D10" i="16"/>
  <c r="D37" i="16"/>
  <c r="D22" i="16"/>
  <c r="D3" i="16"/>
  <c r="D15" i="16"/>
  <c r="D27" i="16"/>
  <c r="D17" i="16"/>
  <c r="D29" i="16"/>
  <c r="D19" i="16"/>
  <c r="D7" i="16"/>
  <c r="N31" i="12"/>
  <c r="J5" i="8"/>
  <c r="I5" i="8"/>
  <c r="H5" i="8"/>
  <c r="B11" i="8"/>
  <c r="B13" i="8"/>
  <c r="B8" i="8"/>
  <c r="B10" i="8"/>
  <c r="B9" i="8"/>
  <c r="B12" i="8"/>
  <c r="B7" i="8"/>
  <c r="B6" i="8"/>
  <c r="K5" i="8" l="1"/>
  <c r="L5" i="8"/>
  <c r="G5" i="8"/>
  <c r="F5" i="8"/>
  <c r="E5" i="8"/>
  <c r="B5" i="8"/>
  <c r="M5" i="8" l="1"/>
  <c r="J4" i="8"/>
  <c r="H4" i="8"/>
  <c r="I4" i="8"/>
  <c r="L4" i="8" l="1"/>
  <c r="K4" i="8"/>
  <c r="G4" i="8"/>
  <c r="F4" i="8"/>
  <c r="B4" i="8"/>
  <c r="E4" i="8"/>
  <c r="M4" i="8" l="1"/>
  <c r="H3" i="8"/>
  <c r="I3" i="8"/>
  <c r="J3" i="8"/>
  <c r="K3" i="8" l="1"/>
  <c r="L3" i="8"/>
  <c r="G3" i="8"/>
  <c r="F3" i="8"/>
  <c r="B3" i="8"/>
  <c r="E3" i="8"/>
  <c r="M3" i="8" l="1"/>
  <c r="I2" i="8"/>
  <c r="J2" i="8"/>
  <c r="H2" i="8"/>
  <c r="K2" i="8" l="1"/>
  <c r="L2" i="8"/>
  <c r="G2" i="8"/>
  <c r="F2" i="8"/>
  <c r="I5" i="7"/>
  <c r="J5" i="7"/>
  <c r="H5" i="7"/>
  <c r="B9" i="7"/>
  <c r="B7" i="7"/>
  <c r="B12" i="7"/>
  <c r="B13" i="7"/>
  <c r="B11" i="7"/>
  <c r="B8" i="7"/>
  <c r="B6" i="7"/>
  <c r="B10" i="7"/>
  <c r="B2" i="8"/>
  <c r="E2" i="8"/>
  <c r="M2" i="8" l="1"/>
  <c r="K5" i="7"/>
  <c r="L5" i="7"/>
  <c r="G5" i="7"/>
  <c r="F5" i="7"/>
  <c r="I4" i="7"/>
  <c r="J4" i="7"/>
  <c r="H4" i="7"/>
  <c r="E5" i="7"/>
  <c r="B5" i="7"/>
  <c r="M5" i="7" l="1"/>
  <c r="N5" i="8"/>
  <c r="N4" i="8"/>
  <c r="N2" i="8"/>
  <c r="N3" i="8"/>
  <c r="L4" i="7"/>
  <c r="K4" i="7"/>
  <c r="G4" i="7"/>
  <c r="F4" i="7"/>
  <c r="E4" i="7"/>
  <c r="B4" i="7"/>
  <c r="O3" i="8" l="1"/>
  <c r="O4" i="8"/>
  <c r="O2" i="8"/>
  <c r="O5" i="8"/>
  <c r="M4" i="7"/>
  <c r="H3" i="7"/>
  <c r="J3" i="7"/>
  <c r="I3" i="7"/>
  <c r="P5" i="8" l="1"/>
  <c r="P4" i="8"/>
  <c r="P2" i="8"/>
  <c r="P3" i="8"/>
  <c r="K3" i="7"/>
  <c r="L3" i="7"/>
  <c r="G3" i="7"/>
  <c r="F3" i="7"/>
  <c r="E3" i="7"/>
  <c r="B3" i="7"/>
  <c r="Q3" i="8" l="1"/>
  <c r="Q4" i="8"/>
  <c r="Q2" i="8"/>
  <c r="Q5" i="8"/>
  <c r="M3" i="7"/>
  <c r="J2" i="7"/>
  <c r="H2" i="7"/>
  <c r="I2" i="7"/>
  <c r="AB7" i="8"/>
  <c r="V5" i="8"/>
  <c r="Y5" i="8"/>
  <c r="W8" i="8"/>
  <c r="X6" i="8"/>
  <c r="Z8" i="8"/>
  <c r="Y8" i="8"/>
  <c r="V8" i="8"/>
  <c r="X7" i="8"/>
  <c r="W5" i="8"/>
  <c r="X5" i="8"/>
  <c r="T6" i="8"/>
  <c r="U6" i="8"/>
  <c r="W6" i="8"/>
  <c r="Y6" i="8"/>
  <c r="T8" i="8"/>
  <c r="Y7" i="8"/>
  <c r="Z7" i="8"/>
  <c r="X8" i="8"/>
  <c r="AB8" i="8"/>
  <c r="Z6" i="8"/>
  <c r="U8" i="8"/>
  <c r="T7" i="8"/>
  <c r="U7" i="8"/>
  <c r="AB6" i="8"/>
  <c r="Z5" i="8"/>
  <c r="AB5" i="8"/>
  <c r="V6" i="8"/>
  <c r="U5" i="8"/>
  <c r="T5" i="8"/>
  <c r="W7" i="8"/>
  <c r="V7" i="8"/>
  <c r="F7" i="14" l="1"/>
  <c r="D7" i="14"/>
  <c r="C7" i="14"/>
  <c r="AG29" i="12"/>
  <c r="F17" i="16" s="1"/>
  <c r="C28" i="12"/>
  <c r="AA8" i="8"/>
  <c r="AA7" i="8"/>
  <c r="E7" i="14" s="1"/>
  <c r="AA6" i="8"/>
  <c r="AA5" i="8"/>
  <c r="L2" i="7"/>
  <c r="K2" i="7"/>
  <c r="G2" i="7"/>
  <c r="F2" i="7"/>
  <c r="H5" i="6"/>
  <c r="J5" i="6"/>
  <c r="I5" i="6"/>
  <c r="D33" i="15"/>
  <c r="E21" i="15"/>
  <c r="B13" i="6"/>
  <c r="B2" i="7"/>
  <c r="E32" i="15"/>
  <c r="B11" i="6"/>
  <c r="E26" i="15"/>
  <c r="B12" i="6"/>
  <c r="B10" i="6"/>
  <c r="B6" i="6"/>
  <c r="B9" i="6"/>
  <c r="E2" i="7"/>
  <c r="B8" i="6"/>
  <c r="B7" i="6"/>
  <c r="E31" i="15"/>
  <c r="F8" i="16" l="1"/>
  <c r="G7" i="14"/>
  <c r="M2" i="7"/>
  <c r="K5" i="6"/>
  <c r="L5" i="6"/>
  <c r="G5" i="6"/>
  <c r="F5" i="6"/>
  <c r="B5" i="6"/>
  <c r="E5" i="6"/>
  <c r="N5" i="7" l="1"/>
  <c r="N4" i="7"/>
  <c r="N2" i="7"/>
  <c r="N3" i="7"/>
  <c r="M5" i="6"/>
  <c r="H4" i="6"/>
  <c r="J4" i="6"/>
  <c r="I4" i="6"/>
  <c r="O2" i="7" l="1"/>
  <c r="O5" i="7"/>
  <c r="O3" i="7"/>
  <c r="O4" i="7"/>
  <c r="L4" i="6"/>
  <c r="K4" i="6"/>
  <c r="G4" i="6"/>
  <c r="F4" i="6"/>
  <c r="E4" i="6"/>
  <c r="B4" i="6"/>
  <c r="P3" i="7" l="1"/>
  <c r="P5" i="7"/>
  <c r="P4" i="7"/>
  <c r="P2" i="7"/>
  <c r="M4" i="6"/>
  <c r="I3" i="6"/>
  <c r="J3" i="6"/>
  <c r="H3" i="6"/>
  <c r="Q2" i="7" l="1"/>
  <c r="Q4" i="7"/>
  <c r="Q5" i="7"/>
  <c r="Q3" i="7"/>
  <c r="L3" i="6"/>
  <c r="K3" i="6"/>
  <c r="G3" i="6"/>
  <c r="F3" i="6"/>
  <c r="B3" i="6"/>
  <c r="E3" i="6"/>
  <c r="T5" i="7"/>
  <c r="T6" i="7"/>
  <c r="M3" i="6" l="1"/>
  <c r="I2" i="6"/>
  <c r="H2" i="6"/>
  <c r="J2" i="6"/>
  <c r="W5" i="7"/>
  <c r="T7" i="7"/>
  <c r="X6" i="7"/>
  <c r="V8" i="7"/>
  <c r="AB5" i="7"/>
  <c r="Z8" i="7"/>
  <c r="W7" i="7"/>
  <c r="E30" i="15"/>
  <c r="W6" i="7"/>
  <c r="U8" i="7"/>
  <c r="X5" i="7"/>
  <c r="V6" i="7"/>
  <c r="AB8" i="7"/>
  <c r="AB6" i="7"/>
  <c r="Z5" i="7"/>
  <c r="X7" i="7"/>
  <c r="Y8" i="7"/>
  <c r="T8" i="7"/>
  <c r="E23" i="15"/>
  <c r="U5" i="7"/>
  <c r="Y6" i="7"/>
  <c r="V5" i="7"/>
  <c r="Y5" i="7"/>
  <c r="U7" i="7"/>
  <c r="V7" i="7"/>
  <c r="W8" i="7"/>
  <c r="E24" i="15"/>
  <c r="Z6" i="7"/>
  <c r="Y7" i="7"/>
  <c r="X8" i="7"/>
  <c r="AB7" i="7"/>
  <c r="U6" i="7"/>
  <c r="Z7" i="7"/>
  <c r="D6" i="14" l="1"/>
  <c r="AA5" i="7"/>
  <c r="AA7" i="7"/>
  <c r="E6" i="14" s="1"/>
  <c r="F6" i="14"/>
  <c r="AA6" i="7"/>
  <c r="AG12" i="12"/>
  <c r="F12" i="16" s="1"/>
  <c r="C29" i="12"/>
  <c r="C6" i="14"/>
  <c r="AA8" i="7"/>
  <c r="L2" i="6"/>
  <c r="K2" i="6"/>
  <c r="G2" i="6"/>
  <c r="F2" i="6"/>
  <c r="J5" i="5"/>
  <c r="H5" i="5"/>
  <c r="I5" i="5"/>
  <c r="B7" i="5"/>
  <c r="E27" i="15"/>
  <c r="E29" i="15"/>
  <c r="B12" i="5"/>
  <c r="E22" i="15"/>
  <c r="B13" i="5"/>
  <c r="B6" i="5"/>
  <c r="E33" i="15"/>
  <c r="E2" i="6"/>
  <c r="B8" i="5"/>
  <c r="E20" i="15"/>
  <c r="B32" i="15"/>
  <c r="B2" i="6"/>
  <c r="B9" i="5"/>
  <c r="E25" i="15"/>
  <c r="B10" i="5"/>
  <c r="B11" i="5"/>
  <c r="E28" i="15"/>
  <c r="F9" i="16" l="1"/>
  <c r="H25" i="12"/>
  <c r="H5" i="16" s="1"/>
  <c r="G6" i="14"/>
  <c r="M2" i="6"/>
  <c r="K5" i="5"/>
  <c r="L5" i="5"/>
  <c r="G5" i="5"/>
  <c r="F5" i="5"/>
  <c r="E5" i="5"/>
  <c r="B5" i="5"/>
  <c r="N5" i="6" l="1"/>
  <c r="N4" i="6"/>
  <c r="N2" i="6"/>
  <c r="N3" i="6"/>
  <c r="M5" i="5"/>
  <c r="H4" i="5"/>
  <c r="I4" i="5"/>
  <c r="J4" i="5"/>
  <c r="O5" i="6" l="1"/>
  <c r="O2" i="6"/>
  <c r="O3" i="6"/>
  <c r="O4" i="6"/>
  <c r="L4" i="5"/>
  <c r="K4" i="5"/>
  <c r="G4" i="5"/>
  <c r="F4" i="5"/>
  <c r="E4" i="5"/>
  <c r="B4" i="5"/>
  <c r="P3" i="6" l="1"/>
  <c r="P5" i="6"/>
  <c r="P4" i="6"/>
  <c r="P2" i="6"/>
  <c r="M4" i="5"/>
  <c r="H3" i="5"/>
  <c r="I3" i="5"/>
  <c r="J3" i="5"/>
  <c r="Q5" i="6" l="1"/>
  <c r="Q2" i="6"/>
  <c r="Q4" i="6"/>
  <c r="Q3" i="6"/>
  <c r="K3" i="5"/>
  <c r="L3" i="5"/>
  <c r="G3" i="5"/>
  <c r="F3" i="5"/>
  <c r="AB7" i="6"/>
  <c r="U8" i="6"/>
  <c r="Y5" i="6"/>
  <c r="V8" i="6"/>
  <c r="U7" i="6"/>
  <c r="W5" i="6"/>
  <c r="W6" i="6"/>
  <c r="T6" i="6"/>
  <c r="V5" i="6"/>
  <c r="T5" i="6"/>
  <c r="T8" i="6"/>
  <c r="AB8" i="6"/>
  <c r="E3" i="5"/>
  <c r="V6" i="6"/>
  <c r="U6" i="6"/>
  <c r="W7" i="6"/>
  <c r="X8" i="6"/>
  <c r="W8" i="6"/>
  <c r="Y8" i="6"/>
  <c r="U5" i="6"/>
  <c r="X6" i="6"/>
  <c r="Z6" i="6"/>
  <c r="T7" i="6"/>
  <c r="Y7" i="6"/>
  <c r="V7" i="6"/>
  <c r="Z8" i="6"/>
  <c r="Z5" i="6"/>
  <c r="X7" i="6"/>
  <c r="X5" i="6"/>
  <c r="Y6" i="6"/>
  <c r="AB5" i="6"/>
  <c r="AB6" i="6"/>
  <c r="Z7" i="6"/>
  <c r="B3" i="5"/>
  <c r="F5" i="14" l="1"/>
  <c r="D5" i="14"/>
  <c r="C5" i="14"/>
  <c r="AG13" i="12"/>
  <c r="C12" i="12"/>
  <c r="F4" i="16" s="1"/>
  <c r="AA8" i="6"/>
  <c r="AA7" i="6"/>
  <c r="E5" i="14" s="1"/>
  <c r="AA6" i="6"/>
  <c r="AA5" i="6"/>
  <c r="M3" i="5"/>
  <c r="H2" i="5"/>
  <c r="J2" i="5"/>
  <c r="I2" i="5"/>
  <c r="B24" i="15"/>
  <c r="C19" i="15"/>
  <c r="C26" i="15"/>
  <c r="C32" i="15"/>
  <c r="B28" i="15"/>
  <c r="C33" i="15"/>
  <c r="F13" i="16" l="1"/>
  <c r="AB9" i="12"/>
  <c r="H7" i="16" s="1"/>
  <c r="G5" i="14"/>
  <c r="K2" i="5"/>
  <c r="L2" i="5"/>
  <c r="G2" i="5"/>
  <c r="F2" i="5"/>
  <c r="H5" i="4"/>
  <c r="J5" i="4"/>
  <c r="I5" i="4"/>
  <c r="B6" i="4"/>
  <c r="E2" i="5"/>
  <c r="B8" i="4"/>
  <c r="B2" i="5"/>
  <c r="B10" i="4"/>
  <c r="B12" i="4"/>
  <c r="B9" i="4"/>
  <c r="B7" i="4"/>
  <c r="B11" i="4"/>
  <c r="B13" i="4"/>
  <c r="M2" i="5" l="1"/>
  <c r="K5" i="4"/>
  <c r="L5" i="4"/>
  <c r="G5" i="4"/>
  <c r="F5" i="4"/>
  <c r="B5" i="4"/>
  <c r="E5" i="4"/>
  <c r="N5" i="5" l="1"/>
  <c r="N4" i="5"/>
  <c r="N2" i="5"/>
  <c r="N3" i="5"/>
  <c r="M5" i="4"/>
  <c r="H4" i="4"/>
  <c r="I4" i="4"/>
  <c r="J4" i="4"/>
  <c r="O3" i="5" l="1"/>
  <c r="O4" i="5"/>
  <c r="O2" i="5"/>
  <c r="O5" i="5"/>
  <c r="K4" i="4"/>
  <c r="L4" i="4"/>
  <c r="G4" i="4"/>
  <c r="F4" i="4"/>
  <c r="E4" i="4"/>
  <c r="B4" i="4"/>
  <c r="P2" i="5" l="1"/>
  <c r="P3" i="5"/>
  <c r="P5" i="5"/>
  <c r="P4" i="5"/>
  <c r="M4" i="4"/>
  <c r="J3" i="4"/>
  <c r="I3" i="4"/>
  <c r="H3" i="4"/>
  <c r="Q3" i="5" l="1"/>
  <c r="Q4" i="5"/>
  <c r="Q5" i="5"/>
  <c r="Q2" i="5"/>
  <c r="L3" i="4"/>
  <c r="K3" i="4"/>
  <c r="G3" i="4"/>
  <c r="F3" i="4"/>
  <c r="E3" i="4"/>
  <c r="B3" i="4"/>
  <c r="T7" i="5"/>
  <c r="T6" i="5"/>
  <c r="C4" i="14" l="1"/>
  <c r="H9" i="12"/>
  <c r="H3" i="16" s="1"/>
  <c r="M3" i="4"/>
  <c r="H2" i="4"/>
  <c r="I2" i="4"/>
  <c r="J2" i="4"/>
  <c r="W7" i="5"/>
  <c r="W5" i="5"/>
  <c r="Z6" i="5"/>
  <c r="T8" i="5"/>
  <c r="Y8" i="5"/>
  <c r="X5" i="5"/>
  <c r="W8" i="5"/>
  <c r="V7" i="5"/>
  <c r="B29" i="15"/>
  <c r="B27" i="15"/>
  <c r="X6" i="5"/>
  <c r="U8" i="5"/>
  <c r="T5" i="5"/>
  <c r="U6" i="5"/>
  <c r="B33" i="15"/>
  <c r="Y6" i="5"/>
  <c r="B26" i="15"/>
  <c r="AB6" i="5"/>
  <c r="AB7" i="5"/>
  <c r="B30" i="15"/>
  <c r="X7" i="5"/>
  <c r="W6" i="5"/>
  <c r="B23" i="15"/>
  <c r="U7" i="5"/>
  <c r="B22" i="15"/>
  <c r="V5" i="5"/>
  <c r="AB8" i="5"/>
  <c r="B21" i="15"/>
  <c r="V6" i="5"/>
  <c r="X8" i="5"/>
  <c r="AB5" i="5"/>
  <c r="B20" i="15"/>
  <c r="Z8" i="5"/>
  <c r="Z5" i="5"/>
  <c r="C31" i="15"/>
  <c r="Y5" i="5"/>
  <c r="B25" i="15"/>
  <c r="B19" i="15"/>
  <c r="Z7" i="5"/>
  <c r="U5" i="5"/>
  <c r="V8" i="5"/>
  <c r="Y7" i="5"/>
  <c r="B31" i="15"/>
  <c r="AA7" i="5" l="1"/>
  <c r="E4" i="14" s="1"/>
  <c r="F4" i="14"/>
  <c r="AG4" i="12"/>
  <c r="F10" i="16" s="1"/>
  <c r="C5" i="12"/>
  <c r="F3" i="16" s="1"/>
  <c r="D4" i="14"/>
  <c r="AA8" i="5"/>
  <c r="AA5" i="5"/>
  <c r="AA6" i="5"/>
  <c r="K2" i="4"/>
  <c r="L2" i="4"/>
  <c r="G2" i="4"/>
  <c r="F2" i="4"/>
  <c r="J5" i="2"/>
  <c r="I4" i="2"/>
  <c r="I2" i="2"/>
  <c r="H4" i="2"/>
  <c r="J4" i="2"/>
  <c r="I5" i="2"/>
  <c r="H5" i="2"/>
  <c r="B3" i="2"/>
  <c r="B13" i="2"/>
  <c r="E2" i="2"/>
  <c r="B9" i="2"/>
  <c r="B12" i="2"/>
  <c r="B10" i="2"/>
  <c r="B7" i="2"/>
  <c r="E5" i="2"/>
  <c r="E3" i="2"/>
  <c r="E2" i="4"/>
  <c r="E4" i="2"/>
  <c r="B11" i="2"/>
  <c r="B8" i="2"/>
  <c r="B4" i="2"/>
  <c r="B2" i="4"/>
  <c r="B6" i="2"/>
  <c r="B2" i="2"/>
  <c r="B5" i="2"/>
  <c r="G4" i="14" l="1"/>
  <c r="M2" i="4"/>
  <c r="L4" i="2"/>
  <c r="L5" i="2"/>
  <c r="K4" i="2"/>
  <c r="K5" i="2"/>
  <c r="G5" i="2"/>
  <c r="G4" i="2"/>
  <c r="G3" i="2"/>
  <c r="F5" i="2"/>
  <c r="F4" i="2"/>
  <c r="F3" i="2"/>
  <c r="H3" i="2"/>
  <c r="J2" i="2"/>
  <c r="I3" i="2"/>
  <c r="H2" i="2"/>
  <c r="J3" i="2"/>
  <c r="N5" i="4" l="1"/>
  <c r="N4" i="4"/>
  <c r="N2" i="4"/>
  <c r="N3" i="4"/>
  <c r="M5" i="2"/>
  <c r="M4" i="2"/>
  <c r="L2" i="2"/>
  <c r="L3" i="2"/>
  <c r="M3" i="2" s="1"/>
  <c r="K3" i="2"/>
  <c r="K2" i="2"/>
  <c r="G2" i="2"/>
  <c r="F2" i="2"/>
  <c r="O2" i="4" l="1"/>
  <c r="O5" i="4"/>
  <c r="O3" i="4"/>
  <c r="O4" i="4"/>
  <c r="M2" i="2"/>
  <c r="N5" i="2" l="1"/>
  <c r="N2" i="2"/>
  <c r="P3" i="4"/>
  <c r="P2" i="4"/>
  <c r="P4" i="4"/>
  <c r="P5" i="4"/>
  <c r="N3" i="2"/>
  <c r="N4" i="2"/>
  <c r="Q4" i="4" l="1"/>
  <c r="Q3" i="4"/>
  <c r="Q5" i="4"/>
  <c r="Q2" i="4"/>
  <c r="O5" i="2"/>
  <c r="O4" i="2"/>
  <c r="O2" i="2"/>
  <c r="O3" i="2"/>
  <c r="T6" i="4"/>
  <c r="V5" i="4"/>
  <c r="X8" i="4"/>
  <c r="T8" i="4"/>
  <c r="Z5" i="4"/>
  <c r="X6" i="4"/>
  <c r="V7" i="4"/>
  <c r="X5" i="4"/>
  <c r="X7" i="4"/>
  <c r="AB8" i="4"/>
  <c r="T5" i="4"/>
  <c r="T7" i="4"/>
  <c r="Z8" i="4"/>
  <c r="Z7" i="4"/>
  <c r="Z6" i="4"/>
  <c r="V8" i="4"/>
  <c r="V6" i="4"/>
  <c r="C3" i="14" l="1"/>
  <c r="P3" i="2"/>
  <c r="P4" i="2"/>
  <c r="P2" i="2"/>
  <c r="P5" i="2"/>
  <c r="D24" i="15"/>
  <c r="W5" i="4"/>
  <c r="D28" i="15"/>
  <c r="Y5" i="4"/>
  <c r="Y7" i="4"/>
  <c r="E19" i="15"/>
  <c r="D31" i="15"/>
  <c r="AB7" i="4"/>
  <c r="AB6" i="4"/>
  <c r="AB5" i="4"/>
  <c r="D21" i="15"/>
  <c r="D27" i="15"/>
  <c r="Y8" i="4"/>
  <c r="U8" i="4"/>
  <c r="D32" i="15"/>
  <c r="W6" i="4"/>
  <c r="U6" i="4"/>
  <c r="D22" i="15"/>
  <c r="W7" i="4"/>
  <c r="D20" i="15"/>
  <c r="W8" i="4"/>
  <c r="Y6" i="4"/>
  <c r="U5" i="4"/>
  <c r="D30" i="15"/>
  <c r="U7" i="4"/>
  <c r="D29" i="15"/>
  <c r="F3" i="14" l="1"/>
  <c r="D3" i="14"/>
  <c r="AG28" i="12"/>
  <c r="C20" i="12"/>
  <c r="AA5" i="4"/>
  <c r="AA6" i="4"/>
  <c r="AA7" i="4"/>
  <c r="E3" i="14" s="1"/>
  <c r="AA8" i="4"/>
  <c r="Q4" i="2"/>
  <c r="Q3" i="2"/>
  <c r="Q5" i="2"/>
  <c r="Q2" i="2"/>
  <c r="T8" i="2"/>
  <c r="U8" i="2"/>
  <c r="Z5" i="2"/>
  <c r="X6" i="2"/>
  <c r="W7" i="2"/>
  <c r="X5" i="2"/>
  <c r="V7" i="2"/>
  <c r="U6" i="2"/>
  <c r="W6" i="2"/>
  <c r="X8" i="2"/>
  <c r="AB5" i="2"/>
  <c r="Z6" i="2"/>
  <c r="V8" i="2"/>
  <c r="Z7" i="2"/>
  <c r="Y7" i="2"/>
  <c r="Z8" i="2"/>
  <c r="Y6" i="2"/>
  <c r="U5" i="2"/>
  <c r="Y8" i="2"/>
  <c r="T5" i="2"/>
  <c r="T6" i="2"/>
  <c r="U7" i="2"/>
  <c r="W8" i="2"/>
  <c r="V5" i="2"/>
  <c r="Y5" i="2"/>
  <c r="AB7" i="2"/>
  <c r="AB6" i="2"/>
  <c r="W5" i="2"/>
  <c r="V6" i="2"/>
  <c r="X7" i="2"/>
  <c r="T7" i="2"/>
  <c r="F16" i="16" l="1"/>
  <c r="AB25" i="12"/>
  <c r="H9" i="16" s="1"/>
  <c r="F6" i="16"/>
  <c r="H24" i="12"/>
  <c r="G3" i="14"/>
  <c r="F2" i="14"/>
  <c r="D2" i="14"/>
  <c r="C2" i="14"/>
  <c r="AG20" i="12"/>
  <c r="C4" i="12"/>
  <c r="F2" i="16" s="1"/>
  <c r="AB8" i="12"/>
  <c r="AA5" i="2"/>
  <c r="AA7" i="2"/>
  <c r="AA6" i="2"/>
  <c r="AA8" i="2"/>
  <c r="D26" i="15"/>
  <c r="C21" i="15"/>
  <c r="C22" i="15"/>
  <c r="D25" i="15"/>
  <c r="D19" i="15"/>
  <c r="C24" i="15"/>
  <c r="C29" i="15"/>
  <c r="C30" i="15"/>
  <c r="C25" i="15"/>
  <c r="C28" i="15"/>
  <c r="C27" i="15"/>
  <c r="C20" i="15"/>
  <c r="C23" i="15"/>
  <c r="D23" i="15"/>
  <c r="AB8" i="2"/>
  <c r="H4" i="16" l="1"/>
  <c r="M17" i="12"/>
  <c r="J3" i="16" s="1"/>
  <c r="F14" i="16"/>
  <c r="AB24" i="12"/>
  <c r="W16" i="12"/>
  <c r="H6" i="16"/>
  <c r="H8" i="12"/>
  <c r="M16" i="12" s="1"/>
  <c r="E2" i="14"/>
  <c r="G2" i="14" s="1"/>
  <c r="J2" i="16" l="1"/>
  <c r="R17" i="12"/>
  <c r="L2" i="16" s="1"/>
  <c r="J4" i="16"/>
  <c r="H2" i="16"/>
  <c r="W17" i="12"/>
  <c r="J5" i="16" s="1"/>
  <c r="H8" i="16"/>
  <c r="H2" i="14"/>
  <c r="H7" i="14"/>
  <c r="H6" i="14"/>
  <c r="H5" i="14"/>
  <c r="H4" i="14"/>
  <c r="H3" i="14"/>
  <c r="R18" i="12" l="1"/>
  <c r="I7" i="14"/>
  <c r="I6" i="14"/>
  <c r="I5" i="14"/>
  <c r="I4" i="14"/>
  <c r="I3" i="14"/>
  <c r="I2" i="14"/>
  <c r="L3" i="16" l="1"/>
  <c r="N2" i="16"/>
  <c r="J3" i="14"/>
  <c r="J5" i="14"/>
  <c r="J7" i="14"/>
  <c r="J4" i="14"/>
  <c r="J6" i="14"/>
  <c r="J2" i="14"/>
  <c r="K6" i="14" l="1"/>
  <c r="K4" i="14"/>
  <c r="K5" i="14"/>
  <c r="K7" i="14"/>
  <c r="K3" i="14"/>
  <c r="K2" i="14"/>
  <c r="L2" i="14" l="1"/>
  <c r="L7" i="14"/>
  <c r="L6" i="14"/>
  <c r="L3" i="14"/>
  <c r="L5" i="14"/>
  <c r="L4" i="14"/>
  <c r="M6" i="14" l="1"/>
  <c r="C16" i="14" s="1"/>
  <c r="M2" i="14"/>
  <c r="M5" i="14"/>
  <c r="C15" i="14" s="1"/>
  <c r="M4" i="14"/>
  <c r="C14" i="14" s="1"/>
  <c r="M3" i="14"/>
  <c r="C13" i="14" s="1"/>
  <c r="M7" i="14"/>
  <c r="C17" i="14" s="1"/>
  <c r="C12" i="14" l="1"/>
  <c r="C18" i="14" s="1"/>
  <c r="S3" i="14"/>
  <c r="T7" i="14"/>
  <c r="O14" i="14"/>
  <c r="R4" i="14"/>
  <c r="Q6" i="14"/>
  <c r="S4" i="14"/>
  <c r="T6" i="14"/>
  <c r="R7" i="14"/>
  <c r="Q5" i="14"/>
  <c r="S7" i="14"/>
  <c r="R6" i="14"/>
  <c r="Q4" i="14"/>
  <c r="R5" i="14"/>
  <c r="S6" i="14"/>
  <c r="Q7" i="14"/>
  <c r="S5" i="14"/>
  <c r="O12" i="14"/>
  <c r="T3" i="14"/>
  <c r="T2" i="14"/>
  <c r="S2" i="14"/>
  <c r="T5" i="14"/>
  <c r="R2" i="14"/>
  <c r="Q3" i="14"/>
  <c r="R3" i="14"/>
  <c r="T4" i="14"/>
  <c r="Q2" i="14"/>
  <c r="AG21" i="12" l="1"/>
  <c r="F15" i="16" s="1"/>
  <c r="O15" i="14"/>
  <c r="O13" i="14"/>
  <c r="C21" i="12" l="1"/>
  <c r="F7" i="16" s="1"/>
  <c r="C13" i="12"/>
  <c r="F5" i="16" s="1"/>
  <c r="AG5" i="12"/>
  <c r="F11" i="16" s="1"/>
</calcChain>
</file>

<file path=xl/sharedStrings.xml><?xml version="1.0" encoding="utf-8"?>
<sst xmlns="http://schemas.openxmlformats.org/spreadsheetml/2006/main" count="265" uniqueCount="150">
  <si>
    <t>Croatie</t>
  </si>
  <si>
    <t>Espagne</t>
  </si>
  <si>
    <t>Angleterre</t>
  </si>
  <si>
    <t>Italie</t>
  </si>
  <si>
    <t>Suisse</t>
  </si>
  <si>
    <t>France</t>
  </si>
  <si>
    <t>Allemagne</t>
  </si>
  <si>
    <t>Portugal</t>
  </si>
  <si>
    <t>Belgique</t>
  </si>
  <si>
    <t>Russie</t>
  </si>
  <si>
    <t>Classement</t>
  </si>
  <si>
    <t>J</t>
  </si>
  <si>
    <t>V</t>
  </si>
  <si>
    <t>N</t>
  </si>
  <si>
    <t>P</t>
  </si>
  <si>
    <t>BP</t>
  </si>
  <si>
    <t>BC</t>
  </si>
  <si>
    <t>Diff</t>
  </si>
  <si>
    <t>Pts</t>
  </si>
  <si>
    <t>FINALE</t>
  </si>
  <si>
    <t>Groupe A</t>
  </si>
  <si>
    <t>Groupe B</t>
  </si>
  <si>
    <t>Groupe C</t>
  </si>
  <si>
    <t>Groupe D</t>
  </si>
  <si>
    <t>Groupe E</t>
  </si>
  <si>
    <t>Groupe F</t>
  </si>
  <si>
    <t>Buts marqués</t>
  </si>
  <si>
    <t>Meilleur Joueur</t>
  </si>
  <si>
    <t>Meilleur Buteur</t>
  </si>
  <si>
    <t>Calcul des points</t>
  </si>
  <si>
    <t>16 équipes qualifiées en 1/8 de finale</t>
  </si>
  <si>
    <t>15pts par équipe pronostiquée présente</t>
  </si>
  <si>
    <t>Total = 300pts</t>
  </si>
  <si>
    <t>8 équipes qualifiées en 1/4 de finale</t>
  </si>
  <si>
    <t>4 équipes qualifiées en 1/2 finale</t>
  </si>
  <si>
    <t>Total = 400pts</t>
  </si>
  <si>
    <t>2 équipes qualifiées en finale</t>
  </si>
  <si>
    <t>Vainqueur</t>
  </si>
  <si>
    <t>Joueurs</t>
  </si>
  <si>
    <t>Buts marqués (Malus possible)</t>
  </si>
  <si>
    <t>Total des points</t>
  </si>
  <si>
    <t>Roumanie</t>
  </si>
  <si>
    <t>Albanie</t>
  </si>
  <si>
    <t>Slovaquie</t>
  </si>
  <si>
    <t>Ukraine</t>
  </si>
  <si>
    <t>Pologne</t>
  </si>
  <si>
    <t>Irlande du Nord</t>
  </si>
  <si>
    <t>République Tchèque</t>
  </si>
  <si>
    <t>Turquie</t>
  </si>
  <si>
    <t>Irlande</t>
  </si>
  <si>
    <t>Suède</t>
  </si>
  <si>
    <t>Islande</t>
  </si>
  <si>
    <t>Autriche</t>
  </si>
  <si>
    <t>Hongrie</t>
  </si>
  <si>
    <t>A B C D</t>
  </si>
  <si>
    <t>A B C E</t>
  </si>
  <si>
    <t>A B C F</t>
  </si>
  <si>
    <t>A B D E</t>
  </si>
  <si>
    <t>A B D F</t>
  </si>
  <si>
    <t>A B E F</t>
  </si>
  <si>
    <t>A C D E</t>
  </si>
  <si>
    <t>A C D F</t>
  </si>
  <si>
    <t>A C E F</t>
  </si>
  <si>
    <t>A D E F</t>
  </si>
  <si>
    <t>B C D E</t>
  </si>
  <si>
    <t>B C D F</t>
  </si>
  <si>
    <t>B C E F</t>
  </si>
  <si>
    <t>B D E F</t>
  </si>
  <si>
    <t>C D E F</t>
  </si>
  <si>
    <t>Adversaires de</t>
  </si>
  <si>
    <t>1A</t>
  </si>
  <si>
    <t>1B</t>
  </si>
  <si>
    <t>1C</t>
  </si>
  <si>
    <t>1D</t>
  </si>
  <si>
    <t>36 matches de poule</t>
  </si>
  <si>
    <t>BONUS de 40 pts supplémentaires si plus de 50% de bons pronostics</t>
  </si>
  <si>
    <t>Total = 800pts</t>
  </si>
  <si>
    <t>20 points par bons scores</t>
  </si>
  <si>
    <t>15 points par bon pronostic mais mauvais score</t>
  </si>
  <si>
    <t>BONUS de 20 points si plus de 8 équipes correctes</t>
  </si>
  <si>
    <t>BONUS de 20 points supplémentaires si plus de 12 équipes correctes</t>
  </si>
  <si>
    <t>Total = 280pts</t>
  </si>
  <si>
    <t>25pts par équipe pronostiquée présente</t>
  </si>
  <si>
    <t>BONUS de 50 points si plus de 4 équipes correctes</t>
  </si>
  <si>
    <t>BONUS de 50 points supplémentaires si plus de 6 équipes correctes</t>
  </si>
  <si>
    <t>60pts par équipe pronostiquée présente</t>
  </si>
  <si>
    <t>BONUS de 80 points si au moins 3 équipes correctes sur 4</t>
  </si>
  <si>
    <t>Total = 320pts</t>
  </si>
  <si>
    <t>120pts par équipe pronostiquée présente</t>
  </si>
  <si>
    <t>BONUS de 100 points si 2 équipes correctes sur 2</t>
  </si>
  <si>
    <t>Total = 340pts</t>
  </si>
  <si>
    <t>400pts pour le bon pronostic du Vainqueur de la Coupe du Monde</t>
  </si>
  <si>
    <t>100pts pour le bon pronostic du Meilleur Joueur nommé par l'UEFA</t>
  </si>
  <si>
    <t>100pts pour le bon pronostic du Meilleur Buteur nommé par l'UEFA</t>
  </si>
  <si>
    <t>Total = 200pts</t>
  </si>
  <si>
    <t>Points = 210 -  5 * |Buts marqués - Pronostics|</t>
  </si>
  <si>
    <t>Total max = 210pts</t>
  </si>
  <si>
    <t>800 + 280 + 300 + 320 + 340 + 400 + 200 + 210</t>
  </si>
  <si>
    <t>2850pts possibles</t>
  </si>
  <si>
    <t>A</t>
  </si>
  <si>
    <t>B</t>
  </si>
  <si>
    <t>C</t>
  </si>
  <si>
    <t>D</t>
  </si>
  <si>
    <t>E</t>
  </si>
  <si>
    <t>F</t>
  </si>
  <si>
    <t>Tableau Final</t>
  </si>
  <si>
    <t>Pays de Galles</t>
  </si>
  <si>
    <t>France - Roumanie</t>
  </si>
  <si>
    <t>Albanie - Suisse</t>
  </si>
  <si>
    <t>Pays de Galles - Slovaquie</t>
  </si>
  <si>
    <t>Angleterre - Russie</t>
  </si>
  <si>
    <t>Turquie - Croatie</t>
  </si>
  <si>
    <t>Pologne - Irlande du Nord</t>
  </si>
  <si>
    <t>Allemagne - Ukraine</t>
  </si>
  <si>
    <t>Espagne - Rép. Tchèque</t>
  </si>
  <si>
    <t>Irlande - Suède</t>
  </si>
  <si>
    <t>Belgique - Italie</t>
  </si>
  <si>
    <t>Autriche - Hongrie</t>
  </si>
  <si>
    <t>Portugal - Islande</t>
  </si>
  <si>
    <t>Russie - Slovaquie</t>
  </si>
  <si>
    <t>Roumanie - Suisse</t>
  </si>
  <si>
    <t>France - Albanie</t>
  </si>
  <si>
    <t>Angleterre - Pays de Galles</t>
  </si>
  <si>
    <t>Ukraine - Irlande du Nord</t>
  </si>
  <si>
    <t>Allemagne - Pologne</t>
  </si>
  <si>
    <t>Italie - Suède</t>
  </si>
  <si>
    <t>Rép. Tchèque - Croatie</t>
  </si>
  <si>
    <t>Espagne - Turquie</t>
  </si>
  <si>
    <t>Belgique - Irlande</t>
  </si>
  <si>
    <t>Islande - Hongrie</t>
  </si>
  <si>
    <t>Portugal - Autriche</t>
  </si>
  <si>
    <t>France - Suisse</t>
  </si>
  <si>
    <t>Roumanie - Albanie</t>
  </si>
  <si>
    <t>Angleterre - Slovaquie</t>
  </si>
  <si>
    <t>Russie - Pays de Galles</t>
  </si>
  <si>
    <t>Allemagne - Irlande du Nord</t>
  </si>
  <si>
    <t>Ukraine - Pologne</t>
  </si>
  <si>
    <t>Espagne - Croatie</t>
  </si>
  <si>
    <t>Rép. Tchèque - Turquie</t>
  </si>
  <si>
    <t>Portugal - Hongrie</t>
  </si>
  <si>
    <t>Islande - Autriche</t>
  </si>
  <si>
    <t>Belgique - Suède</t>
  </si>
  <si>
    <t>Italie - Irlande</t>
  </si>
  <si>
    <t>1/8 de finalistes</t>
  </si>
  <si>
    <t>1/4 de finalistes</t>
  </si>
  <si>
    <t>1/2 finalistes</t>
  </si>
  <si>
    <t>Finalistes</t>
  </si>
  <si>
    <t>BONUS de 50 pts si plus de 50% de bons scores</t>
  </si>
  <si>
    <t>Griezmann</t>
  </si>
  <si>
    <t>Muller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</si>
</sst>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4"/>
      <color indexed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164" fontId="0" fillId="0" borderId="4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5" borderId="24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6" borderId="23" xfId="0" applyFill="1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10" borderId="32" xfId="0" applyFill="1" applyBorder="1" applyAlignment="1">
      <alignment vertical="center"/>
    </xf>
    <xf numFmtId="0" fontId="0" fillId="10" borderId="33" xfId="0" applyFill="1" applyBorder="1" applyAlignment="1">
      <alignment vertical="center"/>
    </xf>
    <xf numFmtId="0" fontId="0" fillId="11" borderId="32" xfId="0" applyFill="1" applyBorder="1" applyAlignment="1">
      <alignment vertical="center"/>
    </xf>
    <xf numFmtId="0" fontId="0" fillId="11" borderId="33" xfId="0" applyFill="1" applyBorder="1" applyAlignment="1">
      <alignment vertical="center"/>
    </xf>
    <xf numFmtId="0" fontId="0" fillId="7" borderId="32" xfId="0" applyFill="1" applyBorder="1" applyAlignment="1">
      <alignment vertical="center"/>
    </xf>
    <xf numFmtId="0" fontId="0" fillId="7" borderId="33" xfId="0" applyFill="1" applyBorder="1" applyAlignment="1">
      <alignment vertical="center"/>
    </xf>
    <xf numFmtId="0" fontId="2" fillId="8" borderId="32" xfId="0" applyFont="1" applyFill="1" applyBorder="1" applyAlignment="1">
      <alignment vertical="center"/>
    </xf>
    <xf numFmtId="0" fontId="2" fillId="8" borderId="33" xfId="0" applyFont="1" applyFill="1" applyBorder="1" applyAlignment="1">
      <alignment vertical="center"/>
    </xf>
    <xf numFmtId="0" fontId="0" fillId="10" borderId="31" xfId="0" applyFill="1" applyBorder="1" applyAlignment="1" applyProtection="1">
      <alignment vertical="center"/>
      <protection locked="0"/>
    </xf>
    <xf numFmtId="0" fontId="0" fillId="10" borderId="5" xfId="0" applyFill="1" applyBorder="1" applyAlignment="1" applyProtection="1">
      <alignment vertical="center"/>
      <protection locked="0"/>
    </xf>
    <xf numFmtId="0" fontId="0" fillId="10" borderId="25" xfId="0" applyFill="1" applyBorder="1" applyAlignment="1" applyProtection="1">
      <alignment vertical="center"/>
      <protection locked="0"/>
    </xf>
    <xf numFmtId="0" fontId="0" fillId="10" borderId="8" xfId="0" applyFill="1" applyBorder="1" applyAlignment="1" applyProtection="1">
      <alignment vertical="center"/>
      <protection locked="0"/>
    </xf>
    <xf numFmtId="0" fontId="0" fillId="11" borderId="31" xfId="0" applyFill="1" applyBorder="1" applyAlignment="1" applyProtection="1">
      <alignment vertical="center"/>
      <protection locked="0"/>
    </xf>
    <xf numFmtId="0" fontId="0" fillId="11" borderId="5" xfId="0" applyFill="1" applyBorder="1" applyAlignment="1" applyProtection="1">
      <alignment vertical="center"/>
      <protection locked="0"/>
    </xf>
    <xf numFmtId="0" fontId="0" fillId="11" borderId="25" xfId="0" applyFill="1" applyBorder="1" applyAlignment="1" applyProtection="1">
      <alignment vertical="center"/>
      <protection locked="0"/>
    </xf>
    <xf numFmtId="0" fontId="0" fillId="11" borderId="8" xfId="0" applyFill="1" applyBorder="1" applyAlignment="1" applyProtection="1">
      <alignment vertical="center"/>
      <protection locked="0"/>
    </xf>
    <xf numFmtId="0" fontId="0" fillId="7" borderId="31" xfId="0" applyFill="1" applyBorder="1" applyAlignment="1" applyProtection="1">
      <alignment vertical="center"/>
      <protection locked="0"/>
    </xf>
    <xf numFmtId="0" fontId="0" fillId="7" borderId="5" xfId="0" applyFill="1" applyBorder="1" applyAlignment="1" applyProtection="1">
      <alignment vertical="center"/>
      <protection locked="0"/>
    </xf>
    <xf numFmtId="0" fontId="0" fillId="7" borderId="25" xfId="0" applyFill="1" applyBorder="1" applyAlignment="1" applyProtection="1">
      <alignment vertical="center"/>
      <protection locked="0"/>
    </xf>
    <xf numFmtId="0" fontId="0" fillId="7" borderId="8" xfId="0" applyFill="1" applyBorder="1" applyAlignment="1" applyProtection="1">
      <alignment vertical="center"/>
      <protection locked="0"/>
    </xf>
    <xf numFmtId="0" fontId="2" fillId="8" borderId="31" xfId="0" applyFont="1" applyFill="1" applyBorder="1" applyAlignment="1" applyProtection="1">
      <alignment vertical="center"/>
      <protection locked="0"/>
    </xf>
    <xf numFmtId="0" fontId="2" fillId="8" borderId="5" xfId="0" applyFont="1" applyFill="1" applyBorder="1" applyAlignment="1" applyProtection="1">
      <alignment vertical="center"/>
      <protection locked="0"/>
    </xf>
    <xf numFmtId="0" fontId="2" fillId="8" borderId="25" xfId="0" applyFont="1" applyFill="1" applyBorder="1" applyAlignment="1" applyProtection="1">
      <alignment vertical="center"/>
      <protection locked="0"/>
    </xf>
    <xf numFmtId="0" fontId="2" fillId="8" borderId="8" xfId="0" applyFont="1" applyFill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40" xfId="0" applyBorder="1" applyAlignment="1">
      <alignment vertical="center"/>
    </xf>
    <xf numFmtId="0" fontId="6" fillId="6" borderId="18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5" borderId="41" xfId="0" applyFont="1" applyFill="1" applyBorder="1" applyAlignment="1">
      <alignment horizontal="center" vertical="center"/>
    </xf>
    <xf numFmtId="0" fontId="1" fillId="13" borderId="41" xfId="0" applyFont="1" applyFill="1" applyBorder="1" applyAlignment="1">
      <alignment horizontal="center" vertical="center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1" fillId="13" borderId="3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2" fillId="21" borderId="0" xfId="0" applyFont="1" applyFill="1" applyBorder="1" applyAlignment="1">
      <alignment vertical="center"/>
    </xf>
    <xf numFmtId="0" fontId="2" fillId="21" borderId="0" xfId="0" applyFont="1" applyFill="1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21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12" fillId="21" borderId="0" xfId="0" applyFont="1" applyFill="1" applyAlignment="1">
      <alignment vertical="center"/>
    </xf>
    <xf numFmtId="0" fontId="12" fillId="23" borderId="3" xfId="0" applyFont="1" applyFill="1" applyBorder="1" applyAlignment="1">
      <alignment vertical="center"/>
    </xf>
    <xf numFmtId="0" fontId="12" fillId="23" borderId="57" xfId="0" applyFont="1" applyFill="1" applyBorder="1" applyAlignment="1">
      <alignment vertical="center"/>
    </xf>
    <xf numFmtId="0" fontId="12" fillId="23" borderId="14" xfId="0" applyFont="1" applyFill="1" applyBorder="1" applyAlignment="1">
      <alignment vertical="center"/>
    </xf>
    <xf numFmtId="0" fontId="12" fillId="23" borderId="50" xfId="0" applyFont="1" applyFill="1" applyBorder="1" applyAlignment="1">
      <alignment vertical="center"/>
    </xf>
    <xf numFmtId="0" fontId="12" fillId="24" borderId="14" xfId="0" applyFont="1" applyFill="1" applyBorder="1" applyAlignment="1">
      <alignment vertical="center"/>
    </xf>
    <xf numFmtId="0" fontId="12" fillId="24" borderId="50" xfId="0" applyFont="1" applyFill="1" applyBorder="1" applyAlignment="1">
      <alignment vertical="center"/>
    </xf>
    <xf numFmtId="0" fontId="12" fillId="24" borderId="6" xfId="0" applyFont="1" applyFill="1" applyBorder="1" applyAlignment="1">
      <alignment vertical="center"/>
    </xf>
    <xf numFmtId="0" fontId="12" fillId="24" borderId="58" xfId="0" applyFont="1" applyFill="1" applyBorder="1" applyAlignment="1">
      <alignment vertical="center"/>
    </xf>
    <xf numFmtId="0" fontId="12" fillId="23" borderId="3" xfId="0" applyFont="1" applyFill="1" applyBorder="1" applyAlignment="1">
      <alignment horizontal="center" vertical="center"/>
    </xf>
    <xf numFmtId="0" fontId="12" fillId="23" borderId="4" xfId="0" applyFont="1" applyFill="1" applyBorder="1" applyAlignment="1">
      <alignment horizontal="center" vertical="center"/>
    </xf>
    <xf numFmtId="0" fontId="12" fillId="23" borderId="5" xfId="0" applyFont="1" applyFill="1" applyBorder="1" applyAlignment="1">
      <alignment horizontal="center" vertical="center"/>
    </xf>
    <xf numFmtId="0" fontId="12" fillId="23" borderId="14" xfId="0" applyFont="1" applyFill="1" applyBorder="1" applyAlignment="1">
      <alignment horizontal="center" vertical="center"/>
    </xf>
    <xf numFmtId="0" fontId="12" fillId="23" borderId="1" xfId="0" applyFont="1" applyFill="1" applyBorder="1" applyAlignment="1">
      <alignment horizontal="center" vertical="center"/>
    </xf>
    <xf numFmtId="0" fontId="12" fillId="23" borderId="15" xfId="0" applyFont="1" applyFill="1" applyBorder="1" applyAlignment="1">
      <alignment horizontal="center" vertical="center"/>
    </xf>
    <xf numFmtId="0" fontId="12" fillId="24" borderId="14" xfId="0" applyFont="1" applyFill="1" applyBorder="1" applyAlignment="1">
      <alignment horizontal="center" vertical="center"/>
    </xf>
    <xf numFmtId="0" fontId="12" fillId="24" borderId="1" xfId="0" applyFont="1" applyFill="1" applyBorder="1" applyAlignment="1">
      <alignment horizontal="center" vertical="center"/>
    </xf>
    <xf numFmtId="0" fontId="12" fillId="24" borderId="15" xfId="0" applyFont="1" applyFill="1" applyBorder="1" applyAlignment="1">
      <alignment horizontal="center" vertical="center"/>
    </xf>
    <xf numFmtId="0" fontId="12" fillId="24" borderId="6" xfId="0" applyFont="1" applyFill="1" applyBorder="1" applyAlignment="1">
      <alignment horizontal="center" vertical="center"/>
    </xf>
    <xf numFmtId="0" fontId="12" fillId="24" borderId="7" xfId="0" applyFont="1" applyFill="1" applyBorder="1" applyAlignment="1">
      <alignment horizontal="center" vertical="center"/>
    </xf>
    <xf numFmtId="0" fontId="12" fillId="24" borderId="8" xfId="0" applyFont="1" applyFill="1" applyBorder="1" applyAlignment="1">
      <alignment horizontal="center" vertical="center"/>
    </xf>
    <xf numFmtId="0" fontId="12" fillId="21" borderId="54" xfId="0" applyFont="1" applyFill="1" applyBorder="1" applyAlignment="1">
      <alignment horizontal="center" vertical="center"/>
    </xf>
    <xf numFmtId="0" fontId="12" fillId="21" borderId="55" xfId="0" applyFont="1" applyFill="1" applyBorder="1" applyAlignment="1">
      <alignment horizontal="center" vertical="center"/>
    </xf>
    <xf numFmtId="0" fontId="12" fillId="21" borderId="56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11" fillId="22" borderId="9" xfId="0" applyFont="1" applyFill="1" applyBorder="1" applyAlignment="1">
      <alignment horizontal="center" vertical="center"/>
    </xf>
    <xf numFmtId="0" fontId="11" fillId="22" borderId="10" xfId="0" applyFont="1" applyFill="1" applyBorder="1" applyAlignment="1">
      <alignment horizontal="center" vertical="center"/>
    </xf>
    <xf numFmtId="0" fontId="11" fillId="22" borderId="11" xfId="0" applyFont="1" applyFill="1" applyBorder="1" applyAlignment="1">
      <alignment horizontal="center" vertical="center"/>
    </xf>
    <xf numFmtId="0" fontId="11" fillId="22" borderId="53" xfId="0" applyFont="1" applyFill="1" applyBorder="1" applyAlignment="1">
      <alignment horizontal="center" vertical="center"/>
    </xf>
    <xf numFmtId="0" fontId="11" fillId="22" borderId="0" xfId="0" applyFont="1" applyFill="1" applyBorder="1" applyAlignment="1">
      <alignment horizontal="center" vertical="center"/>
    </xf>
    <xf numFmtId="0" fontId="11" fillId="22" borderId="13" xfId="0" applyFont="1" applyFill="1" applyBorder="1" applyAlignment="1">
      <alignment horizontal="center" vertical="center"/>
    </xf>
    <xf numFmtId="0" fontId="11" fillId="22" borderId="12" xfId="0" applyFont="1" applyFill="1" applyBorder="1" applyAlignment="1">
      <alignment horizontal="center" vertical="center"/>
    </xf>
    <xf numFmtId="0" fontId="11" fillId="22" borderId="42" xfId="0" applyFont="1" applyFill="1" applyBorder="1" applyAlignment="1">
      <alignment horizontal="center" vertical="center"/>
    </xf>
    <xf numFmtId="0" fontId="11" fillId="22" borderId="43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8" fillId="21" borderId="0" xfId="0" applyFont="1" applyFill="1" applyBorder="1" applyAlignment="1">
      <alignment horizontal="center" vertical="center"/>
    </xf>
    <xf numFmtId="0" fontId="1" fillId="21" borderId="0" xfId="0" applyFont="1" applyFill="1" applyBorder="1" applyAlignment="1">
      <alignment horizontal="center" vertical="center"/>
    </xf>
    <xf numFmtId="164" fontId="2" fillId="21" borderId="0" xfId="0" applyNumberFormat="1" applyFont="1" applyFill="1" applyBorder="1" applyAlignment="1">
      <alignment horizontal="center" vertical="center"/>
    </xf>
    <xf numFmtId="164" fontId="0" fillId="11" borderId="30" xfId="0" applyNumberFormat="1" applyFill="1" applyBorder="1" applyAlignment="1">
      <alignment horizontal="center" vertical="center"/>
    </xf>
    <xf numFmtId="164" fontId="0" fillId="11" borderId="23" xfId="0" applyNumberFormat="1" applyFill="1" applyBorder="1" applyAlignment="1">
      <alignment horizontal="center" vertical="center"/>
    </xf>
    <xf numFmtId="164" fontId="0" fillId="10" borderId="30" xfId="0" applyNumberFormat="1" applyFill="1" applyBorder="1" applyAlignment="1">
      <alignment horizontal="center" vertical="center"/>
    </xf>
    <xf numFmtId="164" fontId="0" fillId="10" borderId="23" xfId="0" applyNumberFormat="1" applyFill="1" applyBorder="1" applyAlignment="1">
      <alignment horizontal="center" vertical="center"/>
    </xf>
    <xf numFmtId="164" fontId="0" fillId="7" borderId="30" xfId="0" applyNumberFormat="1" applyFill="1" applyBorder="1" applyAlignment="1">
      <alignment horizontal="center" vertical="center"/>
    </xf>
    <xf numFmtId="164" fontId="0" fillId="7" borderId="23" xfId="0" applyNumberForma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164" fontId="2" fillId="8" borderId="35" xfId="0" applyNumberFormat="1" applyFont="1" applyFill="1" applyBorder="1" applyAlignment="1">
      <alignment horizontal="center" vertical="center"/>
    </xf>
    <xf numFmtId="164" fontId="2" fillId="8" borderId="36" xfId="0" applyNumberFormat="1" applyFont="1" applyFill="1" applyBorder="1" applyAlignment="1">
      <alignment horizontal="center" vertical="center"/>
    </xf>
    <xf numFmtId="0" fontId="6" fillId="15" borderId="50" xfId="0" applyFont="1" applyFill="1" applyBorder="1" applyAlignment="1">
      <alignment horizontal="center" vertical="center"/>
    </xf>
    <xf numFmtId="0" fontId="6" fillId="15" borderId="51" xfId="0" applyFont="1" applyFill="1" applyBorder="1" applyAlignment="1">
      <alignment horizontal="center" vertical="center"/>
    </xf>
    <xf numFmtId="0" fontId="6" fillId="15" borderId="52" xfId="0" applyFont="1" applyFill="1" applyBorder="1" applyAlignment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6" fillId="15" borderId="44" xfId="0" applyFont="1" applyFill="1" applyBorder="1" applyAlignment="1">
      <alignment horizontal="center" vertical="center"/>
    </xf>
    <xf numFmtId="0" fontId="6" fillId="15" borderId="45" xfId="0" applyFont="1" applyFill="1" applyBorder="1" applyAlignment="1">
      <alignment horizontal="center" vertical="center"/>
    </xf>
    <xf numFmtId="0" fontId="6" fillId="15" borderId="46" xfId="0" applyFont="1" applyFill="1" applyBorder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37" xfId="0" applyFill="1" applyBorder="1" applyAlignment="1">
      <alignment horizontal="center" vertical="center"/>
    </xf>
    <xf numFmtId="0" fontId="0" fillId="15" borderId="47" xfId="0" applyFill="1" applyBorder="1" applyAlignment="1">
      <alignment horizontal="center" vertical="center"/>
    </xf>
    <xf numFmtId="0" fontId="0" fillId="15" borderId="48" xfId="0" applyFill="1" applyBorder="1" applyAlignment="1">
      <alignment horizontal="center" vertical="center"/>
    </xf>
    <xf numFmtId="0" fontId="0" fillId="15" borderId="49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6" fillId="16" borderId="44" xfId="0" applyFont="1" applyFill="1" applyBorder="1" applyAlignment="1">
      <alignment horizontal="center" vertical="center"/>
    </xf>
    <xf numFmtId="0" fontId="6" fillId="16" borderId="45" xfId="0" applyFont="1" applyFill="1" applyBorder="1" applyAlignment="1">
      <alignment horizontal="center" vertical="center"/>
    </xf>
    <xf numFmtId="0" fontId="6" fillId="16" borderId="46" xfId="0" applyFont="1" applyFill="1" applyBorder="1" applyAlignment="1">
      <alignment horizontal="center" vertical="center"/>
    </xf>
    <xf numFmtId="0" fontId="0" fillId="16" borderId="39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16" borderId="37" xfId="0" applyFill="1" applyBorder="1" applyAlignment="1">
      <alignment horizontal="center" vertical="center"/>
    </xf>
    <xf numFmtId="0" fontId="6" fillId="16" borderId="50" xfId="0" applyFont="1" applyFill="1" applyBorder="1" applyAlignment="1">
      <alignment horizontal="center" vertical="center"/>
    </xf>
    <xf numFmtId="0" fontId="6" fillId="16" borderId="51" xfId="0" applyFont="1" applyFill="1" applyBorder="1" applyAlignment="1">
      <alignment horizontal="center" vertical="center"/>
    </xf>
    <xf numFmtId="0" fontId="6" fillId="16" borderId="52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46" xfId="0" applyFont="1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6" fillId="6" borderId="50" xfId="0" applyFont="1" applyFill="1" applyBorder="1" applyAlignment="1">
      <alignment horizontal="center" vertical="center"/>
    </xf>
    <xf numFmtId="0" fontId="6" fillId="6" borderId="51" xfId="0" applyFont="1" applyFill="1" applyBorder="1" applyAlignment="1">
      <alignment horizontal="center" vertical="center"/>
    </xf>
    <xf numFmtId="0" fontId="6" fillId="6" borderId="52" xfId="0" applyFont="1" applyFill="1" applyBorder="1" applyAlignment="1">
      <alignment horizontal="center" vertical="center"/>
    </xf>
    <xf numFmtId="0" fontId="6" fillId="5" borderId="44" xfId="0" applyFont="1" applyFill="1" applyBorder="1" applyAlignment="1">
      <alignment horizontal="center" vertical="center"/>
    </xf>
    <xf numFmtId="0" fontId="6" fillId="5" borderId="45" xfId="0" applyFont="1" applyFill="1" applyBorder="1" applyAlignment="1">
      <alignment horizontal="center" vertical="center"/>
    </xf>
    <xf numFmtId="0" fontId="6" fillId="5" borderId="46" xfId="0" applyFont="1" applyFill="1" applyBorder="1" applyAlignment="1">
      <alignment horizontal="center" vertical="center"/>
    </xf>
    <xf numFmtId="0" fontId="0" fillId="19" borderId="39" xfId="0" applyFill="1" applyBorder="1" applyAlignment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0" fillId="19" borderId="37" xfId="0" applyFill="1" applyBorder="1" applyAlignment="1">
      <alignment horizontal="center" vertical="center"/>
    </xf>
    <xf numFmtId="0" fontId="6" fillId="5" borderId="50" xfId="0" applyFont="1" applyFill="1" applyBorder="1" applyAlignment="1">
      <alignment horizontal="center" vertical="center"/>
    </xf>
    <xf numFmtId="0" fontId="6" fillId="5" borderId="51" xfId="0" applyFont="1" applyFill="1" applyBorder="1" applyAlignment="1">
      <alignment horizontal="center" vertical="center"/>
    </xf>
    <xf numFmtId="0" fontId="6" fillId="5" borderId="52" xfId="0" applyFont="1" applyFill="1" applyBorder="1" applyAlignment="1">
      <alignment horizontal="center" vertical="center"/>
    </xf>
    <xf numFmtId="0" fontId="6" fillId="17" borderId="44" xfId="0" applyFont="1" applyFill="1" applyBorder="1" applyAlignment="1">
      <alignment horizontal="center" vertical="center"/>
    </xf>
    <xf numFmtId="0" fontId="6" fillId="17" borderId="45" xfId="0" applyFont="1" applyFill="1" applyBorder="1" applyAlignment="1">
      <alignment horizontal="center" vertical="center"/>
    </xf>
    <xf numFmtId="0" fontId="6" fillId="17" borderId="46" xfId="0" applyFont="1" applyFill="1" applyBorder="1" applyAlignment="1">
      <alignment horizontal="center" vertical="center"/>
    </xf>
    <xf numFmtId="0" fontId="0" fillId="17" borderId="39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7" borderId="37" xfId="0" applyFill="1" applyBorder="1" applyAlignment="1">
      <alignment horizontal="center" vertical="center"/>
    </xf>
    <xf numFmtId="0" fontId="6" fillId="17" borderId="50" xfId="0" applyFont="1" applyFill="1" applyBorder="1" applyAlignment="1">
      <alignment horizontal="center" vertical="center"/>
    </xf>
    <xf numFmtId="0" fontId="6" fillId="17" borderId="51" xfId="0" applyFont="1" applyFill="1" applyBorder="1" applyAlignment="1">
      <alignment horizontal="center" vertical="center"/>
    </xf>
    <xf numFmtId="0" fontId="6" fillId="17" borderId="52" xfId="0" applyFont="1" applyFill="1" applyBorder="1" applyAlignment="1">
      <alignment horizontal="center" vertical="center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0" fillId="18" borderId="39" xfId="0" applyFill="1" applyBorder="1" applyAlignment="1">
      <alignment horizontal="center" vertical="center"/>
    </xf>
    <xf numFmtId="0" fontId="0" fillId="18" borderId="0" xfId="0" applyFill="1" applyBorder="1" applyAlignment="1">
      <alignment horizontal="center" vertical="center"/>
    </xf>
    <xf numFmtId="0" fontId="0" fillId="18" borderId="37" xfId="0" applyFill="1" applyBorder="1" applyAlignment="1">
      <alignment horizontal="center" vertical="center"/>
    </xf>
    <xf numFmtId="0" fontId="6" fillId="18" borderId="50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center"/>
    </xf>
    <xf numFmtId="0" fontId="6" fillId="18" borderId="52" xfId="0" applyFont="1" applyFill="1" applyBorder="1" applyAlignment="1">
      <alignment horizontal="center" vertical="center"/>
    </xf>
    <xf numFmtId="0" fontId="6" fillId="19" borderId="44" xfId="0" applyFont="1" applyFill="1" applyBorder="1" applyAlignment="1">
      <alignment horizontal="center" vertical="center"/>
    </xf>
    <xf numFmtId="0" fontId="6" fillId="19" borderId="45" xfId="0" applyFont="1" applyFill="1" applyBorder="1" applyAlignment="1">
      <alignment horizontal="center" vertical="center"/>
    </xf>
    <xf numFmtId="0" fontId="6" fillId="19" borderId="46" xfId="0" applyFont="1" applyFill="1" applyBorder="1" applyAlignment="1">
      <alignment horizontal="center" vertical="center"/>
    </xf>
    <xf numFmtId="0" fontId="7" fillId="20" borderId="50" xfId="0" applyFont="1" applyFill="1" applyBorder="1" applyAlignment="1">
      <alignment horizontal="center" vertical="center"/>
    </xf>
    <xf numFmtId="0" fontId="7" fillId="20" borderId="51" xfId="0" applyFont="1" applyFill="1" applyBorder="1" applyAlignment="1">
      <alignment horizontal="center" vertical="center"/>
    </xf>
    <xf numFmtId="0" fontId="7" fillId="20" borderId="52" xfId="0" applyFont="1" applyFill="1" applyBorder="1" applyAlignment="1">
      <alignment horizontal="center" vertical="center"/>
    </xf>
    <xf numFmtId="0" fontId="6" fillId="19" borderId="50" xfId="0" applyFont="1" applyFill="1" applyBorder="1" applyAlignment="1">
      <alignment horizontal="center" vertical="center"/>
    </xf>
    <xf numFmtId="0" fontId="6" fillId="19" borderId="51" xfId="0" applyFont="1" applyFill="1" applyBorder="1" applyAlignment="1">
      <alignment horizontal="center" vertical="center"/>
    </xf>
    <xf numFmtId="0" fontId="6" fillId="19" borderId="52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6" xfId="0" applyFont="1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2" xfId="0" applyFont="1" applyFill="1" applyBorder="1" applyAlignment="1">
      <alignment horizontal="center" vertical="center"/>
    </xf>
    <xf numFmtId="0" fontId="7" fillId="20" borderId="44" xfId="0" applyFont="1" applyFill="1" applyBorder="1" applyAlignment="1">
      <alignment horizontal="center" vertical="center"/>
    </xf>
    <xf numFmtId="0" fontId="7" fillId="20" borderId="45" xfId="0" applyFont="1" applyFill="1" applyBorder="1" applyAlignment="1">
      <alignment horizontal="center" vertical="center"/>
    </xf>
    <xf numFmtId="0" fontId="7" fillId="20" borderId="46" xfId="0" applyFont="1" applyFill="1" applyBorder="1" applyAlignment="1">
      <alignment horizontal="center" vertical="center"/>
    </xf>
    <xf numFmtId="0" fontId="10" fillId="20" borderId="39" xfId="0" applyFont="1" applyFill="1" applyBorder="1" applyAlignment="1">
      <alignment horizontal="center" vertical="center"/>
    </xf>
    <xf numFmtId="0" fontId="10" fillId="20" borderId="0" xfId="0" applyFont="1" applyFill="1" applyBorder="1" applyAlignment="1">
      <alignment horizontal="center" vertical="center"/>
    </xf>
    <xf numFmtId="0" fontId="10" fillId="20" borderId="37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>
      <selection activeCell="B4" sqref="B4"/>
    </sheetView>
  </sheetViews>
  <sheetFormatPr baseColWidth="10" defaultRowHeight="15" x14ac:dyDescent="0.25"/>
  <cols>
    <col min="1" max="8" width="14.28515625" customWidth="1"/>
  </cols>
  <sheetData>
    <row r="1" spans="1:6" x14ac:dyDescent="0.25">
      <c r="A1" t="s">
        <v>5</v>
      </c>
      <c r="B1" t="s">
        <v>2</v>
      </c>
      <c r="C1" t="s">
        <v>6</v>
      </c>
      <c r="D1" t="s">
        <v>1</v>
      </c>
      <c r="E1" t="s">
        <v>8</v>
      </c>
      <c r="F1" t="s">
        <v>7</v>
      </c>
    </row>
    <row r="2" spans="1:6" x14ac:dyDescent="0.25">
      <c r="A2" t="s">
        <v>41</v>
      </c>
      <c r="B2" t="s">
        <v>9</v>
      </c>
      <c r="C2" t="s">
        <v>44</v>
      </c>
      <c r="D2" t="s">
        <v>47</v>
      </c>
      <c r="E2" t="s">
        <v>3</v>
      </c>
      <c r="F2" t="s">
        <v>51</v>
      </c>
    </row>
    <row r="3" spans="1:6" x14ac:dyDescent="0.25">
      <c r="A3" t="s">
        <v>42</v>
      </c>
      <c r="B3" t="s">
        <v>106</v>
      </c>
      <c r="C3" t="s">
        <v>45</v>
      </c>
      <c r="D3" t="s">
        <v>48</v>
      </c>
      <c r="E3" t="s">
        <v>49</v>
      </c>
      <c r="F3" t="s">
        <v>52</v>
      </c>
    </row>
    <row r="4" spans="1:6" x14ac:dyDescent="0.25">
      <c r="A4" t="s">
        <v>4</v>
      </c>
      <c r="B4" t="s">
        <v>43</v>
      </c>
      <c r="C4" t="s">
        <v>46</v>
      </c>
      <c r="D4" t="s">
        <v>0</v>
      </c>
      <c r="E4" t="s">
        <v>50</v>
      </c>
      <c r="F4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5"/>
  <sheetViews>
    <sheetView showGridLines="0" showRowColHeaders="0" topLeftCell="A2" zoomScale="140" zoomScaleNormal="140" workbookViewId="0">
      <selection activeCell="C12" sqref="C12"/>
    </sheetView>
  </sheetViews>
  <sheetFormatPr baseColWidth="10" defaultRowHeight="15" x14ac:dyDescent="0.25"/>
  <cols>
    <col min="1" max="1" width="5.7109375" style="82" customWidth="1"/>
    <col min="2" max="2" width="20" style="1" customWidth="1"/>
    <col min="3" max="3" width="3.5703125" style="1" customWidth="1"/>
    <col min="4" max="4" width="11.42578125" style="1"/>
    <col min="5" max="5" width="11.42578125" style="1" hidden="1" customWidth="1"/>
    <col min="6" max="12" width="4.28515625" style="1" hidden="1" customWidth="1"/>
    <col min="13" max="17" width="7.140625" style="1" hidden="1" customWidth="1"/>
    <col min="18" max="18" width="11.42578125" style="1"/>
    <col min="19" max="19" width="2.85546875" style="1" customWidth="1"/>
    <col min="20" max="20" width="20" style="1" customWidth="1"/>
    <col min="21" max="28" width="5.7109375" style="1" customWidth="1"/>
    <col min="29" max="16384" width="11.42578125" style="1"/>
  </cols>
  <sheetData>
    <row r="1" spans="1:28" ht="15.75" hidden="1" thickBot="1" x14ac:dyDescent="0.3">
      <c r="D1" s="1">
        <v>1</v>
      </c>
    </row>
    <row r="2" spans="1:28" x14ac:dyDescent="0.25">
      <c r="A2" s="118">
        <v>42531</v>
      </c>
      <c r="B2" s="4" t="str">
        <f ca="1">INDIRECT(ADDRESS(1,D1,,,"Groupes"))</f>
        <v>France</v>
      </c>
      <c r="C2" s="59">
        <v>1</v>
      </c>
      <c r="E2" s="2" t="str">
        <f ca="1">INDIRECT(ADDRESS(1,D1,,,"Groupes"))</f>
        <v>France</v>
      </c>
      <c r="F2" s="1">
        <f>C2+C6+C10</f>
        <v>3</v>
      </c>
      <c r="G2" s="1">
        <f>C3+C7+C11</f>
        <v>0</v>
      </c>
      <c r="H2" s="1">
        <f>Victoire(C2,C3)+Victoire(C6,C7)+Victoire(C10,C11)</f>
        <v>2</v>
      </c>
      <c r="I2" s="1">
        <f>NUL(C2,C3)+NUL(C6,C7)+NUL(C10,C11)</f>
        <v>1</v>
      </c>
      <c r="J2" s="1">
        <f>Defaite(C2,C3)+Defaite(C6,C7)+Defaite(C10,C11)</f>
        <v>0</v>
      </c>
      <c r="K2" s="1">
        <f>H2+I2+J2</f>
        <v>3</v>
      </c>
      <c r="L2" s="1">
        <f>H2*3+I2</f>
        <v>7</v>
      </c>
      <c r="M2" s="1">
        <f>1000000+L2*100000+(F2-G2)*10000+F2*1000+0.4</f>
        <v>1733000.4</v>
      </c>
      <c r="N2" s="1">
        <f>IF(M2=MAX(M:M),1,M2)</f>
        <v>1</v>
      </c>
      <c r="O2" s="1">
        <f>IF(N2=MAX(N:N),2,N2)</f>
        <v>1</v>
      </c>
      <c r="P2" s="1">
        <f>IF(O2=MAX(O:O),3,O2)</f>
        <v>1</v>
      </c>
      <c r="Q2" s="1">
        <f>IF(P2=MAX(P:P),4,P2)</f>
        <v>1</v>
      </c>
      <c r="S2" s="110" t="s">
        <v>10</v>
      </c>
      <c r="T2" s="111"/>
      <c r="U2" s="112"/>
      <c r="V2" s="112"/>
      <c r="W2" s="112"/>
      <c r="X2" s="112"/>
      <c r="Y2" s="112"/>
      <c r="Z2" s="112"/>
      <c r="AA2" s="112"/>
      <c r="AB2" s="113"/>
    </row>
    <row r="3" spans="1:28" ht="15.75" thickBot="1" x14ac:dyDescent="0.3">
      <c r="A3" s="119"/>
      <c r="B3" s="5" t="str">
        <f ca="1">INDIRECT(ADDRESS(2,D1,,,"Groupes"))</f>
        <v>Roumanie</v>
      </c>
      <c r="C3" s="60">
        <v>0</v>
      </c>
      <c r="E3" s="2" t="str">
        <f ca="1">INDIRECT(ADDRESS(2,D1,,,"Groupes"))</f>
        <v>Roumanie</v>
      </c>
      <c r="F3" s="1">
        <f>C3+C8+C12</f>
        <v>3</v>
      </c>
      <c r="G3" s="1">
        <f>C2+C9+C13</f>
        <v>4</v>
      </c>
      <c r="H3" s="1">
        <f>Victoire(C3,C2)+Victoire(C8,C9)+Victoire(C12,C13)</f>
        <v>1</v>
      </c>
      <c r="I3" s="1">
        <f>NUL(C3,C2)+NUL(C8,C9)+NUL(C12,C13)</f>
        <v>0</v>
      </c>
      <c r="J3" s="1">
        <f>Defaite(C3,C2)+Defaite(C8,C9)+Defaite(C12,C13)</f>
        <v>2</v>
      </c>
      <c r="K3" s="1">
        <f t="shared" ref="K3:K5" si="0">H3+I3+J3</f>
        <v>3</v>
      </c>
      <c r="L3" s="1">
        <f t="shared" ref="L3:L5" si="1">H3*3+I3</f>
        <v>3</v>
      </c>
      <c r="M3" s="1">
        <f>1000000+L3*100000+(F3-G3)*10000+F3*1000+0.3</f>
        <v>1293000.3</v>
      </c>
      <c r="N3" s="1">
        <f>IF(M3=MAX(M:M),1,M3)</f>
        <v>1293000.3</v>
      </c>
      <c r="O3" s="1">
        <f>IF(N3=MAX(N:N),2,N3)</f>
        <v>1293000.3</v>
      </c>
      <c r="P3" s="1">
        <f>IF(O3=MAX(O:O),3,O3)</f>
        <v>3</v>
      </c>
      <c r="Q3" s="1">
        <f>IF(P3=MAX(P:P),4,P3)</f>
        <v>3</v>
      </c>
      <c r="S3" s="114"/>
      <c r="T3" s="115"/>
      <c r="U3" s="115"/>
      <c r="V3" s="115"/>
      <c r="W3" s="115"/>
      <c r="X3" s="115"/>
      <c r="Y3" s="115"/>
      <c r="Z3" s="115"/>
      <c r="AA3" s="115"/>
      <c r="AB3" s="116"/>
    </row>
    <row r="4" spans="1:28" ht="15.75" thickBot="1" x14ac:dyDescent="0.3">
      <c r="A4" s="118">
        <v>42532</v>
      </c>
      <c r="B4" s="4" t="str">
        <f ca="1">INDIRECT(ADDRESS(3,D1,,,"Groupes"))</f>
        <v>Albanie</v>
      </c>
      <c r="C4" s="59">
        <v>0</v>
      </c>
      <c r="E4" s="2" t="str">
        <f ca="1">INDIRECT(ADDRESS(3,D1,,,"Groupes"))</f>
        <v>Albanie</v>
      </c>
      <c r="F4" s="1">
        <f>C4+C7+C13</f>
        <v>1</v>
      </c>
      <c r="G4" s="1">
        <f>C5+C6+C12</f>
        <v>5</v>
      </c>
      <c r="H4" s="1">
        <f>Victoire(C4,C5)+Victoire(C7,C6)+Victoire(C13,C12)</f>
        <v>0</v>
      </c>
      <c r="I4" s="1">
        <f>NUL(C4,C5)+NUL(C7,C6)+NUL(C13,C12)</f>
        <v>0</v>
      </c>
      <c r="J4" s="1">
        <f>Defaite(C4,C5)+Defaite(C7,C6)+Defaite(C13,C12)</f>
        <v>3</v>
      </c>
      <c r="K4" s="1">
        <f t="shared" si="0"/>
        <v>3</v>
      </c>
      <c r="L4" s="1">
        <f t="shared" si="1"/>
        <v>0</v>
      </c>
      <c r="M4" s="1">
        <f>1000000+L4*100000+(F4-G4)*10000+F4*1000+0.2</f>
        <v>961000.2</v>
      </c>
      <c r="N4" s="1">
        <f>IF(M4=MAX(M:M),1,M4)</f>
        <v>961000.2</v>
      </c>
      <c r="O4" s="1">
        <f>IF(N4=MAX(N:N),2,N4)</f>
        <v>961000.2</v>
      </c>
      <c r="P4" s="1">
        <f>IF(O4=MAX(O:O),3,O4)</f>
        <v>961000.2</v>
      </c>
      <c r="Q4" s="1">
        <f>IF(P4=MAX(P:P),4,P4)</f>
        <v>4</v>
      </c>
      <c r="S4" s="6"/>
      <c r="T4" s="6"/>
      <c r="U4" s="6" t="s">
        <v>11</v>
      </c>
      <c r="V4" s="7" t="s">
        <v>12</v>
      </c>
      <c r="W4" s="8" t="s">
        <v>13</v>
      </c>
      <c r="X4" s="9" t="s">
        <v>14</v>
      </c>
      <c r="Y4" s="7" t="s">
        <v>15</v>
      </c>
      <c r="Z4" s="8" t="s">
        <v>16</v>
      </c>
      <c r="AA4" s="9" t="s">
        <v>17</v>
      </c>
      <c r="AB4" s="14" t="s">
        <v>18</v>
      </c>
    </row>
    <row r="5" spans="1:28" ht="15.75" thickBot="1" x14ac:dyDescent="0.3">
      <c r="A5" s="119"/>
      <c r="B5" s="5" t="str">
        <f ca="1">INDIRECT(ADDRESS(4,D1,,,"Groupes"))</f>
        <v>Suisse</v>
      </c>
      <c r="C5" s="60">
        <v>1</v>
      </c>
      <c r="E5" s="2" t="str">
        <f ca="1">INDIRECT(ADDRESS(4,D1,,,"Groupes"))</f>
        <v>Suisse</v>
      </c>
      <c r="F5" s="1">
        <f>C5+C9+C11</f>
        <v>3</v>
      </c>
      <c r="G5" s="1">
        <f>C4+C8+C10</f>
        <v>1</v>
      </c>
      <c r="H5" s="1">
        <f>Victoire(C5,C4)+Victoire(C9,C8)+Victoire(C11,C10)</f>
        <v>2</v>
      </c>
      <c r="I5" s="1">
        <f>NUL(C5,C4)+NUL(C9,C8)+NUL(C11,C10)</f>
        <v>1</v>
      </c>
      <c r="J5" s="1">
        <f>Defaite(C5,C4)+Defaite(C9,C8)+Defaite(C11,C10)</f>
        <v>0</v>
      </c>
      <c r="K5" s="1">
        <f t="shared" si="0"/>
        <v>3</v>
      </c>
      <c r="L5" s="1">
        <f t="shared" si="1"/>
        <v>7</v>
      </c>
      <c r="M5" s="1">
        <f>1000000+L5*100000+(F5-G5)*10000+F5*1000+0.1</f>
        <v>1723000.1</v>
      </c>
      <c r="N5" s="1">
        <f>IF(M5=MAX(M:M),1,M5)</f>
        <v>1723000.1</v>
      </c>
      <c r="O5" s="1">
        <f>IF(N5=MAX(N:N),2,N5)</f>
        <v>2</v>
      </c>
      <c r="P5" s="1">
        <f>IF(O5=MAX(O:O),3,O5)</f>
        <v>2</v>
      </c>
      <c r="Q5" s="1">
        <f>IF(P5=MAX(P:P),4,P5)</f>
        <v>2</v>
      </c>
      <c r="S5" s="10">
        <v>1</v>
      </c>
      <c r="T5" s="10" t="str">
        <f ca="1">INDIRECT(ADDRESS(MATCH(S5,Q2:Q5,0)+1,5))</f>
        <v>France</v>
      </c>
      <c r="U5" s="15">
        <f ca="1">INDIRECT(ADDRESS(MATCH(S5,$Q$2:$Q$5,0)+1,11))</f>
        <v>3</v>
      </c>
      <c r="V5" s="16">
        <f ca="1">INDIRECT(ADDRESS(MATCH(S5,Q$2:Q$5,0)+1,8))</f>
        <v>2</v>
      </c>
      <c r="W5" s="17">
        <f ca="1">INDIRECT(ADDRESS(MATCH(S5,Q$2:Q$5,0)+1,9))</f>
        <v>1</v>
      </c>
      <c r="X5" s="18">
        <f ca="1">INDIRECT(ADDRESS(MATCH(S5,Q$2:Q$5,0)+1,10))</f>
        <v>0</v>
      </c>
      <c r="Y5" s="16">
        <f ca="1">INDIRECT(ADDRESS(MATCH(S5,Q$2:Q$5,0)+1,6))</f>
        <v>3</v>
      </c>
      <c r="Z5" s="17">
        <f ca="1">INDIRECT(ADDRESS(MATCH(S5,Q$2:Q$5,0)+1,7))</f>
        <v>0</v>
      </c>
      <c r="AA5" s="18">
        <f ca="1">Y5-Z5</f>
        <v>3</v>
      </c>
      <c r="AB5" s="19">
        <f ca="1">INDIRECT(ADDRESS(MATCH(S5,Q$2:Q$5,0)+1,12))</f>
        <v>7</v>
      </c>
    </row>
    <row r="6" spans="1:28" x14ac:dyDescent="0.25">
      <c r="A6" s="120">
        <v>42536</v>
      </c>
      <c r="B6" s="4" t="str">
        <f ca="1">INDIRECT(ADDRESS(1,D1,,,"Groupes"))</f>
        <v>France</v>
      </c>
      <c r="C6" s="59">
        <v>2</v>
      </c>
      <c r="S6" s="12">
        <v>2</v>
      </c>
      <c r="T6" s="12" t="str">
        <f ca="1">INDIRECT(ADDRESS(MATCH(S6,Q2:Q5,0)+1,5))</f>
        <v>Suisse</v>
      </c>
      <c r="U6" s="20">
        <f t="shared" ref="U6:U8" ca="1" si="2">INDIRECT(ADDRESS(MATCH(S6,$Q$2:$Q$5,0)+1,11))</f>
        <v>3</v>
      </c>
      <c r="V6" s="21">
        <f t="shared" ref="V6:V8" ca="1" si="3">INDIRECT(ADDRESS(MATCH(S6,Q$2:Q$5,0)+1,8))</f>
        <v>2</v>
      </c>
      <c r="W6" s="22">
        <f t="shared" ref="W6:W8" ca="1" si="4">INDIRECT(ADDRESS(MATCH(S6,Q$2:Q$5,0)+1,9))</f>
        <v>1</v>
      </c>
      <c r="X6" s="23">
        <f t="shared" ref="X6:X8" ca="1" si="5">INDIRECT(ADDRESS(MATCH(S6,Q$2:Q$5,0)+1,10))</f>
        <v>0</v>
      </c>
      <c r="Y6" s="21">
        <f t="shared" ref="Y6:Y8" ca="1" si="6">INDIRECT(ADDRESS(MATCH(S6,Q$2:Q$5,0)+1,6))</f>
        <v>3</v>
      </c>
      <c r="Z6" s="22">
        <f ca="1">INDIRECT(ADDRESS(MATCH(S6,Q$2:Q$5,0)+1,7))</f>
        <v>1</v>
      </c>
      <c r="AA6" s="23">
        <f t="shared" ref="AA6:AA8" ca="1" si="7">Y6-Z6</f>
        <v>2</v>
      </c>
      <c r="AB6" s="24">
        <f t="shared" ref="AB6:AB8" ca="1" si="8">INDIRECT(ADDRESS(MATCH(S6,Q$2:Q$5,0)+1,12))</f>
        <v>7</v>
      </c>
    </row>
    <row r="7" spans="1:28" ht="15.75" thickBot="1" x14ac:dyDescent="0.3">
      <c r="A7" s="121"/>
      <c r="B7" s="5" t="str">
        <f ca="1">INDIRECT(ADDRESS(3,D1,,,"Groupes"))</f>
        <v>Albanie</v>
      </c>
      <c r="C7" s="60">
        <v>0</v>
      </c>
      <c r="S7" s="11">
        <v>3</v>
      </c>
      <c r="T7" s="11" t="str">
        <f ca="1">INDIRECT(ADDRESS(MATCH(S7,Q2:Q5,0)+1,5))</f>
        <v>Roumanie</v>
      </c>
      <c r="U7" s="25">
        <f t="shared" ca="1" si="2"/>
        <v>3</v>
      </c>
      <c r="V7" s="26">
        <f t="shared" ca="1" si="3"/>
        <v>1</v>
      </c>
      <c r="W7" s="27">
        <f t="shared" ca="1" si="4"/>
        <v>0</v>
      </c>
      <c r="X7" s="28">
        <f t="shared" ca="1" si="5"/>
        <v>2</v>
      </c>
      <c r="Y7" s="26">
        <f t="shared" ca="1" si="6"/>
        <v>3</v>
      </c>
      <c r="Z7" s="27">
        <f ca="1">INDIRECT(ADDRESS(MATCH(S7,Q$2:Q$5,0)+1,7))</f>
        <v>4</v>
      </c>
      <c r="AA7" s="28">
        <f t="shared" ca="1" si="7"/>
        <v>-1</v>
      </c>
      <c r="AB7" s="29">
        <f t="shared" ca="1" si="8"/>
        <v>3</v>
      </c>
    </row>
    <row r="8" spans="1:28" ht="15.75" thickBot="1" x14ac:dyDescent="0.3">
      <c r="A8" s="120">
        <v>42536</v>
      </c>
      <c r="B8" s="4" t="str">
        <f ca="1">INDIRECT(ADDRESS(2,D1,,,"Groupes"))</f>
        <v>Roumanie</v>
      </c>
      <c r="C8" s="59">
        <v>1</v>
      </c>
      <c r="S8" s="13">
        <v>4</v>
      </c>
      <c r="T8" s="13" t="str">
        <f ca="1">INDIRECT(ADDRESS(MATCH(S8,Q2:Q5,0)+1,5))</f>
        <v>Albanie</v>
      </c>
      <c r="U8" s="30">
        <f t="shared" ca="1" si="2"/>
        <v>3</v>
      </c>
      <c r="V8" s="31">
        <f t="shared" ca="1" si="3"/>
        <v>0</v>
      </c>
      <c r="W8" s="32">
        <f t="shared" ca="1" si="4"/>
        <v>0</v>
      </c>
      <c r="X8" s="33">
        <f t="shared" ca="1" si="5"/>
        <v>3</v>
      </c>
      <c r="Y8" s="31">
        <f t="shared" ca="1" si="6"/>
        <v>1</v>
      </c>
      <c r="Z8" s="32">
        <f ca="1">INDIRECT(ADDRESS(MATCH(S8,Q$2:Q$5,0)+1,7))</f>
        <v>5</v>
      </c>
      <c r="AA8" s="33">
        <f t="shared" ca="1" si="7"/>
        <v>-4</v>
      </c>
      <c r="AB8" s="34">
        <f t="shared" ca="1" si="8"/>
        <v>0</v>
      </c>
    </row>
    <row r="9" spans="1:28" ht="15.75" thickBot="1" x14ac:dyDescent="0.3">
      <c r="A9" s="121"/>
      <c r="B9" s="5" t="str">
        <f ca="1">INDIRECT(ADDRESS(4,D1,,,"Groupes"))</f>
        <v>Suisse</v>
      </c>
      <c r="C9" s="60">
        <v>2</v>
      </c>
    </row>
    <row r="10" spans="1:28" ht="15" customHeight="1" x14ac:dyDescent="0.25">
      <c r="A10" s="107">
        <v>42540</v>
      </c>
      <c r="B10" s="4" t="str">
        <f ca="1">INDIRECT(ADDRESS(1,D1,,,"Groupes"))</f>
        <v>France</v>
      </c>
      <c r="C10" s="59">
        <v>0</v>
      </c>
      <c r="S10" s="117" t="s">
        <v>20</v>
      </c>
      <c r="T10" s="117"/>
      <c r="U10" s="117"/>
      <c r="V10" s="117"/>
      <c r="W10" s="117"/>
      <c r="X10" s="117"/>
      <c r="Y10" s="117"/>
      <c r="Z10" s="117"/>
      <c r="AA10" s="117"/>
      <c r="AB10" s="117"/>
    </row>
    <row r="11" spans="1:28" ht="15.75" customHeight="1" thickBot="1" x14ac:dyDescent="0.3">
      <c r="A11" s="108"/>
      <c r="B11" s="5" t="str">
        <f ca="1">INDIRECT(ADDRESS(4,D1,,,"Groupes"))</f>
        <v>Suisse</v>
      </c>
      <c r="C11" s="60">
        <v>0</v>
      </c>
      <c r="S11" s="117"/>
      <c r="T11" s="117"/>
      <c r="U11" s="117"/>
      <c r="V11" s="117"/>
      <c r="W11" s="117"/>
      <c r="X11" s="117"/>
      <c r="Y11" s="117"/>
      <c r="Z11" s="117"/>
      <c r="AA11" s="117"/>
      <c r="AB11" s="117"/>
    </row>
    <row r="12" spans="1:28" ht="15" customHeight="1" x14ac:dyDescent="0.25">
      <c r="A12" s="107">
        <v>42540</v>
      </c>
      <c r="B12" s="4" t="str">
        <f ca="1">INDIRECT(ADDRESS(2,D1,,,"Groupes"))</f>
        <v>Roumanie</v>
      </c>
      <c r="C12" s="59">
        <v>2</v>
      </c>
      <c r="S12" s="117"/>
      <c r="T12" s="117"/>
      <c r="U12" s="117"/>
      <c r="V12" s="117"/>
      <c r="W12" s="117"/>
      <c r="X12" s="117"/>
      <c r="Y12" s="117"/>
      <c r="Z12" s="117"/>
      <c r="AA12" s="117"/>
      <c r="AB12" s="117"/>
    </row>
    <row r="13" spans="1:28" ht="15.75" customHeight="1" thickBot="1" x14ac:dyDescent="0.3">
      <c r="A13" s="108"/>
      <c r="B13" s="5" t="str">
        <f ca="1">INDIRECT(ADDRESS(3,D1,,,"Groupes"))</f>
        <v>Albanie</v>
      </c>
      <c r="C13" s="60">
        <v>1</v>
      </c>
      <c r="S13" s="117"/>
      <c r="T13" s="117"/>
      <c r="U13" s="117"/>
      <c r="V13" s="117"/>
      <c r="W13" s="117"/>
      <c r="X13" s="117"/>
      <c r="Y13" s="117"/>
      <c r="Z13" s="117"/>
      <c r="AA13" s="117"/>
      <c r="AB13" s="117"/>
    </row>
    <row r="14" spans="1:28" x14ac:dyDescent="0.25">
      <c r="A14" s="109"/>
      <c r="B14" s="2"/>
    </row>
    <row r="15" spans="1:28" x14ac:dyDescent="0.25">
      <c r="A15" s="109"/>
    </row>
  </sheetData>
  <sheetProtection sheet="1" objects="1" scenarios="1" selectLockedCells="1"/>
  <mergeCells count="9">
    <mergeCell ref="A12:A13"/>
    <mergeCell ref="A14:A15"/>
    <mergeCell ref="S2:AB3"/>
    <mergeCell ref="S10:AB13"/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15"/>
  <sheetViews>
    <sheetView showGridLines="0" showRowColHeaders="0" topLeftCell="A2" zoomScale="140" zoomScaleNormal="140" workbookViewId="0">
      <selection activeCell="C7" sqref="C7"/>
    </sheetView>
  </sheetViews>
  <sheetFormatPr baseColWidth="10" defaultRowHeight="15" x14ac:dyDescent="0.25"/>
  <cols>
    <col min="1" max="1" width="5.7109375" style="3" customWidth="1"/>
    <col min="2" max="2" width="20" style="1" customWidth="1"/>
    <col min="3" max="3" width="3.5703125" style="1" customWidth="1"/>
    <col min="4" max="4" width="11.42578125" style="1"/>
    <col min="5" max="5" width="0" style="1" hidden="1" customWidth="1"/>
    <col min="6" max="12" width="4.28515625" style="1" hidden="1" customWidth="1"/>
    <col min="13" max="17" width="7.140625" style="1" hidden="1" customWidth="1"/>
    <col min="18" max="18" width="11.42578125" style="1"/>
    <col min="19" max="19" width="2.85546875" style="1" customWidth="1"/>
    <col min="20" max="20" width="20" style="1" customWidth="1"/>
    <col min="21" max="28" width="5.7109375" style="1" customWidth="1"/>
    <col min="29" max="16384" width="11.42578125" style="1"/>
  </cols>
  <sheetData>
    <row r="1" spans="1:28" ht="15.75" hidden="1" thickBot="1" x14ac:dyDescent="0.3">
      <c r="D1" s="1">
        <v>2</v>
      </c>
    </row>
    <row r="2" spans="1:28" x14ac:dyDescent="0.25">
      <c r="A2" s="118">
        <v>42532</v>
      </c>
      <c r="B2" s="4" t="str">
        <f ca="1">INDIRECT(ADDRESS(1,D1,,,"Groupes"))</f>
        <v>Angleterre</v>
      </c>
      <c r="C2" s="59">
        <v>2</v>
      </c>
      <c r="E2" s="2" t="str">
        <f ca="1">INDIRECT(ADDRESS(1,D1,,,"Groupes"))</f>
        <v>Angleterre</v>
      </c>
      <c r="F2" s="1">
        <f>C2+C6+C10</f>
        <v>5</v>
      </c>
      <c r="G2" s="1">
        <f>C3+C7+C11</f>
        <v>1</v>
      </c>
      <c r="H2" s="1">
        <f>Victoire(C2,C3)+Victoire(C6,C7)+Victoire(C10,C11)</f>
        <v>3</v>
      </c>
      <c r="I2" s="1">
        <f>NUL(C2,C3)+NUL(C6,C7)+NUL(C10,C11)</f>
        <v>0</v>
      </c>
      <c r="J2" s="1">
        <f>Defaite(C2,C3)+Defaite(C6,C7)+Defaite(C10,C11)</f>
        <v>0</v>
      </c>
      <c r="K2" s="1">
        <f>H2+I2+J2</f>
        <v>3</v>
      </c>
      <c r="L2" s="1">
        <f>H2*3+I2</f>
        <v>9</v>
      </c>
      <c r="M2" s="1">
        <f>1000000+L2*100000+(F2-G2)*10000+F2*1000+0.4</f>
        <v>1945000.4</v>
      </c>
      <c r="N2" s="1">
        <f>IF(M2=MAX(M:M),1,M2)</f>
        <v>1</v>
      </c>
      <c r="O2" s="1">
        <f>IF(N2=MAX(N:N),2,N2)</f>
        <v>1</v>
      </c>
      <c r="P2" s="1">
        <f>IF(O2=MAX(O:O),3,O2)</f>
        <v>1</v>
      </c>
      <c r="Q2" s="1">
        <f>IF(P2=MAX(P:P),4,P2)</f>
        <v>1</v>
      </c>
      <c r="S2" s="110" t="s">
        <v>10</v>
      </c>
      <c r="T2" s="111"/>
      <c r="U2" s="112"/>
      <c r="V2" s="112"/>
      <c r="W2" s="112"/>
      <c r="X2" s="112"/>
      <c r="Y2" s="112"/>
      <c r="Z2" s="112"/>
      <c r="AA2" s="112"/>
      <c r="AB2" s="113"/>
    </row>
    <row r="3" spans="1:28" ht="15.75" thickBot="1" x14ac:dyDescent="0.3">
      <c r="A3" s="119"/>
      <c r="B3" s="5" t="str">
        <f ca="1">INDIRECT(ADDRESS(2,D1,,,"Groupes"))</f>
        <v>Russie</v>
      </c>
      <c r="C3" s="60">
        <v>1</v>
      </c>
      <c r="E3" s="2" t="str">
        <f ca="1">INDIRECT(ADDRESS(2,D1,,,"Groupes"))</f>
        <v>Russie</v>
      </c>
      <c r="F3" s="1">
        <f>C3+C8+C12</f>
        <v>3</v>
      </c>
      <c r="G3" s="1">
        <f>C2+C9+C13</f>
        <v>2</v>
      </c>
      <c r="H3" s="1">
        <f>Victoire(C3,C2)+Victoire(C8,C9)+Victoire(C12,C13)</f>
        <v>1</v>
      </c>
      <c r="I3" s="1">
        <f>NUL(C3,C2)+NUL(C8,C9)+NUL(C12,C13)</f>
        <v>1</v>
      </c>
      <c r="J3" s="1">
        <f>Defaite(C3,C2)+Defaite(C8,C9)+Defaite(C12,C13)</f>
        <v>1</v>
      </c>
      <c r="K3" s="1">
        <f t="shared" ref="K3:K5" si="0">H3+I3+J3</f>
        <v>3</v>
      </c>
      <c r="L3" s="1">
        <f t="shared" ref="L3:L5" si="1">H3*3+I3</f>
        <v>4</v>
      </c>
      <c r="M3" s="1">
        <f>1000000+L3*100000+(F3-G3)*10000+F3*1000+0.3</f>
        <v>1413000.3</v>
      </c>
      <c r="N3" s="1">
        <f>IF(M3=MAX(M:M),1,M3)</f>
        <v>1413000.3</v>
      </c>
      <c r="O3" s="1">
        <f>IF(N3=MAX(N:N),2,N3)</f>
        <v>2</v>
      </c>
      <c r="P3" s="1">
        <f>IF(O3=MAX(O:O),3,O3)</f>
        <v>2</v>
      </c>
      <c r="Q3" s="1">
        <f>IF(P3=MAX(P:P),4,P3)</f>
        <v>2</v>
      </c>
      <c r="S3" s="114"/>
      <c r="T3" s="115"/>
      <c r="U3" s="115"/>
      <c r="V3" s="115"/>
      <c r="W3" s="115"/>
      <c r="X3" s="115"/>
      <c r="Y3" s="115"/>
      <c r="Z3" s="115"/>
      <c r="AA3" s="115"/>
      <c r="AB3" s="116"/>
    </row>
    <row r="4" spans="1:28" ht="15.75" thickBot="1" x14ac:dyDescent="0.3">
      <c r="A4" s="118">
        <v>42532</v>
      </c>
      <c r="B4" s="4" t="str">
        <f ca="1">INDIRECT(ADDRESS(3,D1,,,"Groupes"))</f>
        <v>Pays de Galles</v>
      </c>
      <c r="C4" s="59">
        <v>1</v>
      </c>
      <c r="E4" s="2" t="str">
        <f ca="1">INDIRECT(ADDRESS(3,D1,,,"Groupes"))</f>
        <v>Pays de Galles</v>
      </c>
      <c r="F4" s="1">
        <f>C4+C7+C13</f>
        <v>1</v>
      </c>
      <c r="G4" s="1">
        <f>C5+C6+C12</f>
        <v>2</v>
      </c>
      <c r="H4" s="1">
        <f>Victoire(C4,C5)+Victoire(C7,C6)+Victoire(C13,C12)</f>
        <v>1</v>
      </c>
      <c r="I4" s="1">
        <f>NUL(C4,C5)+NUL(C7,C6)+NUL(C13,C12)</f>
        <v>1</v>
      </c>
      <c r="J4" s="1">
        <f>Defaite(C4,C5)+Defaite(C7,C6)+Defaite(C13,C12)</f>
        <v>1</v>
      </c>
      <c r="K4" s="1">
        <f t="shared" si="0"/>
        <v>3</v>
      </c>
      <c r="L4" s="1">
        <f t="shared" si="1"/>
        <v>4</v>
      </c>
      <c r="M4" s="1">
        <f>1000000+L4*100000+(F4-G4)*10000+F4*1000+0.2</f>
        <v>1391000.2</v>
      </c>
      <c r="N4" s="1">
        <f>IF(M4=MAX(M:M),1,M4)</f>
        <v>1391000.2</v>
      </c>
      <c r="O4" s="1">
        <f>IF(N4=MAX(N:N),2,N4)</f>
        <v>1391000.2</v>
      </c>
      <c r="P4" s="1">
        <f>IF(O4=MAX(O:O),3,O4)</f>
        <v>3</v>
      </c>
      <c r="Q4" s="1">
        <f>IF(P4=MAX(P:P),4,P4)</f>
        <v>3</v>
      </c>
      <c r="S4" s="6"/>
      <c r="T4" s="6"/>
      <c r="U4" s="6" t="s">
        <v>11</v>
      </c>
      <c r="V4" s="7" t="s">
        <v>12</v>
      </c>
      <c r="W4" s="8" t="s">
        <v>13</v>
      </c>
      <c r="X4" s="9" t="s">
        <v>14</v>
      </c>
      <c r="Y4" s="7" t="s">
        <v>15</v>
      </c>
      <c r="Z4" s="8" t="s">
        <v>16</v>
      </c>
      <c r="AA4" s="9" t="s">
        <v>17</v>
      </c>
      <c r="AB4" s="14" t="s">
        <v>18</v>
      </c>
    </row>
    <row r="5" spans="1:28" ht="15.75" thickBot="1" x14ac:dyDescent="0.3">
      <c r="A5" s="119"/>
      <c r="B5" s="5" t="str">
        <f ca="1">INDIRECT(ADDRESS(4,D1,,,"Groupes"))</f>
        <v>Slovaquie</v>
      </c>
      <c r="C5" s="60">
        <v>0</v>
      </c>
      <c r="E5" s="2" t="str">
        <f ca="1">INDIRECT(ADDRESS(4,D1,,,"Groupes"))</f>
        <v>Slovaquie</v>
      </c>
      <c r="F5" s="1">
        <f>C5+C9+C11</f>
        <v>0</v>
      </c>
      <c r="G5" s="1">
        <f>C4+C8+C10</f>
        <v>4</v>
      </c>
      <c r="H5" s="1">
        <f>Victoire(C5,C4)+Victoire(C9,C8)+Victoire(C11,C10)</f>
        <v>0</v>
      </c>
      <c r="I5" s="1">
        <f>NUL(C5,C4)+NUL(C9,C8)+NUL(C11,C10)</f>
        <v>0</v>
      </c>
      <c r="J5" s="1">
        <f>Defaite(C5,C4)+Defaite(C9,C8)+Defaite(C11,C10)</f>
        <v>3</v>
      </c>
      <c r="K5" s="1">
        <f t="shared" si="0"/>
        <v>3</v>
      </c>
      <c r="L5" s="1">
        <f t="shared" si="1"/>
        <v>0</v>
      </c>
      <c r="M5" s="1">
        <f>1000000+L5*100000+(F5-G5)*10000+F5*1000+0.1</f>
        <v>960000.1</v>
      </c>
      <c r="N5" s="1">
        <f>IF(M5=MAX(M:M),1,M5)</f>
        <v>960000.1</v>
      </c>
      <c r="O5" s="1">
        <f>IF(N5=MAX(N:N),2,N5)</f>
        <v>960000.1</v>
      </c>
      <c r="P5" s="1">
        <f>IF(O5=MAX(O:O),3,O5)</f>
        <v>960000.1</v>
      </c>
      <c r="Q5" s="1">
        <f>IF(P5=MAX(P:P),4,P5)</f>
        <v>4</v>
      </c>
      <c r="S5" s="10">
        <v>1</v>
      </c>
      <c r="T5" s="10" t="str">
        <f ca="1">INDIRECT(ADDRESS(MATCH(S5,Q2:Q5,0)+1,5))</f>
        <v>Angleterre</v>
      </c>
      <c r="U5" s="15">
        <f ca="1">INDIRECT(ADDRESS(MATCH(S5,$Q$2:$Q$5,0)+1,11))</f>
        <v>3</v>
      </c>
      <c r="V5" s="16">
        <f ca="1">INDIRECT(ADDRESS(MATCH(S5,Q$2:Q$5,0)+1,8))</f>
        <v>3</v>
      </c>
      <c r="W5" s="17">
        <f ca="1">INDIRECT(ADDRESS(MATCH(S5,Q$2:Q$5,0)+1,9))</f>
        <v>0</v>
      </c>
      <c r="X5" s="18">
        <f ca="1">INDIRECT(ADDRESS(MATCH(S5,Q$2:Q$5,0)+1,10))</f>
        <v>0</v>
      </c>
      <c r="Y5" s="16">
        <f ca="1">INDIRECT(ADDRESS(MATCH(S5,Q$2:Q$5,0)+1,6))</f>
        <v>5</v>
      </c>
      <c r="Z5" s="17">
        <f ca="1">INDIRECT(ADDRESS(MATCH(S5,Q$2:Q$5,0)+1,7))</f>
        <v>1</v>
      </c>
      <c r="AA5" s="18">
        <f ca="1">Y5-Z5</f>
        <v>4</v>
      </c>
      <c r="AB5" s="19">
        <f ca="1">INDIRECT(ADDRESS(MATCH(S5,Q$2:Q$5,0)+1,12))</f>
        <v>9</v>
      </c>
    </row>
    <row r="6" spans="1:28" x14ac:dyDescent="0.25">
      <c r="A6" s="120">
        <v>42537</v>
      </c>
      <c r="B6" s="4" t="str">
        <f ca="1">INDIRECT(ADDRESS(1,D1,,,"Groupes"))</f>
        <v>Angleterre</v>
      </c>
      <c r="C6" s="59">
        <v>2</v>
      </c>
      <c r="S6" s="12">
        <v>2</v>
      </c>
      <c r="T6" s="12" t="str">
        <f ca="1">INDIRECT(ADDRESS(MATCH(S6,Q2:Q5,0)+1,5))</f>
        <v>Russie</v>
      </c>
      <c r="U6" s="20">
        <f t="shared" ref="U6:U8" ca="1" si="2">INDIRECT(ADDRESS(MATCH(S6,$Q$2:$Q$5,0)+1,11))</f>
        <v>3</v>
      </c>
      <c r="V6" s="21">
        <f t="shared" ref="V6:V8" ca="1" si="3">INDIRECT(ADDRESS(MATCH(S6,Q$2:Q$5,0)+1,8))</f>
        <v>1</v>
      </c>
      <c r="W6" s="22">
        <f t="shared" ref="W6:W8" ca="1" si="4">INDIRECT(ADDRESS(MATCH(S6,Q$2:Q$5,0)+1,9))</f>
        <v>1</v>
      </c>
      <c r="X6" s="23">
        <f t="shared" ref="X6:X8" ca="1" si="5">INDIRECT(ADDRESS(MATCH(S6,Q$2:Q$5,0)+1,10))</f>
        <v>1</v>
      </c>
      <c r="Y6" s="21">
        <f t="shared" ref="Y6:Y8" ca="1" si="6">INDIRECT(ADDRESS(MATCH(S6,Q$2:Q$5,0)+1,6))</f>
        <v>3</v>
      </c>
      <c r="Z6" s="22">
        <f ca="1">INDIRECT(ADDRESS(MATCH(S6,Q$2:Q$5,0)+1,7))</f>
        <v>2</v>
      </c>
      <c r="AA6" s="23">
        <f t="shared" ref="AA6:AA8" ca="1" si="7">Y6-Z6</f>
        <v>1</v>
      </c>
      <c r="AB6" s="24">
        <f t="shared" ref="AB6:AB8" ca="1" si="8">INDIRECT(ADDRESS(MATCH(S6,Q$2:Q$5,0)+1,12))</f>
        <v>4</v>
      </c>
    </row>
    <row r="7" spans="1:28" ht="15.75" thickBot="1" x14ac:dyDescent="0.3">
      <c r="A7" s="121"/>
      <c r="B7" s="5" t="str">
        <f ca="1">INDIRECT(ADDRESS(3,D1,,,"Groupes"))</f>
        <v>Pays de Galles</v>
      </c>
      <c r="C7" s="60">
        <v>0</v>
      </c>
      <c r="S7" s="11">
        <v>3</v>
      </c>
      <c r="T7" s="11" t="str">
        <f ca="1">INDIRECT(ADDRESS(MATCH(S7,Q2:Q5,0)+1,5))</f>
        <v>Pays de Galles</v>
      </c>
      <c r="U7" s="25">
        <f t="shared" ca="1" si="2"/>
        <v>3</v>
      </c>
      <c r="V7" s="26">
        <f t="shared" ca="1" si="3"/>
        <v>1</v>
      </c>
      <c r="W7" s="27">
        <f t="shared" ca="1" si="4"/>
        <v>1</v>
      </c>
      <c r="X7" s="28">
        <f t="shared" ca="1" si="5"/>
        <v>1</v>
      </c>
      <c r="Y7" s="26">
        <f t="shared" ca="1" si="6"/>
        <v>1</v>
      </c>
      <c r="Z7" s="27">
        <f ca="1">INDIRECT(ADDRESS(MATCH(S7,Q$2:Q$5,0)+1,7))</f>
        <v>2</v>
      </c>
      <c r="AA7" s="28">
        <f t="shared" ca="1" si="7"/>
        <v>-1</v>
      </c>
      <c r="AB7" s="29">
        <f t="shared" ca="1" si="8"/>
        <v>4</v>
      </c>
    </row>
    <row r="8" spans="1:28" ht="15.75" thickBot="1" x14ac:dyDescent="0.3">
      <c r="A8" s="120">
        <v>42536</v>
      </c>
      <c r="B8" s="4" t="str">
        <f ca="1">INDIRECT(ADDRESS(2,D1,,,"Groupes"))</f>
        <v>Russie</v>
      </c>
      <c r="C8" s="59">
        <v>2</v>
      </c>
      <c r="S8" s="13">
        <v>4</v>
      </c>
      <c r="T8" s="13" t="str">
        <f ca="1">INDIRECT(ADDRESS(MATCH(S8,Q2:Q5,0)+1,5))</f>
        <v>Slovaquie</v>
      </c>
      <c r="U8" s="30">
        <f t="shared" ca="1" si="2"/>
        <v>3</v>
      </c>
      <c r="V8" s="31">
        <f t="shared" ca="1" si="3"/>
        <v>0</v>
      </c>
      <c r="W8" s="32">
        <f t="shared" ca="1" si="4"/>
        <v>0</v>
      </c>
      <c r="X8" s="33">
        <f t="shared" ca="1" si="5"/>
        <v>3</v>
      </c>
      <c r="Y8" s="31">
        <f t="shared" ca="1" si="6"/>
        <v>0</v>
      </c>
      <c r="Z8" s="32">
        <f ca="1">INDIRECT(ADDRESS(MATCH(S8,Q$2:Q$5,0)+1,7))</f>
        <v>4</v>
      </c>
      <c r="AA8" s="33">
        <f t="shared" ca="1" si="7"/>
        <v>-4</v>
      </c>
      <c r="AB8" s="34">
        <f t="shared" ca="1" si="8"/>
        <v>0</v>
      </c>
    </row>
    <row r="9" spans="1:28" ht="15.75" thickBot="1" x14ac:dyDescent="0.3">
      <c r="A9" s="121"/>
      <c r="B9" s="5" t="str">
        <f ca="1">INDIRECT(ADDRESS(4,D1,,,"Groupes"))</f>
        <v>Slovaquie</v>
      </c>
      <c r="C9" s="60">
        <v>0</v>
      </c>
    </row>
    <row r="10" spans="1:28" ht="15" customHeight="1" x14ac:dyDescent="0.25">
      <c r="A10" s="107">
        <v>42541</v>
      </c>
      <c r="B10" s="4" t="str">
        <f ca="1">INDIRECT(ADDRESS(1,D1,,,"Groupes"))</f>
        <v>Angleterre</v>
      </c>
      <c r="C10" s="59">
        <v>1</v>
      </c>
      <c r="S10" s="117" t="s">
        <v>21</v>
      </c>
      <c r="T10" s="117"/>
      <c r="U10" s="117"/>
      <c r="V10" s="117"/>
      <c r="W10" s="117"/>
      <c r="X10" s="117"/>
      <c r="Y10" s="117"/>
      <c r="Z10" s="117"/>
      <c r="AA10" s="117"/>
      <c r="AB10" s="117"/>
    </row>
    <row r="11" spans="1:28" ht="15.75" customHeight="1" thickBot="1" x14ac:dyDescent="0.3">
      <c r="A11" s="108"/>
      <c r="B11" s="5" t="str">
        <f ca="1">INDIRECT(ADDRESS(4,D1,,,"Groupes"))</f>
        <v>Slovaquie</v>
      </c>
      <c r="C11" s="60">
        <v>0</v>
      </c>
      <c r="S11" s="117"/>
      <c r="T11" s="117"/>
      <c r="U11" s="117"/>
      <c r="V11" s="117"/>
      <c r="W11" s="117"/>
      <c r="X11" s="117"/>
      <c r="Y11" s="117"/>
      <c r="Z11" s="117"/>
      <c r="AA11" s="117"/>
      <c r="AB11" s="117"/>
    </row>
    <row r="12" spans="1:28" ht="15" customHeight="1" x14ac:dyDescent="0.25">
      <c r="A12" s="107">
        <v>42541</v>
      </c>
      <c r="B12" s="4" t="str">
        <f ca="1">INDIRECT(ADDRESS(2,D1,,,"Groupes"))</f>
        <v>Russie</v>
      </c>
      <c r="C12" s="59">
        <v>0</v>
      </c>
      <c r="S12" s="117"/>
      <c r="T12" s="117"/>
      <c r="U12" s="117"/>
      <c r="V12" s="117"/>
      <c r="W12" s="117"/>
      <c r="X12" s="117"/>
      <c r="Y12" s="117"/>
      <c r="Z12" s="117"/>
      <c r="AA12" s="117"/>
      <c r="AB12" s="117"/>
    </row>
    <row r="13" spans="1:28" ht="15.75" customHeight="1" thickBot="1" x14ac:dyDescent="0.3">
      <c r="A13" s="108"/>
      <c r="B13" s="5" t="str">
        <f ca="1">INDIRECT(ADDRESS(3,D1,,,"Groupes"))</f>
        <v>Pays de Galles</v>
      </c>
      <c r="C13" s="60">
        <v>0</v>
      </c>
      <c r="S13" s="117"/>
      <c r="T13" s="117"/>
      <c r="U13" s="117"/>
      <c r="V13" s="117"/>
      <c r="W13" s="117"/>
      <c r="X13" s="117"/>
      <c r="Y13" s="117"/>
      <c r="Z13" s="117"/>
      <c r="AA13" s="117"/>
      <c r="AB13" s="117"/>
    </row>
    <row r="14" spans="1:28" ht="15" customHeight="1" x14ac:dyDescent="0.25">
      <c r="A14" s="109"/>
      <c r="B14" s="2"/>
    </row>
    <row r="15" spans="1:28" ht="15" customHeight="1" x14ac:dyDescent="0.25">
      <c r="A15" s="109"/>
    </row>
  </sheetData>
  <sheetProtection sheet="1" objects="1" scenarios="1" selectLockedCells="1"/>
  <mergeCells count="9">
    <mergeCell ref="A12:A13"/>
    <mergeCell ref="A14:A15"/>
    <mergeCell ref="S10:AB13"/>
    <mergeCell ref="A2:A3"/>
    <mergeCell ref="S2:AB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6"/>
  <sheetViews>
    <sheetView showGridLines="0" showRowColHeaders="0" topLeftCell="A2" zoomScale="140" zoomScaleNormal="140" workbookViewId="0">
      <selection activeCell="C13" sqref="C13"/>
    </sheetView>
  </sheetViews>
  <sheetFormatPr baseColWidth="10" defaultRowHeight="15" x14ac:dyDescent="0.25"/>
  <cols>
    <col min="1" max="1" width="5.7109375" style="3" customWidth="1"/>
    <col min="2" max="2" width="20" style="1" customWidth="1"/>
    <col min="3" max="3" width="3.5703125" style="1" customWidth="1"/>
    <col min="4" max="4" width="11.42578125" style="1"/>
    <col min="5" max="5" width="0" style="1" hidden="1" customWidth="1"/>
    <col min="6" max="12" width="4.28515625" style="1" hidden="1" customWidth="1"/>
    <col min="13" max="17" width="7.140625" style="1" hidden="1" customWidth="1"/>
    <col min="18" max="18" width="11.42578125" style="1"/>
    <col min="19" max="19" width="2.85546875" style="1" customWidth="1"/>
    <col min="20" max="20" width="20" style="1" customWidth="1"/>
    <col min="21" max="28" width="5.7109375" style="1" customWidth="1"/>
    <col min="29" max="16384" width="11.42578125" style="1"/>
  </cols>
  <sheetData>
    <row r="1" spans="1:28" ht="15.75" hidden="1" thickBot="1" x14ac:dyDescent="0.3">
      <c r="D1" s="1">
        <v>3</v>
      </c>
    </row>
    <row r="2" spans="1:28" x14ac:dyDescent="0.25">
      <c r="A2" s="118">
        <v>42533</v>
      </c>
      <c r="B2" s="4" t="str">
        <f ca="1">INDIRECT(ADDRESS(1,D1,,,"Groupes"))</f>
        <v>Allemagne</v>
      </c>
      <c r="C2" s="59">
        <v>2</v>
      </c>
      <c r="E2" s="2" t="str">
        <f ca="1">INDIRECT(ADDRESS(1,D1,,,"Groupes"))</f>
        <v>Allemagne</v>
      </c>
      <c r="F2" s="1">
        <f>C2+C6+C10</f>
        <v>7</v>
      </c>
      <c r="G2" s="1">
        <f>C3+C7+C11</f>
        <v>2</v>
      </c>
      <c r="H2" s="1">
        <f>Victoire(C2,C3)+Victoire(C6,C7)+Victoire(C10,C11)</f>
        <v>2</v>
      </c>
      <c r="I2" s="1">
        <f>NUL(C2,C3)+NUL(C6,C7)+NUL(C10,C11)</f>
        <v>1</v>
      </c>
      <c r="J2" s="1">
        <f>Defaite(C2,C3)+Defaite(C6,C7)+Defaite(C10,C11)</f>
        <v>0</v>
      </c>
      <c r="K2" s="1">
        <f>H2+I2+J2</f>
        <v>3</v>
      </c>
      <c r="L2" s="1">
        <f>H2*3+I2</f>
        <v>7</v>
      </c>
      <c r="M2" s="1">
        <f>1000000+L2*100000+(F2-G2)*10000+F2*1000+0.4</f>
        <v>1757000.4</v>
      </c>
      <c r="N2" s="1">
        <f>IF(M2=MAX(M:M),1,M2)</f>
        <v>1</v>
      </c>
      <c r="O2" s="1">
        <f>IF(N2=MAX(N:N),2,N2)</f>
        <v>1</v>
      </c>
      <c r="P2" s="1">
        <f>IF(O2=MAX(O:O),3,O2)</f>
        <v>1</v>
      </c>
      <c r="Q2" s="1">
        <f>IF(P2=MAX(P:P),4,P2)</f>
        <v>1</v>
      </c>
      <c r="S2" s="110" t="s">
        <v>10</v>
      </c>
      <c r="T2" s="111"/>
      <c r="U2" s="112"/>
      <c r="V2" s="112"/>
      <c r="W2" s="112"/>
      <c r="X2" s="112"/>
      <c r="Y2" s="112"/>
      <c r="Z2" s="112"/>
      <c r="AA2" s="112"/>
      <c r="AB2" s="113"/>
    </row>
    <row r="3" spans="1:28" ht="15.75" thickBot="1" x14ac:dyDescent="0.3">
      <c r="A3" s="119"/>
      <c r="B3" s="5" t="str">
        <f ca="1">INDIRECT(ADDRESS(2,D1,,,"Groupes"))</f>
        <v>Ukraine</v>
      </c>
      <c r="C3" s="60">
        <v>0</v>
      </c>
      <c r="E3" s="2" t="str">
        <f ca="1">INDIRECT(ADDRESS(2,D1,,,"Groupes"))</f>
        <v>Ukraine</v>
      </c>
      <c r="F3" s="1">
        <f>C3+C8+C12</f>
        <v>2</v>
      </c>
      <c r="G3" s="1">
        <f>C2+C9+C13</f>
        <v>3</v>
      </c>
      <c r="H3" s="1">
        <f>Victoire(C3,C2)+Victoire(C8,C9)+Victoire(C12,C13)</f>
        <v>1</v>
      </c>
      <c r="I3" s="1">
        <f>NUL(C3,C2)+NUL(C8,C9)+NUL(C12,C13)</f>
        <v>1</v>
      </c>
      <c r="J3" s="1">
        <f>Defaite(C3,C2)+Defaite(C8,C9)+Defaite(C12,C13)</f>
        <v>1</v>
      </c>
      <c r="K3" s="1">
        <f t="shared" ref="K3:K5" si="0">H3+I3+J3</f>
        <v>3</v>
      </c>
      <c r="L3" s="1">
        <f t="shared" ref="L3:L5" si="1">H3*3+I3</f>
        <v>4</v>
      </c>
      <c r="M3" s="1">
        <f>1000000+L3*100000+(F3-G3)*10000+F3*1000+0.3</f>
        <v>1392000.3</v>
      </c>
      <c r="N3" s="1">
        <f>IF(M3=MAX(M:M),1,M3)</f>
        <v>1392000.3</v>
      </c>
      <c r="O3" s="1">
        <f>IF(N3=MAX(N:N),2,N3)</f>
        <v>1392000.3</v>
      </c>
      <c r="P3" s="1">
        <f>IF(O3=MAX(O:O),3,O3)</f>
        <v>3</v>
      </c>
      <c r="Q3" s="1">
        <f>IF(P3=MAX(P:P),4,P3)</f>
        <v>3</v>
      </c>
      <c r="S3" s="114"/>
      <c r="T3" s="115"/>
      <c r="U3" s="115"/>
      <c r="V3" s="115"/>
      <c r="W3" s="115"/>
      <c r="X3" s="115"/>
      <c r="Y3" s="115"/>
      <c r="Z3" s="115"/>
      <c r="AA3" s="115"/>
      <c r="AB3" s="116"/>
    </row>
    <row r="4" spans="1:28" ht="15.75" thickBot="1" x14ac:dyDescent="0.3">
      <c r="A4" s="118">
        <v>42533</v>
      </c>
      <c r="B4" s="4" t="str">
        <f ca="1">INDIRECT(ADDRESS(3,D1,,,"Groupes"))</f>
        <v>Pologne</v>
      </c>
      <c r="C4" s="59">
        <v>1</v>
      </c>
      <c r="E4" s="2" t="str">
        <f ca="1">INDIRECT(ADDRESS(3,D1,,,"Groupes"))</f>
        <v>Pologne</v>
      </c>
      <c r="F4" s="1">
        <f>C4+C7+C13</f>
        <v>4</v>
      </c>
      <c r="G4" s="1">
        <f>C5+C6+C12</f>
        <v>3</v>
      </c>
      <c r="H4" s="1">
        <f>Victoire(C4,C5)+Victoire(C7,C6)+Victoire(C13,C12)</f>
        <v>1</v>
      </c>
      <c r="I4" s="1">
        <f>NUL(C4,C5)+NUL(C7,C6)+NUL(C13,C12)</f>
        <v>2</v>
      </c>
      <c r="J4" s="1">
        <f>Defaite(C4,C5)+Defaite(C7,C6)+Defaite(C13,C12)</f>
        <v>0</v>
      </c>
      <c r="K4" s="1">
        <f t="shared" si="0"/>
        <v>3</v>
      </c>
      <c r="L4" s="1">
        <f t="shared" si="1"/>
        <v>5</v>
      </c>
      <c r="M4" s="1">
        <f>1000000+L4*100000+(F4-G4)*10000+F4*1000+0.2</f>
        <v>1514000.2</v>
      </c>
      <c r="N4" s="1">
        <f>IF(M4=MAX(M:M),1,M4)</f>
        <v>1514000.2</v>
      </c>
      <c r="O4" s="1">
        <f>IF(N4=MAX(N:N),2,N4)</f>
        <v>2</v>
      </c>
      <c r="P4" s="1">
        <f>IF(O4=MAX(O:O),3,O4)</f>
        <v>2</v>
      </c>
      <c r="Q4" s="1">
        <f>IF(P4=MAX(P:P),4,P4)</f>
        <v>2</v>
      </c>
      <c r="S4" s="6"/>
      <c r="T4" s="6"/>
      <c r="U4" s="6" t="s">
        <v>11</v>
      </c>
      <c r="V4" s="7" t="s">
        <v>12</v>
      </c>
      <c r="W4" s="8" t="s">
        <v>13</v>
      </c>
      <c r="X4" s="9" t="s">
        <v>14</v>
      </c>
      <c r="Y4" s="7" t="s">
        <v>15</v>
      </c>
      <c r="Z4" s="8" t="s">
        <v>16</v>
      </c>
      <c r="AA4" s="9" t="s">
        <v>17</v>
      </c>
      <c r="AB4" s="14" t="s">
        <v>18</v>
      </c>
    </row>
    <row r="5" spans="1:28" ht="15.75" thickBot="1" x14ac:dyDescent="0.3">
      <c r="A5" s="119"/>
      <c r="B5" s="5" t="str">
        <f ca="1">INDIRECT(ADDRESS(4,D1,,,"Groupes"))</f>
        <v>Irlande du Nord</v>
      </c>
      <c r="C5" s="60">
        <v>0</v>
      </c>
      <c r="E5" s="2" t="str">
        <f ca="1">INDIRECT(ADDRESS(4,D1,,,"Groupes"))</f>
        <v>Irlande du Nord</v>
      </c>
      <c r="F5" s="1">
        <f>C5+C9+C11</f>
        <v>0</v>
      </c>
      <c r="G5" s="1">
        <f>C4+C8+C10</f>
        <v>5</v>
      </c>
      <c r="H5" s="1">
        <f>Victoire(C5,C4)+Victoire(C9,C8)+Victoire(C11,C10)</f>
        <v>0</v>
      </c>
      <c r="I5" s="1">
        <f>NUL(C5,C4)+NUL(C9,C8)+NUL(C11,C10)</f>
        <v>0</v>
      </c>
      <c r="J5" s="1">
        <f>Defaite(C5,C4)+Defaite(C9,C8)+Defaite(C11,C10)</f>
        <v>3</v>
      </c>
      <c r="K5" s="1">
        <f t="shared" si="0"/>
        <v>3</v>
      </c>
      <c r="L5" s="1">
        <f t="shared" si="1"/>
        <v>0</v>
      </c>
      <c r="M5" s="1">
        <f>1000000+L5*100000+(F5-G5)*10000+F5*1000+0.1</f>
        <v>950000.1</v>
      </c>
      <c r="N5" s="1">
        <f>IF(M5=MAX(M:M),1,M5)</f>
        <v>950000.1</v>
      </c>
      <c r="O5" s="1">
        <f>IF(N5=MAX(N:N),2,N5)</f>
        <v>950000.1</v>
      </c>
      <c r="P5" s="1">
        <f>IF(O5=MAX(O:O),3,O5)</f>
        <v>950000.1</v>
      </c>
      <c r="Q5" s="1">
        <f>IF(P5=MAX(P:P),4,P5)</f>
        <v>4</v>
      </c>
      <c r="S5" s="10">
        <v>1</v>
      </c>
      <c r="T5" s="10" t="str">
        <f ca="1">INDIRECT(ADDRESS(MATCH(S5,Q2:Q5,0)+1,5))</f>
        <v>Allemagne</v>
      </c>
      <c r="U5" s="15">
        <f ca="1">INDIRECT(ADDRESS(MATCH(S5,$Q$2:$Q$5,0)+1,11))</f>
        <v>3</v>
      </c>
      <c r="V5" s="16">
        <f ca="1">INDIRECT(ADDRESS(MATCH(S5,Q$2:Q$5,0)+1,8))</f>
        <v>2</v>
      </c>
      <c r="W5" s="17">
        <f ca="1">INDIRECT(ADDRESS(MATCH(S5,Q$2:Q$5,0)+1,9))</f>
        <v>1</v>
      </c>
      <c r="X5" s="18">
        <f ca="1">INDIRECT(ADDRESS(MATCH(S5,Q$2:Q$5,0)+1,10))</f>
        <v>0</v>
      </c>
      <c r="Y5" s="16">
        <f ca="1">INDIRECT(ADDRESS(MATCH(S5,Q$2:Q$5,0)+1,6))</f>
        <v>7</v>
      </c>
      <c r="Z5" s="17">
        <f ca="1">INDIRECT(ADDRESS(MATCH(S5,Q$2:Q$5,0)+1,7))</f>
        <v>2</v>
      </c>
      <c r="AA5" s="18">
        <f ca="1">Y5-Z5</f>
        <v>5</v>
      </c>
      <c r="AB5" s="19">
        <f ca="1">INDIRECT(ADDRESS(MATCH(S5,Q$2:Q$5,0)+1,12))</f>
        <v>7</v>
      </c>
    </row>
    <row r="6" spans="1:28" x14ac:dyDescent="0.25">
      <c r="A6" s="120">
        <v>42537</v>
      </c>
      <c r="B6" s="4" t="str">
        <f ca="1">INDIRECT(ADDRESS(1,D1,,,"Groupes"))</f>
        <v>Allemagne</v>
      </c>
      <c r="C6" s="59">
        <v>2</v>
      </c>
      <c r="S6" s="12">
        <v>2</v>
      </c>
      <c r="T6" s="12" t="str">
        <f ca="1">INDIRECT(ADDRESS(MATCH(S6,Q2:Q5,0)+1,5))</f>
        <v>Pologne</v>
      </c>
      <c r="U6" s="20">
        <f t="shared" ref="U6:U8" ca="1" si="2">INDIRECT(ADDRESS(MATCH(S6,$Q$2:$Q$5,0)+1,11))</f>
        <v>3</v>
      </c>
      <c r="V6" s="21">
        <f t="shared" ref="V6:V8" ca="1" si="3">INDIRECT(ADDRESS(MATCH(S6,Q$2:Q$5,0)+1,8))</f>
        <v>1</v>
      </c>
      <c r="W6" s="22">
        <f t="shared" ref="W6:W8" ca="1" si="4">INDIRECT(ADDRESS(MATCH(S6,Q$2:Q$5,0)+1,9))</f>
        <v>2</v>
      </c>
      <c r="X6" s="23">
        <f t="shared" ref="X6:X8" ca="1" si="5">INDIRECT(ADDRESS(MATCH(S6,Q$2:Q$5,0)+1,10))</f>
        <v>0</v>
      </c>
      <c r="Y6" s="21">
        <f t="shared" ref="Y6:Y8" ca="1" si="6">INDIRECT(ADDRESS(MATCH(S6,Q$2:Q$5,0)+1,6))</f>
        <v>4</v>
      </c>
      <c r="Z6" s="22">
        <f ca="1">INDIRECT(ADDRESS(MATCH(S6,Q$2:Q$5,0)+1,7))</f>
        <v>3</v>
      </c>
      <c r="AA6" s="23">
        <f t="shared" ref="AA6:AA8" ca="1" si="7">Y6-Z6</f>
        <v>1</v>
      </c>
      <c r="AB6" s="24">
        <f t="shared" ref="AB6:AB8" ca="1" si="8">INDIRECT(ADDRESS(MATCH(S6,Q$2:Q$5,0)+1,12))</f>
        <v>5</v>
      </c>
    </row>
    <row r="7" spans="1:28" ht="15.75" thickBot="1" x14ac:dyDescent="0.3">
      <c r="A7" s="121"/>
      <c r="B7" s="5" t="str">
        <f ca="1">INDIRECT(ADDRESS(3,D1,,,"Groupes"))</f>
        <v>Pologne</v>
      </c>
      <c r="C7" s="60">
        <v>2</v>
      </c>
      <c r="S7" s="11">
        <v>3</v>
      </c>
      <c r="T7" s="11" t="str">
        <f ca="1">INDIRECT(ADDRESS(MATCH(S7,Q2:Q5,0)+1,5))</f>
        <v>Ukraine</v>
      </c>
      <c r="U7" s="25">
        <f t="shared" ca="1" si="2"/>
        <v>3</v>
      </c>
      <c r="V7" s="26">
        <f t="shared" ca="1" si="3"/>
        <v>1</v>
      </c>
      <c r="W7" s="27">
        <f t="shared" ca="1" si="4"/>
        <v>1</v>
      </c>
      <c r="X7" s="28">
        <f t="shared" ca="1" si="5"/>
        <v>1</v>
      </c>
      <c r="Y7" s="26">
        <f t="shared" ca="1" si="6"/>
        <v>2</v>
      </c>
      <c r="Z7" s="27">
        <f ca="1">INDIRECT(ADDRESS(MATCH(S7,Q$2:Q$5,0)+1,7))</f>
        <v>3</v>
      </c>
      <c r="AA7" s="28">
        <f t="shared" ca="1" si="7"/>
        <v>-1</v>
      </c>
      <c r="AB7" s="29">
        <f t="shared" ca="1" si="8"/>
        <v>4</v>
      </c>
    </row>
    <row r="8" spans="1:28" ht="15.75" thickBot="1" x14ac:dyDescent="0.3">
      <c r="A8" s="120">
        <v>42537</v>
      </c>
      <c r="B8" s="4" t="str">
        <f ca="1">INDIRECT(ADDRESS(2,D1,,,"Groupes"))</f>
        <v>Ukraine</v>
      </c>
      <c r="C8" s="59">
        <v>1</v>
      </c>
      <c r="S8" s="13">
        <v>4</v>
      </c>
      <c r="T8" s="13" t="str">
        <f ca="1">INDIRECT(ADDRESS(MATCH(S8,Q2:Q5,0)+1,5))</f>
        <v>Irlande du Nord</v>
      </c>
      <c r="U8" s="30">
        <f t="shared" ca="1" si="2"/>
        <v>3</v>
      </c>
      <c r="V8" s="31">
        <f t="shared" ca="1" si="3"/>
        <v>0</v>
      </c>
      <c r="W8" s="32">
        <f t="shared" ca="1" si="4"/>
        <v>0</v>
      </c>
      <c r="X8" s="33">
        <f t="shared" ca="1" si="5"/>
        <v>3</v>
      </c>
      <c r="Y8" s="31">
        <f t="shared" ca="1" si="6"/>
        <v>0</v>
      </c>
      <c r="Z8" s="32">
        <f ca="1">INDIRECT(ADDRESS(MATCH(S8,Q$2:Q$5,0)+1,7))</f>
        <v>5</v>
      </c>
      <c r="AA8" s="33">
        <f t="shared" ca="1" si="7"/>
        <v>-5</v>
      </c>
      <c r="AB8" s="34">
        <f t="shared" ca="1" si="8"/>
        <v>0</v>
      </c>
    </row>
    <row r="9" spans="1:28" ht="15.75" thickBot="1" x14ac:dyDescent="0.3">
      <c r="A9" s="121"/>
      <c r="B9" s="5" t="str">
        <f ca="1">INDIRECT(ADDRESS(4,D1,,,"Groupes"))</f>
        <v>Irlande du Nord</v>
      </c>
      <c r="C9" s="60">
        <v>0</v>
      </c>
    </row>
    <row r="10" spans="1:28" ht="15" customHeight="1" x14ac:dyDescent="0.25">
      <c r="A10" s="107">
        <v>42542</v>
      </c>
      <c r="B10" s="4" t="str">
        <f ca="1">INDIRECT(ADDRESS(1,D1,,,"Groupes"))</f>
        <v>Allemagne</v>
      </c>
      <c r="C10" s="59">
        <v>3</v>
      </c>
      <c r="S10" s="122" t="s">
        <v>22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ht="15.75" customHeight="1" thickBot="1" x14ac:dyDescent="0.3">
      <c r="A11" s="108"/>
      <c r="B11" s="5" t="str">
        <f ca="1">INDIRECT(ADDRESS(4,D1,,,"Groupes"))</f>
        <v>Irlande du Nord</v>
      </c>
      <c r="C11" s="60">
        <v>0</v>
      </c>
      <c r="S11" s="122"/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ht="15" customHeight="1" x14ac:dyDescent="0.25">
      <c r="A12" s="107">
        <v>42542</v>
      </c>
      <c r="B12" s="4" t="str">
        <f ca="1">INDIRECT(ADDRESS(2,D1,,,"Groupes"))</f>
        <v>Ukraine</v>
      </c>
      <c r="C12" s="59">
        <v>1</v>
      </c>
      <c r="S12" s="122"/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.75" customHeight="1" thickBot="1" x14ac:dyDescent="0.3">
      <c r="A13" s="108"/>
      <c r="B13" s="5" t="str">
        <f ca="1">INDIRECT(ADDRESS(3,D1,,,"Groupes"))</f>
        <v>Pologne</v>
      </c>
      <c r="C13" s="60">
        <v>1</v>
      </c>
      <c r="S13" s="122"/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x14ac:dyDescent="0.25">
      <c r="A14" s="109"/>
      <c r="B14" s="2"/>
    </row>
    <row r="15" spans="1:28" x14ac:dyDescent="0.25">
      <c r="A15" s="109"/>
    </row>
    <row r="23" ht="15" customHeight="1" x14ac:dyDescent="0.25"/>
    <row r="24" ht="15" customHeight="1" x14ac:dyDescent="0.25"/>
    <row r="25" ht="15" customHeight="1" x14ac:dyDescent="0.25"/>
    <row r="26" ht="15" customHeight="1" x14ac:dyDescent="0.25"/>
  </sheetData>
  <sheetProtection sheet="1" objects="1" scenarios="1" selectLockedCells="1"/>
  <mergeCells count="9">
    <mergeCell ref="A12:A13"/>
    <mergeCell ref="A14:A15"/>
    <mergeCell ref="S10:AB13"/>
    <mergeCell ref="A2:A3"/>
    <mergeCell ref="S2:AB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15"/>
  <sheetViews>
    <sheetView showGridLines="0" showRowColHeaders="0" topLeftCell="A2" zoomScale="140" zoomScaleNormal="140" workbookViewId="0">
      <selection activeCell="C3" sqref="C3"/>
    </sheetView>
  </sheetViews>
  <sheetFormatPr baseColWidth="10" defaultRowHeight="15" x14ac:dyDescent="0.25"/>
  <cols>
    <col min="1" max="1" width="5.7109375" style="3" customWidth="1"/>
    <col min="2" max="2" width="20" style="1" customWidth="1"/>
    <col min="3" max="3" width="3.5703125" style="1" customWidth="1"/>
    <col min="4" max="4" width="11.42578125" style="1"/>
    <col min="5" max="5" width="0" style="1" hidden="1" customWidth="1"/>
    <col min="6" max="12" width="4.28515625" style="1" hidden="1" customWidth="1"/>
    <col min="13" max="17" width="7.140625" style="1" hidden="1" customWidth="1"/>
    <col min="18" max="18" width="11.42578125" style="1"/>
    <col min="19" max="19" width="2.85546875" style="1" customWidth="1"/>
    <col min="20" max="20" width="20" style="1" customWidth="1"/>
    <col min="21" max="28" width="5.7109375" style="1" customWidth="1"/>
    <col min="29" max="16384" width="11.42578125" style="1"/>
  </cols>
  <sheetData>
    <row r="1" spans="1:28" ht="15.75" hidden="1" thickBot="1" x14ac:dyDescent="0.3">
      <c r="D1" s="1">
        <v>4</v>
      </c>
    </row>
    <row r="2" spans="1:28" x14ac:dyDescent="0.25">
      <c r="A2" s="118">
        <v>42534</v>
      </c>
      <c r="B2" s="4" t="str">
        <f ca="1">INDIRECT(ADDRESS(1,D1,,,"Groupes"))</f>
        <v>Espagne</v>
      </c>
      <c r="C2" s="59">
        <v>2</v>
      </c>
      <c r="E2" s="2" t="str">
        <f ca="1">INDIRECT(ADDRESS(1,D1,,,"Groupes"))</f>
        <v>Espagne</v>
      </c>
      <c r="F2" s="1">
        <f>C2+C6+C10</f>
        <v>3</v>
      </c>
      <c r="G2" s="1">
        <f>C3+C7+C11</f>
        <v>0</v>
      </c>
      <c r="H2" s="1">
        <f>Victoire(C2,C3)+Victoire(C6,C7)+Victoire(C10,C11)</f>
        <v>2</v>
      </c>
      <c r="I2" s="1">
        <f>NUL(C2,C3)+NUL(C6,C7)+NUL(C10,C11)</f>
        <v>1</v>
      </c>
      <c r="J2" s="1">
        <f>Defaite(C2,C3)+Defaite(C6,C7)+Defaite(C10,C11)</f>
        <v>0</v>
      </c>
      <c r="K2" s="1">
        <f>H2+I2+J2</f>
        <v>3</v>
      </c>
      <c r="L2" s="1">
        <f>H2*3+I2</f>
        <v>7</v>
      </c>
      <c r="M2" s="1">
        <f>1000000+L2*100000+(F2-G2)*10000+F2*1000+0.4</f>
        <v>1733000.4</v>
      </c>
      <c r="N2" s="1">
        <f>IF(M2=MAX(M:M),1,M2)</f>
        <v>1</v>
      </c>
      <c r="O2" s="1">
        <f>IF(N2=MAX(N:N),2,N2)</f>
        <v>1</v>
      </c>
      <c r="P2" s="1">
        <f>IF(O2=MAX(O:O),3,O2)</f>
        <v>1</v>
      </c>
      <c r="Q2" s="1">
        <f>IF(P2=MAX(P:P),4,P2)</f>
        <v>1</v>
      </c>
      <c r="S2" s="110" t="s">
        <v>10</v>
      </c>
      <c r="T2" s="111"/>
      <c r="U2" s="112"/>
      <c r="V2" s="112"/>
      <c r="W2" s="112"/>
      <c r="X2" s="112"/>
      <c r="Y2" s="112"/>
      <c r="Z2" s="112"/>
      <c r="AA2" s="112"/>
      <c r="AB2" s="113"/>
    </row>
    <row r="3" spans="1:28" ht="15.75" thickBot="1" x14ac:dyDescent="0.3">
      <c r="A3" s="119"/>
      <c r="B3" s="5" t="str">
        <f ca="1">INDIRECT(ADDRESS(2,D1,,,"Groupes"))</f>
        <v>République Tchèque</v>
      </c>
      <c r="C3" s="60">
        <v>0</v>
      </c>
      <c r="E3" s="2" t="str">
        <f ca="1">INDIRECT(ADDRESS(2,D1,,,"Groupes"))</f>
        <v>République Tchèque</v>
      </c>
      <c r="F3" s="1">
        <f>C3+C8+C12</f>
        <v>2</v>
      </c>
      <c r="G3" s="1">
        <f>C2+C9+C13</f>
        <v>6</v>
      </c>
      <c r="H3" s="1">
        <f>Victoire(C3,C2)+Victoire(C8,C9)+Victoire(C12,C13)</f>
        <v>0</v>
      </c>
      <c r="I3" s="1">
        <f>NUL(C3,C2)+NUL(C8,C9)+NUL(C12,C13)</f>
        <v>0</v>
      </c>
      <c r="J3" s="1">
        <f>Defaite(C3,C2)+Defaite(C8,C9)+Defaite(C12,C13)</f>
        <v>3</v>
      </c>
      <c r="K3" s="1">
        <f t="shared" ref="K3:K5" si="0">H3+I3+J3</f>
        <v>3</v>
      </c>
      <c r="L3" s="1">
        <f t="shared" ref="L3:L5" si="1">H3*3+I3</f>
        <v>0</v>
      </c>
      <c r="M3" s="1">
        <f>1000000+L3*100000+(F3-G3)*10000+F3*1000+0.3</f>
        <v>962000.3</v>
      </c>
      <c r="N3" s="1">
        <f>IF(M3=MAX(M:M),1,M3)</f>
        <v>962000.3</v>
      </c>
      <c r="O3" s="1">
        <f>IF(N3=MAX(N:N),2,N3)</f>
        <v>962000.3</v>
      </c>
      <c r="P3" s="1">
        <f>IF(O3=MAX(O:O),3,O3)</f>
        <v>962000.3</v>
      </c>
      <c r="Q3" s="1">
        <f>IF(P3=MAX(P:P),4,P3)</f>
        <v>4</v>
      </c>
      <c r="S3" s="114"/>
      <c r="T3" s="115"/>
      <c r="U3" s="115"/>
      <c r="V3" s="115"/>
      <c r="W3" s="115"/>
      <c r="X3" s="115"/>
      <c r="Y3" s="115"/>
      <c r="Z3" s="115"/>
      <c r="AA3" s="115"/>
      <c r="AB3" s="116"/>
    </row>
    <row r="4" spans="1:28" ht="15.75" thickBot="1" x14ac:dyDescent="0.3">
      <c r="A4" s="118">
        <v>42533</v>
      </c>
      <c r="B4" s="4" t="str">
        <f ca="1">INDIRECT(ADDRESS(3,D1,,,"Groupes"))</f>
        <v>Turquie</v>
      </c>
      <c r="C4" s="59">
        <v>0</v>
      </c>
      <c r="E4" s="2" t="str">
        <f ca="1">INDIRECT(ADDRESS(3,D1,,,"Groupes"))</f>
        <v>Turquie</v>
      </c>
      <c r="F4" s="1">
        <f>C4+C7+C13</f>
        <v>2</v>
      </c>
      <c r="G4" s="1">
        <f>C5+C6+C12</f>
        <v>2</v>
      </c>
      <c r="H4" s="1">
        <f>Victoire(C4,C5)+Victoire(C7,C6)+Victoire(C13,C12)</f>
        <v>1</v>
      </c>
      <c r="I4" s="1">
        <f>NUL(C4,C5)+NUL(C7,C6)+NUL(C13,C12)</f>
        <v>1</v>
      </c>
      <c r="J4" s="1">
        <f>Defaite(C4,C5)+Defaite(C7,C6)+Defaite(C13,C12)</f>
        <v>1</v>
      </c>
      <c r="K4" s="1">
        <f t="shared" si="0"/>
        <v>3</v>
      </c>
      <c r="L4" s="1">
        <f t="shared" si="1"/>
        <v>4</v>
      </c>
      <c r="M4" s="1">
        <f>1000000+L4*100000+(F4-G4)*10000+F4*1000+0.2</f>
        <v>1402000.2</v>
      </c>
      <c r="N4" s="1">
        <f>IF(M4=MAX(M:M),1,M4)</f>
        <v>1402000.2</v>
      </c>
      <c r="O4" s="1">
        <f>IF(N4=MAX(N:N),2,N4)</f>
        <v>1402000.2</v>
      </c>
      <c r="P4" s="1">
        <f>IF(O4=MAX(O:O),3,O4)</f>
        <v>3</v>
      </c>
      <c r="Q4" s="1">
        <f>IF(P4=MAX(P:P),4,P4)</f>
        <v>3</v>
      </c>
      <c r="S4" s="6"/>
      <c r="T4" s="6"/>
      <c r="U4" s="6" t="s">
        <v>11</v>
      </c>
      <c r="V4" s="7" t="s">
        <v>12</v>
      </c>
      <c r="W4" s="8" t="s">
        <v>13</v>
      </c>
      <c r="X4" s="9" t="s">
        <v>14</v>
      </c>
      <c r="Y4" s="7" t="s">
        <v>15</v>
      </c>
      <c r="Z4" s="8" t="s">
        <v>16</v>
      </c>
      <c r="AA4" s="9" t="s">
        <v>17</v>
      </c>
      <c r="AB4" s="14" t="s">
        <v>18</v>
      </c>
    </row>
    <row r="5" spans="1:28" ht="15.75" thickBot="1" x14ac:dyDescent="0.3">
      <c r="A5" s="119"/>
      <c r="B5" s="5" t="str">
        <f ca="1">INDIRECT(ADDRESS(4,D1,,,"Groupes"))</f>
        <v>Croatie</v>
      </c>
      <c r="C5" s="60">
        <v>0</v>
      </c>
      <c r="E5" s="2" t="str">
        <f ca="1">INDIRECT(ADDRESS(4,D1,,,"Groupes"))</f>
        <v>Croatie</v>
      </c>
      <c r="F5" s="1">
        <f>C5+C9+C11</f>
        <v>2</v>
      </c>
      <c r="G5" s="1">
        <f>C4+C8+C10</f>
        <v>1</v>
      </c>
      <c r="H5" s="1">
        <f>Victoire(C5,C4)+Victoire(C9,C8)+Victoire(C11,C10)</f>
        <v>1</v>
      </c>
      <c r="I5" s="1">
        <f>NUL(C5,C4)+NUL(C9,C8)+NUL(C11,C10)</f>
        <v>2</v>
      </c>
      <c r="J5" s="1">
        <f>Defaite(C5,C4)+Defaite(C9,C8)+Defaite(C11,C10)</f>
        <v>0</v>
      </c>
      <c r="K5" s="1">
        <f t="shared" si="0"/>
        <v>3</v>
      </c>
      <c r="L5" s="1">
        <f t="shared" si="1"/>
        <v>5</v>
      </c>
      <c r="M5" s="1">
        <f>1000000+L5*100000+(F5-G5)*10000+F5*1000+0.1</f>
        <v>1512000.1</v>
      </c>
      <c r="N5" s="1">
        <f>IF(M5=MAX(M:M),1,M5)</f>
        <v>1512000.1</v>
      </c>
      <c r="O5" s="1">
        <f>IF(N5=MAX(N:N),2,N5)</f>
        <v>2</v>
      </c>
      <c r="P5" s="1">
        <f>IF(O5=MAX(O:O),3,O5)</f>
        <v>2</v>
      </c>
      <c r="Q5" s="1">
        <f>IF(P5=MAX(P:P),4,P5)</f>
        <v>2</v>
      </c>
      <c r="S5" s="10">
        <v>1</v>
      </c>
      <c r="T5" s="10" t="str">
        <f ca="1">INDIRECT(ADDRESS(MATCH(S5,Q2:Q5,0)+1,5))</f>
        <v>Espagne</v>
      </c>
      <c r="U5" s="15">
        <f ca="1">INDIRECT(ADDRESS(MATCH(S5,$Q$2:$Q$5,0)+1,11))</f>
        <v>3</v>
      </c>
      <c r="V5" s="16">
        <f ca="1">INDIRECT(ADDRESS(MATCH(S5,Q$2:Q$5,0)+1,8))</f>
        <v>2</v>
      </c>
      <c r="W5" s="17">
        <f ca="1">INDIRECT(ADDRESS(MATCH(S5,Q$2:Q$5,0)+1,9))</f>
        <v>1</v>
      </c>
      <c r="X5" s="18">
        <f ca="1">INDIRECT(ADDRESS(MATCH(S5,Q$2:Q$5,0)+1,10))</f>
        <v>0</v>
      </c>
      <c r="Y5" s="16">
        <f ca="1">INDIRECT(ADDRESS(MATCH(S5,Q$2:Q$5,0)+1,6))</f>
        <v>3</v>
      </c>
      <c r="Z5" s="17">
        <f ca="1">INDIRECT(ADDRESS(MATCH(S5,Q$2:Q$5,0)+1,7))</f>
        <v>0</v>
      </c>
      <c r="AA5" s="18">
        <f ca="1">Y5-Z5</f>
        <v>3</v>
      </c>
      <c r="AB5" s="19">
        <f ca="1">INDIRECT(ADDRESS(MATCH(S5,Q$2:Q$5,0)+1,12))</f>
        <v>7</v>
      </c>
    </row>
    <row r="6" spans="1:28" x14ac:dyDescent="0.25">
      <c r="A6" s="120">
        <v>42538</v>
      </c>
      <c r="B6" s="4" t="str">
        <f ca="1">INDIRECT(ADDRESS(1,D1,,,"Groupes"))</f>
        <v>Espagne</v>
      </c>
      <c r="C6" s="59">
        <v>1</v>
      </c>
      <c r="S6" s="12">
        <v>2</v>
      </c>
      <c r="T6" s="12" t="str">
        <f ca="1">INDIRECT(ADDRESS(MATCH(S6,Q2:Q5,0)+1,5))</f>
        <v>Croatie</v>
      </c>
      <c r="U6" s="20">
        <f t="shared" ref="U6:U8" ca="1" si="2">INDIRECT(ADDRESS(MATCH(S6,$Q$2:$Q$5,0)+1,11))</f>
        <v>3</v>
      </c>
      <c r="V6" s="21">
        <f t="shared" ref="V6:V8" ca="1" si="3">INDIRECT(ADDRESS(MATCH(S6,Q$2:Q$5,0)+1,8))</f>
        <v>1</v>
      </c>
      <c r="W6" s="22">
        <f t="shared" ref="W6:W8" ca="1" si="4">INDIRECT(ADDRESS(MATCH(S6,Q$2:Q$5,0)+1,9))</f>
        <v>2</v>
      </c>
      <c r="X6" s="23">
        <f t="shared" ref="X6:X8" ca="1" si="5">INDIRECT(ADDRESS(MATCH(S6,Q$2:Q$5,0)+1,10))</f>
        <v>0</v>
      </c>
      <c r="Y6" s="21">
        <f t="shared" ref="Y6:Y8" ca="1" si="6">INDIRECT(ADDRESS(MATCH(S6,Q$2:Q$5,0)+1,6))</f>
        <v>2</v>
      </c>
      <c r="Z6" s="22">
        <f ca="1">INDIRECT(ADDRESS(MATCH(S6,Q$2:Q$5,0)+1,7))</f>
        <v>1</v>
      </c>
      <c r="AA6" s="23">
        <f t="shared" ref="AA6:AA8" ca="1" si="7">Y6-Z6</f>
        <v>1</v>
      </c>
      <c r="AB6" s="24">
        <f t="shared" ref="AB6:AB8" ca="1" si="8">INDIRECT(ADDRESS(MATCH(S6,Q$2:Q$5,0)+1,12))</f>
        <v>5</v>
      </c>
    </row>
    <row r="7" spans="1:28" ht="15.75" thickBot="1" x14ac:dyDescent="0.3">
      <c r="A7" s="121"/>
      <c r="B7" s="5" t="str">
        <f ca="1">INDIRECT(ADDRESS(3,D1,,,"Groupes"))</f>
        <v>Turquie</v>
      </c>
      <c r="C7" s="60">
        <v>0</v>
      </c>
      <c r="S7" s="11">
        <v>3</v>
      </c>
      <c r="T7" s="11" t="str">
        <f ca="1">INDIRECT(ADDRESS(MATCH(S7,Q2:Q5,0)+1,5))</f>
        <v>Turquie</v>
      </c>
      <c r="U7" s="25">
        <f t="shared" ca="1" si="2"/>
        <v>3</v>
      </c>
      <c r="V7" s="26">
        <f t="shared" ca="1" si="3"/>
        <v>1</v>
      </c>
      <c r="W7" s="27">
        <f t="shared" ca="1" si="4"/>
        <v>1</v>
      </c>
      <c r="X7" s="28">
        <f t="shared" ca="1" si="5"/>
        <v>1</v>
      </c>
      <c r="Y7" s="26">
        <f t="shared" ca="1" si="6"/>
        <v>2</v>
      </c>
      <c r="Z7" s="27">
        <f ca="1">INDIRECT(ADDRESS(MATCH(S7,Q$2:Q$5,0)+1,7))</f>
        <v>2</v>
      </c>
      <c r="AA7" s="28">
        <f t="shared" ca="1" si="7"/>
        <v>0</v>
      </c>
      <c r="AB7" s="29">
        <f t="shared" ca="1" si="8"/>
        <v>4</v>
      </c>
    </row>
    <row r="8" spans="1:28" ht="15.75" thickBot="1" x14ac:dyDescent="0.3">
      <c r="A8" s="120">
        <v>42538</v>
      </c>
      <c r="B8" s="4" t="str">
        <f ca="1">INDIRECT(ADDRESS(2,D1,,,"Groupes"))</f>
        <v>République Tchèque</v>
      </c>
      <c r="C8" s="59">
        <v>1</v>
      </c>
      <c r="S8" s="13">
        <v>4</v>
      </c>
      <c r="T8" s="13" t="str">
        <f ca="1">INDIRECT(ADDRESS(MATCH(S8,Q2:Q5,0)+1,5))</f>
        <v>République Tchèque</v>
      </c>
      <c r="U8" s="30">
        <f t="shared" ca="1" si="2"/>
        <v>3</v>
      </c>
      <c r="V8" s="31">
        <f t="shared" ca="1" si="3"/>
        <v>0</v>
      </c>
      <c r="W8" s="32">
        <f t="shared" ca="1" si="4"/>
        <v>0</v>
      </c>
      <c r="X8" s="33">
        <f t="shared" ca="1" si="5"/>
        <v>3</v>
      </c>
      <c r="Y8" s="31">
        <f t="shared" ca="1" si="6"/>
        <v>2</v>
      </c>
      <c r="Z8" s="32">
        <f ca="1">INDIRECT(ADDRESS(MATCH(S8,Q$2:Q$5,0)+1,7))</f>
        <v>6</v>
      </c>
      <c r="AA8" s="33">
        <f t="shared" ca="1" si="7"/>
        <v>-4</v>
      </c>
      <c r="AB8" s="34">
        <f t="shared" ca="1" si="8"/>
        <v>0</v>
      </c>
    </row>
    <row r="9" spans="1:28" ht="15.75" thickBot="1" x14ac:dyDescent="0.3">
      <c r="A9" s="121"/>
      <c r="B9" s="5" t="str">
        <f ca="1">INDIRECT(ADDRESS(4,D1,,,"Groupes"))</f>
        <v>Croatie</v>
      </c>
      <c r="C9" s="60">
        <v>2</v>
      </c>
    </row>
    <row r="10" spans="1:28" ht="15" customHeight="1" x14ac:dyDescent="0.25">
      <c r="A10" s="107">
        <v>42542</v>
      </c>
      <c r="B10" s="4" t="str">
        <f ca="1">INDIRECT(ADDRESS(1,D1,,,"Groupes"))</f>
        <v>Espagne</v>
      </c>
      <c r="C10" s="59">
        <v>0</v>
      </c>
      <c r="S10" s="122" t="s">
        <v>23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ht="15.75" customHeight="1" thickBot="1" x14ac:dyDescent="0.3">
      <c r="A11" s="108"/>
      <c r="B11" s="5" t="str">
        <f ca="1">INDIRECT(ADDRESS(4,D1,,,"Groupes"))</f>
        <v>Croatie</v>
      </c>
      <c r="C11" s="60">
        <v>0</v>
      </c>
      <c r="S11" s="122"/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ht="15" customHeight="1" x14ac:dyDescent="0.25">
      <c r="A12" s="107">
        <v>42542</v>
      </c>
      <c r="B12" s="4" t="str">
        <f ca="1">INDIRECT(ADDRESS(2,D1,,,"Groupes"))</f>
        <v>République Tchèque</v>
      </c>
      <c r="C12" s="59">
        <v>1</v>
      </c>
      <c r="S12" s="122"/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.75" customHeight="1" thickBot="1" x14ac:dyDescent="0.3">
      <c r="A13" s="108"/>
      <c r="B13" s="5" t="str">
        <f ca="1">INDIRECT(ADDRESS(3,D1,,,"Groupes"))</f>
        <v>Turquie</v>
      </c>
      <c r="C13" s="60">
        <v>2</v>
      </c>
      <c r="S13" s="122"/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x14ac:dyDescent="0.25">
      <c r="A14" s="109"/>
      <c r="B14" s="2"/>
    </row>
    <row r="15" spans="1:28" x14ac:dyDescent="0.25">
      <c r="A15" s="109"/>
    </row>
  </sheetData>
  <sheetProtection sheet="1" objects="1" scenarios="1" selectLockedCells="1"/>
  <mergeCells count="9">
    <mergeCell ref="A12:A13"/>
    <mergeCell ref="A14:A15"/>
    <mergeCell ref="S10:AB13"/>
    <mergeCell ref="A2:A3"/>
    <mergeCell ref="S2:AB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5"/>
  <sheetViews>
    <sheetView showGridLines="0" showRowColHeaders="0" topLeftCell="A2" zoomScale="140" zoomScaleNormal="140" workbookViewId="0">
      <selection activeCell="C11" sqref="C11"/>
    </sheetView>
  </sheetViews>
  <sheetFormatPr baseColWidth="10" defaultRowHeight="15" x14ac:dyDescent="0.25"/>
  <cols>
    <col min="1" max="1" width="5.7109375" style="3" customWidth="1"/>
    <col min="2" max="2" width="20" style="1" customWidth="1"/>
    <col min="3" max="3" width="3.5703125" style="1" customWidth="1"/>
    <col min="4" max="4" width="11.42578125" style="1"/>
    <col min="5" max="5" width="0" style="1" hidden="1" customWidth="1"/>
    <col min="6" max="12" width="4.28515625" style="1" hidden="1" customWidth="1"/>
    <col min="13" max="17" width="7.140625" style="1" hidden="1" customWidth="1"/>
    <col min="18" max="18" width="11.42578125" style="1"/>
    <col min="19" max="19" width="2.85546875" style="1" customWidth="1"/>
    <col min="20" max="20" width="20" style="1" customWidth="1"/>
    <col min="21" max="28" width="5.7109375" style="1" customWidth="1"/>
    <col min="29" max="16384" width="11.42578125" style="1"/>
  </cols>
  <sheetData>
    <row r="1" spans="1:28" ht="15.75" hidden="1" thickBot="1" x14ac:dyDescent="0.3">
      <c r="D1" s="1">
        <v>5</v>
      </c>
    </row>
    <row r="2" spans="1:28" x14ac:dyDescent="0.25">
      <c r="A2" s="118">
        <v>42534</v>
      </c>
      <c r="B2" s="4" t="str">
        <f ca="1">INDIRECT(ADDRESS(1,D1,,,"Groupes"))</f>
        <v>Belgique</v>
      </c>
      <c r="C2" s="59">
        <v>0</v>
      </c>
      <c r="E2" s="2" t="str">
        <f ca="1">INDIRECT(ADDRESS(1,D1,,,"Groupes"))</f>
        <v>Belgique</v>
      </c>
      <c r="F2" s="1">
        <f>C2+C6+C10</f>
        <v>3</v>
      </c>
      <c r="G2" s="1">
        <f>C3+C7+C11</f>
        <v>1</v>
      </c>
      <c r="H2" s="1">
        <f>Victoire(C2,C3)+Victoire(C6,C7)+Victoire(C10,C11)</f>
        <v>1</v>
      </c>
      <c r="I2" s="1">
        <f>NUL(C2,C3)+NUL(C6,C7)+NUL(C10,C11)</f>
        <v>2</v>
      </c>
      <c r="J2" s="1">
        <f>Defaite(C2,C3)+Defaite(C6,C7)+Defaite(C10,C11)</f>
        <v>0</v>
      </c>
      <c r="K2" s="1">
        <f>H2+I2+J2</f>
        <v>3</v>
      </c>
      <c r="L2" s="1">
        <f>H2*3+I2</f>
        <v>5</v>
      </c>
      <c r="M2" s="1">
        <f>1000000+L2*100000+(F2-G2)*10000+F2*1000+0.4</f>
        <v>1523000.4</v>
      </c>
      <c r="N2" s="1">
        <f>IF(M2=MAX(M:M),1,M2)</f>
        <v>1523000.4</v>
      </c>
      <c r="O2" s="1">
        <f>IF(N2=MAX(N:N),2,N2)</f>
        <v>2</v>
      </c>
      <c r="P2" s="1">
        <f>IF(O2=MAX(O:O),3,O2)</f>
        <v>2</v>
      </c>
      <c r="Q2" s="1">
        <f>IF(P2=MAX(P:P),4,P2)</f>
        <v>2</v>
      </c>
      <c r="S2" s="110" t="s">
        <v>10</v>
      </c>
      <c r="T2" s="111"/>
      <c r="U2" s="112"/>
      <c r="V2" s="112"/>
      <c r="W2" s="112"/>
      <c r="X2" s="112"/>
      <c r="Y2" s="112"/>
      <c r="Z2" s="112"/>
      <c r="AA2" s="112"/>
      <c r="AB2" s="113"/>
    </row>
    <row r="3" spans="1:28" ht="15.75" thickBot="1" x14ac:dyDescent="0.3">
      <c r="A3" s="119"/>
      <c r="B3" s="5" t="str">
        <f ca="1">INDIRECT(ADDRESS(2,D1,,,"Groupes"))</f>
        <v>Italie</v>
      </c>
      <c r="C3" s="60">
        <v>0</v>
      </c>
      <c r="E3" s="2" t="str">
        <f ca="1">INDIRECT(ADDRESS(2,D1,,,"Groupes"))</f>
        <v>Italie</v>
      </c>
      <c r="F3" s="1">
        <f>C3+C8+C12</f>
        <v>3</v>
      </c>
      <c r="G3" s="1">
        <f>C2+C9+C13</f>
        <v>1</v>
      </c>
      <c r="H3" s="1">
        <f>Victoire(C3,C2)+Victoire(C8,C9)+Victoire(C12,C13)</f>
        <v>2</v>
      </c>
      <c r="I3" s="1">
        <f>NUL(C3,C2)+NUL(C8,C9)+NUL(C12,C13)</f>
        <v>1</v>
      </c>
      <c r="J3" s="1">
        <f>Defaite(C3,C2)+Defaite(C8,C9)+Defaite(C12,C13)</f>
        <v>0</v>
      </c>
      <c r="K3" s="1">
        <f t="shared" ref="K3:K5" si="0">H3+I3+J3</f>
        <v>3</v>
      </c>
      <c r="L3" s="1">
        <f t="shared" ref="L3:L5" si="1">H3*3+I3</f>
        <v>7</v>
      </c>
      <c r="M3" s="1">
        <f>1000000+L3*100000+(F3-G3)*10000+F3*1000+0.3</f>
        <v>1723000.3</v>
      </c>
      <c r="N3" s="1">
        <f>IF(M3=MAX(M:M),1,M3)</f>
        <v>1</v>
      </c>
      <c r="O3" s="1">
        <f>IF(N3=MAX(N:N),2,N3)</f>
        <v>1</v>
      </c>
      <c r="P3" s="1">
        <f>IF(O3=MAX(O:O),3,O3)</f>
        <v>1</v>
      </c>
      <c r="Q3" s="1">
        <f>IF(P3=MAX(P:P),4,P3)</f>
        <v>1</v>
      </c>
      <c r="S3" s="114"/>
      <c r="T3" s="115"/>
      <c r="U3" s="115"/>
      <c r="V3" s="115"/>
      <c r="W3" s="115"/>
      <c r="X3" s="115"/>
      <c r="Y3" s="115"/>
      <c r="Z3" s="115"/>
      <c r="AA3" s="115"/>
      <c r="AB3" s="116"/>
    </row>
    <row r="4" spans="1:28" ht="15.75" thickBot="1" x14ac:dyDescent="0.3">
      <c r="A4" s="118">
        <v>42534</v>
      </c>
      <c r="B4" s="4" t="str">
        <f ca="1">INDIRECT(ADDRESS(3,D1,,,"Groupes"))</f>
        <v>Irlande</v>
      </c>
      <c r="C4" s="59">
        <v>1</v>
      </c>
      <c r="E4" s="2" t="str">
        <f ca="1">INDIRECT(ADDRESS(3,D1,,,"Groupes"))</f>
        <v>Irlande</v>
      </c>
      <c r="F4" s="1">
        <f>C4+C7+C13</f>
        <v>1</v>
      </c>
      <c r="G4" s="1">
        <f>C5+C6+C12</f>
        <v>4</v>
      </c>
      <c r="H4" s="1">
        <f>Victoire(C4,C5)+Victoire(C7,C6)+Victoire(C13,C12)</f>
        <v>0</v>
      </c>
      <c r="I4" s="1">
        <f>NUL(C4,C5)+NUL(C7,C6)+NUL(C13,C12)</f>
        <v>1</v>
      </c>
      <c r="J4" s="1">
        <f>Defaite(C4,C5)+Defaite(C7,C6)+Defaite(C13,C12)</f>
        <v>2</v>
      </c>
      <c r="K4" s="1">
        <f t="shared" si="0"/>
        <v>3</v>
      </c>
      <c r="L4" s="1">
        <f t="shared" si="1"/>
        <v>1</v>
      </c>
      <c r="M4" s="1">
        <f>1000000+L4*100000+(F4-G4)*10000+F4*1000+0.2</f>
        <v>1071000.2</v>
      </c>
      <c r="N4" s="1">
        <f>IF(M4=MAX(M:M),1,M4)</f>
        <v>1071000.2</v>
      </c>
      <c r="O4" s="1">
        <f>IF(N4=MAX(N:N),2,N4)</f>
        <v>1071000.2</v>
      </c>
      <c r="P4" s="1">
        <f>IF(O4=MAX(O:O),3,O4)</f>
        <v>1071000.2</v>
      </c>
      <c r="Q4" s="1">
        <f>IF(P4=MAX(P:P),4,P4)</f>
        <v>4</v>
      </c>
      <c r="S4" s="6"/>
      <c r="T4" s="6"/>
      <c r="U4" s="6" t="s">
        <v>11</v>
      </c>
      <c r="V4" s="7" t="s">
        <v>12</v>
      </c>
      <c r="W4" s="8" t="s">
        <v>13</v>
      </c>
      <c r="X4" s="9" t="s">
        <v>14</v>
      </c>
      <c r="Y4" s="7" t="s">
        <v>15</v>
      </c>
      <c r="Z4" s="8" t="s">
        <v>16</v>
      </c>
      <c r="AA4" s="9" t="s">
        <v>17</v>
      </c>
      <c r="AB4" s="14" t="s">
        <v>18</v>
      </c>
    </row>
    <row r="5" spans="1:28" ht="15.75" thickBot="1" x14ac:dyDescent="0.3">
      <c r="A5" s="119"/>
      <c r="B5" s="5" t="str">
        <f ca="1">INDIRECT(ADDRESS(4,D1,,,"Groupes"))</f>
        <v>Suède</v>
      </c>
      <c r="C5" s="60">
        <v>1</v>
      </c>
      <c r="E5" s="2" t="str">
        <f ca="1">INDIRECT(ADDRESS(4,D1,,,"Groupes"))</f>
        <v>Suède</v>
      </c>
      <c r="F5" s="1">
        <f>C5+C9+C11</f>
        <v>3</v>
      </c>
      <c r="G5" s="1">
        <f>C4+C8+C10</f>
        <v>4</v>
      </c>
      <c r="H5" s="1">
        <f>Victoire(C5,C4)+Victoire(C9,C8)+Victoire(C11,C10)</f>
        <v>0</v>
      </c>
      <c r="I5" s="1">
        <f>NUL(C5,C4)+NUL(C9,C8)+NUL(C11,C10)</f>
        <v>2</v>
      </c>
      <c r="J5" s="1">
        <f>Defaite(C5,C4)+Defaite(C9,C8)+Defaite(C11,C10)</f>
        <v>1</v>
      </c>
      <c r="K5" s="1">
        <f t="shared" si="0"/>
        <v>3</v>
      </c>
      <c r="L5" s="1">
        <f t="shared" si="1"/>
        <v>2</v>
      </c>
      <c r="M5" s="1">
        <f>1000000+L5*100000+(F5-G5)*10000+F5*1000+0.1</f>
        <v>1193000.1000000001</v>
      </c>
      <c r="N5" s="1">
        <f>IF(M5=MAX(M:M),1,M5)</f>
        <v>1193000.1000000001</v>
      </c>
      <c r="O5" s="1">
        <f>IF(N5=MAX(N:N),2,N5)</f>
        <v>1193000.1000000001</v>
      </c>
      <c r="P5" s="1">
        <f>IF(O5=MAX(O:O),3,O5)</f>
        <v>3</v>
      </c>
      <c r="Q5" s="1">
        <f>IF(P5=MAX(P:P),4,P5)</f>
        <v>3</v>
      </c>
      <c r="S5" s="10">
        <v>1</v>
      </c>
      <c r="T5" s="10" t="str">
        <f ca="1">INDIRECT(ADDRESS(MATCH(S5,Q2:Q5,0)+1,5))</f>
        <v>Italie</v>
      </c>
      <c r="U5" s="15">
        <f ca="1">INDIRECT(ADDRESS(MATCH(S5,$Q$2:$Q$5,0)+1,11))</f>
        <v>3</v>
      </c>
      <c r="V5" s="16">
        <f ca="1">INDIRECT(ADDRESS(MATCH(S5,Q$2:Q$5,0)+1,8))</f>
        <v>2</v>
      </c>
      <c r="W5" s="17">
        <f ca="1">INDIRECT(ADDRESS(MATCH(S5,Q$2:Q$5,0)+1,9))</f>
        <v>1</v>
      </c>
      <c r="X5" s="18">
        <f ca="1">INDIRECT(ADDRESS(MATCH(S5,Q$2:Q$5,0)+1,10))</f>
        <v>0</v>
      </c>
      <c r="Y5" s="16">
        <f ca="1">INDIRECT(ADDRESS(MATCH(S5,Q$2:Q$5,0)+1,6))</f>
        <v>3</v>
      </c>
      <c r="Z5" s="17">
        <f ca="1">INDIRECT(ADDRESS(MATCH(S5,Q$2:Q$5,0)+1,7))</f>
        <v>1</v>
      </c>
      <c r="AA5" s="18">
        <f ca="1">Y5-Z5</f>
        <v>2</v>
      </c>
      <c r="AB5" s="19">
        <f ca="1">INDIRECT(ADDRESS(MATCH(S5,Q$2:Q$5,0)+1,12))</f>
        <v>7</v>
      </c>
    </row>
    <row r="6" spans="1:28" x14ac:dyDescent="0.25">
      <c r="A6" s="120">
        <v>42539</v>
      </c>
      <c r="B6" s="4" t="str">
        <f ca="1">INDIRECT(ADDRESS(1,D1,,,"Groupes"))</f>
        <v>Belgique</v>
      </c>
      <c r="C6" s="59">
        <v>2</v>
      </c>
      <c r="S6" s="12">
        <v>2</v>
      </c>
      <c r="T6" s="12" t="str">
        <f ca="1">INDIRECT(ADDRESS(MATCH(S6,Q2:Q5,0)+1,5))</f>
        <v>Belgique</v>
      </c>
      <c r="U6" s="20">
        <f t="shared" ref="U6:U8" ca="1" si="2">INDIRECT(ADDRESS(MATCH(S6,$Q$2:$Q$5,0)+1,11))</f>
        <v>3</v>
      </c>
      <c r="V6" s="21">
        <f t="shared" ref="V6:V8" ca="1" si="3">INDIRECT(ADDRESS(MATCH(S6,Q$2:Q$5,0)+1,8))</f>
        <v>1</v>
      </c>
      <c r="W6" s="22">
        <f t="shared" ref="W6:W8" ca="1" si="4">INDIRECT(ADDRESS(MATCH(S6,Q$2:Q$5,0)+1,9))</f>
        <v>2</v>
      </c>
      <c r="X6" s="23">
        <f t="shared" ref="X6:X8" ca="1" si="5">INDIRECT(ADDRESS(MATCH(S6,Q$2:Q$5,0)+1,10))</f>
        <v>0</v>
      </c>
      <c r="Y6" s="21">
        <f t="shared" ref="Y6:Y8" ca="1" si="6">INDIRECT(ADDRESS(MATCH(S6,Q$2:Q$5,0)+1,6))</f>
        <v>3</v>
      </c>
      <c r="Z6" s="22">
        <f ca="1">INDIRECT(ADDRESS(MATCH(S6,Q$2:Q$5,0)+1,7))</f>
        <v>1</v>
      </c>
      <c r="AA6" s="23">
        <f t="shared" ref="AA6:AA8" ca="1" si="7">Y6-Z6</f>
        <v>2</v>
      </c>
      <c r="AB6" s="24">
        <f t="shared" ref="AB6:AB8" ca="1" si="8">INDIRECT(ADDRESS(MATCH(S6,Q$2:Q$5,0)+1,12))</f>
        <v>5</v>
      </c>
    </row>
    <row r="7" spans="1:28" ht="15.75" thickBot="1" x14ac:dyDescent="0.3">
      <c r="A7" s="121"/>
      <c r="B7" s="5" t="str">
        <f ca="1">INDIRECT(ADDRESS(3,D1,,,"Groupes"))</f>
        <v>Irlande</v>
      </c>
      <c r="C7" s="60">
        <v>0</v>
      </c>
      <c r="S7" s="11">
        <v>3</v>
      </c>
      <c r="T7" s="11" t="str">
        <f ca="1">INDIRECT(ADDRESS(MATCH(S7,Q2:Q5,0)+1,5))</f>
        <v>Suède</v>
      </c>
      <c r="U7" s="25">
        <f t="shared" ca="1" si="2"/>
        <v>3</v>
      </c>
      <c r="V7" s="26">
        <f t="shared" ca="1" si="3"/>
        <v>0</v>
      </c>
      <c r="W7" s="27">
        <f t="shared" ca="1" si="4"/>
        <v>2</v>
      </c>
      <c r="X7" s="28">
        <f t="shared" ca="1" si="5"/>
        <v>1</v>
      </c>
      <c r="Y7" s="26">
        <f t="shared" ca="1" si="6"/>
        <v>3</v>
      </c>
      <c r="Z7" s="27">
        <f ca="1">INDIRECT(ADDRESS(MATCH(S7,Q$2:Q$5,0)+1,7))</f>
        <v>4</v>
      </c>
      <c r="AA7" s="28">
        <f t="shared" ca="1" si="7"/>
        <v>-1</v>
      </c>
      <c r="AB7" s="29">
        <f t="shared" ca="1" si="8"/>
        <v>2</v>
      </c>
    </row>
    <row r="8" spans="1:28" ht="15.75" thickBot="1" x14ac:dyDescent="0.3">
      <c r="A8" s="120">
        <v>42538</v>
      </c>
      <c r="B8" s="4" t="str">
        <f ca="1">INDIRECT(ADDRESS(2,D1,,,"Groupes"))</f>
        <v>Italie</v>
      </c>
      <c r="C8" s="59">
        <v>2</v>
      </c>
      <c r="S8" s="13">
        <v>4</v>
      </c>
      <c r="T8" s="13" t="str">
        <f ca="1">INDIRECT(ADDRESS(MATCH(S8,Q2:Q5,0)+1,5))</f>
        <v>Irlande</v>
      </c>
      <c r="U8" s="30">
        <f t="shared" ca="1" si="2"/>
        <v>3</v>
      </c>
      <c r="V8" s="31">
        <f t="shared" ca="1" si="3"/>
        <v>0</v>
      </c>
      <c r="W8" s="32">
        <f t="shared" ca="1" si="4"/>
        <v>1</v>
      </c>
      <c r="X8" s="33">
        <f t="shared" ca="1" si="5"/>
        <v>2</v>
      </c>
      <c r="Y8" s="31">
        <f t="shared" ca="1" si="6"/>
        <v>1</v>
      </c>
      <c r="Z8" s="32">
        <f ca="1">INDIRECT(ADDRESS(MATCH(S8,Q$2:Q$5,0)+1,7))</f>
        <v>4</v>
      </c>
      <c r="AA8" s="33">
        <f t="shared" ca="1" si="7"/>
        <v>-3</v>
      </c>
      <c r="AB8" s="34">
        <f t="shared" ca="1" si="8"/>
        <v>1</v>
      </c>
    </row>
    <row r="9" spans="1:28" ht="15.75" thickBot="1" x14ac:dyDescent="0.3">
      <c r="A9" s="121"/>
      <c r="B9" s="5" t="str">
        <f ca="1">INDIRECT(ADDRESS(4,D1,,,"Groupes"))</f>
        <v>Suède</v>
      </c>
      <c r="C9" s="60">
        <v>1</v>
      </c>
    </row>
    <row r="10" spans="1:28" ht="15" customHeight="1" x14ac:dyDescent="0.25">
      <c r="A10" s="107">
        <v>42543</v>
      </c>
      <c r="B10" s="4" t="str">
        <f ca="1">INDIRECT(ADDRESS(1,D1,,,"Groupes"))</f>
        <v>Belgique</v>
      </c>
      <c r="C10" s="59">
        <v>1</v>
      </c>
      <c r="S10" s="122" t="s">
        <v>24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ht="15.75" customHeight="1" thickBot="1" x14ac:dyDescent="0.3">
      <c r="A11" s="108"/>
      <c r="B11" s="5" t="str">
        <f ca="1">INDIRECT(ADDRESS(4,D1,,,"Groupes"))</f>
        <v>Suède</v>
      </c>
      <c r="C11" s="60">
        <v>1</v>
      </c>
      <c r="S11" s="122"/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ht="15" customHeight="1" x14ac:dyDescent="0.25">
      <c r="A12" s="107">
        <v>42543</v>
      </c>
      <c r="B12" s="4" t="str">
        <f ca="1">INDIRECT(ADDRESS(2,D1,,,"Groupes"))</f>
        <v>Italie</v>
      </c>
      <c r="C12" s="59">
        <v>1</v>
      </c>
      <c r="S12" s="122"/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.75" customHeight="1" thickBot="1" x14ac:dyDescent="0.3">
      <c r="A13" s="108"/>
      <c r="B13" s="5" t="str">
        <f ca="1">INDIRECT(ADDRESS(3,D1,,,"Groupes"))</f>
        <v>Irlande</v>
      </c>
      <c r="C13" s="60">
        <v>0</v>
      </c>
      <c r="S13" s="122"/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x14ac:dyDescent="0.25">
      <c r="A14" s="109"/>
      <c r="B14" s="2"/>
    </row>
    <row r="15" spans="1:28" x14ac:dyDescent="0.25">
      <c r="A15" s="109"/>
    </row>
  </sheetData>
  <sheetProtection sheet="1" objects="1" scenarios="1" selectLockedCells="1"/>
  <mergeCells count="9">
    <mergeCell ref="A12:A13"/>
    <mergeCell ref="A14:A15"/>
    <mergeCell ref="S10:AB13"/>
    <mergeCell ref="A2:A3"/>
    <mergeCell ref="S2:AB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15"/>
  <sheetViews>
    <sheetView showGridLines="0" showRowColHeaders="0" topLeftCell="A2" zoomScale="140" zoomScaleNormal="140" workbookViewId="0">
      <selection activeCell="C2" sqref="C2"/>
    </sheetView>
  </sheetViews>
  <sheetFormatPr baseColWidth="10" defaultRowHeight="15" x14ac:dyDescent="0.25"/>
  <cols>
    <col min="1" max="1" width="5.7109375" style="3" customWidth="1"/>
    <col min="2" max="2" width="20" style="1" customWidth="1"/>
    <col min="3" max="3" width="3.5703125" style="1" customWidth="1"/>
    <col min="4" max="4" width="11.42578125" style="1"/>
    <col min="5" max="5" width="0" style="1" hidden="1" customWidth="1"/>
    <col min="6" max="12" width="4.28515625" style="1" hidden="1" customWidth="1"/>
    <col min="13" max="17" width="7.140625" style="1" hidden="1" customWidth="1"/>
    <col min="18" max="18" width="11.42578125" style="1"/>
    <col min="19" max="19" width="2.85546875" style="1" customWidth="1"/>
    <col min="20" max="20" width="20" style="1" customWidth="1"/>
    <col min="21" max="28" width="5.7109375" style="1" customWidth="1"/>
    <col min="29" max="16384" width="11.42578125" style="1"/>
  </cols>
  <sheetData>
    <row r="1" spans="1:28" ht="15.75" hidden="1" thickBot="1" x14ac:dyDescent="0.3">
      <c r="D1" s="1">
        <v>6</v>
      </c>
    </row>
    <row r="2" spans="1:28" x14ac:dyDescent="0.25">
      <c r="A2" s="118">
        <v>42535</v>
      </c>
      <c r="B2" s="4" t="str">
        <f ca="1">INDIRECT(ADDRESS(1,D1,,,"Groupes"))</f>
        <v>Portugal</v>
      </c>
      <c r="C2" s="59">
        <v>2</v>
      </c>
      <c r="E2" s="2" t="str">
        <f ca="1">INDIRECT(ADDRESS(1,D1,,,"Groupes"))</f>
        <v>Portugal</v>
      </c>
      <c r="F2" s="1">
        <f>C2+C6+C10</f>
        <v>5</v>
      </c>
      <c r="G2" s="1">
        <f>C3+C7+C11</f>
        <v>1</v>
      </c>
      <c r="H2" s="1">
        <f>Victoire(C2,C3)+Victoire(C6,C7)+Victoire(C10,C11)</f>
        <v>2</v>
      </c>
      <c r="I2" s="1">
        <f>NUL(C2,C3)+NUL(C6,C7)+NUL(C10,C11)</f>
        <v>1</v>
      </c>
      <c r="J2" s="1">
        <f>Defaite(C2,C3)+Defaite(C6,C7)+Defaite(C10,C11)</f>
        <v>0</v>
      </c>
      <c r="K2" s="1">
        <f>H2+I2+J2</f>
        <v>3</v>
      </c>
      <c r="L2" s="1">
        <f>H2*3+I2</f>
        <v>7</v>
      </c>
      <c r="M2" s="1">
        <f>1000000+L2*100000+(F2-G2)*10000+F2*1000+0.4</f>
        <v>1745000.4</v>
      </c>
      <c r="N2" s="1">
        <f>IF(M2=MAX(M:M),1,M2)</f>
        <v>1</v>
      </c>
      <c r="O2" s="1">
        <f>IF(N2=MAX(N:N),2,N2)</f>
        <v>1</v>
      </c>
      <c r="P2" s="1">
        <f>IF(O2=MAX(O:O),3,O2)</f>
        <v>1</v>
      </c>
      <c r="Q2" s="1">
        <f>IF(P2=MAX(P:P),4,P2)</f>
        <v>1</v>
      </c>
      <c r="S2" s="110" t="s">
        <v>10</v>
      </c>
      <c r="T2" s="111"/>
      <c r="U2" s="112"/>
      <c r="V2" s="112"/>
      <c r="W2" s="112"/>
      <c r="X2" s="112"/>
      <c r="Y2" s="112"/>
      <c r="Z2" s="112"/>
      <c r="AA2" s="112"/>
      <c r="AB2" s="113"/>
    </row>
    <row r="3" spans="1:28" ht="15.75" thickBot="1" x14ac:dyDescent="0.3">
      <c r="A3" s="119"/>
      <c r="B3" s="5" t="str">
        <f ca="1">INDIRECT(ADDRESS(2,D1,,,"Groupes"))</f>
        <v>Islande</v>
      </c>
      <c r="C3" s="60">
        <v>0</v>
      </c>
      <c r="E3" s="2" t="str">
        <f ca="1">INDIRECT(ADDRESS(2,D1,,,"Groupes"))</f>
        <v>Islande</v>
      </c>
      <c r="F3" s="1">
        <f>C3+C8+C12</f>
        <v>3</v>
      </c>
      <c r="G3" s="1">
        <f>C2+C9+C13</f>
        <v>4</v>
      </c>
      <c r="H3" s="1">
        <f>Victoire(C3,C2)+Victoire(C8,C9)+Victoire(C12,C13)</f>
        <v>1</v>
      </c>
      <c r="I3" s="1">
        <f>NUL(C3,C2)+NUL(C8,C9)+NUL(C12,C13)</f>
        <v>1</v>
      </c>
      <c r="J3" s="1">
        <f>Defaite(C3,C2)+Defaite(C8,C9)+Defaite(C12,C13)</f>
        <v>1</v>
      </c>
      <c r="K3" s="1">
        <f t="shared" ref="K3:K5" si="0">H3+I3+J3</f>
        <v>3</v>
      </c>
      <c r="L3" s="1">
        <f t="shared" ref="L3:L5" si="1">H3*3+I3</f>
        <v>4</v>
      </c>
      <c r="M3" s="1">
        <f>1000000+L3*100000+(F3-G3)*10000+F3*1000+0.3</f>
        <v>1393000.3</v>
      </c>
      <c r="N3" s="1">
        <f>IF(M3=MAX(M:M),1,M3)</f>
        <v>1393000.3</v>
      </c>
      <c r="O3" s="1">
        <f>IF(N3=MAX(N:N),2,N3)</f>
        <v>1393000.3</v>
      </c>
      <c r="P3" s="1">
        <f>IF(O3=MAX(O:O),3,O3)</f>
        <v>3</v>
      </c>
      <c r="Q3" s="1">
        <f>IF(P3=MAX(P:P),4,P3)</f>
        <v>3</v>
      </c>
      <c r="S3" s="114"/>
      <c r="T3" s="115"/>
      <c r="U3" s="115"/>
      <c r="V3" s="115"/>
      <c r="W3" s="115"/>
      <c r="X3" s="115"/>
      <c r="Y3" s="115"/>
      <c r="Z3" s="115"/>
      <c r="AA3" s="115"/>
      <c r="AB3" s="116"/>
    </row>
    <row r="4" spans="1:28" ht="15.75" thickBot="1" x14ac:dyDescent="0.3">
      <c r="A4" s="118">
        <v>42535</v>
      </c>
      <c r="B4" s="4" t="str">
        <f ca="1">INDIRECT(ADDRESS(3,D1,,,"Groupes"))</f>
        <v>Autriche</v>
      </c>
      <c r="C4" s="59">
        <v>2</v>
      </c>
      <c r="E4" s="2" t="str">
        <f ca="1">INDIRECT(ADDRESS(3,D1,,,"Groupes"))</f>
        <v>Autriche</v>
      </c>
      <c r="F4" s="1">
        <f>C4+C7+C13</f>
        <v>4</v>
      </c>
      <c r="G4" s="1">
        <f>C5+C6+C12</f>
        <v>2</v>
      </c>
      <c r="H4" s="1">
        <f>Victoire(C4,C5)+Victoire(C7,C6)+Victoire(C13,C12)</f>
        <v>1</v>
      </c>
      <c r="I4" s="1">
        <f>NUL(C4,C5)+NUL(C7,C6)+NUL(C13,C12)</f>
        <v>2</v>
      </c>
      <c r="J4" s="1">
        <f>Defaite(C4,C5)+Defaite(C7,C6)+Defaite(C13,C12)</f>
        <v>0</v>
      </c>
      <c r="K4" s="1">
        <f t="shared" si="0"/>
        <v>3</v>
      </c>
      <c r="L4" s="1">
        <f t="shared" si="1"/>
        <v>5</v>
      </c>
      <c r="M4" s="1">
        <f>1000000+L4*100000+(F4-G4)*10000+F4*1000+0.2</f>
        <v>1524000.2</v>
      </c>
      <c r="N4" s="1">
        <f>IF(M4=MAX(M:M),1,M4)</f>
        <v>1524000.2</v>
      </c>
      <c r="O4" s="1">
        <f>IF(N4=MAX(N:N),2,N4)</f>
        <v>2</v>
      </c>
      <c r="P4" s="1">
        <f>IF(O4=MAX(O:O),3,O4)</f>
        <v>2</v>
      </c>
      <c r="Q4" s="1">
        <f>IF(P4=MAX(P:P),4,P4)</f>
        <v>2</v>
      </c>
      <c r="S4" s="6"/>
      <c r="T4" s="6"/>
      <c r="U4" s="6" t="s">
        <v>11</v>
      </c>
      <c r="V4" s="7" t="s">
        <v>12</v>
      </c>
      <c r="W4" s="8" t="s">
        <v>13</v>
      </c>
      <c r="X4" s="9" t="s">
        <v>14</v>
      </c>
      <c r="Y4" s="7" t="s">
        <v>15</v>
      </c>
      <c r="Z4" s="8" t="s">
        <v>16</v>
      </c>
      <c r="AA4" s="9" t="s">
        <v>17</v>
      </c>
      <c r="AB4" s="14" t="s">
        <v>18</v>
      </c>
    </row>
    <row r="5" spans="1:28" ht="15.75" thickBot="1" x14ac:dyDescent="0.3">
      <c r="A5" s="119"/>
      <c r="B5" s="5" t="str">
        <f ca="1">INDIRECT(ADDRESS(4,D1,,,"Groupes"))</f>
        <v>Hongrie</v>
      </c>
      <c r="C5" s="60">
        <v>0</v>
      </c>
      <c r="E5" s="2" t="str">
        <f ca="1">INDIRECT(ADDRESS(4,D1,,,"Groupes"))</f>
        <v>Hongrie</v>
      </c>
      <c r="F5" s="1">
        <f>C5+C9+C11</f>
        <v>1</v>
      </c>
      <c r="G5" s="1">
        <f>C4+C8+C10</f>
        <v>6</v>
      </c>
      <c r="H5" s="1">
        <f>Victoire(C5,C4)+Victoire(C9,C8)+Victoire(C11,C10)</f>
        <v>0</v>
      </c>
      <c r="I5" s="1">
        <f>NUL(C5,C4)+NUL(C9,C8)+NUL(C11,C10)</f>
        <v>0</v>
      </c>
      <c r="J5" s="1">
        <f>Defaite(C5,C4)+Defaite(C9,C8)+Defaite(C11,C10)</f>
        <v>3</v>
      </c>
      <c r="K5" s="1">
        <f t="shared" si="0"/>
        <v>3</v>
      </c>
      <c r="L5" s="1">
        <f t="shared" si="1"/>
        <v>0</v>
      </c>
      <c r="M5" s="1">
        <f>1000000+L5*100000+(F5-G5)*10000+F5*1000+0.1</f>
        <v>951000.1</v>
      </c>
      <c r="N5" s="1">
        <f>IF(M5=MAX(M:M),1,M5)</f>
        <v>951000.1</v>
      </c>
      <c r="O5" s="1">
        <f>IF(N5=MAX(N:N),2,N5)</f>
        <v>951000.1</v>
      </c>
      <c r="P5" s="1">
        <f>IF(O5=MAX(O:O),3,O5)</f>
        <v>951000.1</v>
      </c>
      <c r="Q5" s="1">
        <f>IF(P5=MAX(P:P),4,P5)</f>
        <v>4</v>
      </c>
      <c r="S5" s="10">
        <v>1</v>
      </c>
      <c r="T5" s="10" t="str">
        <f ca="1">INDIRECT(ADDRESS(MATCH(S5,Q2:Q5,0)+1,5))</f>
        <v>Portugal</v>
      </c>
      <c r="U5" s="15">
        <f ca="1">INDIRECT(ADDRESS(MATCH(S5,$Q$2:$Q$5,0)+1,11))</f>
        <v>3</v>
      </c>
      <c r="V5" s="16">
        <f ca="1">INDIRECT(ADDRESS(MATCH(S5,Q$2:Q$5,0)+1,8))</f>
        <v>2</v>
      </c>
      <c r="W5" s="17">
        <f ca="1">INDIRECT(ADDRESS(MATCH(S5,Q$2:Q$5,0)+1,9))</f>
        <v>1</v>
      </c>
      <c r="X5" s="18">
        <f ca="1">INDIRECT(ADDRESS(MATCH(S5,Q$2:Q$5,0)+1,10))</f>
        <v>0</v>
      </c>
      <c r="Y5" s="16">
        <f ca="1">INDIRECT(ADDRESS(MATCH(S5,Q$2:Q$5,0)+1,6))</f>
        <v>5</v>
      </c>
      <c r="Z5" s="17">
        <f ca="1">INDIRECT(ADDRESS(MATCH(S5,Q$2:Q$5,0)+1,7))</f>
        <v>1</v>
      </c>
      <c r="AA5" s="18">
        <f ca="1">Y5-Z5</f>
        <v>4</v>
      </c>
      <c r="AB5" s="19">
        <f ca="1">INDIRECT(ADDRESS(MATCH(S5,Q$2:Q$5,0)+1,12))</f>
        <v>7</v>
      </c>
    </row>
    <row r="6" spans="1:28" x14ac:dyDescent="0.25">
      <c r="A6" s="120">
        <v>42539</v>
      </c>
      <c r="B6" s="4" t="str">
        <f ca="1">INDIRECT(ADDRESS(1,D1,,,"Groupes"))</f>
        <v>Portugal</v>
      </c>
      <c r="C6" s="59">
        <v>1</v>
      </c>
      <c r="S6" s="12">
        <v>2</v>
      </c>
      <c r="T6" s="12" t="str">
        <f ca="1">INDIRECT(ADDRESS(MATCH(S6,Q2:Q5,0)+1,5))</f>
        <v>Autriche</v>
      </c>
      <c r="U6" s="20">
        <f t="shared" ref="U6:U8" ca="1" si="2">INDIRECT(ADDRESS(MATCH(S6,$Q$2:$Q$5,0)+1,11))</f>
        <v>3</v>
      </c>
      <c r="V6" s="21">
        <f t="shared" ref="V6:V8" ca="1" si="3">INDIRECT(ADDRESS(MATCH(S6,Q$2:Q$5,0)+1,8))</f>
        <v>1</v>
      </c>
      <c r="W6" s="22">
        <f t="shared" ref="W6:W8" ca="1" si="4">INDIRECT(ADDRESS(MATCH(S6,Q$2:Q$5,0)+1,9))</f>
        <v>2</v>
      </c>
      <c r="X6" s="23">
        <f t="shared" ref="X6:X8" ca="1" si="5">INDIRECT(ADDRESS(MATCH(S6,Q$2:Q$5,0)+1,10))</f>
        <v>0</v>
      </c>
      <c r="Y6" s="21">
        <f t="shared" ref="Y6:Y8" ca="1" si="6">INDIRECT(ADDRESS(MATCH(S6,Q$2:Q$5,0)+1,6))</f>
        <v>4</v>
      </c>
      <c r="Z6" s="22">
        <f ca="1">INDIRECT(ADDRESS(MATCH(S6,Q$2:Q$5,0)+1,7))</f>
        <v>2</v>
      </c>
      <c r="AA6" s="23">
        <f t="shared" ref="AA6:AA8" ca="1" si="7">Y6-Z6</f>
        <v>2</v>
      </c>
      <c r="AB6" s="24">
        <f t="shared" ref="AB6:AB8" ca="1" si="8">INDIRECT(ADDRESS(MATCH(S6,Q$2:Q$5,0)+1,12))</f>
        <v>5</v>
      </c>
    </row>
    <row r="7" spans="1:28" ht="15.75" thickBot="1" x14ac:dyDescent="0.3">
      <c r="A7" s="121"/>
      <c r="B7" s="5" t="str">
        <f ca="1">INDIRECT(ADDRESS(3,D1,,,"Groupes"))</f>
        <v>Autriche</v>
      </c>
      <c r="C7" s="60">
        <v>1</v>
      </c>
      <c r="S7" s="11">
        <v>3</v>
      </c>
      <c r="T7" s="11" t="str">
        <f ca="1">INDIRECT(ADDRESS(MATCH(S7,Q2:Q5,0)+1,5))</f>
        <v>Islande</v>
      </c>
      <c r="U7" s="25">
        <f t="shared" ca="1" si="2"/>
        <v>3</v>
      </c>
      <c r="V7" s="26">
        <f t="shared" ca="1" si="3"/>
        <v>1</v>
      </c>
      <c r="W7" s="27">
        <f t="shared" ca="1" si="4"/>
        <v>1</v>
      </c>
      <c r="X7" s="28">
        <f t="shared" ca="1" si="5"/>
        <v>1</v>
      </c>
      <c r="Y7" s="26">
        <f t="shared" ca="1" si="6"/>
        <v>3</v>
      </c>
      <c r="Z7" s="27">
        <f ca="1">INDIRECT(ADDRESS(MATCH(S7,Q$2:Q$5,0)+1,7))</f>
        <v>4</v>
      </c>
      <c r="AA7" s="28">
        <f t="shared" ca="1" si="7"/>
        <v>-1</v>
      </c>
      <c r="AB7" s="29">
        <f t="shared" ca="1" si="8"/>
        <v>4</v>
      </c>
    </row>
    <row r="8" spans="1:28" ht="15.75" thickBot="1" x14ac:dyDescent="0.3">
      <c r="A8" s="120">
        <v>42539</v>
      </c>
      <c r="B8" s="4" t="str">
        <f ca="1">INDIRECT(ADDRESS(2,D1,,,"Groupes"))</f>
        <v>Islande</v>
      </c>
      <c r="C8" s="59">
        <v>2</v>
      </c>
      <c r="S8" s="13">
        <v>4</v>
      </c>
      <c r="T8" s="13" t="str">
        <f ca="1">INDIRECT(ADDRESS(MATCH(S8,Q2:Q5,0)+1,5))</f>
        <v>Hongrie</v>
      </c>
      <c r="U8" s="30">
        <f t="shared" ca="1" si="2"/>
        <v>3</v>
      </c>
      <c r="V8" s="31">
        <f t="shared" ca="1" si="3"/>
        <v>0</v>
      </c>
      <c r="W8" s="32">
        <f t="shared" ca="1" si="4"/>
        <v>0</v>
      </c>
      <c r="X8" s="33">
        <f t="shared" ca="1" si="5"/>
        <v>3</v>
      </c>
      <c r="Y8" s="31">
        <f t="shared" ca="1" si="6"/>
        <v>1</v>
      </c>
      <c r="Z8" s="32">
        <f ca="1">INDIRECT(ADDRESS(MATCH(S8,Q$2:Q$5,0)+1,7))</f>
        <v>6</v>
      </c>
      <c r="AA8" s="33">
        <f t="shared" ca="1" si="7"/>
        <v>-5</v>
      </c>
      <c r="AB8" s="34">
        <f t="shared" ca="1" si="8"/>
        <v>0</v>
      </c>
    </row>
    <row r="9" spans="1:28" ht="15.75" thickBot="1" x14ac:dyDescent="0.3">
      <c r="A9" s="121"/>
      <c r="B9" s="5" t="str">
        <f ca="1">INDIRECT(ADDRESS(4,D1,,,"Groupes"))</f>
        <v>Hongrie</v>
      </c>
      <c r="C9" s="60">
        <v>1</v>
      </c>
    </row>
    <row r="10" spans="1:28" ht="15" customHeight="1" x14ac:dyDescent="0.25">
      <c r="A10" s="107">
        <v>42543</v>
      </c>
      <c r="B10" s="4" t="str">
        <f ca="1">INDIRECT(ADDRESS(1,D1,,,"Groupes"))</f>
        <v>Portugal</v>
      </c>
      <c r="C10" s="59">
        <v>2</v>
      </c>
      <c r="S10" s="122" t="s">
        <v>25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ht="15.75" customHeight="1" thickBot="1" x14ac:dyDescent="0.3">
      <c r="A11" s="108"/>
      <c r="B11" s="5" t="str">
        <f ca="1">INDIRECT(ADDRESS(4,D1,,,"Groupes"))</f>
        <v>Hongrie</v>
      </c>
      <c r="C11" s="60">
        <v>0</v>
      </c>
      <c r="S11" s="122"/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ht="15" customHeight="1" x14ac:dyDescent="0.25">
      <c r="A12" s="107">
        <v>42543</v>
      </c>
      <c r="B12" s="4" t="str">
        <f ca="1">INDIRECT(ADDRESS(2,D1,,,"Groupes"))</f>
        <v>Islande</v>
      </c>
      <c r="C12" s="59">
        <v>1</v>
      </c>
      <c r="S12" s="122"/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.75" customHeight="1" thickBot="1" x14ac:dyDescent="0.3">
      <c r="A13" s="108"/>
      <c r="B13" s="5" t="str">
        <f ca="1">INDIRECT(ADDRESS(3,D1,,,"Groupes"))</f>
        <v>Autriche</v>
      </c>
      <c r="C13" s="60">
        <v>1</v>
      </c>
      <c r="S13" s="122"/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x14ac:dyDescent="0.25">
      <c r="A14" s="109"/>
      <c r="B14" s="2"/>
    </row>
    <row r="15" spans="1:28" x14ac:dyDescent="0.25">
      <c r="A15" s="109"/>
    </row>
  </sheetData>
  <sheetProtection sheet="1" objects="1" scenarios="1" selectLockedCells="1"/>
  <mergeCells count="9">
    <mergeCell ref="A12:A13"/>
    <mergeCell ref="A14:A15"/>
    <mergeCell ref="S10:AB13"/>
    <mergeCell ref="A2:A3"/>
    <mergeCell ref="S2:AB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8"/>
  <sheetViews>
    <sheetView topLeftCell="P1" workbookViewId="0">
      <selection activeCell="Q23" sqref="Q23:Q27"/>
    </sheetView>
  </sheetViews>
  <sheetFormatPr baseColWidth="10" defaultRowHeight="15" x14ac:dyDescent="0.25"/>
  <cols>
    <col min="1" max="1" width="2.28515625" style="80" hidden="1" customWidth="1"/>
    <col min="2" max="2" width="3" style="80" hidden="1" customWidth="1"/>
    <col min="3" max="3" width="14.140625" style="80" hidden="1" customWidth="1"/>
    <col min="4" max="4" width="3.7109375" style="80" hidden="1" customWidth="1"/>
    <col min="5" max="5" width="4.28515625" style="80" hidden="1" customWidth="1"/>
    <col min="6" max="6" width="3.28515625" style="80" hidden="1" customWidth="1"/>
    <col min="7" max="7" width="6" style="80" hidden="1" customWidth="1"/>
    <col min="8" max="15" width="11.42578125" style="80" hidden="1" customWidth="1"/>
    <col min="16" max="16" width="2.85546875" style="80" bestFit="1" customWidth="1"/>
    <col min="17" max="17" width="21.42578125" style="80" customWidth="1"/>
    <col min="18" max="20" width="5" style="80" customWidth="1"/>
    <col min="21" max="16384" width="11.42578125" style="80"/>
  </cols>
  <sheetData>
    <row r="1" spans="1:20" ht="30" customHeight="1" thickBot="1" x14ac:dyDescent="0.3">
      <c r="D1" s="80" t="s">
        <v>18</v>
      </c>
      <c r="E1" s="80" t="s">
        <v>17</v>
      </c>
      <c r="F1" s="80" t="s">
        <v>15</v>
      </c>
      <c r="R1" s="104" t="s">
        <v>18</v>
      </c>
      <c r="S1" s="105" t="s">
        <v>17</v>
      </c>
      <c r="T1" s="106" t="s">
        <v>15</v>
      </c>
    </row>
    <row r="2" spans="1:20" s="83" customFormat="1" ht="30" customHeight="1" x14ac:dyDescent="0.25">
      <c r="A2" s="83" t="s">
        <v>99</v>
      </c>
      <c r="B2" s="83">
        <v>1</v>
      </c>
      <c r="C2" s="83" t="str">
        <f ca="1">'Groupe A'!T$7</f>
        <v>Roumanie</v>
      </c>
      <c r="D2" s="83">
        <f ca="1">'Groupe A'!AB$7</f>
        <v>3</v>
      </c>
      <c r="E2" s="83">
        <f ca="1">'Groupe A'!AA$7</f>
        <v>-1</v>
      </c>
      <c r="F2" s="83">
        <f ca="1">'Groupe A'!Y$7</f>
        <v>3</v>
      </c>
      <c r="G2" s="83">
        <f ca="1">D2*10000+E2*1000+F2*10+7.1</f>
        <v>29037.1</v>
      </c>
      <c r="H2" s="83">
        <f t="shared" ref="H2:H7" ca="1" si="0">IF(G2=MAX(G:G),1,G2)</f>
        <v>29037.1</v>
      </c>
      <c r="I2" s="83">
        <f ca="1">IF(H2=MAX(H:H),2,H2)</f>
        <v>29037.1</v>
      </c>
      <c r="J2" s="83">
        <f ca="1">IF(I2=MAX(I:I),3,I2)</f>
        <v>29037.1</v>
      </c>
      <c r="K2" s="83">
        <f ca="1">IF(J2=MAX(J:J),4,J2)</f>
        <v>29037.1</v>
      </c>
      <c r="L2" s="83">
        <f ca="1">IF(K2=MAX(K:K),5,K2)</f>
        <v>5</v>
      </c>
      <c r="M2" s="83">
        <f ca="1">IF(L2=MAX(L:L),6,L2)</f>
        <v>5</v>
      </c>
      <c r="P2" s="84">
        <v>1</v>
      </c>
      <c r="Q2" s="85" t="str">
        <f ca="1">INDIRECT(ADDRESS(MATCH(P2,$M$2:$M$7,0)+1,3))</f>
        <v>Turquie</v>
      </c>
      <c r="R2" s="92">
        <f ca="1">INDIRECT(ADDRESS(MATCH(P2,$M$2:$M$7,0)+1,4))</f>
        <v>4</v>
      </c>
      <c r="S2" s="93">
        <f ca="1">INDIRECT(ADDRESS(MATCH(P2,$M$2:$M$7,0)+1,5))</f>
        <v>0</v>
      </c>
      <c r="T2" s="94">
        <f ca="1">INDIRECT(ADDRESS(MATCH(P2,$M$2:$M$7,0)+1,6))</f>
        <v>2</v>
      </c>
    </row>
    <row r="3" spans="1:20" s="83" customFormat="1" ht="30" customHeight="1" x14ac:dyDescent="0.25">
      <c r="A3" s="83" t="s">
        <v>100</v>
      </c>
      <c r="B3" s="83">
        <v>2</v>
      </c>
      <c r="C3" s="83" t="str">
        <f ca="1">'Groupe B'!T$7</f>
        <v>Pays de Galles</v>
      </c>
      <c r="D3" s="83">
        <f ca="1">'Groupe B'!AB$7</f>
        <v>4</v>
      </c>
      <c r="E3" s="83">
        <f ca="1">'Groupe B'!AA$7</f>
        <v>-1</v>
      </c>
      <c r="F3" s="83">
        <f ca="1">'Groupe B'!Y$7</f>
        <v>1</v>
      </c>
      <c r="G3" s="83">
        <f ca="1">D3*10000+E3*1000+F3*10+7.2</f>
        <v>39017.199999999997</v>
      </c>
      <c r="H3" s="83">
        <f t="shared" ca="1" si="0"/>
        <v>39017.199999999997</v>
      </c>
      <c r="I3" s="83">
        <f t="shared" ref="I3:I7" ca="1" si="1">IF(H3=MAX(H:H),2,H3)</f>
        <v>39017.199999999997</v>
      </c>
      <c r="J3" s="83">
        <f t="shared" ref="J3:J7" ca="1" si="2">IF(I3=MAX(I:I),3,I3)</f>
        <v>39017.199999999997</v>
      </c>
      <c r="K3" s="83">
        <f t="shared" ref="K3:K7" ca="1" si="3">IF(J3=MAX(J:J),4,J3)</f>
        <v>4</v>
      </c>
      <c r="L3" s="83">
        <f t="shared" ref="L3:L7" ca="1" si="4">IF(K3=MAX(K:K),5,K3)</f>
        <v>4</v>
      </c>
      <c r="M3" s="83">
        <f t="shared" ref="M3:M7" ca="1" si="5">IF(L3=MAX(L:L),6,L3)</f>
        <v>4</v>
      </c>
      <c r="P3" s="86">
        <v>2</v>
      </c>
      <c r="Q3" s="87" t="str">
        <f t="shared" ref="Q3:Q7" ca="1" si="6">INDIRECT(ADDRESS(MATCH(P3,$M$2:$M$7,0)+1,3))</f>
        <v>Islande</v>
      </c>
      <c r="R3" s="95">
        <f t="shared" ref="R3:R7" ca="1" si="7">INDIRECT(ADDRESS(MATCH(P3,$M$2:$M$7,0)+1,4))</f>
        <v>4</v>
      </c>
      <c r="S3" s="96">
        <f t="shared" ref="S3:S7" ca="1" si="8">INDIRECT(ADDRESS(MATCH(P3,$M$2:$M$7,0)+1,5))</f>
        <v>-1</v>
      </c>
      <c r="T3" s="97">
        <f t="shared" ref="T3:T7" ca="1" si="9">INDIRECT(ADDRESS(MATCH(P3,$M$2:$M$7,0)+1,6))</f>
        <v>3</v>
      </c>
    </row>
    <row r="4" spans="1:20" s="83" customFormat="1" ht="30" customHeight="1" x14ac:dyDescent="0.25">
      <c r="A4" s="83" t="s">
        <v>101</v>
      </c>
      <c r="B4" s="83">
        <v>4</v>
      </c>
      <c r="C4" s="83" t="str">
        <f ca="1">'Groupe C'!T$7</f>
        <v>Ukraine</v>
      </c>
      <c r="D4" s="83">
        <f ca="1">'Groupe C'!AB$7</f>
        <v>4</v>
      </c>
      <c r="E4" s="83">
        <f ca="1">'Groupe C'!AA$7</f>
        <v>-1</v>
      </c>
      <c r="F4" s="83">
        <f ca="1">'Groupe C'!Y$7</f>
        <v>2</v>
      </c>
      <c r="G4" s="83">
        <f ca="1">D4*10000+E4*1000+F4*10+7.3</f>
        <v>39027.300000000003</v>
      </c>
      <c r="H4" s="83">
        <f t="shared" ca="1" si="0"/>
        <v>39027.300000000003</v>
      </c>
      <c r="I4" s="83">
        <f t="shared" ca="1" si="1"/>
        <v>39027.300000000003</v>
      </c>
      <c r="J4" s="83">
        <f t="shared" ca="1" si="2"/>
        <v>3</v>
      </c>
      <c r="K4" s="83">
        <f t="shared" ca="1" si="3"/>
        <v>3</v>
      </c>
      <c r="L4" s="83">
        <f t="shared" ca="1" si="4"/>
        <v>3</v>
      </c>
      <c r="M4" s="83">
        <f t="shared" ca="1" si="5"/>
        <v>3</v>
      </c>
      <c r="P4" s="86">
        <v>3</v>
      </c>
      <c r="Q4" s="87" t="str">
        <f t="shared" ca="1" si="6"/>
        <v>Ukraine</v>
      </c>
      <c r="R4" s="95">
        <f t="shared" ca="1" si="7"/>
        <v>4</v>
      </c>
      <c r="S4" s="96">
        <f t="shared" ca="1" si="8"/>
        <v>-1</v>
      </c>
      <c r="T4" s="97">
        <f t="shared" ca="1" si="9"/>
        <v>2</v>
      </c>
    </row>
    <row r="5" spans="1:20" s="83" customFormat="1" ht="30" customHeight="1" x14ac:dyDescent="0.25">
      <c r="A5" s="83" t="s">
        <v>102</v>
      </c>
      <c r="B5" s="83">
        <v>8</v>
      </c>
      <c r="C5" s="83" t="str">
        <f ca="1">'Groupe D'!T$7</f>
        <v>Turquie</v>
      </c>
      <c r="D5" s="83">
        <f ca="1">'Groupe D'!AB$7</f>
        <v>4</v>
      </c>
      <c r="E5" s="83">
        <f ca="1">'Groupe D'!AA$7</f>
        <v>0</v>
      </c>
      <c r="F5" s="83">
        <f ca="1">'Groupe D'!Y$7</f>
        <v>2</v>
      </c>
      <c r="G5" s="83">
        <f ca="1">D5*10000+E5*1000+F5*10+7.4</f>
        <v>40027.4</v>
      </c>
      <c r="H5" s="83">
        <f t="shared" ca="1" si="0"/>
        <v>1</v>
      </c>
      <c r="I5" s="83">
        <f t="shared" ca="1" si="1"/>
        <v>1</v>
      </c>
      <c r="J5" s="83">
        <f t="shared" ca="1" si="2"/>
        <v>1</v>
      </c>
      <c r="K5" s="83">
        <f t="shared" ca="1" si="3"/>
        <v>1</v>
      </c>
      <c r="L5" s="83">
        <f t="shared" ca="1" si="4"/>
        <v>1</v>
      </c>
      <c r="M5" s="83">
        <f t="shared" ca="1" si="5"/>
        <v>1</v>
      </c>
      <c r="P5" s="86">
        <v>4</v>
      </c>
      <c r="Q5" s="87" t="str">
        <f t="shared" ca="1" si="6"/>
        <v>Pays de Galles</v>
      </c>
      <c r="R5" s="95">
        <f t="shared" ca="1" si="7"/>
        <v>4</v>
      </c>
      <c r="S5" s="96">
        <f t="shared" ca="1" si="8"/>
        <v>-1</v>
      </c>
      <c r="T5" s="97">
        <f t="shared" ca="1" si="9"/>
        <v>1</v>
      </c>
    </row>
    <row r="6" spans="1:20" s="83" customFormat="1" ht="30" customHeight="1" x14ac:dyDescent="0.25">
      <c r="A6" s="83" t="s">
        <v>103</v>
      </c>
      <c r="B6" s="83">
        <v>16</v>
      </c>
      <c r="C6" s="83" t="str">
        <f ca="1">'Groupe E'!T$7</f>
        <v>Suède</v>
      </c>
      <c r="D6" s="83">
        <f ca="1">'Groupe E'!AB$7</f>
        <v>2</v>
      </c>
      <c r="E6" s="83">
        <f ca="1">'Groupe E'!AA$7</f>
        <v>-1</v>
      </c>
      <c r="F6" s="83">
        <f ca="1">'Groupe E'!Y$7</f>
        <v>3</v>
      </c>
      <c r="G6" s="83">
        <f ca="1">D6*10000+E6*1000+F6*10+7.5</f>
        <v>19037.5</v>
      </c>
      <c r="H6" s="83">
        <f t="shared" ca="1" si="0"/>
        <v>19037.5</v>
      </c>
      <c r="I6" s="83">
        <f t="shared" ca="1" si="1"/>
        <v>19037.5</v>
      </c>
      <c r="J6" s="83">
        <f t="shared" ca="1" si="2"/>
        <v>19037.5</v>
      </c>
      <c r="K6" s="83">
        <f t="shared" ca="1" si="3"/>
        <v>19037.5</v>
      </c>
      <c r="L6" s="83">
        <f t="shared" ca="1" si="4"/>
        <v>19037.5</v>
      </c>
      <c r="M6" s="83">
        <f t="shared" ca="1" si="5"/>
        <v>6</v>
      </c>
      <c r="P6" s="88">
        <v>5</v>
      </c>
      <c r="Q6" s="89" t="str">
        <f t="shared" ca="1" si="6"/>
        <v>Roumanie</v>
      </c>
      <c r="R6" s="98">
        <f t="shared" ca="1" si="7"/>
        <v>3</v>
      </c>
      <c r="S6" s="99">
        <f t="shared" ca="1" si="8"/>
        <v>-1</v>
      </c>
      <c r="T6" s="100">
        <f t="shared" ca="1" si="9"/>
        <v>3</v>
      </c>
    </row>
    <row r="7" spans="1:20" s="83" customFormat="1" ht="30" customHeight="1" thickBot="1" x14ac:dyDescent="0.3">
      <c r="A7" s="83" t="s">
        <v>104</v>
      </c>
      <c r="B7" s="83">
        <v>32</v>
      </c>
      <c r="C7" s="83" t="str">
        <f ca="1">'Groupe F'!T$7</f>
        <v>Islande</v>
      </c>
      <c r="D7" s="83">
        <f ca="1">'Groupe F'!AB$7</f>
        <v>4</v>
      </c>
      <c r="E7" s="83">
        <f ca="1">'Groupe F'!AA$7</f>
        <v>-1</v>
      </c>
      <c r="F7" s="83">
        <f ca="1">'Groupe F'!Y$7</f>
        <v>3</v>
      </c>
      <c r="G7" s="83">
        <f ca="1">D7*10000+E7*1000+F7*10+7.6</f>
        <v>39037.599999999999</v>
      </c>
      <c r="H7" s="83">
        <f t="shared" ca="1" si="0"/>
        <v>39037.599999999999</v>
      </c>
      <c r="I7" s="83">
        <f t="shared" ca="1" si="1"/>
        <v>2</v>
      </c>
      <c r="J7" s="83">
        <f t="shared" ca="1" si="2"/>
        <v>2</v>
      </c>
      <c r="K7" s="83">
        <f t="shared" ca="1" si="3"/>
        <v>2</v>
      </c>
      <c r="L7" s="83">
        <f t="shared" ca="1" si="4"/>
        <v>2</v>
      </c>
      <c r="M7" s="83">
        <f t="shared" ca="1" si="5"/>
        <v>2</v>
      </c>
      <c r="P7" s="90">
        <v>6</v>
      </c>
      <c r="Q7" s="91" t="str">
        <f t="shared" ca="1" si="6"/>
        <v>Suède</v>
      </c>
      <c r="R7" s="101">
        <f t="shared" ca="1" si="7"/>
        <v>2</v>
      </c>
      <c r="S7" s="102">
        <f t="shared" ca="1" si="8"/>
        <v>-1</v>
      </c>
      <c r="T7" s="103">
        <f t="shared" ca="1" si="9"/>
        <v>3</v>
      </c>
    </row>
    <row r="12" spans="1:20" x14ac:dyDescent="0.25">
      <c r="C12" s="80">
        <f t="shared" ref="C12:C16" ca="1" si="10">IF(M2&lt;5,B2,0)</f>
        <v>0</v>
      </c>
      <c r="O12" s="80" t="str">
        <f ca="1">INDIRECT(ADDRESS(MATCH(C18,Feuil2!A19:A33,0)+18,2,,,"Feuil2"))</f>
        <v>Ukraine</v>
      </c>
    </row>
    <row r="13" spans="1:20" x14ac:dyDescent="0.25">
      <c r="C13" s="80">
        <f t="shared" ca="1" si="10"/>
        <v>2</v>
      </c>
      <c r="O13" s="80" t="str">
        <f ca="1">INDIRECT(ADDRESS(MATCH(C18,Feuil2!A19:A33,0)+18,3,,,"Feuil2"))</f>
        <v>Turquie</v>
      </c>
    </row>
    <row r="14" spans="1:20" x14ac:dyDescent="0.25">
      <c r="C14" s="80">
        <f t="shared" ca="1" si="10"/>
        <v>4</v>
      </c>
      <c r="O14" s="80" t="str">
        <f ca="1">INDIRECT(ADDRESS(MATCH(C18,Feuil2!A19:A33,0)+18,4,,,"Feuil2"))</f>
        <v>Pays de Galles</v>
      </c>
    </row>
    <row r="15" spans="1:20" x14ac:dyDescent="0.25">
      <c r="C15" s="80">
        <f t="shared" ca="1" si="10"/>
        <v>8</v>
      </c>
      <c r="O15" s="80" t="str">
        <f ca="1">INDIRECT(ADDRESS(MATCH(C18,Feuil2!A19:A33,0)+18,5,,,"Feuil2"))</f>
        <v>Islande</v>
      </c>
    </row>
    <row r="16" spans="1:20" x14ac:dyDescent="0.25">
      <c r="C16" s="80">
        <f t="shared" ca="1" si="10"/>
        <v>0</v>
      </c>
    </row>
    <row r="17" spans="3:3" x14ac:dyDescent="0.25">
      <c r="C17" s="80">
        <f ca="1">IF(M7&lt;5,B7,0)</f>
        <v>32</v>
      </c>
    </row>
    <row r="18" spans="3:3" x14ac:dyDescent="0.25">
      <c r="C18" s="80">
        <f ca="1">SUM(C12:C17)</f>
        <v>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AI32"/>
  <sheetViews>
    <sheetView showGridLines="0" showRowColHeaders="0" zoomScale="75" zoomScaleNormal="75" workbookViewId="0">
      <selection activeCell="W36" sqref="W36"/>
    </sheetView>
  </sheetViews>
  <sheetFormatPr baseColWidth="10" defaultRowHeight="15" x14ac:dyDescent="0.25"/>
  <cols>
    <col min="1" max="1" width="2.85546875" style="1" customWidth="1"/>
    <col min="2" max="2" width="7.140625" style="1" customWidth="1"/>
    <col min="3" max="3" width="20" style="1" customWidth="1"/>
    <col min="4" max="5" width="3.5703125" style="1" customWidth="1"/>
    <col min="6" max="6" width="2.85546875" style="1" customWidth="1"/>
    <col min="7" max="7" width="7.140625" style="1" customWidth="1"/>
    <col min="8" max="8" width="20" style="1" customWidth="1"/>
    <col min="9" max="10" width="3.5703125" style="1" customWidth="1"/>
    <col min="11" max="11" width="2.85546875" style="1" customWidth="1"/>
    <col min="12" max="12" width="7.140625" style="1" customWidth="1"/>
    <col min="13" max="13" width="20" style="1" customWidth="1"/>
    <col min="14" max="15" width="3.5703125" style="1" customWidth="1"/>
    <col min="16" max="16" width="2.85546875" style="1" customWidth="1"/>
    <col min="17" max="17" width="7.140625" style="1" customWidth="1"/>
    <col min="18" max="18" width="20" style="1" customWidth="1"/>
    <col min="19" max="20" width="3.5703125" style="1" customWidth="1"/>
    <col min="21" max="21" width="2.85546875" style="1" customWidth="1"/>
    <col min="22" max="22" width="7.140625" style="1" customWidth="1"/>
    <col min="23" max="23" width="20" style="1" customWidth="1"/>
    <col min="24" max="25" width="3.5703125" style="1" customWidth="1"/>
    <col min="26" max="26" width="2.85546875" style="1" customWidth="1"/>
    <col min="27" max="27" width="7.140625" style="1" customWidth="1"/>
    <col min="28" max="28" width="20" style="1" customWidth="1"/>
    <col min="29" max="30" width="3.5703125" style="1" customWidth="1"/>
    <col min="31" max="31" width="2.85546875" style="1" customWidth="1"/>
    <col min="32" max="32" width="7.140625" style="1" customWidth="1"/>
    <col min="33" max="33" width="20" style="1" customWidth="1"/>
    <col min="34" max="35" width="3.5703125" style="1" customWidth="1"/>
    <col min="36" max="16384" width="11.42578125" style="1"/>
  </cols>
  <sheetData>
    <row r="1" spans="2:35" ht="15.75" thickBot="1" x14ac:dyDescent="0.3"/>
    <row r="2" spans="2:35" ht="21" customHeight="1" x14ac:dyDescent="0.25">
      <c r="N2" s="123" t="s">
        <v>105</v>
      </c>
      <c r="O2" s="124"/>
      <c r="P2" s="124"/>
      <c r="Q2" s="124"/>
      <c r="R2" s="124"/>
      <c r="S2" s="124"/>
      <c r="T2" s="124"/>
      <c r="U2" s="125"/>
    </row>
    <row r="3" spans="2:35" ht="15.75" customHeight="1" thickBot="1" x14ac:dyDescent="0.3">
      <c r="N3" s="126"/>
      <c r="O3" s="127"/>
      <c r="P3" s="127"/>
      <c r="Q3" s="127"/>
      <c r="R3" s="127"/>
      <c r="S3" s="127"/>
      <c r="T3" s="127"/>
      <c r="U3" s="128"/>
    </row>
    <row r="4" spans="2:35" ht="15" customHeight="1" x14ac:dyDescent="0.25">
      <c r="B4" s="140">
        <v>42546</v>
      </c>
      <c r="C4" s="35" t="str">
        <f ca="1">IF(SUM('Groupe A'!U5:U8)=12,'Groupe A'!T6,"")</f>
        <v>Suisse</v>
      </c>
      <c r="D4" s="43">
        <v>0</v>
      </c>
      <c r="E4" s="44">
        <v>0</v>
      </c>
      <c r="N4" s="126"/>
      <c r="O4" s="127"/>
      <c r="P4" s="127"/>
      <c r="Q4" s="127"/>
      <c r="R4" s="127"/>
      <c r="S4" s="127"/>
      <c r="T4" s="127"/>
      <c r="U4" s="128"/>
      <c r="AF4" s="140">
        <v>42547</v>
      </c>
      <c r="AG4" s="35" t="str">
        <f ca="1">IF(SUM('Groupe C'!U5:U8)=12,'Groupe C'!T5,"")</f>
        <v>Allemagne</v>
      </c>
      <c r="AH4" s="43">
        <v>2</v>
      </c>
      <c r="AI4" s="44"/>
    </row>
    <row r="5" spans="2:35" ht="15.75" customHeight="1" thickBot="1" x14ac:dyDescent="0.3">
      <c r="B5" s="141"/>
      <c r="C5" s="36" t="str">
        <f ca="1">IF(SUM('Groupe C'!U5:U8)=12,'Groupe C'!T6,"")</f>
        <v>Pologne</v>
      </c>
      <c r="D5" s="45">
        <v>0</v>
      </c>
      <c r="E5" s="46">
        <v>1</v>
      </c>
      <c r="F5" s="62"/>
      <c r="N5" s="126"/>
      <c r="O5" s="127"/>
      <c r="P5" s="127"/>
      <c r="Q5" s="127"/>
      <c r="R5" s="127"/>
      <c r="S5" s="127"/>
      <c r="T5" s="127"/>
      <c r="U5" s="128"/>
      <c r="AE5" s="66"/>
      <c r="AF5" s="141"/>
      <c r="AG5" s="36" t="str">
        <f ca="1">IF(SUM('Groupe D'!U5:U8)=12,'Classement des 3e'!O14,"")</f>
        <v>Pays de Galles</v>
      </c>
      <c r="AH5" s="45">
        <v>0</v>
      </c>
      <c r="AI5" s="46"/>
    </row>
    <row r="6" spans="2:35" ht="15" customHeight="1" thickBot="1" x14ac:dyDescent="0.3">
      <c r="F6" s="61"/>
      <c r="N6" s="129"/>
      <c r="O6" s="130"/>
      <c r="P6" s="130"/>
      <c r="Q6" s="130"/>
      <c r="R6" s="130"/>
      <c r="S6" s="130"/>
      <c r="T6" s="130"/>
      <c r="U6" s="131"/>
      <c r="AE6" s="64"/>
    </row>
    <row r="7" spans="2:35" ht="15.75" thickBot="1" x14ac:dyDescent="0.3">
      <c r="F7" s="61"/>
      <c r="Q7" s="134"/>
      <c r="R7" s="135"/>
      <c r="S7" s="135"/>
      <c r="T7" s="135"/>
      <c r="AE7" s="64"/>
    </row>
    <row r="8" spans="2:35" x14ac:dyDescent="0.25">
      <c r="G8" s="138">
        <v>42551</v>
      </c>
      <c r="H8" s="37" t="str">
        <f ca="1">IF(D4&gt;D5,C4,IF(D5&gt;D4,C5,IF(E4&gt;E5,C4,IF(E4&lt;&gt;E5,C5,""))))</f>
        <v>Pologne</v>
      </c>
      <c r="I8" s="47">
        <v>1</v>
      </c>
      <c r="J8" s="48"/>
      <c r="Q8" s="134"/>
      <c r="R8" s="135"/>
      <c r="S8" s="135"/>
      <c r="T8" s="135"/>
      <c r="AA8" s="138">
        <v>42553</v>
      </c>
      <c r="AB8" s="37" t="str">
        <f ca="1">IF(AH4&gt;AH5,AG4,IF(AH5&gt;AH4,AG5,IF(AI4&gt;AI5,AG4,IF(AI4&lt;&gt;AI5,AG5,""))))</f>
        <v>Allemagne</v>
      </c>
      <c r="AC8" s="47">
        <v>2</v>
      </c>
      <c r="AD8" s="48">
        <v>3</v>
      </c>
    </row>
    <row r="9" spans="2:35" ht="15.75" thickBot="1" x14ac:dyDescent="0.3">
      <c r="G9" s="139"/>
      <c r="H9" s="38" t="str">
        <f ca="1">IF(D12&gt;D13,C12,IF(D13&gt;D12,C13,IF(E12&gt;E13,C12,IF(E12&lt;&gt;E13,C13,""))))</f>
        <v>Espagne</v>
      </c>
      <c r="I9" s="49">
        <v>2</v>
      </c>
      <c r="J9" s="50"/>
      <c r="K9" s="62"/>
      <c r="Z9" s="66"/>
      <c r="AA9" s="139"/>
      <c r="AB9" s="38" t="str">
        <f ca="1">IF(AH12&gt;AH13,AG12,IF(AH13&gt;AH12,AG13,IF(AI12&gt;AI13,AG12,IF(AI12&lt;&gt;AI13,AG13,""))))</f>
        <v>Italie</v>
      </c>
      <c r="AC9" s="49">
        <v>2</v>
      </c>
      <c r="AD9" s="50">
        <v>2</v>
      </c>
    </row>
    <row r="10" spans="2:35" x14ac:dyDescent="0.25">
      <c r="F10" s="61"/>
      <c r="K10" s="61"/>
      <c r="Z10" s="64"/>
      <c r="AE10" s="64"/>
    </row>
    <row r="11" spans="2:35" ht="15.75" thickBot="1" x14ac:dyDescent="0.3">
      <c r="F11" s="61"/>
      <c r="K11" s="61"/>
      <c r="Q11" s="136"/>
      <c r="R11" s="136"/>
      <c r="S11" s="136"/>
      <c r="T11" s="136"/>
      <c r="Z11" s="64"/>
      <c r="AE11" s="64"/>
    </row>
    <row r="12" spans="2:35" x14ac:dyDescent="0.25">
      <c r="B12" s="140">
        <v>42546</v>
      </c>
      <c r="C12" s="35" t="str">
        <f ca="1">IF(SUM('Groupe D'!U5:U8)=12,'Groupe D'!T5,"")</f>
        <v>Espagne</v>
      </c>
      <c r="D12" s="43">
        <v>2</v>
      </c>
      <c r="E12" s="44"/>
      <c r="F12" s="63"/>
      <c r="K12" s="61"/>
      <c r="Q12" s="137"/>
      <c r="R12" s="75"/>
      <c r="S12" s="76"/>
      <c r="T12" s="76"/>
      <c r="Z12" s="64"/>
      <c r="AE12" s="65"/>
      <c r="AF12" s="140">
        <v>42548</v>
      </c>
      <c r="AG12" s="35" t="str">
        <f ca="1">IF(SUM('Groupe E'!U5:U8)=12,'Groupe E'!T5,"")</f>
        <v>Italie</v>
      </c>
      <c r="AH12" s="43">
        <v>1</v>
      </c>
      <c r="AI12" s="44"/>
    </row>
    <row r="13" spans="2:35" ht="15.75" thickBot="1" x14ac:dyDescent="0.3">
      <c r="B13" s="141"/>
      <c r="C13" s="36" t="str">
        <f ca="1">IF(SUM('Groupe D'!U5:U8)=12,'Classement des 3e'!O15,"")</f>
        <v>Islande</v>
      </c>
      <c r="D13" s="45">
        <v>0</v>
      </c>
      <c r="E13" s="46"/>
      <c r="K13" s="61"/>
      <c r="Q13" s="137"/>
      <c r="R13" s="75"/>
      <c r="S13" s="76"/>
      <c r="T13" s="76"/>
      <c r="Z13" s="64"/>
      <c r="AF13" s="141"/>
      <c r="AG13" s="36" t="str">
        <f ca="1">IF(SUM('Groupe D'!U5:U8)=12,'Groupe D'!T6,"")</f>
        <v>Croatie</v>
      </c>
      <c r="AH13" s="45">
        <v>0</v>
      </c>
      <c r="AI13" s="46"/>
    </row>
    <row r="14" spans="2:35" x14ac:dyDescent="0.25">
      <c r="K14" s="61"/>
      <c r="P14" s="77"/>
      <c r="Q14" s="77"/>
      <c r="T14" s="77"/>
      <c r="U14" s="77"/>
      <c r="Z14" s="64"/>
    </row>
    <row r="15" spans="2:35" ht="15.75" thickBot="1" x14ac:dyDescent="0.3">
      <c r="K15" s="61"/>
      <c r="P15" s="77"/>
      <c r="Q15" s="79"/>
      <c r="T15" s="79"/>
      <c r="U15" s="77"/>
      <c r="Z15" s="64"/>
    </row>
    <row r="16" spans="2:35" ht="15.75" thickBot="1" x14ac:dyDescent="0.3">
      <c r="L16" s="142">
        <v>42557</v>
      </c>
      <c r="M16" s="39" t="str">
        <f ca="1">IF(I8&gt;I9,H8,IF(I9&gt;I8,H9,IF(J8&gt;J9,H8,IF(J8&lt;&gt;J9,H9,""))))</f>
        <v>Espagne</v>
      </c>
      <c r="N16" s="51">
        <v>1</v>
      </c>
      <c r="O16" s="52"/>
      <c r="P16" s="61"/>
      <c r="Q16" s="144" t="s">
        <v>19</v>
      </c>
      <c r="R16" s="145"/>
      <c r="S16" s="145"/>
      <c r="T16" s="146"/>
      <c r="U16" s="65"/>
      <c r="V16" s="142">
        <v>42558</v>
      </c>
      <c r="W16" s="39" t="str">
        <f ca="1">IF(AC8&gt;AC9,AB8,IF(AC9&gt;AC8,AB9,IF(AD8&gt;AD9,AB8,IF(AD8&lt;&gt;AD9,AB9,""))))</f>
        <v>Allemagne</v>
      </c>
      <c r="X16" s="51">
        <v>0</v>
      </c>
      <c r="Y16" s="52"/>
    </row>
    <row r="17" spans="2:35" ht="15.75" thickBot="1" x14ac:dyDescent="0.3">
      <c r="L17" s="143"/>
      <c r="M17" s="40" t="str">
        <f ca="1">IF(I24&gt;I25,H24,IF(I25&gt;I24,H25,IF(J24&gt;J25,H24,IF(J24&lt;&gt;J25,H25,""))))</f>
        <v>Belgique</v>
      </c>
      <c r="N17" s="53">
        <v>0</v>
      </c>
      <c r="O17" s="54"/>
      <c r="P17" s="62"/>
      <c r="Q17" s="147">
        <v>42561</v>
      </c>
      <c r="R17" s="41" t="str">
        <f ca="1">IF(N16&gt;N17,M16,IF(N17&gt;N16,M17,IF(O16&gt;O17,M16,IF(O16&lt;&gt;O17,M17,""))))</f>
        <v>Espagne</v>
      </c>
      <c r="S17" s="55">
        <v>1</v>
      </c>
      <c r="T17" s="56"/>
      <c r="U17" s="64"/>
      <c r="V17" s="143"/>
      <c r="W17" s="40" t="str">
        <f ca="1">IF(AC24&gt;AC25,AB24,IF(AC25&gt;AC24,AB25,IF(AD24&gt;AD25,AB24,IF(AD24&lt;&gt;AD25,AB25,""))))</f>
        <v>France</v>
      </c>
      <c r="X17" s="53">
        <v>1</v>
      </c>
      <c r="Y17" s="54"/>
    </row>
    <row r="18" spans="2:35" ht="15.75" thickBot="1" x14ac:dyDescent="0.3">
      <c r="K18" s="61"/>
      <c r="P18" s="61"/>
      <c r="Q18" s="148"/>
      <c r="R18" s="42" t="str">
        <f ca="1">IF(X16&gt;X17,W16,IF(X17&gt;X16,W17,IF(Y16&gt;Y17,W16,IF(Y16&lt;&gt;Y17,W17,""))))</f>
        <v>France</v>
      </c>
      <c r="S18" s="57">
        <v>2</v>
      </c>
      <c r="T18" s="58"/>
      <c r="U18" s="64"/>
      <c r="Z18" s="64"/>
    </row>
    <row r="19" spans="2:35" ht="15.75" thickBot="1" x14ac:dyDescent="0.3">
      <c r="K19" s="61"/>
      <c r="P19" s="77"/>
      <c r="Q19" s="78"/>
      <c r="T19" s="78"/>
      <c r="U19" s="77"/>
      <c r="Z19" s="64"/>
    </row>
    <row r="20" spans="2:35" x14ac:dyDescent="0.25">
      <c r="B20" s="140">
        <v>42546</v>
      </c>
      <c r="C20" s="35" t="str">
        <f ca="1">IF(SUM('Groupe B'!U5:U8)=12,'Groupe B'!T5,"")</f>
        <v>Angleterre</v>
      </c>
      <c r="D20" s="43">
        <v>1</v>
      </c>
      <c r="E20" s="44"/>
      <c r="K20" s="61"/>
      <c r="Q20" s="136"/>
      <c r="R20" s="136"/>
      <c r="S20" s="136"/>
      <c r="T20" s="136"/>
      <c r="Z20" s="64"/>
      <c r="AF20" s="140">
        <v>42577</v>
      </c>
      <c r="AG20" s="35" t="str">
        <f ca="1">IF(SUM('Groupe A'!U5:U8)=12,'Groupe A'!T5,"")</f>
        <v>France</v>
      </c>
      <c r="AH20" s="43">
        <v>2</v>
      </c>
      <c r="AI20" s="44"/>
    </row>
    <row r="21" spans="2:35" ht="15.75" thickBot="1" x14ac:dyDescent="0.3">
      <c r="B21" s="141"/>
      <c r="C21" s="36" t="str">
        <f ca="1">IF(SUM('Groupe D'!U5:U8)=12,'Classement des 3e'!O13,"")</f>
        <v>Turquie</v>
      </c>
      <c r="D21" s="45">
        <v>0</v>
      </c>
      <c r="E21" s="46"/>
      <c r="F21" s="62"/>
      <c r="K21" s="61"/>
      <c r="Q21" s="137"/>
      <c r="R21" s="75"/>
      <c r="S21" s="76"/>
      <c r="T21" s="76"/>
      <c r="Z21" s="64"/>
      <c r="AE21" s="66"/>
      <c r="AF21" s="141"/>
      <c r="AG21" s="36" t="str">
        <f ca="1">IF(SUM('Groupe D'!U5:U8)=12,'Classement des 3e'!O12,"")</f>
        <v>Ukraine</v>
      </c>
      <c r="AH21" s="45">
        <v>0</v>
      </c>
      <c r="AI21" s="46"/>
    </row>
    <row r="22" spans="2:35" x14ac:dyDescent="0.25">
      <c r="F22" s="61"/>
      <c r="K22" s="61"/>
      <c r="Q22" s="137"/>
      <c r="R22" s="75"/>
      <c r="S22" s="76"/>
      <c r="T22" s="76"/>
      <c r="Z22" s="64"/>
      <c r="AE22" s="64"/>
    </row>
    <row r="23" spans="2:35" ht="15.75" thickBot="1" x14ac:dyDescent="0.3">
      <c r="F23" s="61"/>
      <c r="K23" s="61"/>
      <c r="Z23" s="64"/>
      <c r="AE23" s="64"/>
    </row>
    <row r="24" spans="2:35" x14ac:dyDescent="0.25">
      <c r="G24" s="138">
        <v>42552</v>
      </c>
      <c r="H24" s="37" t="str">
        <f ca="1">IF(D20&gt;D21,C20,IF(D21&gt;D20,C21,IF(E20&gt;E21,C20,IF(E20&lt;&gt;E21,C21,""))))</f>
        <v>Angleterre</v>
      </c>
      <c r="I24" s="47">
        <v>0</v>
      </c>
      <c r="J24" s="48"/>
      <c r="K24" s="63"/>
      <c r="Z24" s="65"/>
      <c r="AA24" s="138">
        <v>42554</v>
      </c>
      <c r="AB24" s="37" t="str">
        <f ca="1">IF(AH20&gt;AH21,AG20,IF(AH21&gt;AH20,AG21,IF(AI20&gt;AI21,AG20,IF(AI20&lt;&gt;AI21,AG21,""))))</f>
        <v>France</v>
      </c>
      <c r="AC24" s="47">
        <v>3</v>
      </c>
      <c r="AD24" s="48"/>
    </row>
    <row r="25" spans="2:35" ht="15.75" thickBot="1" x14ac:dyDescent="0.3">
      <c r="G25" s="139"/>
      <c r="H25" s="38" t="str">
        <f ca="1">IF(D28&gt;D29,C28,IF(D29&gt;D28,C29,IF(E28&gt;E29,C28,IF(E28&lt;&gt;E29,C29,""))))</f>
        <v>Belgique</v>
      </c>
      <c r="I25" s="49">
        <v>1</v>
      </c>
      <c r="J25" s="50"/>
      <c r="AA25" s="139"/>
      <c r="AB25" s="38" t="str">
        <f ca="1">IF(AH28&gt;AH29,AG28,IF(AH29&gt;AH28,AG29,IF(AI28&gt;AI29,AG28,IF(AI28&lt;&gt;AI29,AG29,""))))</f>
        <v>Autriche</v>
      </c>
      <c r="AC25" s="49">
        <v>1</v>
      </c>
      <c r="AD25" s="50"/>
    </row>
    <row r="26" spans="2:35" x14ac:dyDescent="0.25">
      <c r="F26" s="61"/>
      <c r="AE26" s="64"/>
    </row>
    <row r="27" spans="2:35" ht="15.75" thickBot="1" x14ac:dyDescent="0.3">
      <c r="F27" s="61"/>
      <c r="AE27" s="64"/>
    </row>
    <row r="28" spans="2:35" ht="15.75" thickBot="1" x14ac:dyDescent="0.3">
      <c r="B28" s="140">
        <v>42547</v>
      </c>
      <c r="C28" s="35" t="str">
        <f ca="1">IF(SUM('Groupe F'!U5:U8)=12,'Groupe F'!T5,"")</f>
        <v>Portugal</v>
      </c>
      <c r="D28" s="43">
        <v>1</v>
      </c>
      <c r="E28" s="44"/>
      <c r="F28" s="63"/>
      <c r="R28" s="69" t="s">
        <v>27</v>
      </c>
      <c r="AE28" s="65"/>
      <c r="AF28" s="140">
        <v>42578</v>
      </c>
      <c r="AG28" s="35" t="str">
        <f ca="1">IF(SUM('Groupe B'!U5:U8)=12,'Groupe B'!T6,"")</f>
        <v>Russie</v>
      </c>
      <c r="AH28" s="43">
        <v>1</v>
      </c>
      <c r="AI28" s="44">
        <v>1</v>
      </c>
    </row>
    <row r="29" spans="2:35" ht="15.75" thickBot="1" x14ac:dyDescent="0.3">
      <c r="B29" s="141"/>
      <c r="C29" s="36" t="str">
        <f ca="1">IF(SUM('Groupe E'!U5:U8)=12,'Groupe E'!T6,"")</f>
        <v>Belgique</v>
      </c>
      <c r="D29" s="45">
        <v>2</v>
      </c>
      <c r="E29" s="46"/>
      <c r="R29" s="71" t="s">
        <v>148</v>
      </c>
      <c r="AF29" s="141"/>
      <c r="AG29" s="36" t="str">
        <f ca="1">IF(SUM('Groupe F'!U5:U8)=12,'Groupe F'!T6,"")</f>
        <v>Autriche</v>
      </c>
      <c r="AH29" s="45">
        <v>1</v>
      </c>
      <c r="AI29" s="46">
        <v>2</v>
      </c>
    </row>
    <row r="30" spans="2:35" ht="15.75" thickBot="1" x14ac:dyDescent="0.3">
      <c r="R30" s="68"/>
    </row>
    <row r="31" spans="2:35" ht="15.75" thickBot="1" x14ac:dyDescent="0.3">
      <c r="M31" s="67" t="s">
        <v>26</v>
      </c>
      <c r="N31" s="132">
        <f>SUM('Groupe A'!C2:C13,'Groupe B'!C2:C13,'Groupe C'!C2:C13,'Groupe D'!C2:C13,'Groupe E'!C2:C13,'Groupe F'!C2:C13,'Tableau final'!D4:D5,'Tableau final'!D12:D13,'Tableau final'!D20:D21,'Tableau final'!D28:D29,'Tableau final'!I8:I9,'Tableau final'!I24:I25,'Tableau final'!N16:N17,S17:S18,'Tableau final'!X16:X17,'Tableau final'!AC8:AC9,'Tableau final'!AC24:AC25,'Tableau final'!AH28:AH29,'Tableau final'!AH20:AH21,'Tableau final'!AH12:AH13,'Tableau final'!AH4:AH5)</f>
        <v>94</v>
      </c>
      <c r="O31" s="133"/>
      <c r="R31" s="70" t="s">
        <v>28</v>
      </c>
    </row>
    <row r="32" spans="2:35" ht="15.75" thickBot="1" x14ac:dyDescent="0.3">
      <c r="R32" s="72" t="s">
        <v>149</v>
      </c>
    </row>
  </sheetData>
  <sheetProtection selectLockedCells="1"/>
  <mergeCells count="24">
    <mergeCell ref="B4:B5"/>
    <mergeCell ref="B12:B13"/>
    <mergeCell ref="B20:B21"/>
    <mergeCell ref="B28:B29"/>
    <mergeCell ref="G8:G9"/>
    <mergeCell ref="G24:G25"/>
    <mergeCell ref="AF28:AF29"/>
    <mergeCell ref="L16:L17"/>
    <mergeCell ref="Q20:T20"/>
    <mergeCell ref="Q21:Q22"/>
    <mergeCell ref="V16:V17"/>
    <mergeCell ref="Q16:T16"/>
    <mergeCell ref="Q17:Q18"/>
    <mergeCell ref="AA8:AA9"/>
    <mergeCell ref="AA24:AA25"/>
    <mergeCell ref="AF4:AF5"/>
    <mergeCell ref="AF12:AF13"/>
    <mergeCell ref="AF20:AF21"/>
    <mergeCell ref="N2:U6"/>
    <mergeCell ref="N31:O31"/>
    <mergeCell ref="Q7:Q8"/>
    <mergeCell ref="R7:T8"/>
    <mergeCell ref="Q11:T11"/>
    <mergeCell ref="Q12:Q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47"/>
  <sheetViews>
    <sheetView showGridLines="0" showRowColHeaders="0" tabSelected="1" workbookViewId="0">
      <selection activeCell="H48" sqref="H48:H52"/>
    </sheetView>
  </sheetViews>
  <sheetFormatPr baseColWidth="10" defaultRowHeight="15" x14ac:dyDescent="0.25"/>
  <cols>
    <col min="1" max="7" width="12.85546875" style="1" customWidth="1"/>
  </cols>
  <sheetData>
    <row r="1" spans="1:7" ht="31.5" x14ac:dyDescent="0.25">
      <c r="A1" s="152" t="s">
        <v>29</v>
      </c>
      <c r="B1" s="152"/>
      <c r="C1" s="152"/>
      <c r="D1" s="152"/>
      <c r="E1" s="152"/>
      <c r="F1" s="152"/>
      <c r="G1" s="152"/>
    </row>
    <row r="3" spans="1:7" x14ac:dyDescent="0.25">
      <c r="A3" s="153" t="s">
        <v>74</v>
      </c>
      <c r="B3" s="154"/>
      <c r="C3" s="154"/>
      <c r="D3" s="154"/>
      <c r="E3" s="154"/>
      <c r="F3" s="154"/>
      <c r="G3" s="155"/>
    </row>
    <row r="4" spans="1:7" x14ac:dyDescent="0.25">
      <c r="A4" s="156" t="s">
        <v>77</v>
      </c>
      <c r="B4" s="157"/>
      <c r="C4" s="157"/>
      <c r="D4" s="157"/>
      <c r="E4" s="157"/>
      <c r="F4" s="157"/>
      <c r="G4" s="158"/>
    </row>
    <row r="5" spans="1:7" x14ac:dyDescent="0.25">
      <c r="A5" s="156" t="s">
        <v>78</v>
      </c>
      <c r="B5" s="157"/>
      <c r="C5" s="157"/>
      <c r="D5" s="157"/>
      <c r="E5" s="157"/>
      <c r="F5" s="157"/>
      <c r="G5" s="158"/>
    </row>
    <row r="6" spans="1:7" x14ac:dyDescent="0.25">
      <c r="A6" s="156" t="s">
        <v>147</v>
      </c>
      <c r="B6" s="157"/>
      <c r="C6" s="157"/>
      <c r="D6" s="157"/>
      <c r="E6" s="157"/>
      <c r="F6" s="157"/>
      <c r="G6" s="158"/>
    </row>
    <row r="7" spans="1:7" x14ac:dyDescent="0.25">
      <c r="A7" s="159" t="s">
        <v>75</v>
      </c>
      <c r="B7" s="160"/>
      <c r="C7" s="160"/>
      <c r="D7" s="160"/>
      <c r="E7" s="160"/>
      <c r="F7" s="160"/>
      <c r="G7" s="161"/>
    </row>
    <row r="8" spans="1:7" x14ac:dyDescent="0.25">
      <c r="A8" s="149" t="s">
        <v>76</v>
      </c>
      <c r="B8" s="150"/>
      <c r="C8" s="150"/>
      <c r="D8" s="150"/>
      <c r="E8" s="150"/>
      <c r="F8" s="150"/>
      <c r="G8" s="151"/>
    </row>
    <row r="10" spans="1:7" x14ac:dyDescent="0.25">
      <c r="A10" s="165" t="s">
        <v>30</v>
      </c>
      <c r="B10" s="166"/>
      <c r="C10" s="166"/>
      <c r="D10" s="166"/>
      <c r="E10" s="166"/>
      <c r="F10" s="166"/>
      <c r="G10" s="167"/>
    </row>
    <row r="11" spans="1:7" x14ac:dyDescent="0.25">
      <c r="A11" s="168" t="s">
        <v>31</v>
      </c>
      <c r="B11" s="169"/>
      <c r="C11" s="169"/>
      <c r="D11" s="169"/>
      <c r="E11" s="169"/>
      <c r="F11" s="169"/>
      <c r="G11" s="170"/>
    </row>
    <row r="12" spans="1:7" x14ac:dyDescent="0.25">
      <c r="A12" s="168" t="s">
        <v>79</v>
      </c>
      <c r="B12" s="169"/>
      <c r="C12" s="169"/>
      <c r="D12" s="169"/>
      <c r="E12" s="169"/>
      <c r="F12" s="169"/>
      <c r="G12" s="170"/>
    </row>
    <row r="13" spans="1:7" x14ac:dyDescent="0.25">
      <c r="A13" s="168" t="s">
        <v>80</v>
      </c>
      <c r="B13" s="169"/>
      <c r="C13" s="169"/>
      <c r="D13" s="169"/>
      <c r="E13" s="169"/>
      <c r="F13" s="169"/>
      <c r="G13" s="170"/>
    </row>
    <row r="14" spans="1:7" x14ac:dyDescent="0.25">
      <c r="A14" s="171" t="s">
        <v>81</v>
      </c>
      <c r="B14" s="172"/>
      <c r="C14" s="172"/>
      <c r="D14" s="172"/>
      <c r="E14" s="172"/>
      <c r="F14" s="172"/>
      <c r="G14" s="173"/>
    </row>
    <row r="16" spans="1:7" x14ac:dyDescent="0.25">
      <c r="A16" s="174" t="s">
        <v>33</v>
      </c>
      <c r="B16" s="175"/>
      <c r="C16" s="175"/>
      <c r="D16" s="175"/>
      <c r="E16" s="175"/>
      <c r="F16" s="175"/>
      <c r="G16" s="176"/>
    </row>
    <row r="17" spans="1:7" x14ac:dyDescent="0.25">
      <c r="A17" s="177" t="s">
        <v>82</v>
      </c>
      <c r="B17" s="178"/>
      <c r="C17" s="178"/>
      <c r="D17" s="178"/>
      <c r="E17" s="178"/>
      <c r="F17" s="178"/>
      <c r="G17" s="179"/>
    </row>
    <row r="18" spans="1:7" x14ac:dyDescent="0.25">
      <c r="A18" s="177" t="s">
        <v>83</v>
      </c>
      <c r="B18" s="178"/>
      <c r="C18" s="178"/>
      <c r="D18" s="178"/>
      <c r="E18" s="178"/>
      <c r="F18" s="178"/>
      <c r="G18" s="179"/>
    </row>
    <row r="19" spans="1:7" x14ac:dyDescent="0.25">
      <c r="A19" s="177" t="s">
        <v>84</v>
      </c>
      <c r="B19" s="178"/>
      <c r="C19" s="178"/>
      <c r="D19" s="178"/>
      <c r="E19" s="178"/>
      <c r="F19" s="178"/>
      <c r="G19" s="179"/>
    </row>
    <row r="20" spans="1:7" x14ac:dyDescent="0.25">
      <c r="A20" s="180" t="s">
        <v>32</v>
      </c>
      <c r="B20" s="181"/>
      <c r="C20" s="181"/>
      <c r="D20" s="181"/>
      <c r="E20" s="181"/>
      <c r="F20" s="181"/>
      <c r="G20" s="182"/>
    </row>
    <row r="22" spans="1:7" x14ac:dyDescent="0.25">
      <c r="A22" s="183" t="s">
        <v>34</v>
      </c>
      <c r="B22" s="184"/>
      <c r="C22" s="184"/>
      <c r="D22" s="184"/>
      <c r="E22" s="184"/>
      <c r="F22" s="184"/>
      <c r="G22" s="185"/>
    </row>
    <row r="23" spans="1:7" x14ac:dyDescent="0.25">
      <c r="A23" s="162" t="s">
        <v>85</v>
      </c>
      <c r="B23" s="163"/>
      <c r="C23" s="163"/>
      <c r="D23" s="163"/>
      <c r="E23" s="163"/>
      <c r="F23" s="163"/>
      <c r="G23" s="164"/>
    </row>
    <row r="24" spans="1:7" x14ac:dyDescent="0.25">
      <c r="A24" s="162" t="s">
        <v>86</v>
      </c>
      <c r="B24" s="163"/>
      <c r="C24" s="163"/>
      <c r="D24" s="163"/>
      <c r="E24" s="163"/>
      <c r="F24" s="163"/>
      <c r="G24" s="164"/>
    </row>
    <row r="25" spans="1:7" x14ac:dyDescent="0.25">
      <c r="A25" s="189" t="s">
        <v>87</v>
      </c>
      <c r="B25" s="190"/>
      <c r="C25" s="190"/>
      <c r="D25" s="190"/>
      <c r="E25" s="190"/>
      <c r="F25" s="190"/>
      <c r="G25" s="191"/>
    </row>
    <row r="27" spans="1:7" x14ac:dyDescent="0.25">
      <c r="A27" s="192" t="s">
        <v>36</v>
      </c>
      <c r="B27" s="193"/>
      <c r="C27" s="193"/>
      <c r="D27" s="193"/>
      <c r="E27" s="193"/>
      <c r="F27" s="193"/>
      <c r="G27" s="194"/>
    </row>
    <row r="28" spans="1:7" x14ac:dyDescent="0.25">
      <c r="A28" s="195" t="s">
        <v>88</v>
      </c>
      <c r="B28" s="196"/>
      <c r="C28" s="196"/>
      <c r="D28" s="196"/>
      <c r="E28" s="196"/>
      <c r="F28" s="196"/>
      <c r="G28" s="197"/>
    </row>
    <row r="29" spans="1:7" x14ac:dyDescent="0.25">
      <c r="A29" s="195" t="s">
        <v>89</v>
      </c>
      <c r="B29" s="196"/>
      <c r="C29" s="196"/>
      <c r="D29" s="196"/>
      <c r="E29" s="196"/>
      <c r="F29" s="196"/>
      <c r="G29" s="197"/>
    </row>
    <row r="30" spans="1:7" x14ac:dyDescent="0.25">
      <c r="A30" s="198" t="s">
        <v>90</v>
      </c>
      <c r="B30" s="199"/>
      <c r="C30" s="199"/>
      <c r="D30" s="199"/>
      <c r="E30" s="199"/>
      <c r="F30" s="199"/>
      <c r="G30" s="200"/>
    </row>
    <row r="32" spans="1:7" x14ac:dyDescent="0.25">
      <c r="A32" s="201" t="s">
        <v>37</v>
      </c>
      <c r="B32" s="202"/>
      <c r="C32" s="202"/>
      <c r="D32" s="202"/>
      <c r="E32" s="202"/>
      <c r="F32" s="202"/>
      <c r="G32" s="203"/>
    </row>
    <row r="33" spans="1:7" x14ac:dyDescent="0.25">
      <c r="A33" s="204" t="s">
        <v>91</v>
      </c>
      <c r="B33" s="205"/>
      <c r="C33" s="205"/>
      <c r="D33" s="205"/>
      <c r="E33" s="205"/>
      <c r="F33" s="205"/>
      <c r="G33" s="206"/>
    </row>
    <row r="34" spans="1:7" x14ac:dyDescent="0.25">
      <c r="A34" s="207" t="s">
        <v>35</v>
      </c>
      <c r="B34" s="208"/>
      <c r="C34" s="208"/>
      <c r="D34" s="208"/>
      <c r="E34" s="208"/>
      <c r="F34" s="208"/>
      <c r="G34" s="209"/>
    </row>
    <row r="36" spans="1:7" x14ac:dyDescent="0.25">
      <c r="A36" s="210" t="s">
        <v>38</v>
      </c>
      <c r="B36" s="211"/>
      <c r="C36" s="211"/>
      <c r="D36" s="211"/>
      <c r="E36" s="211"/>
      <c r="F36" s="211"/>
      <c r="G36" s="212"/>
    </row>
    <row r="37" spans="1:7" x14ac:dyDescent="0.25">
      <c r="A37" s="186" t="s">
        <v>92</v>
      </c>
      <c r="B37" s="187"/>
      <c r="C37" s="187"/>
      <c r="D37" s="187"/>
      <c r="E37" s="187"/>
      <c r="F37" s="187"/>
      <c r="G37" s="188"/>
    </row>
    <row r="38" spans="1:7" x14ac:dyDescent="0.25">
      <c r="A38" s="186" t="s">
        <v>93</v>
      </c>
      <c r="B38" s="187"/>
      <c r="C38" s="187"/>
      <c r="D38" s="187"/>
      <c r="E38" s="187"/>
      <c r="F38" s="187"/>
      <c r="G38" s="188"/>
    </row>
    <row r="39" spans="1:7" x14ac:dyDescent="0.25">
      <c r="A39" s="216" t="s">
        <v>94</v>
      </c>
      <c r="B39" s="217"/>
      <c r="C39" s="217"/>
      <c r="D39" s="217"/>
      <c r="E39" s="217"/>
      <c r="F39" s="217"/>
      <c r="G39" s="218"/>
    </row>
    <row r="41" spans="1:7" x14ac:dyDescent="0.25">
      <c r="A41" s="219" t="s">
        <v>39</v>
      </c>
      <c r="B41" s="220"/>
      <c r="C41" s="220"/>
      <c r="D41" s="220"/>
      <c r="E41" s="220"/>
      <c r="F41" s="220"/>
      <c r="G41" s="221"/>
    </row>
    <row r="42" spans="1:7" x14ac:dyDescent="0.25">
      <c r="A42" s="222" t="s">
        <v>95</v>
      </c>
      <c r="B42" s="223"/>
      <c r="C42" s="223"/>
      <c r="D42" s="223"/>
      <c r="E42" s="223"/>
      <c r="F42" s="223"/>
      <c r="G42" s="224"/>
    </row>
    <row r="43" spans="1:7" x14ac:dyDescent="0.25">
      <c r="A43" s="225" t="s">
        <v>96</v>
      </c>
      <c r="B43" s="226"/>
      <c r="C43" s="226"/>
      <c r="D43" s="226"/>
      <c r="E43" s="226"/>
      <c r="F43" s="226"/>
      <c r="G43" s="227"/>
    </row>
    <row r="45" spans="1:7" ht="18.75" x14ac:dyDescent="0.25">
      <c r="A45" s="228" t="s">
        <v>40</v>
      </c>
      <c r="B45" s="229"/>
      <c r="C45" s="229"/>
      <c r="D45" s="229"/>
      <c r="E45" s="229"/>
      <c r="F45" s="229"/>
      <c r="G45" s="230"/>
    </row>
    <row r="46" spans="1:7" ht="18.75" x14ac:dyDescent="0.25">
      <c r="A46" s="231" t="s">
        <v>97</v>
      </c>
      <c r="B46" s="232"/>
      <c r="C46" s="232"/>
      <c r="D46" s="232"/>
      <c r="E46" s="232"/>
      <c r="F46" s="232"/>
      <c r="G46" s="233"/>
    </row>
    <row r="47" spans="1:7" ht="18.75" x14ac:dyDescent="0.25">
      <c r="A47" s="213" t="s">
        <v>98</v>
      </c>
      <c r="B47" s="214"/>
      <c r="C47" s="214"/>
      <c r="D47" s="214"/>
      <c r="E47" s="214"/>
      <c r="F47" s="214"/>
      <c r="G47" s="215"/>
    </row>
  </sheetData>
  <sheetProtection selectLockedCells="1"/>
  <mergeCells count="38">
    <mergeCell ref="A47:G47"/>
    <mergeCell ref="A39:G39"/>
    <mergeCell ref="A41:G41"/>
    <mergeCell ref="A42:G42"/>
    <mergeCell ref="A43:G43"/>
    <mergeCell ref="A45:G45"/>
    <mergeCell ref="A46:G46"/>
    <mergeCell ref="A38:G38"/>
    <mergeCell ref="A24:G24"/>
    <mergeCell ref="A25:G25"/>
    <mergeCell ref="A27:G27"/>
    <mergeCell ref="A28:G28"/>
    <mergeCell ref="A29:G29"/>
    <mergeCell ref="A30:G30"/>
    <mergeCell ref="A32:G32"/>
    <mergeCell ref="A33:G33"/>
    <mergeCell ref="A34:G34"/>
    <mergeCell ref="A36:G36"/>
    <mergeCell ref="A37:G37"/>
    <mergeCell ref="A23:G23"/>
    <mergeCell ref="A10:G10"/>
    <mergeCell ref="A11:G11"/>
    <mergeCell ref="A12:G12"/>
    <mergeCell ref="A13:G13"/>
    <mergeCell ref="A14:G14"/>
    <mergeCell ref="A16:G16"/>
    <mergeCell ref="A17:G17"/>
    <mergeCell ref="A18:G18"/>
    <mergeCell ref="A19:G19"/>
    <mergeCell ref="A20:G20"/>
    <mergeCell ref="A22:G22"/>
    <mergeCell ref="A8:G8"/>
    <mergeCell ref="A1:G1"/>
    <mergeCell ref="A3:G3"/>
    <mergeCell ref="A4:G4"/>
    <mergeCell ref="A5:G5"/>
    <mergeCell ref="A7:G7"/>
    <mergeCell ref="A6:G6"/>
  </mergeCells>
  <pageMargins left="0.7" right="0.7" top="0.75" bottom="0.75" header="0.3" footer="0.3"/>
  <pageSetup paperSize="9" scale="97" orientation="portrait" verticalDpi="598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N2" sqref="N2:O2"/>
    </sheetView>
  </sheetViews>
  <sheetFormatPr baseColWidth="10" defaultRowHeight="15" x14ac:dyDescent="0.25"/>
  <cols>
    <col min="1" max="1" width="26.42578125" bestFit="1" customWidth="1"/>
    <col min="2" max="3" width="2" hidden="1" customWidth="1"/>
    <col min="4" max="4" width="4.28515625" style="81" customWidth="1"/>
  </cols>
  <sheetData>
    <row r="1" spans="1:15" x14ac:dyDescent="0.25">
      <c r="F1" s="235" t="s">
        <v>143</v>
      </c>
      <c r="G1" s="235"/>
      <c r="H1" s="234" t="s">
        <v>144</v>
      </c>
      <c r="I1" s="234"/>
      <c r="J1" s="235" t="s">
        <v>145</v>
      </c>
      <c r="K1" s="235"/>
      <c r="L1" s="235" t="s">
        <v>146</v>
      </c>
      <c r="M1" s="235"/>
      <c r="N1" s="235" t="s">
        <v>37</v>
      </c>
      <c r="O1" s="235"/>
    </row>
    <row r="2" spans="1:15" x14ac:dyDescent="0.25">
      <c r="A2" t="s">
        <v>107</v>
      </c>
      <c r="B2">
        <f>'Groupe A'!C2</f>
        <v>1</v>
      </c>
      <c r="C2">
        <f>'Groupe A'!C3</f>
        <v>0</v>
      </c>
      <c r="D2" s="81" t="str">
        <f>CONCATENATE(B2,"-",C2)</f>
        <v>1-0</v>
      </c>
      <c r="F2" s="235" t="str">
        <f ca="1">'Tableau final'!C4</f>
        <v>Suisse</v>
      </c>
      <c r="G2" s="235"/>
      <c r="H2" s="235" t="str">
        <f ca="1">'Tableau final'!H8</f>
        <v>Pologne</v>
      </c>
      <c r="I2" s="235"/>
      <c r="J2" s="235" t="str">
        <f ca="1">'Tableau final'!M16</f>
        <v>Espagne</v>
      </c>
      <c r="K2" s="235"/>
      <c r="L2" s="235" t="str">
        <f ca="1">'Tableau final'!R17</f>
        <v>Espagne</v>
      </c>
      <c r="M2" s="235"/>
      <c r="N2" s="235" t="str">
        <f ca="1">IF('Tableau final'!S17&gt;'Tableau final'!S18,'Tableau final'!R17,IF('Tableau final'!S18&gt;'Tableau final'!S17,'Tableau final'!R18,IF('Tableau final'!T17&gt;'Tableau final'!T18,'Tableau final'!R17,IF('Tableau final'!T17&lt;&gt;'Tableau final'!T18,'Tableau final'!R18,""))))</f>
        <v>France</v>
      </c>
      <c r="O2" s="235"/>
    </row>
    <row r="3" spans="1:15" x14ac:dyDescent="0.25">
      <c r="A3" t="s">
        <v>108</v>
      </c>
      <c r="B3">
        <f>'Groupe A'!C4</f>
        <v>0</v>
      </c>
      <c r="C3">
        <f>'Groupe A'!C5</f>
        <v>1</v>
      </c>
      <c r="D3" s="81" t="str">
        <f t="shared" ref="D3:D37" si="0">CONCATENATE(B3,"-",C3)</f>
        <v>0-1</v>
      </c>
      <c r="F3" s="235" t="str">
        <f ca="1">'Tableau final'!C5</f>
        <v>Pologne</v>
      </c>
      <c r="G3" s="235"/>
      <c r="H3" s="235" t="str">
        <f ca="1">'Tableau final'!H9</f>
        <v>Espagne</v>
      </c>
      <c r="I3" s="235"/>
      <c r="J3" s="235" t="str">
        <f ca="1">'Tableau final'!M17</f>
        <v>Belgique</v>
      </c>
      <c r="K3" s="235"/>
      <c r="L3" s="235" t="str">
        <f ca="1">'Tableau final'!R18</f>
        <v>France</v>
      </c>
      <c r="M3" s="235"/>
    </row>
    <row r="4" spans="1:15" x14ac:dyDescent="0.25">
      <c r="A4" t="s">
        <v>109</v>
      </c>
      <c r="B4">
        <f>'Groupe B'!C4</f>
        <v>1</v>
      </c>
      <c r="C4">
        <f>'Groupe B'!C5</f>
        <v>0</v>
      </c>
      <c r="D4" s="81" t="str">
        <f t="shared" si="0"/>
        <v>1-0</v>
      </c>
      <c r="F4" s="235" t="str">
        <f ca="1">'Tableau final'!C12</f>
        <v>Espagne</v>
      </c>
      <c r="G4" s="235"/>
      <c r="H4" s="235" t="str">
        <f ca="1">'Tableau final'!H24</f>
        <v>Angleterre</v>
      </c>
      <c r="I4" s="235"/>
      <c r="J4" s="235" t="str">
        <f ca="1">'Tableau final'!W16</f>
        <v>Allemagne</v>
      </c>
      <c r="K4" s="235"/>
    </row>
    <row r="5" spans="1:15" x14ac:dyDescent="0.25">
      <c r="A5" t="s">
        <v>110</v>
      </c>
      <c r="B5">
        <f>'Groupe B'!C2</f>
        <v>2</v>
      </c>
      <c r="C5">
        <f>'Groupe B'!C3</f>
        <v>1</v>
      </c>
      <c r="D5" s="81" t="str">
        <f t="shared" si="0"/>
        <v>2-1</v>
      </c>
      <c r="F5" s="235" t="str">
        <f ca="1">'Tableau final'!C13</f>
        <v>Islande</v>
      </c>
      <c r="G5" s="235"/>
      <c r="H5" s="235" t="str">
        <f ca="1">'Tableau final'!H25</f>
        <v>Belgique</v>
      </c>
      <c r="I5" s="235"/>
      <c r="J5" s="235" t="str">
        <f ca="1">'Tableau final'!W17</f>
        <v>France</v>
      </c>
      <c r="K5" s="235"/>
    </row>
    <row r="6" spans="1:15" x14ac:dyDescent="0.25">
      <c r="A6" t="s">
        <v>111</v>
      </c>
      <c r="B6">
        <f>'Groupe D'!C4</f>
        <v>0</v>
      </c>
      <c r="C6">
        <f>'Groupe D'!C5</f>
        <v>0</v>
      </c>
      <c r="D6" s="81" t="str">
        <f t="shared" si="0"/>
        <v>0-0</v>
      </c>
      <c r="F6" s="235" t="str">
        <f ca="1">'Tableau final'!C20</f>
        <v>Angleterre</v>
      </c>
      <c r="G6" s="235"/>
      <c r="H6" s="235" t="str">
        <f ca="1">'Tableau final'!AB8</f>
        <v>Allemagne</v>
      </c>
      <c r="I6" s="235"/>
    </row>
    <row r="7" spans="1:15" x14ac:dyDescent="0.25">
      <c r="A7" t="s">
        <v>112</v>
      </c>
      <c r="B7">
        <f>'Groupe C'!C4</f>
        <v>1</v>
      </c>
      <c r="C7">
        <f>'Groupe C'!C5</f>
        <v>0</v>
      </c>
      <c r="D7" s="81" t="str">
        <f t="shared" si="0"/>
        <v>1-0</v>
      </c>
      <c r="F7" s="235" t="str">
        <f ca="1">'Tableau final'!C21</f>
        <v>Turquie</v>
      </c>
      <c r="G7" s="235"/>
      <c r="H7" s="235" t="str">
        <f ca="1">'Tableau final'!AB9</f>
        <v>Italie</v>
      </c>
      <c r="I7" s="235"/>
    </row>
    <row r="8" spans="1:15" x14ac:dyDescent="0.25">
      <c r="A8" t="s">
        <v>113</v>
      </c>
      <c r="B8">
        <f>'Groupe C'!C2</f>
        <v>2</v>
      </c>
      <c r="C8">
        <f>'Groupe C'!C3</f>
        <v>0</v>
      </c>
      <c r="D8" s="81" t="str">
        <f t="shared" si="0"/>
        <v>2-0</v>
      </c>
      <c r="F8" s="235" t="str">
        <f ca="1">'Tableau final'!C28</f>
        <v>Portugal</v>
      </c>
      <c r="G8" s="235"/>
      <c r="H8" s="235" t="str">
        <f ca="1">'Tableau final'!AB24</f>
        <v>France</v>
      </c>
      <c r="I8" s="235"/>
    </row>
    <row r="9" spans="1:15" x14ac:dyDescent="0.25">
      <c r="A9" t="s">
        <v>114</v>
      </c>
      <c r="B9">
        <f>'Groupe D'!C2</f>
        <v>2</v>
      </c>
      <c r="C9">
        <f>'Groupe D'!C3</f>
        <v>0</v>
      </c>
      <c r="D9" s="81" t="str">
        <f t="shared" si="0"/>
        <v>2-0</v>
      </c>
      <c r="F9" s="235" t="str">
        <f ca="1">'Tableau final'!C29</f>
        <v>Belgique</v>
      </c>
      <c r="G9" s="235"/>
      <c r="H9" s="235" t="str">
        <f ca="1">'Tableau final'!AB25</f>
        <v>Autriche</v>
      </c>
      <c r="I9" s="235"/>
    </row>
    <row r="10" spans="1:15" x14ac:dyDescent="0.25">
      <c r="A10" t="s">
        <v>115</v>
      </c>
      <c r="B10">
        <f>'Groupe E'!C4</f>
        <v>1</v>
      </c>
      <c r="C10">
        <f>'Groupe E'!C5</f>
        <v>1</v>
      </c>
      <c r="D10" s="81" t="str">
        <f t="shared" si="0"/>
        <v>1-1</v>
      </c>
      <c r="F10" s="235" t="str">
        <f ca="1">'Tableau final'!AG4</f>
        <v>Allemagne</v>
      </c>
      <c r="G10" s="235"/>
    </row>
    <row r="11" spans="1:15" x14ac:dyDescent="0.25">
      <c r="A11" t="s">
        <v>116</v>
      </c>
      <c r="B11">
        <f>'Groupe E'!C2</f>
        <v>0</v>
      </c>
      <c r="C11">
        <f>'Groupe E'!C3</f>
        <v>0</v>
      </c>
      <c r="D11" s="81" t="str">
        <f t="shared" si="0"/>
        <v>0-0</v>
      </c>
      <c r="F11" s="235" t="str">
        <f ca="1">'Tableau final'!AG5</f>
        <v>Pays de Galles</v>
      </c>
      <c r="G11" s="235"/>
    </row>
    <row r="12" spans="1:15" x14ac:dyDescent="0.25">
      <c r="A12" t="s">
        <v>117</v>
      </c>
      <c r="B12">
        <f>'Groupe F'!C4</f>
        <v>2</v>
      </c>
      <c r="C12">
        <f>'Groupe F'!C5</f>
        <v>0</v>
      </c>
      <c r="D12" s="81" t="str">
        <f t="shared" si="0"/>
        <v>2-0</v>
      </c>
      <c r="F12" s="235" t="str">
        <f ca="1">'Tableau final'!AG12</f>
        <v>Italie</v>
      </c>
      <c r="G12" s="235"/>
    </row>
    <row r="13" spans="1:15" x14ac:dyDescent="0.25">
      <c r="A13" t="s">
        <v>118</v>
      </c>
      <c r="B13">
        <f>'Groupe F'!C2</f>
        <v>2</v>
      </c>
      <c r="C13">
        <f>'Groupe F'!C3</f>
        <v>0</v>
      </c>
      <c r="D13" s="81" t="str">
        <f t="shared" si="0"/>
        <v>2-0</v>
      </c>
      <c r="F13" s="235" t="str">
        <f ca="1">'Tableau final'!AG13</f>
        <v>Croatie</v>
      </c>
      <c r="G13" s="235"/>
    </row>
    <row r="14" spans="1:15" x14ac:dyDescent="0.25">
      <c r="A14" t="s">
        <v>119</v>
      </c>
      <c r="B14">
        <f>'Groupe B'!C8</f>
        <v>2</v>
      </c>
      <c r="C14">
        <f>'Groupe B'!C9</f>
        <v>0</v>
      </c>
      <c r="D14" s="81" t="str">
        <f t="shared" si="0"/>
        <v>2-0</v>
      </c>
      <c r="F14" s="235" t="str">
        <f ca="1">'Tableau final'!AG20</f>
        <v>France</v>
      </c>
      <c r="G14" s="235"/>
    </row>
    <row r="15" spans="1:15" x14ac:dyDescent="0.25">
      <c r="A15" t="s">
        <v>120</v>
      </c>
      <c r="B15">
        <f>'Groupe A'!C8</f>
        <v>1</v>
      </c>
      <c r="C15">
        <f>'Groupe A'!C9</f>
        <v>2</v>
      </c>
      <c r="D15" s="81" t="str">
        <f t="shared" si="0"/>
        <v>1-2</v>
      </c>
      <c r="F15" s="235" t="str">
        <f ca="1">'Tableau final'!AG21</f>
        <v>Ukraine</v>
      </c>
      <c r="G15" s="235"/>
    </row>
    <row r="16" spans="1:15" x14ac:dyDescent="0.25">
      <c r="A16" t="s">
        <v>121</v>
      </c>
      <c r="B16">
        <f>'Groupe A'!C6</f>
        <v>2</v>
      </c>
      <c r="C16">
        <f>'Groupe A'!C7</f>
        <v>0</v>
      </c>
      <c r="D16" s="81" t="str">
        <f t="shared" si="0"/>
        <v>2-0</v>
      </c>
      <c r="F16" s="235" t="str">
        <f ca="1">'Tableau final'!AG28</f>
        <v>Russie</v>
      </c>
      <c r="G16" s="235"/>
    </row>
    <row r="17" spans="1:7" x14ac:dyDescent="0.25">
      <c r="A17" t="s">
        <v>122</v>
      </c>
      <c r="B17">
        <f>'Groupe B'!C6</f>
        <v>2</v>
      </c>
      <c r="C17">
        <f>'Groupe B'!C7</f>
        <v>0</v>
      </c>
      <c r="D17" s="81" t="str">
        <f t="shared" si="0"/>
        <v>2-0</v>
      </c>
      <c r="F17" s="235" t="str">
        <f ca="1">'Tableau final'!AG29</f>
        <v>Autriche</v>
      </c>
      <c r="G17" s="235"/>
    </row>
    <row r="18" spans="1:7" x14ac:dyDescent="0.25">
      <c r="A18" t="s">
        <v>123</v>
      </c>
      <c r="B18">
        <f>'Groupe C'!C8</f>
        <v>1</v>
      </c>
      <c r="C18">
        <f>'Groupe C'!C9</f>
        <v>0</v>
      </c>
      <c r="D18" s="81" t="str">
        <f t="shared" si="0"/>
        <v>1-0</v>
      </c>
    </row>
    <row r="19" spans="1:7" x14ac:dyDescent="0.25">
      <c r="A19" t="s">
        <v>124</v>
      </c>
      <c r="B19">
        <f>'Groupe C'!C6</f>
        <v>2</v>
      </c>
      <c r="C19">
        <f>'Groupe C'!C7</f>
        <v>2</v>
      </c>
      <c r="D19" s="81" t="str">
        <f t="shared" si="0"/>
        <v>2-2</v>
      </c>
    </row>
    <row r="20" spans="1:7" x14ac:dyDescent="0.25">
      <c r="A20" t="s">
        <v>125</v>
      </c>
      <c r="B20">
        <f>'Groupe E'!C8</f>
        <v>2</v>
      </c>
      <c r="C20">
        <f>'Groupe E'!C9</f>
        <v>1</v>
      </c>
      <c r="D20" s="81" t="str">
        <f t="shared" si="0"/>
        <v>2-1</v>
      </c>
    </row>
    <row r="21" spans="1:7" x14ac:dyDescent="0.25">
      <c r="A21" t="s">
        <v>126</v>
      </c>
      <c r="B21">
        <f>'Groupe D'!C8</f>
        <v>1</v>
      </c>
      <c r="C21">
        <f>'Groupe D'!C9</f>
        <v>2</v>
      </c>
      <c r="D21" s="81" t="str">
        <f t="shared" si="0"/>
        <v>1-2</v>
      </c>
    </row>
    <row r="22" spans="1:7" x14ac:dyDescent="0.25">
      <c r="A22" t="s">
        <v>127</v>
      </c>
      <c r="B22">
        <f>'Groupe D'!C6</f>
        <v>1</v>
      </c>
      <c r="C22">
        <f>'Groupe D'!C7</f>
        <v>0</v>
      </c>
      <c r="D22" s="81" t="str">
        <f t="shared" si="0"/>
        <v>1-0</v>
      </c>
    </row>
    <row r="23" spans="1:7" x14ac:dyDescent="0.25">
      <c r="A23" t="s">
        <v>128</v>
      </c>
      <c r="B23">
        <f>'Groupe E'!C6</f>
        <v>2</v>
      </c>
      <c r="C23">
        <f>'Groupe E'!C7</f>
        <v>0</v>
      </c>
      <c r="D23" s="81" t="str">
        <f t="shared" si="0"/>
        <v>2-0</v>
      </c>
    </row>
    <row r="24" spans="1:7" x14ac:dyDescent="0.25">
      <c r="A24" t="s">
        <v>129</v>
      </c>
      <c r="B24">
        <f>'Groupe F'!C8</f>
        <v>2</v>
      </c>
      <c r="C24">
        <f>'Groupe F'!C9</f>
        <v>1</v>
      </c>
      <c r="D24" s="81" t="str">
        <f t="shared" si="0"/>
        <v>2-1</v>
      </c>
    </row>
    <row r="25" spans="1:7" x14ac:dyDescent="0.25">
      <c r="A25" t="s">
        <v>130</v>
      </c>
      <c r="B25">
        <f>'Groupe F'!C6</f>
        <v>1</v>
      </c>
      <c r="C25">
        <f>'Groupe F'!C7</f>
        <v>1</v>
      </c>
      <c r="D25" s="81" t="str">
        <f t="shared" si="0"/>
        <v>1-1</v>
      </c>
    </row>
    <row r="26" spans="1:7" x14ac:dyDescent="0.25">
      <c r="A26" t="s">
        <v>131</v>
      </c>
      <c r="B26">
        <f>'Groupe A'!C10</f>
        <v>0</v>
      </c>
      <c r="C26">
        <f>'Groupe A'!C11</f>
        <v>0</v>
      </c>
      <c r="D26" s="81" t="str">
        <f t="shared" si="0"/>
        <v>0-0</v>
      </c>
    </row>
    <row r="27" spans="1:7" x14ac:dyDescent="0.25">
      <c r="A27" t="s">
        <v>132</v>
      </c>
      <c r="B27">
        <f>'Groupe A'!C12</f>
        <v>2</v>
      </c>
      <c r="C27">
        <f>'Groupe A'!C13</f>
        <v>1</v>
      </c>
      <c r="D27" s="81" t="str">
        <f t="shared" si="0"/>
        <v>2-1</v>
      </c>
    </row>
    <row r="28" spans="1:7" x14ac:dyDescent="0.25">
      <c r="A28" t="s">
        <v>133</v>
      </c>
      <c r="B28">
        <f>'Groupe B'!C10</f>
        <v>1</v>
      </c>
      <c r="C28">
        <f>'Groupe B'!C11</f>
        <v>0</v>
      </c>
      <c r="D28" s="81" t="str">
        <f t="shared" si="0"/>
        <v>1-0</v>
      </c>
    </row>
    <row r="29" spans="1:7" x14ac:dyDescent="0.25">
      <c r="A29" t="s">
        <v>134</v>
      </c>
      <c r="B29">
        <f>'Groupe B'!C12</f>
        <v>0</v>
      </c>
      <c r="C29">
        <f>'Groupe B'!C13</f>
        <v>0</v>
      </c>
      <c r="D29" s="81" t="str">
        <f t="shared" si="0"/>
        <v>0-0</v>
      </c>
    </row>
    <row r="30" spans="1:7" x14ac:dyDescent="0.25">
      <c r="A30" t="s">
        <v>135</v>
      </c>
      <c r="B30">
        <f>'Groupe C'!C10</f>
        <v>3</v>
      </c>
      <c r="C30">
        <f>'Groupe C'!C11</f>
        <v>0</v>
      </c>
      <c r="D30" s="81" t="str">
        <f t="shared" si="0"/>
        <v>3-0</v>
      </c>
    </row>
    <row r="31" spans="1:7" x14ac:dyDescent="0.25">
      <c r="A31" t="s">
        <v>136</v>
      </c>
      <c r="B31">
        <f>'Groupe C'!C12</f>
        <v>1</v>
      </c>
      <c r="C31">
        <f>'Groupe C'!C13</f>
        <v>1</v>
      </c>
      <c r="D31" s="81" t="str">
        <f t="shared" si="0"/>
        <v>1-1</v>
      </c>
    </row>
    <row r="32" spans="1:7" x14ac:dyDescent="0.25">
      <c r="A32" t="s">
        <v>137</v>
      </c>
      <c r="B32">
        <f>'Groupe D'!C10</f>
        <v>0</v>
      </c>
      <c r="C32">
        <f>'Groupe D'!C11</f>
        <v>0</v>
      </c>
      <c r="D32" s="81" t="str">
        <f t="shared" si="0"/>
        <v>0-0</v>
      </c>
    </row>
    <row r="33" spans="1:4" x14ac:dyDescent="0.25">
      <c r="A33" t="s">
        <v>138</v>
      </c>
      <c r="B33">
        <f>'Groupe D'!C12</f>
        <v>1</v>
      </c>
      <c r="C33">
        <f>'Groupe D'!C13</f>
        <v>2</v>
      </c>
      <c r="D33" s="81" t="str">
        <f t="shared" si="0"/>
        <v>1-2</v>
      </c>
    </row>
    <row r="34" spans="1:4" x14ac:dyDescent="0.25">
      <c r="A34" t="s">
        <v>139</v>
      </c>
      <c r="B34">
        <f>'Groupe F'!C10</f>
        <v>2</v>
      </c>
      <c r="C34">
        <f>'Groupe F'!C11</f>
        <v>0</v>
      </c>
      <c r="D34" s="81" t="str">
        <f t="shared" si="0"/>
        <v>2-0</v>
      </c>
    </row>
    <row r="35" spans="1:4" x14ac:dyDescent="0.25">
      <c r="A35" t="s">
        <v>140</v>
      </c>
      <c r="B35">
        <f>'Groupe F'!C12</f>
        <v>1</v>
      </c>
      <c r="C35">
        <f>'Groupe F'!C13</f>
        <v>1</v>
      </c>
      <c r="D35" s="81" t="str">
        <f t="shared" si="0"/>
        <v>1-1</v>
      </c>
    </row>
    <row r="36" spans="1:4" x14ac:dyDescent="0.25">
      <c r="A36" t="s">
        <v>141</v>
      </c>
      <c r="B36">
        <f>'Groupe E'!C10</f>
        <v>1</v>
      </c>
      <c r="C36">
        <f>'Groupe E'!C11</f>
        <v>1</v>
      </c>
      <c r="D36" s="81" t="str">
        <f t="shared" si="0"/>
        <v>1-1</v>
      </c>
    </row>
    <row r="37" spans="1:4" x14ac:dyDescent="0.25">
      <c r="A37" t="s">
        <v>142</v>
      </c>
      <c r="B37">
        <f>'Groupe E'!C12</f>
        <v>1</v>
      </c>
      <c r="C37">
        <f>'Groupe E'!C13</f>
        <v>0</v>
      </c>
      <c r="D37" s="81" t="str">
        <f t="shared" si="0"/>
        <v>1-0</v>
      </c>
    </row>
  </sheetData>
  <mergeCells count="36">
    <mergeCell ref="F4:G4"/>
    <mergeCell ref="F5:G5"/>
    <mergeCell ref="F6:G6"/>
    <mergeCell ref="F7:G7"/>
    <mergeCell ref="F14:G14"/>
    <mergeCell ref="F15:G15"/>
    <mergeCell ref="F16:G16"/>
    <mergeCell ref="F17:G17"/>
    <mergeCell ref="H2:I2"/>
    <mergeCell ref="H3:I3"/>
    <mergeCell ref="H4:I4"/>
    <mergeCell ref="H5:I5"/>
    <mergeCell ref="H6:I6"/>
    <mergeCell ref="H7:I7"/>
    <mergeCell ref="F8:G8"/>
    <mergeCell ref="F9:G9"/>
    <mergeCell ref="F10:G10"/>
    <mergeCell ref="F11:G11"/>
    <mergeCell ref="F12:G12"/>
    <mergeCell ref="F13:G13"/>
    <mergeCell ref="H8:I8"/>
    <mergeCell ref="H9:I9"/>
    <mergeCell ref="J2:K2"/>
    <mergeCell ref="J3:K3"/>
    <mergeCell ref="J4:K4"/>
    <mergeCell ref="J5:K5"/>
    <mergeCell ref="H1:I1"/>
    <mergeCell ref="F1:G1"/>
    <mergeCell ref="L2:M2"/>
    <mergeCell ref="L3:M3"/>
    <mergeCell ref="N2:O2"/>
    <mergeCell ref="N1:O1"/>
    <mergeCell ref="L1:M1"/>
    <mergeCell ref="J1:K1"/>
    <mergeCell ref="F2:G2"/>
    <mergeCell ref="F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33"/>
  <sheetViews>
    <sheetView workbookViewId="0">
      <selection activeCell="K22" sqref="K22"/>
    </sheetView>
  </sheetViews>
  <sheetFormatPr baseColWidth="10" defaultRowHeight="15" x14ac:dyDescent="0.25"/>
  <cols>
    <col min="2" max="5" width="11.42578125" customWidth="1"/>
  </cols>
  <sheetData>
    <row r="1" spans="1:6" ht="30" x14ac:dyDescent="0.25">
      <c r="B1" s="74" t="s">
        <v>69</v>
      </c>
      <c r="C1" s="74" t="s">
        <v>69</v>
      </c>
      <c r="D1" s="74" t="s">
        <v>69</v>
      </c>
      <c r="E1" s="74" t="s">
        <v>69</v>
      </c>
    </row>
    <row r="2" spans="1:6" x14ac:dyDescent="0.25">
      <c r="B2" s="74" t="s">
        <v>70</v>
      </c>
      <c r="C2" s="74" t="s">
        <v>71</v>
      </c>
      <c r="D2" s="74" t="s">
        <v>72</v>
      </c>
      <c r="E2" s="74" t="s">
        <v>73</v>
      </c>
    </row>
    <row r="3" spans="1:6" x14ac:dyDescent="0.25">
      <c r="A3" s="73" t="s">
        <v>54</v>
      </c>
      <c r="B3" s="73">
        <v>4</v>
      </c>
      <c r="C3" s="73">
        <v>5</v>
      </c>
      <c r="D3" s="73">
        <v>2</v>
      </c>
      <c r="E3" s="73">
        <v>3</v>
      </c>
      <c r="F3">
        <v>15</v>
      </c>
    </row>
    <row r="4" spans="1:6" x14ac:dyDescent="0.25">
      <c r="A4" s="73" t="s">
        <v>55</v>
      </c>
      <c r="B4" s="73">
        <v>4</v>
      </c>
      <c r="C4" s="73">
        <v>2</v>
      </c>
      <c r="D4" s="73">
        <v>3</v>
      </c>
      <c r="E4" s="73">
        <v>6</v>
      </c>
      <c r="F4">
        <v>23</v>
      </c>
    </row>
    <row r="5" spans="1:6" x14ac:dyDescent="0.25">
      <c r="A5" s="73" t="s">
        <v>56</v>
      </c>
      <c r="B5" s="73">
        <v>4</v>
      </c>
      <c r="C5" s="73">
        <v>2</v>
      </c>
      <c r="D5" s="73">
        <v>3</v>
      </c>
      <c r="E5" s="73">
        <v>7</v>
      </c>
      <c r="F5">
        <v>39</v>
      </c>
    </row>
    <row r="6" spans="1:6" x14ac:dyDescent="0.25">
      <c r="A6" s="73" t="s">
        <v>57</v>
      </c>
      <c r="B6" s="73">
        <v>5</v>
      </c>
      <c r="C6" s="73">
        <v>2</v>
      </c>
      <c r="D6" s="73">
        <v>3</v>
      </c>
      <c r="E6" s="73">
        <v>6</v>
      </c>
      <c r="F6">
        <v>27</v>
      </c>
    </row>
    <row r="7" spans="1:6" x14ac:dyDescent="0.25">
      <c r="A7" s="73" t="s">
        <v>58</v>
      </c>
      <c r="B7" s="73">
        <v>5</v>
      </c>
      <c r="C7" s="73">
        <v>2</v>
      </c>
      <c r="D7" s="73">
        <v>3</v>
      </c>
      <c r="E7" s="73">
        <v>7</v>
      </c>
      <c r="F7">
        <v>43</v>
      </c>
    </row>
    <row r="8" spans="1:6" x14ac:dyDescent="0.25">
      <c r="A8" s="73" t="s">
        <v>59</v>
      </c>
      <c r="B8" s="73">
        <v>6</v>
      </c>
      <c r="C8" s="73">
        <v>2</v>
      </c>
      <c r="D8" s="73">
        <v>3</v>
      </c>
      <c r="E8" s="73">
        <v>7</v>
      </c>
      <c r="F8">
        <v>51</v>
      </c>
    </row>
    <row r="9" spans="1:6" x14ac:dyDescent="0.25">
      <c r="A9" s="73" t="s">
        <v>60</v>
      </c>
      <c r="B9" s="73">
        <v>4</v>
      </c>
      <c r="C9" s="73">
        <v>5</v>
      </c>
      <c r="D9" s="73">
        <v>2</v>
      </c>
      <c r="E9" s="73">
        <v>6</v>
      </c>
      <c r="F9">
        <v>29</v>
      </c>
    </row>
    <row r="10" spans="1:6" x14ac:dyDescent="0.25">
      <c r="A10" s="73" t="s">
        <v>61</v>
      </c>
      <c r="B10" s="73">
        <v>4</v>
      </c>
      <c r="C10" s="73">
        <v>5</v>
      </c>
      <c r="D10" s="73">
        <v>2</v>
      </c>
      <c r="E10" s="73">
        <v>7</v>
      </c>
      <c r="F10">
        <v>45</v>
      </c>
    </row>
    <row r="11" spans="1:6" x14ac:dyDescent="0.25">
      <c r="A11" s="73" t="s">
        <v>62</v>
      </c>
      <c r="B11" s="73">
        <v>4</v>
      </c>
      <c r="C11" s="73">
        <v>2</v>
      </c>
      <c r="D11" s="73">
        <v>7</v>
      </c>
      <c r="E11" s="73">
        <v>6</v>
      </c>
      <c r="F11">
        <v>53</v>
      </c>
    </row>
    <row r="12" spans="1:6" x14ac:dyDescent="0.25">
      <c r="A12" s="73" t="s">
        <v>63</v>
      </c>
      <c r="B12" s="73">
        <v>5</v>
      </c>
      <c r="C12" s="73">
        <v>2</v>
      </c>
      <c r="D12" s="73">
        <v>7</v>
      </c>
      <c r="E12" s="73">
        <v>6</v>
      </c>
      <c r="F12">
        <v>57</v>
      </c>
    </row>
    <row r="13" spans="1:6" x14ac:dyDescent="0.25">
      <c r="A13" s="73" t="s">
        <v>64</v>
      </c>
      <c r="B13" s="73">
        <v>4</v>
      </c>
      <c r="C13" s="73">
        <v>5</v>
      </c>
      <c r="D13" s="73">
        <v>3</v>
      </c>
      <c r="E13" s="73">
        <v>6</v>
      </c>
      <c r="F13">
        <v>30</v>
      </c>
    </row>
    <row r="14" spans="1:6" x14ac:dyDescent="0.25">
      <c r="A14" s="73" t="s">
        <v>65</v>
      </c>
      <c r="B14" s="73">
        <v>4</v>
      </c>
      <c r="C14" s="73">
        <v>5</v>
      </c>
      <c r="D14" s="73">
        <v>3</v>
      </c>
      <c r="E14" s="73">
        <v>7</v>
      </c>
      <c r="F14">
        <v>46</v>
      </c>
    </row>
    <row r="15" spans="1:6" x14ac:dyDescent="0.25">
      <c r="A15" s="73" t="s">
        <v>66</v>
      </c>
      <c r="B15" s="73">
        <v>6</v>
      </c>
      <c r="C15" s="73">
        <v>4</v>
      </c>
      <c r="D15" s="73">
        <v>3</v>
      </c>
      <c r="E15" s="73">
        <v>7</v>
      </c>
      <c r="F15">
        <v>54</v>
      </c>
    </row>
    <row r="16" spans="1:6" x14ac:dyDescent="0.25">
      <c r="A16" s="73" t="s">
        <v>67</v>
      </c>
      <c r="B16" s="73">
        <v>6</v>
      </c>
      <c r="C16" s="73">
        <v>5</v>
      </c>
      <c r="D16" s="73">
        <v>3</v>
      </c>
      <c r="E16" s="73">
        <v>7</v>
      </c>
      <c r="F16">
        <v>58</v>
      </c>
    </row>
    <row r="17" spans="1:11" x14ac:dyDescent="0.25">
      <c r="A17" s="73" t="s">
        <v>68</v>
      </c>
      <c r="B17" s="73">
        <v>4</v>
      </c>
      <c r="C17" s="73">
        <v>5</v>
      </c>
      <c r="D17" s="73">
        <v>7</v>
      </c>
      <c r="E17" s="73">
        <v>6</v>
      </c>
      <c r="F17">
        <v>60</v>
      </c>
    </row>
    <row r="19" spans="1:11" x14ac:dyDescent="0.25">
      <c r="A19">
        <v>15</v>
      </c>
      <c r="B19" t="str">
        <f t="shared" ref="B19:E33" ca="1" si="0">INDIRECT(ADDRESS(B3,3,,,"Classement des 3e"))</f>
        <v>Ukraine</v>
      </c>
      <c r="C19" t="str">
        <f t="shared" ca="1" si="0"/>
        <v>Turquie</v>
      </c>
      <c r="D19" t="str">
        <f t="shared" ca="1" si="0"/>
        <v>Roumanie</v>
      </c>
      <c r="E19" t="str">
        <f t="shared" ca="1" si="0"/>
        <v>Pays de Galles</v>
      </c>
      <c r="G19">
        <v>15</v>
      </c>
      <c r="H19" t="s">
        <v>45</v>
      </c>
      <c r="I19" t="s">
        <v>0</v>
      </c>
      <c r="J19" t="s">
        <v>41</v>
      </c>
      <c r="K19" t="s">
        <v>43</v>
      </c>
    </row>
    <row r="20" spans="1:11" x14ac:dyDescent="0.25">
      <c r="A20">
        <v>23</v>
      </c>
      <c r="B20" t="str">
        <f t="shared" ca="1" si="0"/>
        <v>Ukraine</v>
      </c>
      <c r="C20" t="str">
        <f t="shared" ca="1" si="0"/>
        <v>Roumanie</v>
      </c>
      <c r="D20" t="str">
        <f t="shared" ca="1" si="0"/>
        <v>Pays de Galles</v>
      </c>
      <c r="E20" t="str">
        <f t="shared" ca="1" si="0"/>
        <v>Suède</v>
      </c>
      <c r="G20">
        <v>23</v>
      </c>
      <c r="H20" t="s">
        <v>45</v>
      </c>
      <c r="I20" t="s">
        <v>41</v>
      </c>
      <c r="J20" t="s">
        <v>43</v>
      </c>
      <c r="K20" t="s">
        <v>8</v>
      </c>
    </row>
    <row r="21" spans="1:11" x14ac:dyDescent="0.25">
      <c r="A21">
        <v>39</v>
      </c>
      <c r="B21" t="str">
        <f t="shared" ca="1" si="0"/>
        <v>Ukraine</v>
      </c>
      <c r="C21" t="str">
        <f t="shared" ca="1" si="0"/>
        <v>Roumanie</v>
      </c>
      <c r="D21" t="str">
        <f t="shared" ca="1" si="0"/>
        <v>Pays de Galles</v>
      </c>
      <c r="E21" t="str">
        <f t="shared" ca="1" si="0"/>
        <v>Islande</v>
      </c>
      <c r="G21">
        <v>27</v>
      </c>
      <c r="H21" t="s">
        <v>0</v>
      </c>
      <c r="I21" t="s">
        <v>41</v>
      </c>
      <c r="J21" t="s">
        <v>43</v>
      </c>
      <c r="K21" t="s">
        <v>8</v>
      </c>
    </row>
    <row r="22" spans="1:11" x14ac:dyDescent="0.25">
      <c r="A22">
        <v>27</v>
      </c>
      <c r="B22" t="str">
        <f t="shared" ca="1" si="0"/>
        <v>Turquie</v>
      </c>
      <c r="C22" t="str">
        <f t="shared" ca="1" si="0"/>
        <v>Roumanie</v>
      </c>
      <c r="D22" t="str">
        <f t="shared" ca="1" si="0"/>
        <v>Pays de Galles</v>
      </c>
      <c r="E22" t="str">
        <f t="shared" ca="1" si="0"/>
        <v>Suède</v>
      </c>
      <c r="G22">
        <v>29</v>
      </c>
      <c r="H22" t="s">
        <v>45</v>
      </c>
      <c r="I22" t="s">
        <v>0</v>
      </c>
      <c r="J22" t="s">
        <v>41</v>
      </c>
      <c r="K22" t="s">
        <v>8</v>
      </c>
    </row>
    <row r="23" spans="1:11" x14ac:dyDescent="0.25">
      <c r="A23">
        <v>43</v>
      </c>
      <c r="B23" t="str">
        <f t="shared" ca="1" si="0"/>
        <v>Turquie</v>
      </c>
      <c r="C23" t="str">
        <f t="shared" ca="1" si="0"/>
        <v>Roumanie</v>
      </c>
      <c r="D23" t="str">
        <f t="shared" ca="1" si="0"/>
        <v>Pays de Galles</v>
      </c>
      <c r="E23" t="str">
        <f t="shared" ca="1" si="0"/>
        <v>Islande</v>
      </c>
      <c r="G23">
        <v>30</v>
      </c>
      <c r="H23" t="s">
        <v>45</v>
      </c>
      <c r="I23" t="s">
        <v>0</v>
      </c>
      <c r="J23" t="s">
        <v>43</v>
      </c>
      <c r="K23" t="s">
        <v>8</v>
      </c>
    </row>
    <row r="24" spans="1:11" x14ac:dyDescent="0.25">
      <c r="A24">
        <v>51</v>
      </c>
      <c r="B24" t="str">
        <f t="shared" ca="1" si="0"/>
        <v>Suède</v>
      </c>
      <c r="C24" t="str">
        <f t="shared" ca="1" si="0"/>
        <v>Roumanie</v>
      </c>
      <c r="D24" t="str">
        <f t="shared" ca="1" si="0"/>
        <v>Pays de Galles</v>
      </c>
      <c r="E24" t="str">
        <f t="shared" ca="1" si="0"/>
        <v>Islande</v>
      </c>
      <c r="G24">
        <v>39</v>
      </c>
      <c r="H24" t="s">
        <v>45</v>
      </c>
      <c r="I24" t="s">
        <v>41</v>
      </c>
      <c r="J24" t="s">
        <v>43</v>
      </c>
      <c r="K24" t="s">
        <v>51</v>
      </c>
    </row>
    <row r="25" spans="1:11" x14ac:dyDescent="0.25">
      <c r="A25">
        <v>29</v>
      </c>
      <c r="B25" t="str">
        <f t="shared" ca="1" si="0"/>
        <v>Ukraine</v>
      </c>
      <c r="C25" t="str">
        <f t="shared" ca="1" si="0"/>
        <v>Turquie</v>
      </c>
      <c r="D25" t="str">
        <f t="shared" ca="1" si="0"/>
        <v>Roumanie</v>
      </c>
      <c r="E25" t="str">
        <f t="shared" ca="1" si="0"/>
        <v>Suède</v>
      </c>
      <c r="G25">
        <v>43</v>
      </c>
      <c r="H25" t="s">
        <v>0</v>
      </c>
      <c r="I25" t="s">
        <v>41</v>
      </c>
      <c r="J25" t="s">
        <v>43</v>
      </c>
      <c r="K25" t="s">
        <v>51</v>
      </c>
    </row>
    <row r="26" spans="1:11" x14ac:dyDescent="0.25">
      <c r="A26">
        <v>45</v>
      </c>
      <c r="B26" t="str">
        <f t="shared" ca="1" si="0"/>
        <v>Ukraine</v>
      </c>
      <c r="C26" t="str">
        <f t="shared" ca="1" si="0"/>
        <v>Turquie</v>
      </c>
      <c r="D26" t="str">
        <f t="shared" ca="1" si="0"/>
        <v>Roumanie</v>
      </c>
      <c r="E26" t="str">
        <f t="shared" ca="1" si="0"/>
        <v>Islande</v>
      </c>
      <c r="G26">
        <v>45</v>
      </c>
      <c r="H26" t="s">
        <v>45</v>
      </c>
      <c r="I26" t="s">
        <v>0</v>
      </c>
      <c r="J26" t="s">
        <v>41</v>
      </c>
      <c r="K26" t="s">
        <v>51</v>
      </c>
    </row>
    <row r="27" spans="1:11" x14ac:dyDescent="0.25">
      <c r="A27">
        <v>53</v>
      </c>
      <c r="B27" t="str">
        <f t="shared" ca="1" si="0"/>
        <v>Ukraine</v>
      </c>
      <c r="C27" t="str">
        <f t="shared" ca="1" si="0"/>
        <v>Roumanie</v>
      </c>
      <c r="D27" t="str">
        <f t="shared" ca="1" si="0"/>
        <v>Islande</v>
      </c>
      <c r="E27" t="str">
        <f t="shared" ca="1" si="0"/>
        <v>Suède</v>
      </c>
      <c r="G27">
        <v>46</v>
      </c>
      <c r="H27" t="s">
        <v>45</v>
      </c>
      <c r="I27" t="s">
        <v>0</v>
      </c>
      <c r="J27" t="s">
        <v>43</v>
      </c>
      <c r="K27" t="s">
        <v>51</v>
      </c>
    </row>
    <row r="28" spans="1:11" x14ac:dyDescent="0.25">
      <c r="A28">
        <v>57</v>
      </c>
      <c r="B28" t="str">
        <f t="shared" ca="1" si="0"/>
        <v>Turquie</v>
      </c>
      <c r="C28" t="str">
        <f t="shared" ca="1" si="0"/>
        <v>Roumanie</v>
      </c>
      <c r="D28" t="str">
        <f t="shared" ca="1" si="0"/>
        <v>Islande</v>
      </c>
      <c r="E28" t="str">
        <f t="shared" ca="1" si="0"/>
        <v>Suède</v>
      </c>
      <c r="G28">
        <v>51</v>
      </c>
      <c r="H28" t="s">
        <v>8</v>
      </c>
      <c r="I28" t="s">
        <v>41</v>
      </c>
      <c r="J28" t="s">
        <v>43</v>
      </c>
      <c r="K28" t="s">
        <v>51</v>
      </c>
    </row>
    <row r="29" spans="1:11" x14ac:dyDescent="0.25">
      <c r="A29">
        <v>30</v>
      </c>
      <c r="B29" t="str">
        <f t="shared" ca="1" si="0"/>
        <v>Ukraine</v>
      </c>
      <c r="C29" t="str">
        <f t="shared" ca="1" si="0"/>
        <v>Turquie</v>
      </c>
      <c r="D29" t="str">
        <f t="shared" ca="1" si="0"/>
        <v>Pays de Galles</v>
      </c>
      <c r="E29" t="str">
        <f t="shared" ca="1" si="0"/>
        <v>Suède</v>
      </c>
      <c r="G29">
        <v>53</v>
      </c>
      <c r="H29" t="s">
        <v>45</v>
      </c>
      <c r="I29" t="s">
        <v>41</v>
      </c>
      <c r="J29" t="s">
        <v>51</v>
      </c>
      <c r="K29" t="s">
        <v>8</v>
      </c>
    </row>
    <row r="30" spans="1:11" x14ac:dyDescent="0.25">
      <c r="A30">
        <v>46</v>
      </c>
      <c r="B30" t="str">
        <f t="shared" ca="1" si="0"/>
        <v>Ukraine</v>
      </c>
      <c r="C30" t="str">
        <f t="shared" ca="1" si="0"/>
        <v>Turquie</v>
      </c>
      <c r="D30" t="str">
        <f t="shared" ca="1" si="0"/>
        <v>Pays de Galles</v>
      </c>
      <c r="E30" t="str">
        <f t="shared" ca="1" si="0"/>
        <v>Islande</v>
      </c>
      <c r="G30">
        <v>54</v>
      </c>
      <c r="H30" t="s">
        <v>8</v>
      </c>
      <c r="I30" t="s">
        <v>45</v>
      </c>
      <c r="J30" t="s">
        <v>43</v>
      </c>
      <c r="K30" t="s">
        <v>51</v>
      </c>
    </row>
    <row r="31" spans="1:11" x14ac:dyDescent="0.25">
      <c r="A31">
        <v>54</v>
      </c>
      <c r="B31" t="str">
        <f t="shared" ca="1" si="0"/>
        <v>Suède</v>
      </c>
      <c r="C31" t="str">
        <f t="shared" ca="1" si="0"/>
        <v>Ukraine</v>
      </c>
      <c r="D31" t="str">
        <f t="shared" ca="1" si="0"/>
        <v>Pays de Galles</v>
      </c>
      <c r="E31" t="str">
        <f t="shared" ca="1" si="0"/>
        <v>Islande</v>
      </c>
      <c r="G31">
        <v>57</v>
      </c>
      <c r="H31" t="s">
        <v>0</v>
      </c>
      <c r="I31" t="s">
        <v>41</v>
      </c>
      <c r="J31" t="s">
        <v>51</v>
      </c>
      <c r="K31" t="s">
        <v>8</v>
      </c>
    </row>
    <row r="32" spans="1:11" x14ac:dyDescent="0.25">
      <c r="A32">
        <v>58</v>
      </c>
      <c r="B32" t="str">
        <f t="shared" ca="1" si="0"/>
        <v>Suède</v>
      </c>
      <c r="C32" t="str">
        <f t="shared" ca="1" si="0"/>
        <v>Turquie</v>
      </c>
      <c r="D32" t="str">
        <f t="shared" ca="1" si="0"/>
        <v>Pays de Galles</v>
      </c>
      <c r="E32" t="str">
        <f t="shared" ca="1" si="0"/>
        <v>Islande</v>
      </c>
      <c r="G32">
        <v>58</v>
      </c>
      <c r="H32" t="s">
        <v>8</v>
      </c>
      <c r="I32" t="s">
        <v>0</v>
      </c>
      <c r="J32" t="s">
        <v>43</v>
      </c>
      <c r="K32" t="s">
        <v>51</v>
      </c>
    </row>
    <row r="33" spans="1:11" x14ac:dyDescent="0.25">
      <c r="A33">
        <v>60</v>
      </c>
      <c r="B33" t="str">
        <f t="shared" ca="1" si="0"/>
        <v>Ukraine</v>
      </c>
      <c r="C33" t="str">
        <f t="shared" ca="1" si="0"/>
        <v>Turquie</v>
      </c>
      <c r="D33" t="str">
        <f t="shared" ca="1" si="0"/>
        <v>Islande</v>
      </c>
      <c r="E33" t="str">
        <f t="shared" ca="1" si="0"/>
        <v>Suède</v>
      </c>
      <c r="G33">
        <v>60</v>
      </c>
      <c r="H33" t="s">
        <v>45</v>
      </c>
      <c r="I33" t="s">
        <v>0</v>
      </c>
      <c r="J33" t="s">
        <v>51</v>
      </c>
      <c r="K33" t="s">
        <v>8</v>
      </c>
    </row>
  </sheetData>
  <sortState ref="G19:K33">
    <sortCondition ref="G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Groupes</vt:lpstr>
      <vt:lpstr>Groupe A</vt:lpstr>
      <vt:lpstr>Groupe B</vt:lpstr>
      <vt:lpstr>Groupe C</vt:lpstr>
      <vt:lpstr>Groupe D</vt:lpstr>
      <vt:lpstr>Groupe E</vt:lpstr>
      <vt:lpstr>Groupe F</vt:lpstr>
      <vt:lpstr>Classement des 3e</vt:lpstr>
      <vt:lpstr>Tableau final</vt:lpstr>
      <vt:lpstr>Règles de calcul</vt:lpstr>
      <vt:lpstr>Report</vt:lpstr>
      <vt:lpstr>Feuil2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Kevin</dc:creator>
  <cp:lastModifiedBy>Florian Faroux</cp:lastModifiedBy>
  <cp:lastPrinted>2016-01-20T15:01:22Z</cp:lastPrinted>
  <dcterms:created xsi:type="dcterms:W3CDTF">2014-01-15T08:57:02Z</dcterms:created>
  <dcterms:modified xsi:type="dcterms:W3CDTF">2016-06-06T09:11:32Z</dcterms:modified>
</cp:coreProperties>
</file>