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oso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<sst xmlns="http://schemas.openxmlformats.org/spreadsheetml/2006/main" count="102" uniqueCount="82">
  <si>
    <t>Julianos / 2 torug 1 molag 3 volonté</t>
  </si>
  <si>
    <t>1 = 1 corp toute les 30 secondes 2 = toutes les 15 secondes 0,5 toutes les minutes</t>
  </si>
  <si>
    <t>CORP de guerre</t>
  </si>
  <si>
    <t>Constante</t>
  </si>
  <si>
    <t>cp</t>
  </si>
  <si>
    <t>mundus</t>
  </si>
  <si>
    <t>1 = oui 0 = non</t>
  </si>
  <si>
    <t>Donnés d'entrée</t>
  </si>
  <si>
    <t xml:space="preserve">Base </t>
  </si>
  <si>
    <t>Voleur</t>
  </si>
  <si>
    <t>Ombre</t>
  </si>
  <si>
    <t>Donnés de sortie</t>
  </si>
  <si>
    <t>Atributs</t>
  </si>
  <si>
    <t>Variables de calcul</t>
  </si>
  <si>
    <t>Food</t>
  </si>
  <si>
    <t>Corp</t>
  </si>
  <si>
    <t>degats des sorts avec stuff sans buff</t>
  </si>
  <si>
    <t>CP</t>
  </si>
  <si>
    <t>Attention le tout doit etre enchanté MANA MAX</t>
  </si>
  <si>
    <t xml:space="preserve">Grosse piece </t>
  </si>
  <si>
    <t>Petite piece</t>
  </si>
  <si>
    <t>Div</t>
  </si>
  <si>
    <t>Nbr de trai</t>
  </si>
  <si>
    <t>Inf</t>
  </si>
  <si>
    <t>Infusé</t>
  </si>
  <si>
    <t>Autre</t>
  </si>
  <si>
    <t>Le total doit être de 7</t>
  </si>
  <si>
    <t>Enchantement</t>
  </si>
  <si>
    <t>Stuff</t>
  </si>
  <si>
    <t>bijoux volonte</t>
  </si>
  <si>
    <t>Bonus mana Max</t>
  </si>
  <si>
    <t>nbr bonus mana du set sur le stuff gold</t>
  </si>
  <si>
    <t>nbr de type d'armures</t>
  </si>
  <si>
    <t xml:space="preserve">nbr de skill </t>
  </si>
  <si>
    <t>Calcul du mana max</t>
  </si>
  <si>
    <t>lumiere int</t>
  </si>
  <si>
    <t>Breton</t>
  </si>
  <si>
    <t>egide</t>
  </si>
  <si>
    <t>indomtable</t>
  </si>
  <si>
    <t>guild des mage</t>
  </si>
  <si>
    <t>flot de magie NB</t>
  </si>
  <si>
    <t>corp</t>
  </si>
  <si>
    <t>Coef mana max</t>
  </si>
  <si>
    <t>1= 100%</t>
  </si>
  <si>
    <t>thx de buff majeure</t>
  </si>
  <si>
    <t>thx de buff mineure</t>
  </si>
  <si>
    <t>proc puissance curra</t>
  </si>
  <si>
    <t>Degat des sorts sans BUFF</t>
  </si>
  <si>
    <t xml:space="preserve">Degat de sort </t>
  </si>
  <si>
    <t>1% de critique = 219,1</t>
  </si>
  <si>
    <t>calcul tx crit</t>
  </si>
  <si>
    <t>Gear</t>
  </si>
  <si>
    <t>passif armure legere</t>
  </si>
  <si>
    <t>pacif racial</t>
  </si>
  <si>
    <t>base</t>
  </si>
  <si>
    <t>tx de crit</t>
  </si>
  <si>
    <t>nbr bonus crit du set sur le stuff gold</t>
  </si>
  <si>
    <t>nbr de divain gold</t>
  </si>
  <si>
    <t>Attaque sur un mobs 1 pv</t>
  </si>
  <si>
    <t xml:space="preserve">Critique </t>
  </si>
  <si>
    <t>Sans critique</t>
  </si>
  <si>
    <t>pnd crit</t>
  </si>
  <si>
    <t xml:space="preserve">pull mana </t>
  </si>
  <si>
    <t>Ponderation Tueur mineur (aether Ophidien ,,,) 1 = oui 0 = non</t>
  </si>
  <si>
    <t>Power sans crit</t>
  </si>
  <si>
    <t>Power avec critique</t>
  </si>
  <si>
    <t>Power total</t>
  </si>
  <si>
    <t>Calcul Coef</t>
  </si>
  <si>
    <t>Sans buff sans stuff</t>
  </si>
  <si>
    <t>Extrapolation Avec Stuff ci dessu</t>
  </si>
  <si>
    <t>Mana Max</t>
  </si>
  <si>
    <t>Degat des sorts</t>
  </si>
  <si>
    <t>Degat affiché UI</t>
  </si>
  <si>
    <t>Coef</t>
  </si>
  <si>
    <t>Degat</t>
  </si>
  <si>
    <t>Degat critique</t>
  </si>
  <si>
    <t>Al</t>
  </si>
  <si>
    <t>Skill 1</t>
  </si>
  <si>
    <t>Skill 2</t>
  </si>
  <si>
    <t>Skill 3</t>
  </si>
  <si>
    <t>Skill 4</t>
  </si>
  <si>
    <t>Skill 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</si>
</sst>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  <xf numFmtId="164" fontId="1" fillId="3" borderId="0" xfId="0" applyFont="1" applyFill="1" applyAlignment="1">
      <alignment/>
    </xf>
    <xf numFmtId="164" fontId="2" fillId="5" borderId="0" xfId="0" applyFont="1" applyFill="1" applyAlignment="1">
      <alignment/>
    </xf>
    <xf numFmtId="164" fontId="0" fillId="6" borderId="0" xfId="0" applyFill="1" applyAlignment="1">
      <alignment/>
    </xf>
    <xf numFmtId="164" fontId="0" fillId="5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3" fillId="0" borderId="0" xfId="0" applyFont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1" borderId="0" xfId="0" applyFill="1" applyAlignment="1">
      <alignment/>
    </xf>
    <xf numFmtId="164" fontId="1" fillId="5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12" borderId="0" xfId="0" applyFill="1" applyAlignment="1">
      <alignment/>
    </xf>
    <xf numFmtId="164" fontId="0" fillId="13" borderId="0" xfId="0" applyFill="1" applyAlignment="1">
      <alignment/>
    </xf>
    <xf numFmtId="164" fontId="0" fillId="14" borderId="0" xfId="0" applyFill="1" applyAlignment="1">
      <alignment/>
    </xf>
    <xf numFmtId="164" fontId="0" fillId="0" borderId="0" xfId="0" applyFont="1" applyAlignment="1">
      <alignment/>
    </xf>
    <xf numFmtId="164" fontId="0" fillId="15" borderId="0" xfId="0" applyFill="1" applyAlignment="1">
      <alignment/>
    </xf>
    <xf numFmtId="164" fontId="0" fillId="1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9933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="110" zoomScaleNormal="110" workbookViewId="0" topLeftCell="B10">
      <selection activeCell="M16" sqref="M16"/>
    </sheetView>
  </sheetViews>
  <sheetFormatPr defaultColWidth="12.57421875" defaultRowHeight="12.75"/>
  <cols>
    <col min="1" max="5" width="11.57421875" style="0" customWidth="1"/>
    <col min="6" max="6" width="13.7109375" style="0" customWidth="1"/>
    <col min="7" max="8" width="11.57421875" style="0" customWidth="1"/>
    <col min="9" max="9" width="13.00390625" style="0" customWidth="1"/>
    <col min="10" max="10" width="14.57421875" style="0" customWidth="1"/>
    <col min="11" max="16384" width="11.57421875" style="0" customWidth="1"/>
  </cols>
  <sheetData>
    <row r="2" spans="9:10" ht="12.75">
      <c r="I2" s="1"/>
      <c r="J2" s="1"/>
    </row>
    <row r="3" spans="4:10" ht="12.75">
      <c r="D3" t="s">
        <v>0</v>
      </c>
      <c r="I3" s="1"/>
      <c r="J3" s="1"/>
    </row>
    <row r="4" spans="8:10" ht="12.75">
      <c r="H4" s="1" t="s">
        <v>1</v>
      </c>
      <c r="I4" s="1"/>
      <c r="J4" s="1"/>
    </row>
    <row r="5" spans="8:10" ht="12.75">
      <c r="H5" s="2" t="s">
        <v>2</v>
      </c>
      <c r="I5" s="1"/>
      <c r="J5" s="1"/>
    </row>
    <row r="6" spans="1:11" ht="12.75">
      <c r="A6" t="s">
        <v>3</v>
      </c>
      <c r="B6" s="3"/>
      <c r="D6" t="s">
        <v>4</v>
      </c>
      <c r="E6" s="3">
        <v>1.18559927426</v>
      </c>
      <c r="H6" s="4"/>
      <c r="I6" s="1"/>
      <c r="J6" s="1" t="s">
        <v>5</v>
      </c>
      <c r="K6" t="s">
        <v>6</v>
      </c>
    </row>
    <row r="7" spans="1:11" ht="12.75">
      <c r="A7" t="s">
        <v>7</v>
      </c>
      <c r="B7" s="5"/>
      <c r="D7" t="s">
        <v>8</v>
      </c>
      <c r="E7" s="3">
        <v>7958</v>
      </c>
      <c r="I7" s="1"/>
      <c r="J7" s="1" t="s">
        <v>9</v>
      </c>
      <c r="K7" t="s">
        <v>10</v>
      </c>
    </row>
    <row r="8" spans="1:11" ht="12.75">
      <c r="A8" t="s">
        <v>11</v>
      </c>
      <c r="B8" s="6"/>
      <c r="D8" t="s">
        <v>12</v>
      </c>
      <c r="E8" s="3">
        <v>111</v>
      </c>
      <c r="F8" s="3">
        <v>64</v>
      </c>
      <c r="I8" s="1"/>
      <c r="J8" s="7">
        <v>1</v>
      </c>
      <c r="K8" s="7"/>
    </row>
    <row r="9" spans="1:10" ht="12.75">
      <c r="A9" t="s">
        <v>13</v>
      </c>
      <c r="B9" s="8"/>
      <c r="D9" t="s">
        <v>14</v>
      </c>
      <c r="E9" s="7">
        <v>4936</v>
      </c>
      <c r="F9" s="7">
        <v>4936</v>
      </c>
      <c r="I9" s="1"/>
      <c r="J9" s="1"/>
    </row>
    <row r="10" spans="1:10" ht="12.75">
      <c r="A10" t="s">
        <v>15</v>
      </c>
      <c r="B10" s="9"/>
      <c r="D10" t="s">
        <v>16</v>
      </c>
      <c r="E10" s="7">
        <v>2808</v>
      </c>
      <c r="I10" s="1"/>
      <c r="J10" s="1"/>
    </row>
    <row r="11" spans="4:10" ht="12.75">
      <c r="D11" t="s">
        <v>17</v>
      </c>
      <c r="E11" s="7">
        <f>531/3</f>
        <v>177</v>
      </c>
      <c r="H11" s="10" t="s">
        <v>18</v>
      </c>
      <c r="I11" s="1"/>
      <c r="J11" s="1"/>
    </row>
    <row r="12" spans="8:10" ht="12.75">
      <c r="H12" s="1" t="s">
        <v>19</v>
      </c>
      <c r="I12" t="s">
        <v>20</v>
      </c>
      <c r="J12" s="10"/>
    </row>
    <row r="13" spans="4:9" ht="12.75">
      <c r="D13" t="s">
        <v>21</v>
      </c>
      <c r="E13" s="11">
        <f>H13+I13</f>
        <v>7</v>
      </c>
      <c r="F13" t="s">
        <v>22</v>
      </c>
      <c r="G13" t="s">
        <v>21</v>
      </c>
      <c r="H13" s="7">
        <v>3</v>
      </c>
      <c r="I13" s="7">
        <v>4</v>
      </c>
    </row>
    <row r="14" spans="4:9" ht="12.75">
      <c r="D14" t="s">
        <v>23</v>
      </c>
      <c r="E14" s="11">
        <f>H14+I14</f>
        <v>0</v>
      </c>
      <c r="G14" t="s">
        <v>24</v>
      </c>
      <c r="H14" s="7">
        <v>0</v>
      </c>
      <c r="I14" s="7">
        <v>0</v>
      </c>
    </row>
    <row r="15" spans="4:9" ht="12.75">
      <c r="D15" t="s">
        <v>25</v>
      </c>
      <c r="E15" s="11">
        <f>H15+I15</f>
        <v>0</v>
      </c>
      <c r="G15" t="s">
        <v>25</v>
      </c>
      <c r="H15" s="7">
        <v>0</v>
      </c>
      <c r="I15" s="7">
        <v>0</v>
      </c>
    </row>
    <row r="16" spans="3:5" ht="12.75">
      <c r="C16" t="s">
        <v>26</v>
      </c>
      <c r="E16" s="11">
        <f>E13+E14+E15</f>
        <v>7</v>
      </c>
    </row>
    <row r="17" spans="5:10" ht="12.75">
      <c r="E17" s="1"/>
      <c r="F17" t="s">
        <v>27</v>
      </c>
      <c r="G17" t="s">
        <v>28</v>
      </c>
      <c r="H17" t="s">
        <v>29</v>
      </c>
      <c r="I17" s="1" t="s">
        <v>25</v>
      </c>
      <c r="J17" s="1"/>
    </row>
    <row r="18" spans="4:10" ht="12.75">
      <c r="D18" t="s">
        <v>30</v>
      </c>
      <c r="E18" s="12">
        <f>F18+G18+H18+I18</f>
        <v>8895</v>
      </c>
      <c r="F18" s="11">
        <f>H13*868+I13*351+H14*1041+I14*421+H15*868+I15*351</f>
        <v>4008</v>
      </c>
      <c r="G18" s="11">
        <f>967*G19</f>
        <v>967</v>
      </c>
      <c r="H18" s="7">
        <f>1400+840*3</f>
        <v>3920</v>
      </c>
      <c r="I18" s="7">
        <v>0</v>
      </c>
      <c r="J18" s="1"/>
    </row>
    <row r="19" spans="6:10" ht="12.75">
      <c r="F19" t="s">
        <v>31</v>
      </c>
      <c r="G19" s="7">
        <v>1</v>
      </c>
      <c r="I19" s="1"/>
      <c r="J19" s="1"/>
    </row>
    <row r="20" spans="9:10" ht="12.75">
      <c r="I20" s="1"/>
      <c r="J20" s="1"/>
    </row>
    <row r="21" spans="6:10" s="13" customFormat="1" ht="12.75">
      <c r="F21" s="13" t="s">
        <v>6</v>
      </c>
      <c r="G21" s="13" t="s">
        <v>6</v>
      </c>
      <c r="H21" s="13" t="s">
        <v>6</v>
      </c>
      <c r="I21" s="13" t="s">
        <v>32</v>
      </c>
      <c r="J21" s="13" t="s">
        <v>33</v>
      </c>
    </row>
    <row r="22" spans="4:12" s="1" customFormat="1" ht="12.75">
      <c r="D22" s="1" t="s">
        <v>34</v>
      </c>
      <c r="F22" s="1" t="s">
        <v>35</v>
      </c>
      <c r="G22" s="1" t="s">
        <v>36</v>
      </c>
      <c r="H22" t="s">
        <v>37</v>
      </c>
      <c r="I22" t="s">
        <v>38</v>
      </c>
      <c r="J22" t="s">
        <v>39</v>
      </c>
      <c r="K22" s="1" t="s">
        <v>40</v>
      </c>
      <c r="L22"/>
    </row>
    <row r="23" spans="6:12" s="1" customFormat="1" ht="12.75">
      <c r="F23" s="14">
        <v>1</v>
      </c>
      <c r="G23" s="14">
        <v>1</v>
      </c>
      <c r="H23" s="14">
        <v>1</v>
      </c>
      <c r="I23" s="14">
        <v>3</v>
      </c>
      <c r="J23" s="14">
        <v>1</v>
      </c>
      <c r="K23" s="14"/>
      <c r="L23" t="s">
        <v>41</v>
      </c>
    </row>
    <row r="24" spans="4:13" ht="12.75">
      <c r="D24" t="s">
        <v>42</v>
      </c>
      <c r="E24" s="7">
        <f>M24+1</f>
        <v>1.31</v>
      </c>
      <c r="F24" s="11">
        <f>F23*0.05</f>
        <v>0.05</v>
      </c>
      <c r="G24" s="11">
        <f>G23*0.1</f>
        <v>0.1</v>
      </c>
      <c r="H24" s="11">
        <f>H23*0.08</f>
        <v>0.08</v>
      </c>
      <c r="I24" s="11">
        <f>I23*0.02</f>
        <v>0.06</v>
      </c>
      <c r="J24" s="11">
        <f>J23*0.02</f>
        <v>0.02</v>
      </c>
      <c r="K24" s="11">
        <f>K23*0.08</f>
        <v>0</v>
      </c>
      <c r="L24" s="2">
        <f>0.1*H6</f>
        <v>0</v>
      </c>
      <c r="M24" s="11">
        <f>J24+I24+H24+G24+F24+L24+K24</f>
        <v>0.31</v>
      </c>
    </row>
    <row r="25" spans="6:8" s="13" customFormat="1" ht="12.75">
      <c r="F25" s="13" t="s">
        <v>43</v>
      </c>
      <c r="G25" s="13" t="s">
        <v>43</v>
      </c>
      <c r="H25" s="13" t="s">
        <v>43</v>
      </c>
    </row>
    <row r="26" spans="4:9" s="1" customFormat="1" ht="12.75">
      <c r="D26"/>
      <c r="F26" s="1" t="s">
        <v>44</v>
      </c>
      <c r="G26" s="1" t="s">
        <v>45</v>
      </c>
      <c r="H26" s="1" t="s">
        <v>46</v>
      </c>
      <c r="I26"/>
    </row>
    <row r="27" spans="4:8" ht="12.75">
      <c r="D27" s="1" t="s">
        <v>47</v>
      </c>
      <c r="E27" s="7">
        <f>E10</f>
        <v>2808</v>
      </c>
      <c r="F27" s="7">
        <v>0</v>
      </c>
      <c r="G27" s="7">
        <v>0</v>
      </c>
      <c r="H27" s="7">
        <v>0</v>
      </c>
    </row>
    <row r="28" spans="4:8" ht="12.75">
      <c r="D28" t="s">
        <v>48</v>
      </c>
      <c r="E28" s="11">
        <f>E27+F28+G28+H28</f>
        <v>2808</v>
      </c>
      <c r="F28" s="12">
        <f>E27*F27*0.2</f>
        <v>0</v>
      </c>
      <c r="G28" s="12">
        <f>E27*0.05*G27</f>
        <v>0</v>
      </c>
      <c r="H28" s="12">
        <f>H27*258</f>
        <v>0</v>
      </c>
    </row>
    <row r="29" s="13" customFormat="1" ht="12.75">
      <c r="F29" s="13" t="s">
        <v>49</v>
      </c>
    </row>
    <row r="30" spans="4:13" ht="12.75">
      <c r="D30" t="s">
        <v>50</v>
      </c>
      <c r="E30" s="1"/>
      <c r="F30" t="s">
        <v>51</v>
      </c>
      <c r="G30" t="s">
        <v>52</v>
      </c>
      <c r="H30" t="s">
        <v>53</v>
      </c>
      <c r="I30" s="1" t="s">
        <v>4</v>
      </c>
      <c r="J30" s="1" t="s">
        <v>5</v>
      </c>
      <c r="K30" t="s">
        <v>35</v>
      </c>
      <c r="L30" t="s">
        <v>54</v>
      </c>
      <c r="M30" t="s">
        <v>55</v>
      </c>
    </row>
    <row r="31" spans="5:13" ht="12.75">
      <c r="E31" s="1"/>
      <c r="F31" s="12">
        <f>688*G32</f>
        <v>1376</v>
      </c>
      <c r="G31" s="3">
        <v>2191</v>
      </c>
      <c r="H31" s="7">
        <v>0</v>
      </c>
      <c r="I31" s="3">
        <f>12*219.1</f>
        <v>2629.2</v>
      </c>
      <c r="J31" s="12">
        <f>2410.1*(1+J32)*J8</f>
        <v>3675.4024999999997</v>
      </c>
      <c r="K31" s="11">
        <f>2191*J23</f>
        <v>2191</v>
      </c>
      <c r="L31" s="3">
        <v>2191</v>
      </c>
      <c r="M31" s="11">
        <f>(J31+I31+H31+G31+F31+K31+L31)/219.1</f>
        <v>65.05523733455043</v>
      </c>
    </row>
    <row r="32" spans="4:10" ht="12.75">
      <c r="D32" t="s">
        <v>55</v>
      </c>
      <c r="E32" s="12">
        <f>M31/100</f>
        <v>0.6505523733455043</v>
      </c>
      <c r="F32" t="s">
        <v>56</v>
      </c>
      <c r="G32" s="7">
        <v>2</v>
      </c>
      <c r="H32" t="s">
        <v>57</v>
      </c>
      <c r="I32" s="11">
        <f>E13</f>
        <v>7</v>
      </c>
      <c r="J32" s="12">
        <f>I32*0.075</f>
        <v>0.525</v>
      </c>
    </row>
    <row r="33" s="13" customFormat="1" ht="12.75"/>
    <row r="34" spans="6:10" s="1" customFormat="1" ht="12.75">
      <c r="F34" s="1" t="s">
        <v>58</v>
      </c>
      <c r="G34" s="1" t="s">
        <v>59</v>
      </c>
      <c r="H34" s="1" t="s">
        <v>60</v>
      </c>
      <c r="I34" t="s">
        <v>5</v>
      </c>
      <c r="J34" s="15" t="s">
        <v>15</v>
      </c>
    </row>
    <row r="35" spans="4:10" ht="12.75">
      <c r="D35" t="s">
        <v>61</v>
      </c>
      <c r="E35" s="12">
        <f>((G35/H35-1)+I35)*(1+J35)</f>
        <v>0.7298325722983257</v>
      </c>
      <c r="G35" s="7">
        <v>4546</v>
      </c>
      <c r="H35" s="7">
        <v>2628</v>
      </c>
      <c r="I35" s="11">
        <f>0.12*(1+I36)*K8</f>
        <v>0</v>
      </c>
      <c r="J35" s="2">
        <f>(0.3)*H6*9.5/30</f>
        <v>0</v>
      </c>
    </row>
    <row r="36" spans="5:9" ht="12.75">
      <c r="E36" s="1"/>
      <c r="G36" t="s">
        <v>57</v>
      </c>
      <c r="H36" s="11">
        <f>I32</f>
        <v>7</v>
      </c>
      <c r="I36" s="12">
        <f>H36*0.075</f>
        <v>0.525</v>
      </c>
    </row>
    <row r="37" spans="4:10" ht="12.75">
      <c r="D37" t="s">
        <v>62</v>
      </c>
      <c r="E37" s="6">
        <f>(((E7+E8*F8+E18)*E6)+E9)*E24</f>
        <v>43674.61637561534</v>
      </c>
      <c r="I37" s="1"/>
      <c r="J37" s="1"/>
    </row>
    <row r="38" spans="7:10" ht="12.75">
      <c r="G38" t="s">
        <v>63</v>
      </c>
      <c r="I38" s="1"/>
      <c r="J38" s="1"/>
    </row>
    <row r="39" spans="4:10" ht="12.75">
      <c r="D39" t="s">
        <v>64</v>
      </c>
      <c r="E39" s="16">
        <f>(E37+10.46*E27)*G40</f>
        <v>73046.29637561535</v>
      </c>
      <c r="G39" s="7">
        <v>0</v>
      </c>
      <c r="I39" s="1"/>
      <c r="J39" s="1"/>
    </row>
    <row r="40" spans="4:10" ht="12.75">
      <c r="D40" t="s">
        <v>65</v>
      </c>
      <c r="E40" s="16">
        <f>E39*(1+E35)*G40</f>
        <v>126357.86275629656</v>
      </c>
      <c r="G40" s="12">
        <f>G39*0.05+1</f>
        <v>1</v>
      </c>
      <c r="I40" s="1"/>
      <c r="J40" s="1"/>
    </row>
    <row r="41" spans="9:10" ht="12.75">
      <c r="I41" s="1"/>
      <c r="J41" s="1"/>
    </row>
    <row r="42" spans="4:5" ht="12.75">
      <c r="D42" t="s">
        <v>66</v>
      </c>
      <c r="E42" s="17">
        <f>((E37+10.46*E28))*(1+E32*E35)*G40</f>
        <v>107728.2624113339</v>
      </c>
    </row>
    <row r="44" s="18" customFormat="1" ht="12.75"/>
    <row r="45" spans="3:10" ht="12.75">
      <c r="C45" t="s">
        <v>67</v>
      </c>
      <c r="D45" s="10" t="s">
        <v>68</v>
      </c>
      <c r="F45" s="19"/>
      <c r="J45" t="s">
        <v>69</v>
      </c>
    </row>
    <row r="46" spans="4:11" ht="12.75">
      <c r="D46" t="s">
        <v>70</v>
      </c>
      <c r="E46" t="s">
        <v>71</v>
      </c>
      <c r="F46" t="s">
        <v>72</v>
      </c>
      <c r="G46" t="s">
        <v>73</v>
      </c>
      <c r="J46" t="s">
        <v>74</v>
      </c>
      <c r="K46" t="s">
        <v>75</v>
      </c>
    </row>
    <row r="47" spans="3:11" ht="12.75">
      <c r="C47" t="s">
        <v>76</v>
      </c>
      <c r="D47" s="7"/>
      <c r="E47" s="7"/>
      <c r="F47" s="7"/>
      <c r="G47" s="12" t="e">
        <f>F47/(D47+40.229*E47)</f>
        <v>#DIV/0!</v>
      </c>
      <c r="J47" s="20" t="e">
        <f>E39*G47</f>
        <v>#DIV/0!</v>
      </c>
      <c r="K47" s="21" t="e">
        <f>E40*G47</f>
        <v>#DIV/0!</v>
      </c>
    </row>
    <row r="49" spans="3:11" ht="12.75">
      <c r="C49" t="s">
        <v>77</v>
      </c>
      <c r="D49" s="7">
        <v>34575</v>
      </c>
      <c r="E49" s="7">
        <v>2206</v>
      </c>
      <c r="F49" s="7">
        <v>2219</v>
      </c>
      <c r="G49" s="12">
        <f>F49/(D49+10.46*E49)</f>
        <v>0.038491053562061665</v>
      </c>
      <c r="I49" t="s">
        <v>77</v>
      </c>
      <c r="J49" s="20">
        <f>E39*G49</f>
        <v>2811.6289063040413</v>
      </c>
      <c r="K49" s="21">
        <f>E40*G49</f>
        <v>4863.647263340247</v>
      </c>
    </row>
    <row r="50" spans="3:11" ht="12.75">
      <c r="C50" t="s">
        <v>78</v>
      </c>
      <c r="D50" s="7"/>
      <c r="E50" s="7"/>
      <c r="F50" s="7"/>
      <c r="G50" s="12" t="e">
        <f>F50/(D50+10.46*E50)</f>
        <v>#DIV/0!</v>
      </c>
      <c r="I50" t="s">
        <v>78</v>
      </c>
      <c r="J50" s="20" t="e">
        <f>E39*G50</f>
        <v>#DIV/0!</v>
      </c>
      <c r="K50" s="21" t="e">
        <f>E40*G50</f>
        <v>#DIV/0!</v>
      </c>
    </row>
    <row r="51" spans="3:11" ht="12.75">
      <c r="C51" t="s">
        <v>79</v>
      </c>
      <c r="D51" s="7"/>
      <c r="E51" s="7"/>
      <c r="F51" s="7"/>
      <c r="G51" s="12" t="e">
        <f>F51/(D51+10.46*E51)</f>
        <v>#DIV/0!</v>
      </c>
      <c r="I51" t="s">
        <v>79</v>
      </c>
      <c r="J51" s="20" t="e">
        <f>E39*G51</f>
        <v>#DIV/0!</v>
      </c>
      <c r="K51" s="21" t="e">
        <f>E40*G51</f>
        <v>#DIV/0!</v>
      </c>
    </row>
    <row r="52" spans="3:11" ht="12.75">
      <c r="C52" t="s">
        <v>80</v>
      </c>
      <c r="D52" s="7"/>
      <c r="E52" s="7"/>
      <c r="F52" s="7"/>
      <c r="G52" s="12" t="e">
        <f>F52/(D52+10.46*E52)</f>
        <v>#DIV/0!</v>
      </c>
      <c r="I52" t="s">
        <v>80</v>
      </c>
      <c r="J52" s="20" t="e">
        <f>E39*G52</f>
        <v>#DIV/0!</v>
      </c>
      <c r="K52" s="21" t="e">
        <f>E40*G52</f>
        <v>#DIV/0!</v>
      </c>
    </row>
    <row r="53" spans="3:11" ht="12.75">
      <c r="C53" t="s">
        <v>81</v>
      </c>
      <c r="D53" s="7"/>
      <c r="E53" s="7"/>
      <c r="F53" s="7"/>
      <c r="G53" s="12" t="e">
        <f>F53/(D53+10.46*E53)</f>
        <v>#DIV/0!</v>
      </c>
      <c r="I53" t="s">
        <v>81</v>
      </c>
      <c r="J53" s="20" t="e">
        <f>E39*G53</f>
        <v>#DIV/0!</v>
      </c>
      <c r="K53" s="21" t="e">
        <f>E40*G53</f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2016-08-05T08:23:23Z</dcterms:created>
  <dcterms:modified xsi:type="dcterms:W3CDTF">2016-08-07T11:42:07Z</dcterms:modified>
  <cp:category/>
  <cp:version/>
  <cp:contentType/>
  <cp:contentStatus/>
  <cp:revision>72</cp:revision>
</cp:coreProperties>
</file>