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xcel\"/>
    </mc:Choice>
  </mc:AlternateContent>
  <bookViews>
    <workbookView xWindow="0" yWindow="0" windowWidth="16485" windowHeight="9045" tabRatio="796" activeTab="13"/>
  </bookViews>
  <sheets>
    <sheet name="Stats" sheetId="26" r:id="rId1"/>
    <sheet name="Calendrier" sheetId="24" r:id="rId2"/>
    <sheet name="Classement général" sheetId="8" r:id="rId3"/>
    <sheet name="Lest" sheetId="23" r:id="rId4"/>
    <sheet name="Manche 1" sheetId="9" r:id="rId5"/>
    <sheet name="Manche 2" sheetId="10" r:id="rId6"/>
    <sheet name="Manche 3" sheetId="11" r:id="rId7"/>
    <sheet name="Manche 4" sheetId="12" r:id="rId8"/>
    <sheet name="Manche 5" sheetId="13" r:id="rId9"/>
    <sheet name="Manche 6" sheetId="15" r:id="rId10"/>
    <sheet name="Manche 7" sheetId="17" r:id="rId11"/>
    <sheet name="Manche 8" sheetId="19" r:id="rId12"/>
    <sheet name="Manche 9" sheetId="20" r:id="rId13"/>
    <sheet name="Manche 10" sheetId="22" r:id="rId14"/>
    <sheet name="Modèle 1 groupe" sheetId="1" r:id="rId15"/>
    <sheet name="Modèle 2 groupes" sheetId="5" r:id="rId16"/>
    <sheet name="Modèle 1 gr. spéciale" sheetId="6" r:id="rId17"/>
    <sheet name="Modèle 2 gr. spéciale" sheetId="7" r:id="rId18"/>
    <sheet name="Tests Performances" sheetId="25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23" l="1"/>
  <c r="C49" i="23" l="1"/>
  <c r="C48" i="23"/>
  <c r="C61" i="23"/>
  <c r="AA4" i="26" l="1"/>
  <c r="AA5" i="26"/>
  <c r="AA6" i="26"/>
  <c r="AA10" i="26"/>
  <c r="AA12" i="26"/>
  <c r="AA14" i="26"/>
  <c r="W3" i="26" l="1"/>
  <c r="W4" i="26" s="1"/>
  <c r="W5" i="26" s="1"/>
  <c r="W6" i="26" s="1"/>
  <c r="C60" i="23"/>
  <c r="C5" i="13" l="1"/>
  <c r="E5" i="13"/>
  <c r="M3" i="13"/>
  <c r="E6" i="13" l="1"/>
  <c r="E10" i="13"/>
  <c r="E8" i="13"/>
  <c r="E4" i="13"/>
  <c r="E13" i="13"/>
  <c r="E14" i="13"/>
  <c r="E9" i="13"/>
  <c r="E3" i="13"/>
  <c r="E7" i="13"/>
  <c r="E17" i="13"/>
  <c r="E12" i="13"/>
  <c r="E16" i="13"/>
  <c r="E15" i="13"/>
  <c r="E11" i="13"/>
  <c r="E18" i="13"/>
  <c r="C11" i="12" l="1"/>
  <c r="C13" i="12"/>
  <c r="C9" i="12"/>
  <c r="C15" i="12"/>
  <c r="C7" i="12"/>
  <c r="C4" i="12"/>
  <c r="C10" i="12"/>
  <c r="C3" i="12"/>
  <c r="C14" i="12"/>
  <c r="C6" i="12"/>
  <c r="C12" i="12"/>
  <c r="C18" i="12"/>
  <c r="C5" i="12"/>
  <c r="C8" i="12"/>
  <c r="C17" i="12"/>
  <c r="C16" i="12"/>
  <c r="C59" i="23" l="1"/>
  <c r="E26" i="10" l="1"/>
  <c r="D26" i="10"/>
  <c r="D74" i="10" l="1"/>
  <c r="D80" i="10"/>
  <c r="D79" i="10"/>
  <c r="D78" i="10"/>
  <c r="D77" i="10"/>
  <c r="D76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38" i="10"/>
  <c r="D38" i="10"/>
  <c r="E31" i="10"/>
  <c r="D31" i="10"/>
  <c r="E27" i="10"/>
  <c r="D27" i="10"/>
  <c r="E32" i="10"/>
  <c r="D32" i="10"/>
  <c r="E30" i="10"/>
  <c r="D30" i="10"/>
  <c r="E35" i="10"/>
  <c r="D35" i="10"/>
  <c r="E36" i="10"/>
  <c r="D36" i="10"/>
  <c r="E29" i="10"/>
  <c r="D29" i="10"/>
  <c r="E37" i="10"/>
  <c r="D37" i="10"/>
  <c r="E39" i="10"/>
  <c r="D39" i="10"/>
  <c r="E25" i="10"/>
  <c r="D25" i="10"/>
  <c r="E33" i="10"/>
  <c r="D33" i="10"/>
  <c r="E24" i="10"/>
  <c r="D24" i="10"/>
  <c r="E34" i="10"/>
  <c r="D34" i="10"/>
  <c r="E28" i="10"/>
  <c r="D28" i="10"/>
  <c r="A19" i="10"/>
  <c r="A20" i="10" s="1"/>
  <c r="C12" i="10"/>
  <c r="C20" i="10"/>
  <c r="E12" i="10"/>
  <c r="E20" i="10"/>
  <c r="G12" i="10"/>
  <c r="G20" i="10"/>
  <c r="H12" i="10"/>
  <c r="H20" i="10"/>
  <c r="G3" i="10"/>
  <c r="G9" i="10"/>
  <c r="G4" i="10"/>
  <c r="G5" i="10"/>
  <c r="G7" i="10"/>
  <c r="G10" i="10"/>
  <c r="G6" i="10"/>
  <c r="G8" i="10"/>
  <c r="G11" i="10"/>
  <c r="G15" i="10"/>
  <c r="G14" i="10"/>
  <c r="G17" i="10"/>
  <c r="G13" i="10"/>
  <c r="G16" i="10"/>
  <c r="G19" i="10"/>
  <c r="G18" i="10"/>
  <c r="E3" i="10"/>
  <c r="E9" i="10"/>
  <c r="E4" i="10"/>
  <c r="E5" i="10"/>
  <c r="E7" i="10"/>
  <c r="E10" i="10"/>
  <c r="E6" i="10"/>
  <c r="E8" i="10"/>
  <c r="E11" i="10"/>
  <c r="E15" i="10"/>
  <c r="E14" i="10"/>
  <c r="E17" i="10"/>
  <c r="E13" i="10"/>
  <c r="E16" i="10"/>
  <c r="E19" i="10"/>
  <c r="E18" i="10"/>
  <c r="O23" i="10"/>
  <c r="Q21" i="10"/>
  <c r="Q18" i="10"/>
  <c r="R18" i="10" s="1"/>
  <c r="Q17" i="10"/>
  <c r="R17" i="10" s="1"/>
  <c r="Q16" i="10"/>
  <c r="R16" i="10" s="1"/>
  <c r="Q15" i="10"/>
  <c r="R15" i="10" s="1"/>
  <c r="Q14" i="10"/>
  <c r="Q13" i="10"/>
  <c r="Q12" i="10"/>
  <c r="R12" i="10" s="1"/>
  <c r="Q11" i="10"/>
  <c r="R11" i="10" s="1"/>
  <c r="Q10" i="10"/>
  <c r="Q9" i="10"/>
  <c r="Q8" i="10"/>
  <c r="Q7" i="10"/>
  <c r="Q6" i="10"/>
  <c r="Q5" i="10"/>
  <c r="Q4" i="10"/>
  <c r="O4" i="10"/>
  <c r="O5" i="10" s="1"/>
  <c r="O6" i="10" s="1"/>
  <c r="O7" i="10" s="1"/>
  <c r="O8" i="10" s="1"/>
  <c r="O9" i="10" s="1"/>
  <c r="O10" i="10" s="1"/>
  <c r="R3" i="10"/>
  <c r="O11" i="10" l="1"/>
  <c r="O12" i="10" s="1"/>
  <c r="O13" i="10" s="1"/>
  <c r="O14" i="10" s="1"/>
  <c r="O15" i="10" s="1"/>
  <c r="O16" i="10" s="1"/>
  <c r="O17" i="10" s="1"/>
  <c r="O18" i="10" s="1"/>
  <c r="K17" i="10"/>
  <c r="K15" i="10"/>
  <c r="K13" i="10"/>
  <c r="K12" i="10"/>
  <c r="L14" i="10"/>
  <c r="L18" i="10"/>
  <c r="K20" i="10"/>
  <c r="R4" i="10"/>
  <c r="R5" i="10"/>
  <c r="R6" i="10"/>
  <c r="R7" i="10"/>
  <c r="R8" i="10"/>
  <c r="R9" i="10"/>
  <c r="R10" i="10"/>
  <c r="L12" i="10"/>
  <c r="L3" i="10" s="1"/>
  <c r="R13" i="10"/>
  <c r="R14" i="10"/>
  <c r="C38" i="23"/>
  <c r="C50" i="23"/>
  <c r="C46" i="23"/>
  <c r="C51" i="23"/>
  <c r="C39" i="23"/>
  <c r="C42" i="23"/>
  <c r="C45" i="23"/>
  <c r="C40" i="23"/>
  <c r="C52" i="23"/>
  <c r="C43" i="23"/>
  <c r="C44" i="23"/>
  <c r="C53" i="23"/>
  <c r="C41" i="23"/>
  <c r="C54" i="23"/>
  <c r="C55" i="23"/>
  <c r="C56" i="23"/>
  <c r="C47" i="23"/>
  <c r="C57" i="23"/>
  <c r="C58" i="23"/>
  <c r="L11" i="10" l="1"/>
  <c r="L10" i="10"/>
  <c r="L9" i="10"/>
  <c r="L8" i="10"/>
  <c r="L7" i="10"/>
  <c r="L6" i="10"/>
  <c r="L5" i="10"/>
  <c r="L4" i="10"/>
  <c r="L20" i="10"/>
  <c r="L22" i="10"/>
  <c r="M20" i="10"/>
  <c r="L16" i="10"/>
  <c r="K18" i="10"/>
  <c r="M12" i="10"/>
  <c r="K14" i="10"/>
  <c r="K16" i="10"/>
  <c r="K19" i="10"/>
  <c r="L23" i="10"/>
  <c r="L19" i="10"/>
  <c r="L15" i="10"/>
  <c r="M19" i="10"/>
  <c r="M9" i="10"/>
  <c r="M18" i="10"/>
  <c r="M17" i="10"/>
  <c r="M16" i="10"/>
  <c r="M15" i="10"/>
  <c r="M14" i="10"/>
  <c r="M13" i="10"/>
  <c r="L21" i="10"/>
  <c r="K11" i="10"/>
  <c r="K10" i="10"/>
  <c r="K9" i="10"/>
  <c r="K8" i="10"/>
  <c r="K7" i="10"/>
  <c r="K6" i="10"/>
  <c r="K5" i="10"/>
  <c r="K4" i="10"/>
  <c r="K3" i="10"/>
  <c r="L17" i="10"/>
  <c r="L13" i="10"/>
  <c r="E69" i="9"/>
  <c r="E68" i="9"/>
  <c r="E70" i="9"/>
  <c r="E72" i="9"/>
  <c r="E73" i="9"/>
  <c r="E67" i="9"/>
  <c r="E77" i="9"/>
  <c r="E79" i="9"/>
  <c r="E78" i="9"/>
  <c r="E76" i="9"/>
  <c r="E81" i="9"/>
  <c r="E82" i="9"/>
  <c r="E80" i="9"/>
  <c r="E75" i="9"/>
  <c r="E71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46" i="9"/>
  <c r="D59" i="9"/>
  <c r="D80" i="9"/>
  <c r="D82" i="9"/>
  <c r="D81" i="9"/>
  <c r="D76" i="9"/>
  <c r="D78" i="9"/>
  <c r="D79" i="9"/>
  <c r="D77" i="9"/>
  <c r="D67" i="9"/>
  <c r="D73" i="9"/>
  <c r="D72" i="9"/>
  <c r="D70" i="9"/>
  <c r="D68" i="9"/>
  <c r="D69" i="9"/>
  <c r="D71" i="9"/>
  <c r="D60" i="9"/>
  <c r="D62" i="9"/>
  <c r="D61" i="9"/>
  <c r="D55" i="9"/>
  <c r="D56" i="9"/>
  <c r="D54" i="9"/>
  <c r="D58" i="9"/>
  <c r="D57" i="9"/>
  <c r="D50" i="9"/>
  <c r="D52" i="9"/>
  <c r="D51" i="9"/>
  <c r="D47" i="9"/>
  <c r="D53" i="9"/>
  <c r="D46" i="9"/>
  <c r="D49" i="9"/>
  <c r="D48" i="9"/>
  <c r="M3" i="10" l="1"/>
  <c r="M21" i="10"/>
  <c r="M11" i="10"/>
  <c r="M22" i="10"/>
  <c r="M4" i="10"/>
  <c r="M5" i="10"/>
  <c r="M6" i="10"/>
  <c r="M7" i="10"/>
  <c r="M8" i="10"/>
  <c r="M10" i="10"/>
  <c r="M23" i="10"/>
  <c r="E35" i="9"/>
  <c r="E39" i="9"/>
  <c r="E27" i="9"/>
  <c r="E26" i="9"/>
  <c r="E36" i="9"/>
  <c r="E34" i="9"/>
  <c r="E37" i="9"/>
  <c r="E28" i="9"/>
  <c r="E30" i="9"/>
  <c r="E31" i="9"/>
  <c r="E32" i="9"/>
  <c r="E40" i="9"/>
  <c r="E29" i="9"/>
  <c r="E33" i="9"/>
  <c r="E38" i="9"/>
  <c r="E25" i="9"/>
  <c r="D35" i="9"/>
  <c r="D39" i="9"/>
  <c r="D27" i="9"/>
  <c r="D26" i="9"/>
  <c r="D36" i="9"/>
  <c r="D34" i="9"/>
  <c r="D37" i="9"/>
  <c r="D28" i="9"/>
  <c r="D30" i="9"/>
  <c r="D31" i="9"/>
  <c r="D32" i="9"/>
  <c r="D40" i="9"/>
  <c r="D29" i="9"/>
  <c r="D33" i="9"/>
  <c r="D38" i="9"/>
  <c r="D25" i="9"/>
  <c r="P18" i="8" l="1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Q21" i="9"/>
  <c r="C14" i="9"/>
  <c r="C18" i="9"/>
  <c r="R18" i="9"/>
  <c r="Q18" i="9"/>
  <c r="C20" i="9"/>
  <c r="Q17" i="9"/>
  <c r="C19" i="9"/>
  <c r="Q16" i="9"/>
  <c r="R16" i="9" s="1"/>
  <c r="C16" i="9"/>
  <c r="Q15" i="9"/>
  <c r="C13" i="9"/>
  <c r="R14" i="9"/>
  <c r="Q14" i="9"/>
  <c r="C12" i="9"/>
  <c r="Q13" i="9"/>
  <c r="C17" i="9"/>
  <c r="Q12" i="9"/>
  <c r="R12" i="9" s="1"/>
  <c r="C15" i="9"/>
  <c r="Q11" i="9"/>
  <c r="C4" i="9"/>
  <c r="R10" i="9"/>
  <c r="Q10" i="9"/>
  <c r="C11" i="9"/>
  <c r="Q9" i="9"/>
  <c r="C10" i="9"/>
  <c r="Q8" i="9"/>
  <c r="R8" i="9" s="1"/>
  <c r="C5" i="9"/>
  <c r="Q7" i="9"/>
  <c r="C9" i="9"/>
  <c r="R6" i="9"/>
  <c r="Q6" i="9"/>
  <c r="C7" i="9"/>
  <c r="Q5" i="9"/>
  <c r="C6" i="9"/>
  <c r="Q4" i="9"/>
  <c r="R4" i="9" s="1"/>
  <c r="O4" i="9"/>
  <c r="O5" i="9" s="1"/>
  <c r="O6" i="9" s="1"/>
  <c r="O7" i="9" s="1"/>
  <c r="O8" i="9" s="1"/>
  <c r="O9" i="9" s="1"/>
  <c r="O10" i="9" s="1"/>
  <c r="C8" i="9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R3" i="9"/>
  <c r="C3" i="9"/>
  <c r="C22" i="26" l="1"/>
  <c r="C19" i="26"/>
  <c r="O11" i="9"/>
  <c r="O12" i="9" s="1"/>
  <c r="O13" i="9" s="1"/>
  <c r="O14" i="9" s="1"/>
  <c r="O15" i="9" s="1"/>
  <c r="O16" i="9" s="1"/>
  <c r="O17" i="9" s="1"/>
  <c r="O18" i="9" s="1"/>
  <c r="L28" i="9"/>
  <c r="L13" i="9"/>
  <c r="G14" i="9" s="1"/>
  <c r="R5" i="9"/>
  <c r="L15" i="9"/>
  <c r="G12" i="9" s="1"/>
  <c r="R7" i="9"/>
  <c r="L18" i="9"/>
  <c r="G16" i="9" s="1"/>
  <c r="L29" i="9"/>
  <c r="L33" i="9"/>
  <c r="R9" i="9"/>
  <c r="R11" i="9"/>
  <c r="R13" i="9"/>
  <c r="R15" i="9"/>
  <c r="R17" i="9"/>
  <c r="K16" i="9"/>
  <c r="E17" i="9" s="1"/>
  <c r="K18" i="9"/>
  <c r="E18" i="9" s="1"/>
  <c r="K20" i="9"/>
  <c r="E20" i="9" s="1"/>
  <c r="K3" i="23"/>
  <c r="K4" i="23"/>
  <c r="K5" i="23"/>
  <c r="K6" i="23"/>
  <c r="K7" i="23"/>
  <c r="K8" i="23"/>
  <c r="K9" i="23"/>
  <c r="K2" i="23"/>
  <c r="K19" i="9" l="1"/>
  <c r="E19" i="9" s="1"/>
  <c r="K17" i="9"/>
  <c r="E13" i="9" s="1"/>
  <c r="K15" i="9"/>
  <c r="E15" i="9" s="1"/>
  <c r="L34" i="9"/>
  <c r="L30" i="9"/>
  <c r="L19" i="9"/>
  <c r="G20" i="9" s="1"/>
  <c r="H20" i="9" s="1"/>
  <c r="P6" i="8" s="1"/>
  <c r="L31" i="9"/>
  <c r="M31" i="9"/>
  <c r="M20" i="9"/>
  <c r="M33" i="9"/>
  <c r="M29" i="9"/>
  <c r="M18" i="9"/>
  <c r="M32" i="9"/>
  <c r="L17" i="9"/>
  <c r="G18" i="9" s="1"/>
  <c r="H18" i="9" s="1"/>
  <c r="P8" i="8" s="1"/>
  <c r="L16" i="9"/>
  <c r="G17" i="9" s="1"/>
  <c r="H17" i="9" s="1"/>
  <c r="L32" i="9"/>
  <c r="M30" i="9"/>
  <c r="L20" i="9"/>
  <c r="G19" i="9" s="1"/>
  <c r="M17" i="9"/>
  <c r="L14" i="9"/>
  <c r="G15" i="9" s="1"/>
  <c r="L12" i="9"/>
  <c r="G13" i="9" s="1"/>
  <c r="K13" i="9"/>
  <c r="E16" i="9" s="1"/>
  <c r="H16" i="9" s="1"/>
  <c r="P19" i="8" s="1"/>
  <c r="M28" i="9"/>
  <c r="M16" i="9"/>
  <c r="M14" i="9"/>
  <c r="M12" i="9"/>
  <c r="M24" i="9" s="1"/>
  <c r="M34" i="9"/>
  <c r="M19" i="9"/>
  <c r="M15" i="9"/>
  <c r="M13" i="9"/>
  <c r="K12" i="9"/>
  <c r="E12" i="9" s="1"/>
  <c r="H12" i="9" s="1"/>
  <c r="P4" i="8" s="1"/>
  <c r="K14" i="9"/>
  <c r="E14" i="9" s="1"/>
  <c r="H14" i="9" s="1"/>
  <c r="P16" i="8" s="1"/>
  <c r="G27" i="23"/>
  <c r="G28" i="23"/>
  <c r="G29" i="23"/>
  <c r="G30" i="23"/>
  <c r="G31" i="23"/>
  <c r="G32" i="23"/>
  <c r="G33" i="23"/>
  <c r="C7" i="23"/>
  <c r="C12" i="23"/>
  <c r="C22" i="23"/>
  <c r="C9" i="23"/>
  <c r="C21" i="23"/>
  <c r="C11" i="23"/>
  <c r="C5" i="23"/>
  <c r="C4" i="23"/>
  <c r="C3" i="23"/>
  <c r="C6" i="23"/>
  <c r="C15" i="23"/>
  <c r="C13" i="23"/>
  <c r="C10" i="23"/>
  <c r="C19" i="23"/>
  <c r="C26" i="23"/>
  <c r="C14" i="23"/>
  <c r="C8" i="23"/>
  <c r="C16" i="23"/>
  <c r="C17" i="23"/>
  <c r="C20" i="23"/>
  <c r="C18" i="23"/>
  <c r="C24" i="23"/>
  <c r="C23" i="23"/>
  <c r="C25" i="23"/>
  <c r="C27" i="23"/>
  <c r="C28" i="23"/>
  <c r="C29" i="23"/>
  <c r="C30" i="23"/>
  <c r="C31" i="23"/>
  <c r="C32" i="23"/>
  <c r="C33" i="23"/>
  <c r="C2" i="23"/>
  <c r="C16" i="26" l="1"/>
  <c r="C7" i="26"/>
  <c r="C15" i="26"/>
  <c r="C20" i="26"/>
  <c r="C21" i="26"/>
  <c r="H15" i="9"/>
  <c r="H19" i="9"/>
  <c r="P17" i="8"/>
  <c r="P14" i="8"/>
  <c r="H13" i="9"/>
  <c r="P10" i="8"/>
  <c r="K11" i="9"/>
  <c r="E8" i="9" s="1"/>
  <c r="K10" i="9"/>
  <c r="E11" i="9" s="1"/>
  <c r="K8" i="9"/>
  <c r="E4" i="9" s="1"/>
  <c r="K6" i="9"/>
  <c r="E9" i="9" s="1"/>
  <c r="K4" i="9"/>
  <c r="E7" i="9" s="1"/>
  <c r="K3" i="9"/>
  <c r="E3" i="9" s="1"/>
  <c r="K9" i="9"/>
  <c r="E10" i="9" s="1"/>
  <c r="K7" i="9"/>
  <c r="E6" i="9" s="1"/>
  <c r="K5" i="9"/>
  <c r="E5" i="9" s="1"/>
  <c r="M5" i="9"/>
  <c r="M7" i="9"/>
  <c r="L27" i="9"/>
  <c r="L25" i="9"/>
  <c r="L23" i="9"/>
  <c r="L21" i="9"/>
  <c r="L10" i="9"/>
  <c r="G11" i="9" s="1"/>
  <c r="L8" i="9"/>
  <c r="G9" i="9" s="1"/>
  <c r="L7" i="9"/>
  <c r="G5" i="9" s="1"/>
  <c r="L3" i="9"/>
  <c r="G3" i="9" s="1"/>
  <c r="L6" i="9"/>
  <c r="G6" i="9" s="1"/>
  <c r="L4" i="9"/>
  <c r="G4" i="9" s="1"/>
  <c r="L9" i="9"/>
  <c r="G10" i="9" s="1"/>
  <c r="L22" i="9"/>
  <c r="L26" i="9"/>
  <c r="L5" i="9"/>
  <c r="G8" i="9" s="1"/>
  <c r="L11" i="9"/>
  <c r="G7" i="9" s="1"/>
  <c r="L24" i="9"/>
  <c r="M9" i="9"/>
  <c r="M22" i="9"/>
  <c r="M26" i="9"/>
  <c r="M11" i="9"/>
  <c r="M3" i="9"/>
  <c r="M8" i="9"/>
  <c r="M10" i="9"/>
  <c r="M23" i="9"/>
  <c r="M4" i="9"/>
  <c r="M6" i="9"/>
  <c r="M21" i="9"/>
  <c r="M25" i="9"/>
  <c r="M27" i="9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" i="5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C23" i="25"/>
  <c r="D23" i="25" s="1"/>
  <c r="C22" i="25"/>
  <c r="D22" i="25" s="1"/>
  <c r="C21" i="25"/>
  <c r="D21" i="25" s="1"/>
  <c r="C20" i="25"/>
  <c r="D20" i="25" s="1"/>
  <c r="C19" i="25"/>
  <c r="D19" i="25" s="1"/>
  <c r="C18" i="25"/>
  <c r="D18" i="25" s="1"/>
  <c r="C17" i="25"/>
  <c r="D17" i="25" s="1"/>
  <c r="A17" i="25"/>
  <c r="A18" i="25" s="1"/>
  <c r="A19" i="25" s="1"/>
  <c r="A20" i="25" s="1"/>
  <c r="A21" i="25" s="1"/>
  <c r="A22" i="25" s="1"/>
  <c r="A23" i="25" s="1"/>
  <c r="C16" i="25"/>
  <c r="D16" i="25" s="1"/>
  <c r="C9" i="25"/>
  <c r="C8" i="25"/>
  <c r="C7" i="25"/>
  <c r="C6" i="25"/>
  <c r="E6" i="25" s="1"/>
  <c r="C5" i="25"/>
  <c r="C4" i="25"/>
  <c r="E4" i="25" s="1"/>
  <c r="C3" i="25"/>
  <c r="A3" i="25"/>
  <c r="A4" i="25" s="1"/>
  <c r="A5" i="25" s="1"/>
  <c r="A6" i="25" s="1"/>
  <c r="A7" i="25" s="1"/>
  <c r="A8" i="25" s="1"/>
  <c r="A9" i="25" s="1"/>
  <c r="C2" i="25"/>
  <c r="D2" i="25" s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3" i="1"/>
  <c r="C6" i="22"/>
  <c r="C8" i="22"/>
  <c r="C4" i="22"/>
  <c r="C10" i="22"/>
  <c r="C12" i="22"/>
  <c r="C7" i="22"/>
  <c r="C11" i="22"/>
  <c r="C9" i="22"/>
  <c r="C3" i="22"/>
  <c r="C5" i="22"/>
  <c r="C13" i="22"/>
  <c r="C14" i="22"/>
  <c r="C15" i="22"/>
  <c r="C16" i="22"/>
  <c r="C17" i="22"/>
  <c r="C18" i="22"/>
  <c r="C4" i="20"/>
  <c r="C10" i="20"/>
  <c r="C3" i="20"/>
  <c r="C12" i="20"/>
  <c r="C7" i="20"/>
  <c r="C5" i="20"/>
  <c r="C13" i="20"/>
  <c r="C6" i="20"/>
  <c r="C15" i="20"/>
  <c r="C8" i="20"/>
  <c r="C9" i="20"/>
  <c r="C16" i="20"/>
  <c r="C14" i="20"/>
  <c r="C11" i="20"/>
  <c r="C17" i="20"/>
  <c r="C18" i="20"/>
  <c r="C11" i="19"/>
  <c r="C12" i="19"/>
  <c r="C8" i="19"/>
  <c r="C7" i="19"/>
  <c r="C17" i="19"/>
  <c r="C5" i="19"/>
  <c r="C9" i="19"/>
  <c r="C3" i="19"/>
  <c r="C16" i="19"/>
  <c r="C4" i="19"/>
  <c r="C6" i="19"/>
  <c r="C15" i="19"/>
  <c r="C14" i="19"/>
  <c r="C10" i="19"/>
  <c r="C13" i="19"/>
  <c r="C18" i="19"/>
  <c r="C12" i="17"/>
  <c r="C8" i="17"/>
  <c r="C10" i="17"/>
  <c r="C13" i="17"/>
  <c r="C5" i="17"/>
  <c r="C14" i="17"/>
  <c r="C17" i="17"/>
  <c r="C6" i="17"/>
  <c r="C3" i="17"/>
  <c r="C15" i="17"/>
  <c r="C11" i="17"/>
  <c r="C4" i="17"/>
  <c r="C9" i="17"/>
  <c r="C16" i="17"/>
  <c r="C7" i="17"/>
  <c r="C18" i="17"/>
  <c r="C7" i="15"/>
  <c r="C3" i="15"/>
  <c r="C11" i="15"/>
  <c r="C5" i="15"/>
  <c r="C10" i="15"/>
  <c r="C9" i="15"/>
  <c r="C4" i="15"/>
  <c r="C6" i="15"/>
  <c r="C8" i="15"/>
  <c r="C16" i="15"/>
  <c r="C13" i="15"/>
  <c r="C12" i="15"/>
  <c r="C17" i="15"/>
  <c r="C18" i="15"/>
  <c r="C6" i="13"/>
  <c r="C10" i="13"/>
  <c r="C8" i="13"/>
  <c r="C4" i="13"/>
  <c r="C13" i="13"/>
  <c r="C14" i="13"/>
  <c r="C9" i="13"/>
  <c r="C3" i="13"/>
  <c r="C7" i="13"/>
  <c r="C17" i="13"/>
  <c r="C12" i="13"/>
  <c r="C16" i="13"/>
  <c r="C15" i="13"/>
  <c r="C11" i="13"/>
  <c r="C18" i="13"/>
  <c r="C5" i="11"/>
  <c r="C3" i="11"/>
  <c r="C18" i="11"/>
  <c r="C14" i="11"/>
  <c r="C17" i="11"/>
  <c r="C16" i="11"/>
  <c r="C6" i="11"/>
  <c r="C4" i="11"/>
  <c r="C8" i="11"/>
  <c r="C7" i="11"/>
  <c r="C11" i="11"/>
  <c r="C13" i="11"/>
  <c r="C10" i="11"/>
  <c r="C9" i="11"/>
  <c r="C15" i="11"/>
  <c r="C12" i="11"/>
  <c r="C3" i="10"/>
  <c r="C9" i="10"/>
  <c r="C4" i="10"/>
  <c r="C5" i="10"/>
  <c r="C7" i="10"/>
  <c r="C10" i="10"/>
  <c r="C6" i="10"/>
  <c r="C8" i="10"/>
  <c r="C11" i="10"/>
  <c r="C15" i="10"/>
  <c r="C14" i="10"/>
  <c r="C17" i="10"/>
  <c r="C13" i="10"/>
  <c r="C16" i="10"/>
  <c r="C19" i="10"/>
  <c r="C18" i="10"/>
  <c r="K4" i="8"/>
  <c r="K5" i="8" s="1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C18" i="26" l="1"/>
  <c r="C11" i="26"/>
  <c r="C17" i="26"/>
  <c r="H5" i="9"/>
  <c r="P9" i="8" s="1"/>
  <c r="H10" i="9"/>
  <c r="P11" i="8" s="1"/>
  <c r="H7" i="9"/>
  <c r="P12" i="8" s="1"/>
  <c r="H4" i="9"/>
  <c r="P7" i="8" s="1"/>
  <c r="H8" i="9"/>
  <c r="P21" i="8" s="1"/>
  <c r="P13" i="8"/>
  <c r="H6" i="9"/>
  <c r="P15" i="8" s="1"/>
  <c r="H3" i="9"/>
  <c r="H9" i="9"/>
  <c r="P20" i="8" s="1"/>
  <c r="H11" i="9"/>
  <c r="P5" i="8" s="1"/>
  <c r="E3" i="25"/>
  <c r="E5" i="25"/>
  <c r="E7" i="25"/>
  <c r="D9" i="25"/>
  <c r="D8" i="25"/>
  <c r="E2" i="25"/>
  <c r="D3" i="25"/>
  <c r="D4" i="25"/>
  <c r="D5" i="25"/>
  <c r="D6" i="25"/>
  <c r="D7" i="25"/>
  <c r="E8" i="25"/>
  <c r="E9" i="25"/>
  <c r="E16" i="25"/>
  <c r="E17" i="25"/>
  <c r="E18" i="25"/>
  <c r="E19" i="25"/>
  <c r="E20" i="25"/>
  <c r="E21" i="25"/>
  <c r="E22" i="25"/>
  <c r="E23" i="25"/>
  <c r="C5" i="26" l="1"/>
  <c r="AB5" i="26" s="1"/>
  <c r="C6" i="26"/>
  <c r="AB6" i="26" s="1"/>
  <c r="C13" i="26"/>
  <c r="C8" i="26"/>
  <c r="C14" i="26"/>
  <c r="AB14" i="26" s="1"/>
  <c r="C9" i="26"/>
  <c r="C12" i="26"/>
  <c r="AB12" i="26" s="1"/>
  <c r="C10" i="26"/>
  <c r="AB10" i="26" s="1"/>
  <c r="C4" i="26"/>
  <c r="P3" i="8"/>
  <c r="O23" i="9"/>
  <c r="Y5" i="8"/>
  <c r="Y6" i="8"/>
  <c r="Y8" i="8"/>
  <c r="Y15" i="8"/>
  <c r="Y17" i="8"/>
  <c r="Y18" i="8"/>
  <c r="Y19" i="8"/>
  <c r="Y20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X5" i="8"/>
  <c r="X6" i="8"/>
  <c r="X8" i="8"/>
  <c r="X15" i="8"/>
  <c r="X17" i="8"/>
  <c r="X18" i="8"/>
  <c r="X19" i="8"/>
  <c r="X20" i="8"/>
  <c r="X22" i="8"/>
  <c r="X23" i="8"/>
  <c r="X24" i="8"/>
  <c r="X25" i="8"/>
  <c r="X28" i="8"/>
  <c r="X29" i="8"/>
  <c r="X30" i="8"/>
  <c r="X31" i="8"/>
  <c r="X32" i="8"/>
  <c r="X33" i="8"/>
  <c r="X34" i="8"/>
  <c r="W6" i="8"/>
  <c r="W8" i="8"/>
  <c r="W9" i="8"/>
  <c r="W15" i="8"/>
  <c r="W17" i="8"/>
  <c r="W18" i="8"/>
  <c r="W20" i="8"/>
  <c r="W22" i="8"/>
  <c r="W26" i="8"/>
  <c r="W27" i="8"/>
  <c r="W28" i="8"/>
  <c r="W29" i="8"/>
  <c r="W30" i="8"/>
  <c r="W31" i="8"/>
  <c r="W32" i="8"/>
  <c r="W33" i="8"/>
  <c r="W34" i="8"/>
  <c r="V6" i="8"/>
  <c r="V8" i="8"/>
  <c r="V15" i="8"/>
  <c r="V17" i="8"/>
  <c r="V18" i="8"/>
  <c r="V19" i="8"/>
  <c r="V20" i="8"/>
  <c r="V21" i="8"/>
  <c r="V22" i="8"/>
  <c r="V25" i="8"/>
  <c r="V27" i="8"/>
  <c r="V28" i="8"/>
  <c r="V29" i="8"/>
  <c r="V30" i="8"/>
  <c r="V31" i="8"/>
  <c r="V32" i="8"/>
  <c r="V33" i="8"/>
  <c r="V34" i="8"/>
  <c r="U6" i="8"/>
  <c r="U8" i="8"/>
  <c r="U9" i="8"/>
  <c r="U15" i="8"/>
  <c r="U17" i="8"/>
  <c r="U18" i="8"/>
  <c r="U19" i="8"/>
  <c r="U20" i="8"/>
  <c r="U24" i="8"/>
  <c r="U25" i="8"/>
  <c r="U26" i="8"/>
  <c r="U27" i="8"/>
  <c r="U28" i="8"/>
  <c r="U29" i="8"/>
  <c r="U30" i="8"/>
  <c r="U31" i="8"/>
  <c r="U32" i="8"/>
  <c r="U33" i="8"/>
  <c r="U34" i="8"/>
  <c r="T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S8" i="8"/>
  <c r="S16" i="8"/>
  <c r="S17" i="8"/>
  <c r="S18" i="8"/>
  <c r="S20" i="8"/>
  <c r="S23" i="8"/>
  <c r="S24" i="8"/>
  <c r="S25" i="8"/>
  <c r="S26" i="8"/>
  <c r="S27" i="8"/>
  <c r="S28" i="8"/>
  <c r="S29" i="8"/>
  <c r="S30" i="8"/>
  <c r="S31" i="8"/>
  <c r="S32" i="8"/>
  <c r="S33" i="8"/>
  <c r="S34" i="8"/>
  <c r="R5" i="8"/>
  <c r="R7" i="8"/>
  <c r="R8" i="8"/>
  <c r="R18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Q9" i="8"/>
  <c r="D13" i="26" s="1"/>
  <c r="Q13" i="8"/>
  <c r="D8" i="26" s="1"/>
  <c r="Q18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D19" i="26" l="1"/>
  <c r="E19" i="26" s="1"/>
  <c r="C3" i="26"/>
  <c r="D34" i="8"/>
  <c r="D22" i="26"/>
  <c r="E22" i="26" s="1"/>
  <c r="F22" i="26" s="1"/>
  <c r="G22" i="26" s="1"/>
  <c r="D27" i="8"/>
  <c r="G26" i="23" s="1"/>
  <c r="D28" i="8"/>
  <c r="A3" i="23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L18" i="22" l="1"/>
  <c r="M18" i="22" s="1"/>
  <c r="M17" i="22"/>
  <c r="L17" i="22"/>
  <c r="L16" i="22"/>
  <c r="M16" i="22" s="1"/>
  <c r="M15" i="22"/>
  <c r="L15" i="22"/>
  <c r="L14" i="22"/>
  <c r="M14" i="22" s="1"/>
  <c r="M13" i="22"/>
  <c r="L13" i="22"/>
  <c r="L12" i="22"/>
  <c r="M12" i="22" s="1"/>
  <c r="M11" i="22"/>
  <c r="L11" i="22"/>
  <c r="L10" i="22"/>
  <c r="M10" i="22" s="1"/>
  <c r="M9" i="22"/>
  <c r="L9" i="22"/>
  <c r="L8" i="22"/>
  <c r="M8" i="22" s="1"/>
  <c r="M7" i="22"/>
  <c r="L7" i="22"/>
  <c r="L6" i="22"/>
  <c r="M6" i="22" s="1"/>
  <c r="M5" i="22"/>
  <c r="L5" i="22"/>
  <c r="J5" i="22"/>
  <c r="J6" i="22" s="1"/>
  <c r="A5" i="22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L4" i="22"/>
  <c r="M4" i="22" s="1"/>
  <c r="J4" i="22"/>
  <c r="A4" i="22"/>
  <c r="M3" i="22"/>
  <c r="M18" i="20"/>
  <c r="L18" i="20"/>
  <c r="L17" i="20"/>
  <c r="M17" i="20" s="1"/>
  <c r="M16" i="20"/>
  <c r="L16" i="20"/>
  <c r="L15" i="20"/>
  <c r="M15" i="20" s="1"/>
  <c r="M14" i="20"/>
  <c r="L14" i="20"/>
  <c r="L13" i="20"/>
  <c r="M13" i="20" s="1"/>
  <c r="M12" i="20"/>
  <c r="L12" i="20"/>
  <c r="L11" i="20"/>
  <c r="M11" i="20" s="1"/>
  <c r="M10" i="20"/>
  <c r="L10" i="20"/>
  <c r="L9" i="20"/>
  <c r="M9" i="20" s="1"/>
  <c r="M8" i="20"/>
  <c r="L8" i="20"/>
  <c r="L7" i="20"/>
  <c r="M7" i="20" s="1"/>
  <c r="M6" i="20"/>
  <c r="L6" i="20"/>
  <c r="L5" i="20"/>
  <c r="M5" i="20" s="1"/>
  <c r="M4" i="20"/>
  <c r="L4" i="20"/>
  <c r="J4" i="20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M3" i="20"/>
  <c r="M18" i="19"/>
  <c r="L18" i="19"/>
  <c r="L17" i="19"/>
  <c r="M17" i="19" s="1"/>
  <c r="M16" i="19"/>
  <c r="L16" i="19"/>
  <c r="L15" i="19"/>
  <c r="M15" i="19" s="1"/>
  <c r="M14" i="19"/>
  <c r="L14" i="19"/>
  <c r="L13" i="19"/>
  <c r="M13" i="19" s="1"/>
  <c r="M12" i="19"/>
  <c r="L12" i="19"/>
  <c r="L11" i="19"/>
  <c r="M11" i="19" s="1"/>
  <c r="M10" i="19"/>
  <c r="L10" i="19"/>
  <c r="L9" i="19"/>
  <c r="M9" i="19" s="1"/>
  <c r="M8" i="19"/>
  <c r="L8" i="19"/>
  <c r="L7" i="19"/>
  <c r="M7" i="19" s="1"/>
  <c r="M6" i="19"/>
  <c r="L6" i="19"/>
  <c r="L5" i="19"/>
  <c r="M5" i="19" s="1"/>
  <c r="M4" i="19"/>
  <c r="L4" i="19"/>
  <c r="J4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M3" i="19"/>
  <c r="L18" i="17"/>
  <c r="M18" i="17" s="1"/>
  <c r="M17" i="17"/>
  <c r="L17" i="17"/>
  <c r="L16" i="17"/>
  <c r="M16" i="17" s="1"/>
  <c r="M15" i="17"/>
  <c r="L15" i="17"/>
  <c r="L14" i="17"/>
  <c r="M14" i="17" s="1"/>
  <c r="M13" i="17"/>
  <c r="L13" i="17"/>
  <c r="L12" i="17"/>
  <c r="M12" i="17" s="1"/>
  <c r="M11" i="17"/>
  <c r="L11" i="17"/>
  <c r="L10" i="17"/>
  <c r="M10" i="17" s="1"/>
  <c r="M9" i="17"/>
  <c r="L9" i="17"/>
  <c r="L8" i="17"/>
  <c r="M8" i="17" s="1"/>
  <c r="M7" i="17"/>
  <c r="L7" i="17"/>
  <c r="L6" i="17"/>
  <c r="M6" i="17" s="1"/>
  <c r="M5" i="17"/>
  <c r="L5" i="17"/>
  <c r="J5" i="17"/>
  <c r="J6" i="17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L4" i="17"/>
  <c r="M4" i="17" s="1"/>
  <c r="J4" i="17"/>
  <c r="A4" i="17"/>
  <c r="M3" i="17"/>
  <c r="L18" i="15"/>
  <c r="M18" i="15" s="1"/>
  <c r="M17" i="15"/>
  <c r="L17" i="15"/>
  <c r="L16" i="15"/>
  <c r="M16" i="15" s="1"/>
  <c r="M15" i="15"/>
  <c r="L15" i="15"/>
  <c r="L14" i="15"/>
  <c r="M14" i="15" s="1"/>
  <c r="M13" i="15"/>
  <c r="L13" i="15"/>
  <c r="L12" i="15"/>
  <c r="M12" i="15" s="1"/>
  <c r="M11" i="15"/>
  <c r="L11" i="15"/>
  <c r="L10" i="15"/>
  <c r="M10" i="15" s="1"/>
  <c r="M9" i="15"/>
  <c r="L9" i="15"/>
  <c r="L8" i="15"/>
  <c r="M8" i="15" s="1"/>
  <c r="M7" i="15"/>
  <c r="L7" i="15"/>
  <c r="L6" i="15"/>
  <c r="M6" i="15" s="1"/>
  <c r="M5" i="15"/>
  <c r="L5" i="15"/>
  <c r="J5" i="15"/>
  <c r="J6" i="15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L4" i="15"/>
  <c r="M4" i="15" s="1"/>
  <c r="J4" i="15"/>
  <c r="A4" i="15"/>
  <c r="M3" i="15"/>
  <c r="L18" i="13"/>
  <c r="M18" i="13" s="1"/>
  <c r="L17" i="13"/>
  <c r="M17" i="13" s="1"/>
  <c r="L16" i="13"/>
  <c r="M16" i="13" s="1"/>
  <c r="L15" i="13"/>
  <c r="M15" i="13" s="1"/>
  <c r="L14" i="13"/>
  <c r="M14" i="13" s="1"/>
  <c r="L13" i="13"/>
  <c r="M13" i="13" s="1"/>
  <c r="M12" i="13"/>
  <c r="L12" i="13"/>
  <c r="L11" i="13"/>
  <c r="M11" i="13" s="1"/>
  <c r="L10" i="13"/>
  <c r="M10" i="13" s="1"/>
  <c r="L9" i="13"/>
  <c r="M9" i="13" s="1"/>
  <c r="L8" i="13"/>
  <c r="M8" i="13" s="1"/>
  <c r="L7" i="13"/>
  <c r="M7" i="13" s="1"/>
  <c r="L6" i="13"/>
  <c r="M6" i="13" s="1"/>
  <c r="L5" i="13"/>
  <c r="M5" i="13" s="1"/>
  <c r="L4" i="13"/>
  <c r="M4" i="13" s="1"/>
  <c r="J4" i="13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L18" i="12"/>
  <c r="M18" i="12" s="1"/>
  <c r="M17" i="12"/>
  <c r="L17" i="12"/>
  <c r="L16" i="12"/>
  <c r="M16" i="12" s="1"/>
  <c r="M15" i="12"/>
  <c r="L15" i="12"/>
  <c r="L14" i="12"/>
  <c r="M14" i="12" s="1"/>
  <c r="M13" i="12"/>
  <c r="L13" i="12"/>
  <c r="L12" i="12"/>
  <c r="M12" i="12" s="1"/>
  <c r="M11" i="12"/>
  <c r="L11" i="12"/>
  <c r="L10" i="12"/>
  <c r="M10" i="12" s="1"/>
  <c r="M9" i="12"/>
  <c r="L9" i="12"/>
  <c r="L8" i="12"/>
  <c r="M8" i="12" s="1"/>
  <c r="M7" i="12"/>
  <c r="L7" i="12"/>
  <c r="L6" i="12"/>
  <c r="M6" i="12" s="1"/>
  <c r="M5" i="12"/>
  <c r="L5" i="12"/>
  <c r="J5" i="12"/>
  <c r="J6" i="12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L4" i="12"/>
  <c r="M4" i="12" s="1"/>
  <c r="J4" i="12"/>
  <c r="A4" i="12"/>
  <c r="M3" i="12"/>
  <c r="L18" i="11"/>
  <c r="M18" i="11" s="1"/>
  <c r="M17" i="11"/>
  <c r="L17" i="11"/>
  <c r="L16" i="11"/>
  <c r="M16" i="11" s="1"/>
  <c r="M15" i="11"/>
  <c r="L15" i="11"/>
  <c r="L14" i="11"/>
  <c r="M14" i="11" s="1"/>
  <c r="M13" i="11"/>
  <c r="L13" i="11"/>
  <c r="L12" i="11"/>
  <c r="M12" i="11" s="1"/>
  <c r="M11" i="11"/>
  <c r="L11" i="11"/>
  <c r="L10" i="11"/>
  <c r="M10" i="11" s="1"/>
  <c r="M9" i="11"/>
  <c r="L9" i="11"/>
  <c r="L8" i="11"/>
  <c r="M8" i="11" s="1"/>
  <c r="M7" i="11"/>
  <c r="L7" i="11"/>
  <c r="L6" i="11"/>
  <c r="M6" i="11" s="1"/>
  <c r="M5" i="11"/>
  <c r="L5" i="11"/>
  <c r="J5" i="11"/>
  <c r="J6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L4" i="11"/>
  <c r="M4" i="11" s="1"/>
  <c r="J4" i="11"/>
  <c r="A4" i="11"/>
  <c r="M3" i="1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F4" i="8"/>
  <c r="F5" i="8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5" i="6"/>
  <c r="A4" i="6"/>
  <c r="A5" i="1"/>
  <c r="A4" i="1"/>
  <c r="J7" i="22" l="1"/>
  <c r="J8" i="22" s="1"/>
  <c r="J9" i="22" s="1"/>
  <c r="J10" i="22" s="1"/>
  <c r="J11" i="22" s="1"/>
  <c r="J12" i="22" s="1"/>
  <c r="J13" i="22" s="1"/>
  <c r="J14" i="22" s="1"/>
  <c r="J15" i="22" s="1"/>
  <c r="J16" i="22" s="1"/>
  <c r="J17" i="22" s="1"/>
  <c r="J18" i="22" s="1"/>
  <c r="E8" i="22"/>
  <c r="G18" i="22"/>
  <c r="G12" i="22"/>
  <c r="G11" i="22"/>
  <c r="G3" i="22"/>
  <c r="G13" i="22"/>
  <c r="G15" i="22"/>
  <c r="G17" i="22"/>
  <c r="E6" i="22"/>
  <c r="E4" i="22"/>
  <c r="E12" i="22"/>
  <c r="E11" i="22"/>
  <c r="E3" i="22"/>
  <c r="H3" i="22" s="1"/>
  <c r="Y21" i="8" s="1"/>
  <c r="E13" i="22"/>
  <c r="H13" i="22" s="1"/>
  <c r="Y14" i="8" s="1"/>
  <c r="E15" i="22"/>
  <c r="H15" i="22" s="1"/>
  <c r="E17" i="22"/>
  <c r="H17" i="22" s="1"/>
  <c r="J5" i="20"/>
  <c r="J5" i="19"/>
  <c r="G18" i="17"/>
  <c r="J7" i="17"/>
  <c r="J8" i="17" s="1"/>
  <c r="J9" i="17" s="1"/>
  <c r="J10" i="17" s="1"/>
  <c r="J11" i="17" s="1"/>
  <c r="J12" i="17" s="1"/>
  <c r="J13" i="17" s="1"/>
  <c r="J14" i="17" s="1"/>
  <c r="J15" i="17" s="1"/>
  <c r="J16" i="17" s="1"/>
  <c r="J17" i="17" s="1"/>
  <c r="J18" i="17" s="1"/>
  <c r="G10" i="17"/>
  <c r="E8" i="17"/>
  <c r="G12" i="17"/>
  <c r="E13" i="17"/>
  <c r="G5" i="17"/>
  <c r="E14" i="17"/>
  <c r="G17" i="17"/>
  <c r="E6" i="17"/>
  <c r="G3" i="17"/>
  <c r="E15" i="17"/>
  <c r="G11" i="17"/>
  <c r="E4" i="17"/>
  <c r="G9" i="17"/>
  <c r="E16" i="17"/>
  <c r="G7" i="17"/>
  <c r="E18" i="17"/>
  <c r="E12" i="17"/>
  <c r="G8" i="17"/>
  <c r="E10" i="17"/>
  <c r="G13" i="17"/>
  <c r="E5" i="17"/>
  <c r="H5" i="17" s="1"/>
  <c r="V3" i="8" s="1"/>
  <c r="G14" i="17"/>
  <c r="E17" i="17"/>
  <c r="H17" i="17" s="1"/>
  <c r="G6" i="17"/>
  <c r="E3" i="17"/>
  <c r="H3" i="17" s="1"/>
  <c r="V11" i="8" s="1"/>
  <c r="G15" i="17"/>
  <c r="E11" i="17"/>
  <c r="H11" i="17" s="1"/>
  <c r="V23" i="8" s="1"/>
  <c r="G4" i="17"/>
  <c r="E9" i="17"/>
  <c r="H9" i="17" s="1"/>
  <c r="V9" i="8" s="1"/>
  <c r="G16" i="17"/>
  <c r="E7" i="17"/>
  <c r="H7" i="17" s="1"/>
  <c r="V7" i="8" s="1"/>
  <c r="J7" i="15"/>
  <c r="J8" i="15" s="1"/>
  <c r="J9" i="15" s="1"/>
  <c r="J10" i="15" s="1"/>
  <c r="J11" i="15" s="1"/>
  <c r="J12" i="15" s="1"/>
  <c r="J13" i="15" s="1"/>
  <c r="J14" i="15" s="1"/>
  <c r="J15" i="15" s="1"/>
  <c r="J16" i="15" s="1"/>
  <c r="J17" i="15" s="1"/>
  <c r="J18" i="15" s="1"/>
  <c r="E3" i="15"/>
  <c r="E14" i="15"/>
  <c r="E10" i="15"/>
  <c r="E4" i="15"/>
  <c r="E8" i="15"/>
  <c r="E13" i="15"/>
  <c r="E17" i="15"/>
  <c r="E18" i="15"/>
  <c r="G3" i="15"/>
  <c r="G14" i="15"/>
  <c r="G10" i="15"/>
  <c r="G4" i="15"/>
  <c r="G8" i="15"/>
  <c r="G13" i="15"/>
  <c r="G17" i="15"/>
  <c r="J5" i="13"/>
  <c r="G16" i="12"/>
  <c r="J7" i="12"/>
  <c r="J8" i="12" s="1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G9" i="12"/>
  <c r="E13" i="12"/>
  <c r="G11" i="12"/>
  <c r="E15" i="12"/>
  <c r="G7" i="12"/>
  <c r="E4" i="12"/>
  <c r="G10" i="12"/>
  <c r="E3" i="12"/>
  <c r="G14" i="12"/>
  <c r="E6" i="12"/>
  <c r="G12" i="12"/>
  <c r="E18" i="12"/>
  <c r="G5" i="12"/>
  <c r="E8" i="12"/>
  <c r="G17" i="12"/>
  <c r="E16" i="12"/>
  <c r="E11" i="12"/>
  <c r="G13" i="12"/>
  <c r="E9" i="12"/>
  <c r="G15" i="12"/>
  <c r="E7" i="12"/>
  <c r="H7" i="12" s="1"/>
  <c r="S12" i="8" s="1"/>
  <c r="G4" i="12"/>
  <c r="E10" i="12"/>
  <c r="H10" i="12" s="1"/>
  <c r="S22" i="8" s="1"/>
  <c r="G3" i="12"/>
  <c r="E14" i="12"/>
  <c r="H14" i="12" s="1"/>
  <c r="S5" i="8" s="1"/>
  <c r="G6" i="12"/>
  <c r="E12" i="12"/>
  <c r="H12" i="12" s="1"/>
  <c r="S13" i="8" s="1"/>
  <c r="G18" i="12"/>
  <c r="E5" i="12"/>
  <c r="H5" i="12" s="1"/>
  <c r="S10" i="8" s="1"/>
  <c r="G8" i="12"/>
  <c r="E17" i="12"/>
  <c r="H17" i="12" s="1"/>
  <c r="S6" i="8" s="1"/>
  <c r="G12" i="11"/>
  <c r="J7" i="11"/>
  <c r="J8" i="11" s="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G18" i="11"/>
  <c r="E3" i="11"/>
  <c r="G5" i="11"/>
  <c r="E14" i="11"/>
  <c r="G17" i="11"/>
  <c r="E16" i="11"/>
  <c r="G6" i="11"/>
  <c r="E4" i="11"/>
  <c r="G8" i="11"/>
  <c r="E7" i="11"/>
  <c r="G11" i="11"/>
  <c r="E13" i="11"/>
  <c r="G10" i="11"/>
  <c r="E9" i="11"/>
  <c r="G15" i="11"/>
  <c r="E12" i="11"/>
  <c r="E5" i="11"/>
  <c r="H5" i="11" s="1"/>
  <c r="R3" i="8" s="1"/>
  <c r="G3" i="11"/>
  <c r="E18" i="11"/>
  <c r="H18" i="11" s="1"/>
  <c r="G14" i="11"/>
  <c r="E17" i="11"/>
  <c r="H17" i="11" s="1"/>
  <c r="R21" i="8" s="1"/>
  <c r="G16" i="11"/>
  <c r="E6" i="11"/>
  <c r="H6" i="11" s="1"/>
  <c r="R11" i="8" s="1"/>
  <c r="G4" i="11"/>
  <c r="E8" i="11"/>
  <c r="H8" i="11" s="1"/>
  <c r="R13" i="8" s="1"/>
  <c r="G7" i="11"/>
  <c r="E11" i="11"/>
  <c r="H11" i="11" s="1"/>
  <c r="R16" i="8" s="1"/>
  <c r="G13" i="11"/>
  <c r="E10" i="11"/>
  <c r="H10" i="11" s="1"/>
  <c r="R10" i="8" s="1"/>
  <c r="G9" i="11"/>
  <c r="E15" i="11"/>
  <c r="H15" i="11" s="1"/>
  <c r="R6" i="8" s="1"/>
  <c r="E8" i="26" l="1"/>
  <c r="F8" i="26" s="1"/>
  <c r="G8" i="26" s="1"/>
  <c r="H12" i="22"/>
  <c r="Y9" i="8" s="1"/>
  <c r="H11" i="22"/>
  <c r="Y16" i="8" s="1"/>
  <c r="H12" i="17"/>
  <c r="V12" i="8" s="1"/>
  <c r="H10" i="17"/>
  <c r="V13" i="8" s="1"/>
  <c r="F19" i="26"/>
  <c r="G19" i="26" s="1"/>
  <c r="H11" i="12"/>
  <c r="S3" i="8" s="1"/>
  <c r="H9" i="12"/>
  <c r="S9" i="8" s="1"/>
  <c r="G16" i="22"/>
  <c r="G14" i="22"/>
  <c r="G5" i="22"/>
  <c r="G9" i="22"/>
  <c r="G7" i="22"/>
  <c r="G10" i="22"/>
  <c r="G8" i="22"/>
  <c r="H8" i="22" s="1"/>
  <c r="Y11" i="8" s="1"/>
  <c r="E18" i="22"/>
  <c r="H18" i="22" s="1"/>
  <c r="E16" i="22"/>
  <c r="H16" i="22" s="1"/>
  <c r="E14" i="22"/>
  <c r="H14" i="22" s="1"/>
  <c r="E5" i="22"/>
  <c r="H5" i="22" s="1"/>
  <c r="Y4" i="8" s="1"/>
  <c r="E9" i="22"/>
  <c r="H9" i="22" s="1"/>
  <c r="Y7" i="8" s="1"/>
  <c r="E7" i="22"/>
  <c r="H7" i="22" s="1"/>
  <c r="Y12" i="8" s="1"/>
  <c r="E10" i="22"/>
  <c r="H10" i="22" s="1"/>
  <c r="Y13" i="8" s="1"/>
  <c r="G6" i="22"/>
  <c r="H6" i="22" s="1"/>
  <c r="G4" i="22"/>
  <c r="H4" i="22" s="1"/>
  <c r="Y10" i="8" s="1"/>
  <c r="J6" i="20"/>
  <c r="J6" i="19"/>
  <c r="H18" i="17"/>
  <c r="H16" i="17"/>
  <c r="V26" i="8" s="1"/>
  <c r="H4" i="17"/>
  <c r="V24" i="8" s="1"/>
  <c r="H15" i="17"/>
  <c r="V14" i="8" s="1"/>
  <c r="H6" i="17"/>
  <c r="V4" i="8" s="1"/>
  <c r="H14" i="17"/>
  <c r="V5" i="8" s="1"/>
  <c r="H13" i="17"/>
  <c r="V16" i="8" s="1"/>
  <c r="H8" i="17"/>
  <c r="V10" i="8" s="1"/>
  <c r="H17" i="15"/>
  <c r="H13" i="15"/>
  <c r="U23" i="8" s="1"/>
  <c r="H8" i="15"/>
  <c r="U5" i="8" s="1"/>
  <c r="H4" i="15"/>
  <c r="U10" i="8" s="1"/>
  <c r="H10" i="15"/>
  <c r="U4" i="8" s="1"/>
  <c r="H14" i="15"/>
  <c r="U21" i="8" s="1"/>
  <c r="H3" i="15"/>
  <c r="U12" i="8" s="1"/>
  <c r="E15" i="15"/>
  <c r="E12" i="15"/>
  <c r="E16" i="15"/>
  <c r="E6" i="15"/>
  <c r="E9" i="15"/>
  <c r="E5" i="15"/>
  <c r="E11" i="15"/>
  <c r="E7" i="15"/>
  <c r="G15" i="15"/>
  <c r="G12" i="15"/>
  <c r="G16" i="15"/>
  <c r="G6" i="15"/>
  <c r="G9" i="15"/>
  <c r="G5" i="15"/>
  <c r="G7" i="15"/>
  <c r="G11" i="15"/>
  <c r="G18" i="15"/>
  <c r="H18" i="15" s="1"/>
  <c r="J6" i="13"/>
  <c r="H16" i="12"/>
  <c r="S14" i="8" s="1"/>
  <c r="H8" i="12"/>
  <c r="S19" i="8" s="1"/>
  <c r="H18" i="12"/>
  <c r="H6" i="12"/>
  <c r="S4" i="8" s="1"/>
  <c r="H3" i="12"/>
  <c r="S11" i="8" s="1"/>
  <c r="H4" i="12"/>
  <c r="S21" i="8" s="1"/>
  <c r="H15" i="12"/>
  <c r="S15" i="8" s="1"/>
  <c r="H13" i="12"/>
  <c r="H12" i="11"/>
  <c r="R14" i="8" s="1"/>
  <c r="H9" i="11"/>
  <c r="R19" i="8" s="1"/>
  <c r="H13" i="11"/>
  <c r="R17" i="8" s="1"/>
  <c r="H7" i="11"/>
  <c r="R9" i="8" s="1"/>
  <c r="H4" i="11"/>
  <c r="R4" i="8" s="1"/>
  <c r="H16" i="11"/>
  <c r="R20" i="8" s="1"/>
  <c r="H14" i="11"/>
  <c r="R15" i="8" s="1"/>
  <c r="H3" i="11"/>
  <c r="O23" i="22" l="1"/>
  <c r="Y3" i="8"/>
  <c r="O23" i="17"/>
  <c r="H11" i="15"/>
  <c r="U11" i="8" s="1"/>
  <c r="E13" i="26"/>
  <c r="F13" i="26" s="1"/>
  <c r="G13" i="26" s="1"/>
  <c r="O23" i="12"/>
  <c r="S7" i="8"/>
  <c r="O23" i="11"/>
  <c r="R12" i="8"/>
  <c r="J7" i="20"/>
  <c r="J7" i="19"/>
  <c r="H9" i="15"/>
  <c r="U22" i="8" s="1"/>
  <c r="H16" i="15"/>
  <c r="H15" i="15"/>
  <c r="U7" i="8" s="1"/>
  <c r="H7" i="15"/>
  <c r="U3" i="8" s="1"/>
  <c r="H5" i="15"/>
  <c r="U13" i="8" s="1"/>
  <c r="H6" i="15"/>
  <c r="U16" i="8" s="1"/>
  <c r="H12" i="15"/>
  <c r="U14" i="8" s="1"/>
  <c r="J7" i="13"/>
  <c r="D18" i="8" l="1"/>
  <c r="G17" i="23" s="1"/>
  <c r="J8" i="20"/>
  <c r="J8" i="19"/>
  <c r="O23" i="15"/>
  <c r="J8" i="13"/>
  <c r="J9" i="20" l="1"/>
  <c r="J9" i="19"/>
  <c r="J9" i="13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Q21" i="7"/>
  <c r="Q18" i="7"/>
  <c r="Q17" i="7"/>
  <c r="Q16" i="7"/>
  <c r="Q15" i="7"/>
  <c r="Q14" i="7"/>
  <c r="Q13" i="7"/>
  <c r="Q12" i="7"/>
  <c r="Q11" i="7"/>
  <c r="Q10" i="7"/>
  <c r="Q9" i="7"/>
  <c r="R9" i="7" s="1"/>
  <c r="Q8" i="7"/>
  <c r="R8" i="7" s="1"/>
  <c r="Q7" i="7"/>
  <c r="R7" i="7" s="1"/>
  <c r="Q6" i="7"/>
  <c r="R6" i="7" s="1"/>
  <c r="Q5" i="7"/>
  <c r="R5" i="7" s="1"/>
  <c r="Q4" i="7"/>
  <c r="R4" i="7" s="1"/>
  <c r="O4" i="7"/>
  <c r="O5" i="7" s="1"/>
  <c r="O6" i="7" s="1"/>
  <c r="O7" i="7" s="1"/>
  <c r="O8" i="7" s="1"/>
  <c r="O9" i="7" s="1"/>
  <c r="O10" i="7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R3" i="7"/>
  <c r="E3" i="6"/>
  <c r="E4" i="6"/>
  <c r="O23" i="6" s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L18" i="6"/>
  <c r="M18" i="6" s="1"/>
  <c r="L17" i="6"/>
  <c r="M17" i="6" s="1"/>
  <c r="M16" i="6"/>
  <c r="L16" i="6"/>
  <c r="L15" i="6"/>
  <c r="M15" i="6" s="1"/>
  <c r="L14" i="6"/>
  <c r="M14" i="6" s="1"/>
  <c r="L13" i="6"/>
  <c r="M13" i="6" s="1"/>
  <c r="M12" i="6"/>
  <c r="L12" i="6"/>
  <c r="L11" i="6"/>
  <c r="M11" i="6" s="1"/>
  <c r="L10" i="6"/>
  <c r="M10" i="6" s="1"/>
  <c r="L9" i="6"/>
  <c r="M9" i="6" s="1"/>
  <c r="L8" i="6"/>
  <c r="M8" i="6" s="1"/>
  <c r="L7" i="6"/>
  <c r="M7" i="6" s="1"/>
  <c r="M6" i="6"/>
  <c r="L6" i="6"/>
  <c r="L5" i="6"/>
  <c r="M5" i="6" s="1"/>
  <c r="L4" i="6"/>
  <c r="M4" i="6" s="1"/>
  <c r="J4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M3" i="6"/>
  <c r="H3" i="5"/>
  <c r="H5" i="5"/>
  <c r="H4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" i="1"/>
  <c r="H5" i="1"/>
  <c r="H4" i="1"/>
  <c r="H6" i="1"/>
  <c r="H7" i="1"/>
  <c r="H8" i="1"/>
  <c r="H9" i="1"/>
  <c r="H10" i="1"/>
  <c r="H11" i="1"/>
  <c r="H12" i="1"/>
  <c r="H13" i="1"/>
  <c r="H14" i="1"/>
  <c r="H15" i="1"/>
  <c r="H16" i="1"/>
  <c r="H17" i="1"/>
  <c r="A4" i="5"/>
  <c r="A5" i="5" s="1"/>
  <c r="Q18" i="5"/>
  <c r="R18" i="5" s="1"/>
  <c r="Q17" i="5"/>
  <c r="Q16" i="5"/>
  <c r="R16" i="5" s="1"/>
  <c r="Q15" i="5"/>
  <c r="R14" i="5"/>
  <c r="Q14" i="5"/>
  <c r="Q13" i="5"/>
  <c r="Q12" i="5"/>
  <c r="R12" i="5" s="1"/>
  <c r="Q11" i="5"/>
  <c r="Q10" i="5"/>
  <c r="R10" i="5" s="1"/>
  <c r="Q9" i="5"/>
  <c r="Q8" i="5"/>
  <c r="R8" i="5" s="1"/>
  <c r="Q7" i="5"/>
  <c r="Q6" i="5"/>
  <c r="R6" i="5" s="1"/>
  <c r="Q5" i="5"/>
  <c r="Q4" i="5"/>
  <c r="R4" i="5" s="1"/>
  <c r="O4" i="5"/>
  <c r="O5" i="5" s="1"/>
  <c r="O6" i="5" s="1"/>
  <c r="O7" i="5" s="1"/>
  <c r="O8" i="5" s="1"/>
  <c r="O9" i="5" s="1"/>
  <c r="O10" i="5" s="1"/>
  <c r="Q21" i="5"/>
  <c r="R3" i="5"/>
  <c r="O23" i="7" l="1"/>
  <c r="J10" i="20"/>
  <c r="J10" i="19"/>
  <c r="J10" i="13"/>
  <c r="O11" i="7"/>
  <c r="O12" i="7" s="1"/>
  <c r="O13" i="7" s="1"/>
  <c r="O14" i="7" s="1"/>
  <c r="O15" i="7" s="1"/>
  <c r="O16" i="7" s="1"/>
  <c r="O17" i="7" s="1"/>
  <c r="O18" i="7" s="1"/>
  <c r="K27" i="7"/>
  <c r="L32" i="7"/>
  <c r="L28" i="7"/>
  <c r="L24" i="7"/>
  <c r="K21" i="7"/>
  <c r="K19" i="7"/>
  <c r="M25" i="7"/>
  <c r="L27" i="7"/>
  <c r="R11" i="7"/>
  <c r="R13" i="7"/>
  <c r="R15" i="7"/>
  <c r="L33" i="7"/>
  <c r="R17" i="7"/>
  <c r="K34" i="7"/>
  <c r="L21" i="7"/>
  <c r="R10" i="7"/>
  <c r="R12" i="7"/>
  <c r="R14" i="7"/>
  <c r="R16" i="7"/>
  <c r="R18" i="7"/>
  <c r="L26" i="7"/>
  <c r="L30" i="7"/>
  <c r="L34" i="7"/>
  <c r="K24" i="7"/>
  <c r="K28" i="7"/>
  <c r="K32" i="7"/>
  <c r="J5" i="6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O23" i="5"/>
  <c r="H18" i="1"/>
  <c r="O23" i="1" s="1"/>
  <c r="O11" i="5"/>
  <c r="O12" i="5" s="1"/>
  <c r="O13" i="5" s="1"/>
  <c r="O14" i="5" s="1"/>
  <c r="O15" i="5" s="1"/>
  <c r="O16" i="5" s="1"/>
  <c r="O17" i="5" s="1"/>
  <c r="O18" i="5" s="1"/>
  <c r="K27" i="5"/>
  <c r="K23" i="5"/>
  <c r="K19" i="5"/>
  <c r="L21" i="5"/>
  <c r="R5" i="5"/>
  <c r="R7" i="5"/>
  <c r="R9" i="5"/>
  <c r="R11" i="5"/>
  <c r="L29" i="5"/>
  <c r="R13" i="5"/>
  <c r="R15" i="5"/>
  <c r="R17" i="5"/>
  <c r="K22" i="5"/>
  <c r="K30" i="5"/>
  <c r="J11" i="20" l="1"/>
  <c r="J11" i="19"/>
  <c r="J11" i="13"/>
  <c r="M19" i="7"/>
  <c r="K30" i="7"/>
  <c r="K26" i="7"/>
  <c r="K23" i="7"/>
  <c r="L25" i="7"/>
  <c r="L22" i="7"/>
  <c r="L31" i="7"/>
  <c r="L29" i="7"/>
  <c r="M23" i="7"/>
  <c r="M21" i="7"/>
  <c r="L20" i="7"/>
  <c r="K22" i="7"/>
  <c r="K25" i="7"/>
  <c r="K29" i="7"/>
  <c r="K33" i="7"/>
  <c r="K31" i="7"/>
  <c r="L19" i="7"/>
  <c r="M33" i="7"/>
  <c r="M17" i="7"/>
  <c r="M29" i="7"/>
  <c r="M13" i="7"/>
  <c r="L9" i="7"/>
  <c r="L7" i="7"/>
  <c r="L5" i="7"/>
  <c r="L3" i="7"/>
  <c r="M34" i="7"/>
  <c r="M18" i="7"/>
  <c r="M32" i="7"/>
  <c r="M16" i="7"/>
  <c r="M30" i="7"/>
  <c r="M14" i="7"/>
  <c r="M28" i="7"/>
  <c r="M12" i="7"/>
  <c r="M26" i="7"/>
  <c r="M10" i="7"/>
  <c r="M9" i="7"/>
  <c r="M7" i="7"/>
  <c r="M6" i="7"/>
  <c r="M5" i="7"/>
  <c r="M15" i="7"/>
  <c r="M31" i="7"/>
  <c r="L13" i="7"/>
  <c r="M11" i="7"/>
  <c r="M27" i="7"/>
  <c r="M24" i="7"/>
  <c r="M20" i="7"/>
  <c r="M22" i="7"/>
  <c r="K18" i="7"/>
  <c r="K16" i="7"/>
  <c r="K14" i="7"/>
  <c r="K12" i="7"/>
  <c r="K10" i="7"/>
  <c r="K9" i="7"/>
  <c r="K8" i="7"/>
  <c r="K7" i="7"/>
  <c r="K6" i="7"/>
  <c r="K5" i="7"/>
  <c r="K4" i="7"/>
  <c r="K3" i="7"/>
  <c r="K17" i="7"/>
  <c r="K15" i="7"/>
  <c r="K13" i="7"/>
  <c r="K11" i="7"/>
  <c r="K20" i="7"/>
  <c r="L23" i="7"/>
  <c r="K26" i="5"/>
  <c r="L19" i="5"/>
  <c r="L33" i="5"/>
  <c r="M20" i="5"/>
  <c r="L25" i="5"/>
  <c r="K32" i="5"/>
  <c r="K21" i="5"/>
  <c r="K25" i="5"/>
  <c r="K29" i="5"/>
  <c r="K31" i="5"/>
  <c r="K33" i="5"/>
  <c r="L16" i="5"/>
  <c r="M33" i="5"/>
  <c r="M29" i="5"/>
  <c r="M25" i="5"/>
  <c r="M21" i="5"/>
  <c r="K16" i="5"/>
  <c r="K14" i="5"/>
  <c r="K12" i="5"/>
  <c r="K10" i="5"/>
  <c r="K8" i="5"/>
  <c r="K6" i="5"/>
  <c r="K4" i="5"/>
  <c r="K3" i="5"/>
  <c r="K18" i="5"/>
  <c r="K17" i="5"/>
  <c r="K15" i="5"/>
  <c r="K13" i="5"/>
  <c r="K11" i="5"/>
  <c r="K9" i="5"/>
  <c r="K7" i="5"/>
  <c r="K5" i="5"/>
  <c r="K28" i="5"/>
  <c r="K24" i="5"/>
  <c r="K20" i="5"/>
  <c r="L34" i="5"/>
  <c r="L17" i="5"/>
  <c r="M31" i="5"/>
  <c r="L31" i="5"/>
  <c r="M27" i="5"/>
  <c r="L27" i="5"/>
  <c r="M23" i="5"/>
  <c r="L23" i="5"/>
  <c r="M34" i="5"/>
  <c r="M32" i="5"/>
  <c r="M30" i="5"/>
  <c r="M28" i="5"/>
  <c r="M26" i="5"/>
  <c r="M24" i="5"/>
  <c r="M22" i="5"/>
  <c r="M19" i="5"/>
  <c r="L20" i="5"/>
  <c r="L22" i="5"/>
  <c r="L24" i="5"/>
  <c r="L26" i="5"/>
  <c r="L28" i="5"/>
  <c r="L30" i="5"/>
  <c r="L32" i="5"/>
  <c r="K34" i="5"/>
  <c r="J12" i="20" l="1"/>
  <c r="J12" i="19"/>
  <c r="J12" i="13"/>
  <c r="L17" i="7"/>
  <c r="L4" i="7"/>
  <c r="L6" i="7"/>
  <c r="L8" i="7"/>
  <c r="L15" i="7"/>
  <c r="L10" i="7"/>
  <c r="L12" i="7"/>
  <c r="L14" i="7"/>
  <c r="L16" i="7"/>
  <c r="L18" i="7"/>
  <c r="L11" i="7"/>
  <c r="M3" i="7"/>
  <c r="M4" i="7"/>
  <c r="M8" i="7"/>
  <c r="L8" i="5"/>
  <c r="L9" i="5"/>
  <c r="L4" i="5"/>
  <c r="L12" i="5"/>
  <c r="L5" i="5"/>
  <c r="L13" i="5"/>
  <c r="L18" i="5"/>
  <c r="L7" i="5"/>
  <c r="L11" i="5"/>
  <c r="L15" i="5"/>
  <c r="L3" i="5"/>
  <c r="L6" i="5"/>
  <c r="L10" i="5"/>
  <c r="L14" i="5"/>
  <c r="M3" i="5"/>
  <c r="M4" i="5"/>
  <c r="M6" i="5"/>
  <c r="M8" i="5"/>
  <c r="M10" i="5"/>
  <c r="M12" i="5"/>
  <c r="M14" i="5"/>
  <c r="M16" i="5"/>
  <c r="M18" i="5"/>
  <c r="M7" i="5"/>
  <c r="M11" i="5"/>
  <c r="M15" i="5"/>
  <c r="M5" i="5"/>
  <c r="M13" i="5"/>
  <c r="M9" i="5"/>
  <c r="M17" i="5"/>
  <c r="J13" i="20" l="1"/>
  <c r="J13" i="19"/>
  <c r="J13" i="13"/>
  <c r="H7" i="10"/>
  <c r="Q21" i="8" s="1"/>
  <c r="H6" i="10"/>
  <c r="Q15" i="8" s="1"/>
  <c r="H11" i="10"/>
  <c r="Q4" i="8" s="1"/>
  <c r="H19" i="10"/>
  <c r="Q14" i="8" s="1"/>
  <c r="H3" i="10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J4" i="1"/>
  <c r="M3" i="1"/>
  <c r="D18" i="26" l="1"/>
  <c r="E18" i="26" s="1"/>
  <c r="F18" i="26" s="1"/>
  <c r="G18" i="26" s="1"/>
  <c r="D6" i="26"/>
  <c r="D7" i="26"/>
  <c r="E7" i="26" s="1"/>
  <c r="D14" i="8"/>
  <c r="G13" i="23" s="1"/>
  <c r="D10" i="26"/>
  <c r="D33" i="8"/>
  <c r="Q12" i="8"/>
  <c r="J14" i="20"/>
  <c r="J15" i="20" s="1"/>
  <c r="J16" i="20" s="1"/>
  <c r="J17" i="20" s="1"/>
  <c r="J18" i="20" s="1"/>
  <c r="E4" i="20"/>
  <c r="G10" i="20"/>
  <c r="J14" i="19"/>
  <c r="J15" i="19" s="1"/>
  <c r="J16" i="19" s="1"/>
  <c r="J17" i="19" s="1"/>
  <c r="J18" i="19" s="1"/>
  <c r="E11" i="19"/>
  <c r="G12" i="19"/>
  <c r="J14" i="13"/>
  <c r="J15" i="13" s="1"/>
  <c r="J16" i="13" s="1"/>
  <c r="J17" i="13" s="1"/>
  <c r="J18" i="13" s="1"/>
  <c r="H4" i="10"/>
  <c r="Q3" i="8" s="1"/>
  <c r="H13" i="10"/>
  <c r="Q17" i="8" s="1"/>
  <c r="H14" i="10"/>
  <c r="Q8" i="8" s="1"/>
  <c r="H8" i="10"/>
  <c r="Q11" i="8" s="1"/>
  <c r="H15" i="10"/>
  <c r="Q10" i="8" s="1"/>
  <c r="H17" i="10"/>
  <c r="Q19" i="8" s="1"/>
  <c r="H16" i="10"/>
  <c r="Q16" i="8" s="1"/>
  <c r="H5" i="10"/>
  <c r="Q7" i="8" s="1"/>
  <c r="H10" i="10"/>
  <c r="Q5" i="8" s="1"/>
  <c r="H9" i="10"/>
  <c r="Q20" i="8" s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D20" i="26" l="1"/>
  <c r="E20" i="26" s="1"/>
  <c r="F20" i="26" s="1"/>
  <c r="G20" i="26" s="1"/>
  <c r="D14" i="26"/>
  <c r="D15" i="26"/>
  <c r="E15" i="26" s="1"/>
  <c r="F15" i="26" s="1"/>
  <c r="G15" i="26" s="1"/>
  <c r="D17" i="26"/>
  <c r="E17" i="26" s="1"/>
  <c r="F17" i="26" s="1"/>
  <c r="G17" i="26" s="1"/>
  <c r="D11" i="26"/>
  <c r="E11" i="26" s="1"/>
  <c r="F11" i="26" s="1"/>
  <c r="G11" i="26" s="1"/>
  <c r="D16" i="26"/>
  <c r="E16" i="26" s="1"/>
  <c r="F16" i="26" s="1"/>
  <c r="G16" i="26" s="1"/>
  <c r="D12" i="26"/>
  <c r="E12" i="26" s="1"/>
  <c r="F12" i="26" s="1"/>
  <c r="G12" i="26" s="1"/>
  <c r="AC14" i="26"/>
  <c r="E14" i="26"/>
  <c r="F14" i="26" s="1"/>
  <c r="G14" i="26" s="1"/>
  <c r="AD7" i="26"/>
  <c r="F7" i="26"/>
  <c r="D3" i="26"/>
  <c r="E3" i="26" s="1"/>
  <c r="D4" i="26"/>
  <c r="E4" i="26" s="1"/>
  <c r="D9" i="26"/>
  <c r="D5" i="26"/>
  <c r="AC10" i="26"/>
  <c r="E10" i="26"/>
  <c r="AC6" i="26"/>
  <c r="E6" i="26"/>
  <c r="F6" i="26" s="1"/>
  <c r="D17" i="8"/>
  <c r="D29" i="8"/>
  <c r="D30" i="8"/>
  <c r="D20" i="8"/>
  <c r="D31" i="8"/>
  <c r="D22" i="8"/>
  <c r="O23" i="13"/>
  <c r="E18" i="20"/>
  <c r="H18" i="20" s="1"/>
  <c r="G11" i="20"/>
  <c r="G12" i="20"/>
  <c r="G18" i="20"/>
  <c r="G5" i="20"/>
  <c r="E10" i="20"/>
  <c r="H10" i="20" s="1"/>
  <c r="G6" i="20"/>
  <c r="G8" i="20"/>
  <c r="G16" i="20"/>
  <c r="E12" i="20"/>
  <c r="E9" i="20"/>
  <c r="G17" i="20"/>
  <c r="G7" i="20"/>
  <c r="E5" i="20"/>
  <c r="E14" i="20"/>
  <c r="E3" i="20"/>
  <c r="G13" i="20"/>
  <c r="E6" i="20"/>
  <c r="E17" i="20"/>
  <c r="H17" i="20" s="1"/>
  <c r="E7" i="20"/>
  <c r="G15" i="20"/>
  <c r="E8" i="20"/>
  <c r="H8" i="20" s="1"/>
  <c r="X12" i="8" s="1"/>
  <c r="G4" i="20"/>
  <c r="H4" i="20" s="1"/>
  <c r="X11" i="8" s="1"/>
  <c r="E13" i="20"/>
  <c r="G9" i="20"/>
  <c r="E16" i="20"/>
  <c r="G3" i="20"/>
  <c r="E15" i="20"/>
  <c r="G14" i="20"/>
  <c r="E11" i="20"/>
  <c r="H11" i="20" s="1"/>
  <c r="X26" i="8" s="1"/>
  <c r="E18" i="19"/>
  <c r="G10" i="19"/>
  <c r="G7" i="19"/>
  <c r="G18" i="19"/>
  <c r="G5" i="19"/>
  <c r="E12" i="19"/>
  <c r="H12" i="19" s="1"/>
  <c r="W24" i="8" s="1"/>
  <c r="G3" i="19"/>
  <c r="G4" i="19"/>
  <c r="G15" i="19"/>
  <c r="E7" i="19"/>
  <c r="E6" i="19"/>
  <c r="G13" i="19"/>
  <c r="G17" i="19"/>
  <c r="E5" i="19"/>
  <c r="E14" i="19"/>
  <c r="E8" i="19"/>
  <c r="G9" i="19"/>
  <c r="E3" i="19"/>
  <c r="E13" i="19"/>
  <c r="E17" i="19"/>
  <c r="G16" i="19"/>
  <c r="E4" i="19"/>
  <c r="H11" i="19"/>
  <c r="W11" i="8" s="1"/>
  <c r="E9" i="19"/>
  <c r="G6" i="19"/>
  <c r="E15" i="19"/>
  <c r="G8" i="19"/>
  <c r="E16" i="19"/>
  <c r="G14" i="19"/>
  <c r="E10" i="19"/>
  <c r="H10" i="19" s="1"/>
  <c r="W21" i="8" s="1"/>
  <c r="H18" i="10"/>
  <c r="Q6" i="8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D24" i="8" l="1"/>
  <c r="G23" i="23" s="1"/>
  <c r="D21" i="26"/>
  <c r="E21" i="26" s="1"/>
  <c r="F21" i="26" s="1"/>
  <c r="G21" i="26" s="1"/>
  <c r="D19" i="8"/>
  <c r="G18" i="23" s="1"/>
  <c r="X21" i="8"/>
  <c r="D9" i="8" s="1"/>
  <c r="G8" i="23" s="1"/>
  <c r="X7" i="8"/>
  <c r="D5" i="8"/>
  <c r="G4" i="23" s="1"/>
  <c r="H4" i="19"/>
  <c r="W12" i="8" s="1"/>
  <c r="H18" i="19"/>
  <c r="H13" i="19"/>
  <c r="W25" i="8" s="1"/>
  <c r="AE6" i="26"/>
  <c r="G6" i="26"/>
  <c r="AC5" i="26"/>
  <c r="E5" i="26"/>
  <c r="F5" i="26" s="1"/>
  <c r="G5" i="26" s="1"/>
  <c r="AD4" i="26"/>
  <c r="F4" i="26"/>
  <c r="G4" i="26" s="1"/>
  <c r="AE7" i="26"/>
  <c r="G7" i="26"/>
  <c r="AD10" i="26"/>
  <c r="F10" i="26"/>
  <c r="G10" i="26" s="1"/>
  <c r="AC9" i="26"/>
  <c r="E9" i="26"/>
  <c r="AD3" i="26"/>
  <c r="F3" i="26"/>
  <c r="G3" i="26" s="1"/>
  <c r="G16" i="23"/>
  <c r="G19" i="23"/>
  <c r="D32" i="8"/>
  <c r="D23" i="8"/>
  <c r="G22" i="23" s="1"/>
  <c r="G21" i="23"/>
  <c r="H9" i="8"/>
  <c r="H14" i="20"/>
  <c r="X14" i="8" s="1"/>
  <c r="H9" i="20"/>
  <c r="X16" i="8" s="1"/>
  <c r="H15" i="20"/>
  <c r="H16" i="20"/>
  <c r="H13" i="20"/>
  <c r="X27" i="8" s="1"/>
  <c r="H7" i="20"/>
  <c r="X9" i="8" s="1"/>
  <c r="H6" i="20"/>
  <c r="X13" i="8" s="1"/>
  <c r="H3" i="20"/>
  <c r="H5" i="20"/>
  <c r="X10" i="8" s="1"/>
  <c r="H12" i="20"/>
  <c r="X4" i="8" s="1"/>
  <c r="H14" i="19"/>
  <c r="W14" i="8" s="1"/>
  <c r="H6" i="19"/>
  <c r="W16" i="8" s="1"/>
  <c r="H16" i="19"/>
  <c r="W23" i="8" s="1"/>
  <c r="H15" i="19"/>
  <c r="W5" i="8" s="1"/>
  <c r="H9" i="19"/>
  <c r="W19" i="8" s="1"/>
  <c r="H17" i="19"/>
  <c r="W7" i="8" s="1"/>
  <c r="H3" i="19"/>
  <c r="W13" i="8" s="1"/>
  <c r="H8" i="19"/>
  <c r="H5" i="19"/>
  <c r="W10" i="8" s="1"/>
  <c r="H7" i="19"/>
  <c r="W4" i="8" s="1"/>
  <c r="D13" i="8" l="1"/>
  <c r="G12" i="23" s="1"/>
  <c r="D12" i="8"/>
  <c r="G11" i="23" s="1"/>
  <c r="D4" i="8"/>
  <c r="G3" i="23" s="1"/>
  <c r="D15" i="8"/>
  <c r="G14" i="23" s="1"/>
  <c r="D21" i="8"/>
  <c r="G20" i="23" s="1"/>
  <c r="D7" i="8"/>
  <c r="G6" i="23" s="1"/>
  <c r="D26" i="8"/>
  <c r="G25" i="23" s="1"/>
  <c r="D10" i="8"/>
  <c r="G9" i="23" s="1"/>
  <c r="D25" i="8"/>
  <c r="G24" i="23" s="1"/>
  <c r="D8" i="8"/>
  <c r="G7" i="23" s="1"/>
  <c r="D11" i="8"/>
  <c r="G10" i="23" s="1"/>
  <c r="D6" i="8"/>
  <c r="G5" i="23" s="1"/>
  <c r="D16" i="8"/>
  <c r="G15" i="23" s="1"/>
  <c r="O23" i="20"/>
  <c r="X3" i="8"/>
  <c r="H6" i="8"/>
  <c r="O23" i="19"/>
  <c r="W3" i="8"/>
  <c r="AD9" i="26"/>
  <c r="F9" i="26"/>
  <c r="G9" i="26" s="1"/>
  <c r="H10" i="8" l="1"/>
  <c r="H7" i="8"/>
  <c r="H5" i="8"/>
  <c r="H4" i="8"/>
  <c r="D3" i="8"/>
  <c r="G2" i="23" s="1"/>
  <c r="F13" i="8"/>
  <c r="D21" i="23" s="1"/>
  <c r="E21" i="23" s="1"/>
  <c r="E56" i="23" s="1"/>
  <c r="H8" i="8"/>
  <c r="H3" i="8" l="1"/>
  <c r="D7" i="23"/>
  <c r="D43" i="23" s="1"/>
  <c r="D56" i="23"/>
  <c r="D33" i="23"/>
  <c r="E33" i="23" s="1"/>
  <c r="D2" i="23"/>
  <c r="E2" i="23" s="1"/>
  <c r="E38" i="23" s="1"/>
  <c r="D16" i="23"/>
  <c r="E16" i="23" s="1"/>
  <c r="E45" i="23" s="1"/>
  <c r="D15" i="23"/>
  <c r="D47" i="23" s="1"/>
  <c r="D17" i="23"/>
  <c r="E17" i="23" s="1"/>
  <c r="E59" i="23" s="1"/>
  <c r="D18" i="23"/>
  <c r="E18" i="23" s="1"/>
  <c r="E49" i="23" s="1"/>
  <c r="D25" i="23"/>
  <c r="D20" i="23"/>
  <c r="E20" i="23" s="1"/>
  <c r="E60" i="23" s="1"/>
  <c r="D6" i="23"/>
  <c r="E6" i="23" s="1"/>
  <c r="E44" i="23" s="1"/>
  <c r="D30" i="23"/>
  <c r="E30" i="23" s="1"/>
  <c r="D11" i="23"/>
  <c r="D46" i="23" s="1"/>
  <c r="D22" i="23"/>
  <c r="E22" i="23" s="1"/>
  <c r="E57" i="23" s="1"/>
  <c r="D5" i="23"/>
  <c r="D41" i="23" s="1"/>
  <c r="D4" i="23"/>
  <c r="E4" i="23" s="1"/>
  <c r="E40" i="23" s="1"/>
  <c r="D27" i="23"/>
  <c r="E27" i="23" s="1"/>
  <c r="D23" i="23"/>
  <c r="E23" i="23" s="1"/>
  <c r="E61" i="23" s="1"/>
  <c r="D28" i="23"/>
  <c r="E28" i="23" s="1"/>
  <c r="D8" i="23"/>
  <c r="D42" i="23" s="1"/>
  <c r="D24" i="23"/>
  <c r="E24" i="23" s="1"/>
  <c r="E48" i="23" s="1"/>
  <c r="D29" i="23"/>
  <c r="E29" i="23" s="1"/>
  <c r="D10" i="23"/>
  <c r="E10" i="23" s="1"/>
  <c r="E53" i="23" s="1"/>
  <c r="D19" i="23"/>
  <c r="D55" i="23" s="1"/>
  <c r="D3" i="23"/>
  <c r="D39" i="23" s="1"/>
  <c r="D14" i="23"/>
  <c r="D54" i="23" s="1"/>
  <c r="D9" i="23"/>
  <c r="D12" i="23"/>
  <c r="D52" i="23" s="1"/>
  <c r="D26" i="23"/>
  <c r="D58" i="23" s="1"/>
  <c r="D31" i="23"/>
  <c r="E31" i="23" s="1"/>
  <c r="D13" i="23"/>
  <c r="E13" i="23" s="1"/>
  <c r="E51" i="23" s="1"/>
  <c r="D32" i="23"/>
  <c r="E32" i="23" s="1"/>
  <c r="D38" i="23"/>
  <c r="D57" i="23"/>
  <c r="E25" i="23" l="1"/>
  <c r="E62" i="23" s="1"/>
  <c r="D62" i="23"/>
  <c r="E3" i="23"/>
  <c r="E39" i="23" s="1"/>
  <c r="E8" i="23"/>
  <c r="E42" i="23" s="1"/>
  <c r="D48" i="23"/>
  <c r="E7" i="23"/>
  <c r="E43" i="23" s="1"/>
  <c r="E26" i="23"/>
  <c r="E58" i="23" s="1"/>
  <c r="D49" i="23"/>
  <c r="D45" i="23"/>
  <c r="E11" i="23"/>
  <c r="E46" i="23" s="1"/>
  <c r="D61" i="23"/>
  <c r="D60" i="23"/>
  <c r="E15" i="23"/>
  <c r="E47" i="23" s="1"/>
  <c r="D59" i="23"/>
  <c r="E5" i="23"/>
  <c r="E41" i="23" s="1"/>
  <c r="D44" i="23"/>
  <c r="E14" i="23"/>
  <c r="E54" i="23" s="1"/>
  <c r="D53" i="23"/>
  <c r="D51" i="23"/>
  <c r="D40" i="23"/>
  <c r="E12" i="23"/>
  <c r="E52" i="23" s="1"/>
  <c r="D50" i="23"/>
  <c r="E9" i="23"/>
  <c r="E50" i="23" s="1"/>
  <c r="E19" i="23"/>
  <c r="E55" i="23" s="1"/>
</calcChain>
</file>

<file path=xl/sharedStrings.xml><?xml version="1.0" encoding="utf-8"?>
<sst xmlns="http://schemas.openxmlformats.org/spreadsheetml/2006/main" count="1375" uniqueCount="215">
  <si>
    <t>Sprint</t>
  </si>
  <si>
    <t>Enduro</t>
  </si>
  <si>
    <t>Final</t>
  </si>
  <si>
    <t>Pos.</t>
  </si>
  <si>
    <t>Pts.</t>
  </si>
  <si>
    <t>Pilote</t>
  </si>
  <si>
    <t>Voiture</t>
  </si>
  <si>
    <t>GT-Alex74</t>
  </si>
  <si>
    <t>Suzuki</t>
  </si>
  <si>
    <t>Aweoob</t>
  </si>
  <si>
    <t>Mazda</t>
  </si>
  <si>
    <t>Ailef</t>
  </si>
  <si>
    <t>Nissan</t>
  </si>
  <si>
    <t>alainv-du-69</t>
  </si>
  <si>
    <t>Abarth</t>
  </si>
  <si>
    <t>t45y6</t>
  </si>
  <si>
    <t>Honda</t>
  </si>
  <si>
    <t>adrien007sco</t>
  </si>
  <si>
    <t>Toyota</t>
  </si>
  <si>
    <t>ThePsykoPat</t>
  </si>
  <si>
    <t>Alfa Romeo</t>
  </si>
  <si>
    <t>CHATsuffit</t>
  </si>
  <si>
    <t>Mini</t>
  </si>
  <si>
    <t>Siberg</t>
  </si>
  <si>
    <t>Valgar74</t>
  </si>
  <si>
    <t>Crazy_Kia</t>
  </si>
  <si>
    <t>jarno63100</t>
  </si>
  <si>
    <t>ricket42</t>
  </si>
  <si>
    <t>iaka59</t>
  </si>
  <si>
    <t>crachtest</t>
  </si>
  <si>
    <t>meuhsli</t>
  </si>
  <si>
    <t>gégé42</t>
  </si>
  <si>
    <t>Spéciale</t>
  </si>
  <si>
    <t>Système de points</t>
  </si>
  <si>
    <t>Pilotes / salon</t>
  </si>
  <si>
    <t>Système de points de base</t>
  </si>
  <si>
    <t>Nombre inscrits</t>
  </si>
  <si>
    <t>Pos.          Sprint</t>
  </si>
  <si>
    <t>Pts.        Sprint</t>
  </si>
  <si>
    <t>Pos.        Enduro</t>
  </si>
  <si>
    <t>Pts.              Enduro</t>
  </si>
  <si>
    <t>Points Groupes A et B</t>
  </si>
  <si>
    <t>Moyenne points attribués</t>
  </si>
  <si>
    <t>Pos. Sprint</t>
  </si>
  <si>
    <t>Pts. Sprint</t>
  </si>
  <si>
    <t>Pos. Enduro</t>
  </si>
  <si>
    <t>Pts. Enduro</t>
  </si>
  <si>
    <t>Moy. points attribués</t>
  </si>
  <si>
    <t>Classement après</t>
  </si>
  <si>
    <t>manches</t>
  </si>
  <si>
    <t>Classement constructeurs</t>
  </si>
  <si>
    <t>Constructeur</t>
  </si>
  <si>
    <t>Lest additionnel</t>
  </si>
  <si>
    <t xml:space="preserve">Lest </t>
  </si>
  <si>
    <t>Poids total</t>
  </si>
  <si>
    <t>Poids de base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</si>
  <si>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</si>
  <si>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</si>
  <si>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</si>
  <si>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</si>
  <si>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</si>
  <si>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</si>
  <si>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</si>
  <si>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</si>
  <si>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</si>
  <si>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</si>
  <si>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Manche</t>
  </si>
  <si>
    <t>Date</t>
  </si>
  <si>
    <t>Circuit</t>
  </si>
  <si>
    <t>Longueur</t>
  </si>
  <si>
    <t>Météo variable</t>
  </si>
  <si>
    <t>Notes</t>
  </si>
  <si>
    <t>TEST</t>
  </si>
  <si>
    <t>Juin</t>
  </si>
  <si>
    <t>Ascari</t>
  </si>
  <si>
    <t>Oui</t>
  </si>
  <si>
    <t>Départ 10h, progression temporelle 8.</t>
  </si>
  <si>
    <t>Sept</t>
  </si>
  <si>
    <t>Grand Valley Est</t>
  </si>
  <si>
    <t>Non</t>
  </si>
  <si>
    <t>Oct</t>
  </si>
  <si>
    <t>Special Stage Route 5</t>
  </si>
  <si>
    <t>Nuit</t>
  </si>
  <si>
    <t>Nov</t>
  </si>
  <si>
    <t>Dec</t>
  </si>
  <si>
    <t>Autumn Ring inversé</t>
  </si>
  <si>
    <t>Départ 9h / 10h20, progression temporelle 7.</t>
  </si>
  <si>
    <t>Jan</t>
  </si>
  <si>
    <t>Nurburgring Type V</t>
  </si>
  <si>
    <t>Une seule course d'une heure, départ 15h, progression temporelle 24</t>
  </si>
  <si>
    <t>Fev</t>
  </si>
  <si>
    <t>Madrid</t>
  </si>
  <si>
    <t>Mar</t>
  </si>
  <si>
    <t>Deep Forest</t>
  </si>
  <si>
    <t>Avr</t>
  </si>
  <si>
    <t>Suzuka 2014</t>
  </si>
  <si>
    <t>Départ 5h30 / 9h50, progression temporelle 13</t>
  </si>
  <si>
    <t>Mai</t>
  </si>
  <si>
    <t>Midfield inversé</t>
  </si>
  <si>
    <t>Départ 9h30 / 12h30, progression temporelle 9</t>
  </si>
  <si>
    <t>Monaco</t>
  </si>
  <si>
    <t>Lettre</t>
  </si>
  <si>
    <t>Ordre</t>
  </si>
  <si>
    <t>B</t>
  </si>
  <si>
    <t>E</t>
  </si>
  <si>
    <t>H</t>
  </si>
  <si>
    <t>C</t>
  </si>
  <si>
    <t>F</t>
  </si>
  <si>
    <t>D</t>
  </si>
  <si>
    <t>G</t>
  </si>
  <si>
    <t>A</t>
  </si>
  <si>
    <t>K</t>
  </si>
  <si>
    <t>M</t>
  </si>
  <si>
    <t>P</t>
  </si>
  <si>
    <t>L</t>
  </si>
  <si>
    <t>N</t>
  </si>
  <si>
    <t>I</t>
  </si>
  <si>
    <t>O</t>
  </si>
  <si>
    <t>J</t>
  </si>
  <si>
    <t>NE PAS MODIFIER CES COLONNES</t>
  </si>
  <si>
    <t>Tirage au sort</t>
  </si>
  <si>
    <t>Pos</t>
  </si>
  <si>
    <t>Temps total</t>
  </si>
  <si>
    <t>Ecart total</t>
  </si>
  <si>
    <t>Ecart précédent</t>
  </si>
  <si>
    <t>Tsukuba</t>
  </si>
  <si>
    <t>Trial Mountain</t>
  </si>
  <si>
    <t>Grand Valley Speedway</t>
  </si>
  <si>
    <t>Usure pneu / 100 km</t>
  </si>
  <si>
    <t>Honda Fit RS</t>
  </si>
  <si>
    <t>Alfa Romeo MiTo</t>
  </si>
  <si>
    <t>Mini Cooper S</t>
  </si>
  <si>
    <t>Abarth 500</t>
  </si>
  <si>
    <t>Toyota Vitz F</t>
  </si>
  <si>
    <t>Mazda Demio Sport</t>
  </si>
  <si>
    <t>Suzuki Swift Sport</t>
  </si>
  <si>
    <t>Nissan March 12 SR</t>
  </si>
  <si>
    <t>^^^^^^^^^^^^^^^^^^^^^^^^^^^^^^^^^^^^^^^^^^^^^^^^^^^^^^^^^^^^^^^^^^^^^^^^^^^^^^^^^^^^^^^^^^^^^^^^^^^^^^^^^^^^^^^^^^^^^^^^^^^^^^^^^^^</t>
  </si>
  <si>
    <t>Classement global brut</t>
  </si>
  <si>
    <t>Classement global pondéré</t>
  </si>
  <si>
    <t>vvvvvvvvvvvvvvvvvvvvvvvvvvvvvvvvvvvvvvvvvvvvvvvvvvvvvvvvvvvvvvvvvvvvvvvvvvvvvvvvvvvvvvvvvvvvvvvvvvvvvvvvvvvvvvvvvvvvvvvvvvvvvvvvvvvvvvvvvvvvvvvvvvv</t>
  </si>
  <si>
    <t>A 1</t>
  </si>
  <si>
    <t>A 2</t>
  </si>
  <si>
    <t>A 3</t>
  </si>
  <si>
    <t>A 4</t>
  </si>
  <si>
    <t>A 5</t>
  </si>
  <si>
    <t>A 6</t>
  </si>
  <si>
    <t>A 7</t>
  </si>
  <si>
    <t>A 8</t>
  </si>
  <si>
    <t>A 9</t>
  </si>
  <si>
    <t>A 10</t>
  </si>
  <si>
    <t>A 11</t>
  </si>
  <si>
    <t>A 12</t>
  </si>
  <si>
    <t>A 13</t>
  </si>
  <si>
    <t>A 14</t>
  </si>
  <si>
    <t>A 15</t>
  </si>
  <si>
    <t>A 16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</si>
  <si>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</si>
  <si>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</si>
  <si>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</si>
  <si>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</si>
  <si>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</si>
  <si>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</si>
  <si>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</si>
  <si>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</si>
  <si>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</si>
  <si>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</si>
  <si>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</si>
  <si>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 12</t>
  </si>
  <si>
    <t>B 13</t>
  </si>
  <si>
    <t>B 14</t>
  </si>
  <si>
    <t>B 15</t>
  </si>
  <si>
    <t>B 16</t>
  </si>
  <si>
    <t>shenron262</t>
  </si>
  <si>
    <t>siberg</t>
  </si>
  <si>
    <t>ricket--42</t>
  </si>
  <si>
    <t>Poids maximum</t>
  </si>
  <si>
    <t>GTBE-Flow</t>
  </si>
  <si>
    <t>Après manche</t>
  </si>
  <si>
    <t>Chrono</t>
  </si>
  <si>
    <t>Qualifications</t>
  </si>
  <si>
    <t>Gap</t>
  </si>
  <si>
    <t>/1er</t>
  </si>
  <si>
    <t>-</t>
  </si>
  <si>
    <t>DNQ</t>
  </si>
  <si>
    <t>Course sprint</t>
  </si>
  <si>
    <t>Course endurance</t>
  </si>
  <si>
    <t>Tours</t>
  </si>
  <si>
    <t>DNF</t>
  </si>
  <si>
    <t>Lest</t>
  </si>
  <si>
    <t>PP</t>
  </si>
  <si>
    <t>+ 1 tour</t>
  </si>
  <si>
    <t>DNS</t>
  </si>
  <si>
    <t>+24 trs</t>
  </si>
  <si>
    <t>+ 20 trs</t>
  </si>
  <si>
    <t>+ 21 trs</t>
  </si>
  <si>
    <t>+ 9 tours</t>
  </si>
  <si>
    <t>+ 10 trs</t>
  </si>
  <si>
    <t>Guesstom1981</t>
  </si>
  <si>
    <t>?</t>
  </si>
  <si>
    <t>Ethan66000</t>
  </si>
  <si>
    <t>Total points après manche :</t>
  </si>
  <si>
    <t>Position championnat après manche :</t>
  </si>
  <si>
    <t>Position championnat inversées pour graphique :</t>
  </si>
  <si>
    <t>Moyenne points après manche :</t>
  </si>
  <si>
    <t>Evolution lest</t>
  </si>
  <si>
    <t>0</t>
  </si>
  <si>
    <t>PiTch_</t>
  </si>
  <si>
    <t>A-19-A-24</t>
  </si>
  <si>
    <t>windkiter29</t>
  </si>
  <si>
    <t>Note : Siberg déclassé de la 9ème place en course 2 suite à incidents tour 5 sur shenron et chat et à ultimatum</t>
  </si>
  <si>
    <t>DQ</t>
  </si>
  <si>
    <t>CEDRIC_5470</t>
  </si>
  <si>
    <r>
      <t>CEDRIC</t>
    </r>
    <r>
      <rPr>
        <sz val="11"/>
        <color theme="1"/>
        <rFont val="Calibri"/>
        <family val="2"/>
        <scheme val="minor"/>
      </rPr>
      <t>_5470</t>
    </r>
  </si>
  <si>
    <t>Moy Pts/course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</si>
</sst>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General;;"/>
    <numFmt numFmtId="165" formatCode="0;\-0;;@"/>
    <numFmt numFmtId="166" formatCode="0.0"/>
    <numFmt numFmtId="167" formatCode="0&quot; kg&quot;"/>
    <numFmt numFmtId="168" formatCode="&quot;+ &quot;0&quot; kg&quot;"/>
    <numFmt numFmtId="169" formatCode="General&quot; m&quot;"/>
    <numFmt numFmtId="170" formatCode="mm:ss.000"/>
    <numFmt numFmtId="171" formatCode="ss.000"/>
    <numFmt numFmtId="172" formatCode="m:ss.000"/>
    <numFmt numFmtId="173" formatCode="&quot;+&quot;ss.000"/>
    <numFmt numFmtId="174" formatCode="&quot;+&quot;m:ss.000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9" tint="0.3999755851924192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7558519241921"/>
      </left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4" tint="0.39994506668294322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auto="1"/>
      </right>
      <top/>
      <bottom style="medium">
        <color rgb="FFFF0000"/>
      </bottom>
      <diagonal/>
    </border>
    <border>
      <left/>
      <right/>
      <top style="thin">
        <color theme="4" tint="0.39994506668294322"/>
      </top>
      <bottom style="medium">
        <color rgb="FFFF0000"/>
      </bottom>
      <diagonal/>
    </border>
    <border>
      <left style="thin">
        <color auto="1"/>
      </left>
      <right/>
      <top/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medium">
        <color rgb="FFFF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medium">
        <color rgb="FFFF0000"/>
      </bottom>
      <diagonal/>
    </border>
    <border>
      <left style="thin">
        <color theme="4" tint="-0.499984740745262"/>
      </left>
      <right/>
      <top/>
      <bottom style="medium">
        <color rgb="FFFF0000"/>
      </bottom>
      <diagonal/>
    </border>
    <border>
      <left/>
      <right style="thin">
        <color theme="4" tint="-0.499984740745262"/>
      </right>
      <top/>
      <bottom style="medium">
        <color rgb="FFFF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85">
    <xf numFmtId="0" fontId="0" fillId="0" borderId="0" xfId="0"/>
    <xf numFmtId="0" fontId="0" fillId="0" borderId="0" xfId="0" applyFont="1" applyFill="1" applyBorder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ill="1"/>
    <xf numFmtId="49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49" fontId="4" fillId="2" borderId="0" xfId="0" applyNumberFormat="1" applyFont="1" applyFill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12" borderId="0" xfId="0" applyFill="1" applyBorder="1"/>
    <xf numFmtId="49" fontId="1" fillId="3" borderId="0" xfId="0" applyNumberFormat="1" applyFont="1" applyFill="1" applyBorder="1" applyAlignment="1">
      <alignment horizontal="center"/>
    </xf>
    <xf numFmtId="49" fontId="1" fillId="4" borderId="0" xfId="0" applyNumberFormat="1" applyFont="1" applyFill="1" applyBorder="1" applyAlignment="1">
      <alignment horizontal="center"/>
    </xf>
    <xf numFmtId="49" fontId="1" fillId="5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6" fillId="15" borderId="0" xfId="0" applyNumberFormat="1" applyFont="1" applyFill="1" applyAlignment="1">
      <alignment horizontal="center"/>
    </xf>
    <xf numFmtId="49" fontId="7" fillId="15" borderId="0" xfId="0" applyNumberFormat="1" applyFont="1" applyFill="1" applyAlignment="1">
      <alignment horizontal="center"/>
    </xf>
    <xf numFmtId="49" fontId="8" fillId="15" borderId="0" xfId="0" applyNumberFormat="1" applyFont="1" applyFill="1" applyAlignment="1">
      <alignment horizontal="center"/>
    </xf>
    <xf numFmtId="0" fontId="1" fillId="9" borderId="0" xfId="0" applyFont="1" applyFill="1"/>
    <xf numFmtId="0" fontId="1" fillId="13" borderId="0" xfId="0" applyFont="1" applyFill="1"/>
    <xf numFmtId="0" fontId="1" fillId="13" borderId="0" xfId="0" applyFont="1" applyFill="1" applyAlignment="1"/>
    <xf numFmtId="0" fontId="0" fillId="0" borderId="7" xfId="0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13" borderId="10" xfId="0" applyFont="1" applyFill="1" applyBorder="1" applyAlignment="1"/>
    <xf numFmtId="0" fontId="2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165" fontId="2" fillId="0" borderId="11" xfId="0" applyNumberFormat="1" applyFont="1" applyBorder="1"/>
    <xf numFmtId="165" fontId="2" fillId="0" borderId="12" xfId="0" applyNumberFormat="1" applyFont="1" applyBorder="1"/>
    <xf numFmtId="165" fontId="0" fillId="0" borderId="0" xfId="0" applyNumberFormat="1"/>
    <xf numFmtId="165" fontId="0" fillId="0" borderId="0" xfId="0" applyNumberFormat="1" applyFill="1" applyBorder="1"/>
    <xf numFmtId="0" fontId="2" fillId="0" borderId="0" xfId="0" applyFont="1" applyBorder="1"/>
    <xf numFmtId="0" fontId="2" fillId="0" borderId="0" xfId="0" applyFont="1" applyFill="1" applyBorder="1"/>
    <xf numFmtId="49" fontId="0" fillId="0" borderId="0" xfId="0" applyNumberForma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18" xfId="0" applyFont="1" applyFill="1" applyBorder="1"/>
    <xf numFmtId="49" fontId="1" fillId="3" borderId="22" xfId="0" applyNumberFormat="1" applyFont="1" applyFill="1" applyBorder="1" applyAlignment="1">
      <alignment horizontal="center"/>
    </xf>
    <xf numFmtId="49" fontId="1" fillId="4" borderId="22" xfId="0" applyNumberFormat="1" applyFont="1" applyFill="1" applyBorder="1" applyAlignment="1">
      <alignment horizontal="center"/>
    </xf>
    <xf numFmtId="49" fontId="1" fillId="5" borderId="22" xfId="0" applyNumberFormat="1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1" fillId="2" borderId="23" xfId="0" applyFont="1" applyFill="1" applyBorder="1"/>
    <xf numFmtId="49" fontId="1" fillId="3" borderId="24" xfId="0" applyNumberFormat="1" applyFont="1" applyFill="1" applyBorder="1" applyAlignment="1">
      <alignment horizontal="center"/>
    </xf>
    <xf numFmtId="49" fontId="1" fillId="4" borderId="24" xfId="0" applyNumberFormat="1" applyFont="1" applyFill="1" applyBorder="1" applyAlignment="1">
      <alignment horizontal="center"/>
    </xf>
    <xf numFmtId="49" fontId="1" fillId="5" borderId="24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0" borderId="0" xfId="0" applyFont="1" applyBorder="1"/>
    <xf numFmtId="167" fontId="0" fillId="0" borderId="0" xfId="0" applyNumberFormat="1"/>
    <xf numFmtId="168" fontId="0" fillId="0" borderId="0" xfId="0" applyNumberFormat="1"/>
    <xf numFmtId="0" fontId="3" fillId="0" borderId="0" xfId="0" applyFont="1" applyFill="1" applyBorder="1"/>
    <xf numFmtId="0" fontId="0" fillId="0" borderId="0" xfId="0" applyAlignment="1">
      <alignment vertical="center"/>
    </xf>
    <xf numFmtId="0" fontId="2" fillId="7" borderId="25" xfId="0" applyFont="1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25" xfId="0" applyFill="1" applyBorder="1" applyAlignment="1">
      <alignment horizontal="center" vertical="center"/>
    </xf>
    <xf numFmtId="169" fontId="0" fillId="7" borderId="25" xfId="0" applyNumberFormat="1" applyFill="1" applyBorder="1" applyAlignment="1">
      <alignment horizontal="center"/>
    </xf>
    <xf numFmtId="0" fontId="0" fillId="7" borderId="25" xfId="0" applyFill="1" applyBorder="1"/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169" fontId="0" fillId="0" borderId="25" xfId="0" applyNumberFormat="1" applyBorder="1" applyAlignment="1">
      <alignment horizontal="center"/>
    </xf>
    <xf numFmtId="0" fontId="0" fillId="0" borderId="25" xfId="0" applyBorder="1"/>
    <xf numFmtId="0" fontId="2" fillId="20" borderId="25" xfId="0" applyFont="1" applyFill="1" applyBorder="1" applyAlignment="1">
      <alignment horizontal="center" vertical="center"/>
    </xf>
    <xf numFmtId="169" fontId="0" fillId="17" borderId="25" xfId="0" applyNumberFormat="1" applyFont="1" applyFill="1" applyBorder="1" applyAlignment="1">
      <alignment horizontal="center"/>
    </xf>
    <xf numFmtId="0" fontId="0" fillId="21" borderId="29" xfId="0" applyFill="1" applyBorder="1" applyAlignment="1">
      <alignment horizontal="center"/>
    </xf>
    <xf numFmtId="0" fontId="0" fillId="21" borderId="30" xfId="0" applyFill="1" applyBorder="1" applyAlignment="1">
      <alignment horizontal="center"/>
    </xf>
    <xf numFmtId="0" fontId="0" fillId="21" borderId="31" xfId="0" applyFill="1" applyBorder="1" applyAlignment="1">
      <alignment horizontal="center"/>
    </xf>
    <xf numFmtId="0" fontId="0" fillId="19" borderId="32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0" fillId="19" borderId="34" xfId="0" applyFill="1" applyBorder="1" applyAlignment="1">
      <alignment horizontal="center"/>
    </xf>
    <xf numFmtId="0" fontId="0" fillId="21" borderId="32" xfId="0" applyFill="1" applyBorder="1" applyAlignment="1">
      <alignment horizontal="center"/>
    </xf>
    <xf numFmtId="0" fontId="0" fillId="21" borderId="33" xfId="0" applyFill="1" applyBorder="1" applyAlignment="1">
      <alignment horizontal="center"/>
    </xf>
    <xf numFmtId="0" fontId="0" fillId="21" borderId="34" xfId="0" applyFill="1" applyBorder="1" applyAlignment="1">
      <alignment horizontal="center"/>
    </xf>
    <xf numFmtId="0" fontId="0" fillId="22" borderId="32" xfId="0" applyFill="1" applyBorder="1" applyAlignment="1">
      <alignment horizontal="center"/>
    </xf>
    <xf numFmtId="0" fontId="0" fillId="22" borderId="33" xfId="0" applyFill="1" applyBorder="1" applyAlignment="1">
      <alignment horizontal="center"/>
    </xf>
    <xf numFmtId="0" fontId="0" fillId="22" borderId="34" xfId="0" applyFill="1" applyBorder="1" applyAlignment="1">
      <alignment horizontal="center"/>
    </xf>
    <xf numFmtId="0" fontId="0" fillId="19" borderId="35" xfId="0" applyFill="1" applyBorder="1" applyAlignment="1">
      <alignment horizontal="center"/>
    </xf>
    <xf numFmtId="0" fontId="0" fillId="19" borderId="36" xfId="0" applyFill="1" applyBorder="1" applyAlignment="1">
      <alignment horizontal="center"/>
    </xf>
    <xf numFmtId="0" fontId="0" fillId="19" borderId="37" xfId="0" applyFill="1" applyBorder="1" applyAlignment="1">
      <alignment horizontal="center"/>
    </xf>
    <xf numFmtId="0" fontId="0" fillId="20" borderId="32" xfId="0" applyFill="1" applyBorder="1" applyAlignment="1">
      <alignment horizontal="center"/>
    </xf>
    <xf numFmtId="0" fontId="0" fillId="20" borderId="33" xfId="0" applyFill="1" applyBorder="1" applyAlignment="1">
      <alignment horizontal="center"/>
    </xf>
    <xf numFmtId="0" fontId="0" fillId="20" borderId="34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1" fillId="11" borderId="26" xfId="0" applyFont="1" applyFill="1" applyBorder="1" applyAlignment="1">
      <alignment horizontal="left"/>
    </xf>
    <xf numFmtId="0" fontId="1" fillId="11" borderId="27" xfId="0" applyFont="1" applyFill="1" applyBorder="1" applyAlignment="1">
      <alignment horizontal="left"/>
    </xf>
    <xf numFmtId="0" fontId="1" fillId="11" borderId="28" xfId="0" applyFont="1" applyFill="1" applyBorder="1" applyAlignment="1">
      <alignment horizontal="left"/>
    </xf>
    <xf numFmtId="0" fontId="1" fillId="2" borderId="38" xfId="0" applyFont="1" applyFill="1" applyBorder="1"/>
    <xf numFmtId="0" fontId="0" fillId="0" borderId="38" xfId="0" applyBorder="1"/>
    <xf numFmtId="0" fontId="0" fillId="0" borderId="12" xfId="0" applyBorder="1"/>
    <xf numFmtId="0" fontId="1" fillId="3" borderId="38" xfId="0" applyFont="1" applyFill="1" applyBorder="1"/>
    <xf numFmtId="0" fontId="5" fillId="0" borderId="0" xfId="0" applyFont="1" applyFill="1" applyBorder="1"/>
    <xf numFmtId="170" fontId="2" fillId="0" borderId="0" xfId="0" applyNumberFormat="1" applyFont="1" applyFill="1" applyBorder="1" applyAlignment="1">
      <alignment horizontal="center"/>
    </xf>
    <xf numFmtId="171" fontId="2" fillId="0" borderId="0" xfId="0" applyNumberFormat="1" applyFont="1" applyFill="1" applyBorder="1" applyAlignment="1">
      <alignment horizontal="center"/>
    </xf>
    <xf numFmtId="171" fontId="0" fillId="0" borderId="0" xfId="0" applyNumberFormat="1" applyFill="1" applyBorder="1" applyAlignment="1">
      <alignment horizontal="center"/>
    </xf>
    <xf numFmtId="170" fontId="10" fillId="0" borderId="0" xfId="0" applyNumberFormat="1" applyFont="1" applyFill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24" borderId="38" xfId="0" applyFont="1" applyFill="1" applyBorder="1"/>
    <xf numFmtId="0" fontId="1" fillId="5" borderId="38" xfId="0" applyFont="1" applyFill="1" applyBorder="1"/>
    <xf numFmtId="166" fontId="0" fillId="0" borderId="0" xfId="0" applyNumberFormat="1"/>
    <xf numFmtId="0" fontId="0" fillId="25" borderId="0" xfId="0" applyFill="1"/>
    <xf numFmtId="0" fontId="0" fillId="0" borderId="39" xfId="0" applyBorder="1" applyAlignment="1">
      <alignment horizontal="right"/>
    </xf>
    <xf numFmtId="0" fontId="0" fillId="0" borderId="39" xfId="0" applyBorder="1"/>
    <xf numFmtId="165" fontId="0" fillId="18" borderId="38" xfId="0" applyNumberFormat="1" applyFill="1" applyBorder="1"/>
    <xf numFmtId="0" fontId="10" fillId="18" borderId="38" xfId="0" applyFont="1" applyFill="1" applyBorder="1"/>
    <xf numFmtId="167" fontId="2" fillId="0" borderId="0" xfId="0" applyNumberFormat="1" applyFont="1"/>
    <xf numFmtId="0" fontId="1" fillId="0" borderId="0" xfId="0" applyFont="1" applyFill="1" applyBorder="1" applyAlignment="1">
      <alignment horizontal="center"/>
    </xf>
    <xf numFmtId="0" fontId="6" fillId="13" borderId="0" xfId="0" applyFont="1" applyFill="1" applyAlignment="1">
      <alignment horizontal="left"/>
    </xf>
    <xf numFmtId="49" fontId="1" fillId="3" borderId="40" xfId="0" applyNumberFormat="1" applyFont="1" applyFill="1" applyBorder="1" applyAlignment="1">
      <alignment horizontal="center"/>
    </xf>
    <xf numFmtId="49" fontId="1" fillId="4" borderId="40" xfId="0" applyNumberFormat="1" applyFont="1" applyFill="1" applyBorder="1" applyAlignment="1">
      <alignment horizontal="center"/>
    </xf>
    <xf numFmtId="49" fontId="1" fillId="5" borderId="40" xfId="0" applyNumberFormat="1" applyFont="1" applyFill="1" applyBorder="1" applyAlignment="1">
      <alignment horizontal="center"/>
    </xf>
    <xf numFmtId="49" fontId="1" fillId="12" borderId="40" xfId="0" applyNumberFormat="1" applyFont="1" applyFill="1" applyBorder="1" applyAlignment="1">
      <alignment horizontal="center"/>
    </xf>
    <xf numFmtId="49" fontId="1" fillId="2" borderId="40" xfId="0" applyNumberFormat="1" applyFont="1" applyFill="1" applyBorder="1" applyAlignment="1">
      <alignment horizontal="center"/>
    </xf>
    <xf numFmtId="49" fontId="7" fillId="15" borderId="40" xfId="0" applyNumberFormat="1" applyFont="1" applyFill="1" applyBorder="1" applyAlignment="1">
      <alignment horizontal="center"/>
    </xf>
    <xf numFmtId="49" fontId="8" fillId="15" borderId="40" xfId="0" applyNumberFormat="1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49" fontId="4" fillId="0" borderId="0" xfId="0" applyNumberFormat="1" applyFont="1" applyFill="1" applyAlignment="1">
      <alignment horizontal="center"/>
    </xf>
    <xf numFmtId="164" fontId="0" fillId="0" borderId="0" xfId="0" applyNumberFormat="1" applyFill="1"/>
    <xf numFmtId="172" fontId="0" fillId="0" borderId="0" xfId="0" applyNumberFormat="1" applyFill="1" applyBorder="1"/>
    <xf numFmtId="172" fontId="0" fillId="0" borderId="0" xfId="0" applyNumberFormat="1"/>
    <xf numFmtId="49" fontId="6" fillId="15" borderId="42" xfId="0" applyNumberFormat="1" applyFont="1" applyFill="1" applyBorder="1" applyAlignment="1">
      <alignment horizontal="center"/>
    </xf>
    <xf numFmtId="49" fontId="1" fillId="12" borderId="43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 applyAlignment="1">
      <alignment horizontal="left"/>
    </xf>
    <xf numFmtId="173" fontId="13" fillId="0" borderId="0" xfId="0" applyNumberFormat="1" applyFont="1" applyFill="1" applyBorder="1" applyAlignment="1">
      <alignment horizontal="left"/>
    </xf>
    <xf numFmtId="173" fontId="13" fillId="0" borderId="0" xfId="0" applyNumberFormat="1" applyFont="1" applyAlignment="1">
      <alignment horizontal="left"/>
    </xf>
    <xf numFmtId="173" fontId="13" fillId="0" borderId="0" xfId="0" applyNumberFormat="1" applyFont="1" applyFill="1" applyBorder="1" applyAlignment="1">
      <alignment horizontal="right"/>
    </xf>
    <xf numFmtId="173" fontId="13" fillId="0" borderId="0" xfId="0" applyNumberFormat="1" applyFont="1"/>
    <xf numFmtId="172" fontId="0" fillId="0" borderId="0" xfId="0" applyNumberFormat="1" applyBorder="1"/>
    <xf numFmtId="172" fontId="0" fillId="0" borderId="44" xfId="0" applyNumberFormat="1" applyFill="1" applyBorder="1"/>
    <xf numFmtId="0" fontId="12" fillId="0" borderId="44" xfId="0" applyFont="1" applyFill="1" applyBorder="1"/>
    <xf numFmtId="173" fontId="13" fillId="0" borderId="44" xfId="0" applyNumberFormat="1" applyFont="1" applyBorder="1" applyAlignment="1">
      <alignment horizontal="left"/>
    </xf>
    <xf numFmtId="173" fontId="13" fillId="0" borderId="44" xfId="0" applyNumberFormat="1" applyFont="1" applyBorder="1"/>
    <xf numFmtId="0" fontId="1" fillId="9" borderId="45" xfId="0" applyFont="1" applyFill="1" applyBorder="1" applyAlignment="1">
      <alignment horizontal="center"/>
    </xf>
    <xf numFmtId="172" fontId="0" fillId="0" borderId="0" xfId="0" applyNumberFormat="1" applyFill="1" applyBorder="1" applyAlignment="1">
      <alignment horizontal="right"/>
    </xf>
    <xf numFmtId="0" fontId="1" fillId="9" borderId="47" xfId="0" applyFont="1" applyFill="1" applyBorder="1" applyAlignment="1">
      <alignment horizontal="center"/>
    </xf>
    <xf numFmtId="0" fontId="0" fillId="0" borderId="44" xfId="0" applyFont="1" applyFill="1" applyBorder="1"/>
    <xf numFmtId="0" fontId="0" fillId="0" borderId="46" xfId="0" applyFont="1" applyFill="1" applyBorder="1"/>
    <xf numFmtId="49" fontId="0" fillId="0" borderId="48" xfId="0" applyNumberFormat="1" applyBorder="1" applyAlignment="1">
      <alignment horizontal="center"/>
    </xf>
    <xf numFmtId="0" fontId="0" fillId="0" borderId="46" xfId="0" applyBorder="1" applyAlignment="1">
      <alignment horizontal="right"/>
    </xf>
    <xf numFmtId="0" fontId="0" fillId="0" borderId="46" xfId="0" applyBorder="1"/>
    <xf numFmtId="165" fontId="2" fillId="0" borderId="49" xfId="0" applyNumberFormat="1" applyFont="1" applyBorder="1"/>
    <xf numFmtId="49" fontId="14" fillId="0" borderId="7" xfId="0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1" fillId="0" borderId="44" xfId="0" applyFont="1" applyFill="1" applyBorder="1"/>
    <xf numFmtId="172" fontId="0" fillId="0" borderId="44" xfId="0" applyNumberFormat="1" applyBorder="1"/>
    <xf numFmtId="173" fontId="13" fillId="0" borderId="0" xfId="0" applyNumberFormat="1" applyFont="1" applyBorder="1" applyAlignment="1">
      <alignment horizontal="left"/>
    </xf>
    <xf numFmtId="173" fontId="13" fillId="0" borderId="44" xfId="0" applyNumberFormat="1" applyFont="1" applyFill="1" applyBorder="1" applyAlignment="1">
      <alignment horizontal="left"/>
    </xf>
    <xf numFmtId="173" fontId="13" fillId="0" borderId="0" xfId="0" applyNumberFormat="1" applyFont="1" applyBorder="1"/>
    <xf numFmtId="173" fontId="13" fillId="0" borderId="44" xfId="0" applyNumberFormat="1" applyFont="1" applyFill="1" applyBorder="1" applyAlignment="1">
      <alignment horizontal="right"/>
    </xf>
    <xf numFmtId="0" fontId="0" fillId="0" borderId="44" xfId="0" applyBorder="1"/>
    <xf numFmtId="174" fontId="17" fillId="0" borderId="0" xfId="0" applyNumberFormat="1" applyFont="1"/>
    <xf numFmtId="0" fontId="0" fillId="0" borderId="0" xfId="0" applyAlignment="1">
      <alignment horizontal="right"/>
    </xf>
    <xf numFmtId="172" fontId="0" fillId="0" borderId="0" xfId="0" applyNumberFormat="1" applyAlignment="1">
      <alignment horizontal="right"/>
    </xf>
    <xf numFmtId="172" fontId="0" fillId="0" borderId="44" xfId="0" applyNumberFormat="1" applyFill="1" applyBorder="1" applyAlignment="1">
      <alignment horizontal="right"/>
    </xf>
    <xf numFmtId="49" fontId="1" fillId="2" borderId="42" xfId="0" applyNumberFormat="1" applyFont="1" applyFill="1" applyBorder="1" applyAlignment="1">
      <alignment horizontal="center"/>
    </xf>
    <xf numFmtId="49" fontId="18" fillId="15" borderId="42" xfId="0" applyNumberFormat="1" applyFont="1" applyFill="1" applyBorder="1" applyAlignment="1">
      <alignment horizontal="center"/>
    </xf>
    <xf numFmtId="49" fontId="8" fillId="15" borderId="42" xfId="0" applyNumberFormat="1" applyFont="1" applyFill="1" applyBorder="1" applyAlignment="1">
      <alignment horizontal="center"/>
    </xf>
    <xf numFmtId="167" fontId="10" fillId="0" borderId="0" xfId="0" applyNumberFormat="1" applyFont="1"/>
    <xf numFmtId="0" fontId="0" fillId="0" borderId="0" xfId="0" applyAlignment="1">
      <alignment horizontal="left"/>
    </xf>
    <xf numFmtId="167" fontId="2" fillId="0" borderId="0" xfId="0" applyNumberFormat="1" applyFont="1" applyAlignment="1">
      <alignment horizontal="center"/>
    </xf>
    <xf numFmtId="0" fontId="19" fillId="0" borderId="0" xfId="0" applyFont="1" applyFill="1" applyBorder="1"/>
    <xf numFmtId="0" fontId="19" fillId="0" borderId="14" xfId="0" applyNumberFormat="1" applyFont="1" applyFill="1" applyBorder="1"/>
    <xf numFmtId="0" fontId="0" fillId="0" borderId="14" xfId="0" applyNumberFormat="1" applyBorder="1"/>
    <xf numFmtId="0" fontId="1" fillId="9" borderId="51" xfId="0" applyFont="1" applyFill="1" applyBorder="1" applyAlignment="1">
      <alignment horizontal="center"/>
    </xf>
    <xf numFmtId="0" fontId="1" fillId="9" borderId="52" xfId="0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/>
    <xf numFmtId="0" fontId="19" fillId="0" borderId="0" xfId="0" applyNumberFormat="1" applyFont="1" applyFill="1" applyBorder="1"/>
    <xf numFmtId="0" fontId="0" fillId="0" borderId="14" xfId="0" applyFont="1" applyFill="1" applyBorder="1"/>
    <xf numFmtId="0" fontId="20" fillId="0" borderId="13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73" fontId="13" fillId="0" borderId="0" xfId="0" applyNumberFormat="1" applyFont="1" applyBorder="1" applyAlignment="1"/>
    <xf numFmtId="173" fontId="13" fillId="0" borderId="0" xfId="0" applyNumberFormat="1" applyFont="1" applyFill="1" applyBorder="1" applyAlignment="1"/>
    <xf numFmtId="49" fontId="13" fillId="0" borderId="0" xfId="0" applyNumberFormat="1" applyFont="1" applyFill="1" applyBorder="1" applyAlignment="1">
      <alignment horizontal="left"/>
    </xf>
    <xf numFmtId="49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left"/>
    </xf>
    <xf numFmtId="49" fontId="13" fillId="0" borderId="44" xfId="0" applyNumberFormat="1" applyFont="1" applyFill="1" applyBorder="1" applyAlignment="1">
      <alignment horizontal="right"/>
    </xf>
    <xf numFmtId="170" fontId="0" fillId="0" borderId="0" xfId="0" applyNumberFormat="1"/>
    <xf numFmtId="0" fontId="20" fillId="0" borderId="0" xfId="0" applyFont="1" applyFill="1" applyBorder="1"/>
    <xf numFmtId="0" fontId="20" fillId="0" borderId="44" xfId="0" applyFont="1" applyFill="1" applyBorder="1"/>
    <xf numFmtId="0" fontId="6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0" fillId="0" borderId="0" xfId="0" applyNumberFormat="1" applyBorder="1"/>
    <xf numFmtId="167" fontId="0" fillId="0" borderId="0" xfId="0" applyNumberFormat="1" applyBorder="1"/>
    <xf numFmtId="167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0" xfId="0" applyFont="1" applyFill="1" applyBorder="1"/>
    <xf numFmtId="0" fontId="18" fillId="0" borderId="13" xfId="0" applyFont="1" applyBorder="1" applyAlignment="1">
      <alignment horizontal="center"/>
    </xf>
    <xf numFmtId="165" fontId="2" fillId="0" borderId="0" xfId="0" applyNumberFormat="1" applyFont="1"/>
    <xf numFmtId="165" fontId="2" fillId="0" borderId="44" xfId="0" applyNumberFormat="1" applyFont="1" applyBorder="1"/>
    <xf numFmtId="0" fontId="1" fillId="13" borderId="0" xfId="0" applyFont="1" applyFill="1" applyAlignment="1">
      <alignment horizontal="right"/>
    </xf>
    <xf numFmtId="0" fontId="0" fillId="0" borderId="55" xfId="0" applyFont="1" applyFill="1" applyBorder="1"/>
    <xf numFmtId="0" fontId="1" fillId="26" borderId="56" xfId="0" applyFont="1" applyFill="1" applyBorder="1"/>
    <xf numFmtId="0" fontId="0" fillId="17" borderId="56" xfId="0" applyFont="1" applyFill="1" applyBorder="1"/>
    <xf numFmtId="0" fontId="0" fillId="0" borderId="56" xfId="0" applyFont="1" applyBorder="1"/>
    <xf numFmtId="0" fontId="1" fillId="26" borderId="57" xfId="0" applyFont="1" applyFill="1" applyBorder="1"/>
    <xf numFmtId="0" fontId="1" fillId="13" borderId="0" xfId="0" applyFont="1" applyFill="1" applyAlignment="1">
      <alignment horizontal="right"/>
    </xf>
    <xf numFmtId="0" fontId="1" fillId="13" borderId="0" xfId="0" applyFont="1" applyFill="1" applyAlignment="1">
      <alignment horizontal="right"/>
    </xf>
    <xf numFmtId="0" fontId="0" fillId="0" borderId="0" xfId="0" applyNumberFormat="1"/>
    <xf numFmtId="0" fontId="0" fillId="0" borderId="50" xfId="0" applyBorder="1"/>
    <xf numFmtId="0" fontId="1" fillId="13" borderId="0" xfId="0" applyFont="1" applyFill="1" applyAlignment="1">
      <alignment horizontal="right"/>
    </xf>
    <xf numFmtId="0" fontId="9" fillId="0" borderId="0" xfId="0" applyFont="1"/>
    <xf numFmtId="0" fontId="9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9" fillId="0" borderId="14" xfId="0" applyFont="1" applyBorder="1"/>
    <xf numFmtId="0" fontId="1" fillId="13" borderId="0" xfId="0" applyFont="1" applyFill="1" applyAlignment="1">
      <alignment horizontal="right"/>
    </xf>
    <xf numFmtId="0" fontId="0" fillId="0" borderId="0" xfId="0" applyNumberFormat="1" applyFont="1" applyFill="1" applyBorder="1"/>
    <xf numFmtId="0" fontId="1" fillId="13" borderId="0" xfId="0" applyFont="1" applyFill="1" applyAlignment="1">
      <alignment horizontal="right"/>
    </xf>
    <xf numFmtId="0" fontId="0" fillId="0" borderId="50" xfId="0" applyNumberFormat="1" applyFont="1" applyFill="1" applyBorder="1"/>
    <xf numFmtId="0" fontId="0" fillId="0" borderId="0" xfId="0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" fillId="18" borderId="0" xfId="0" applyFont="1" applyFill="1" applyBorder="1" applyAlignment="1">
      <alignment horizontal="center"/>
    </xf>
    <xf numFmtId="0" fontId="1" fillId="23" borderId="0" xfId="0" applyFont="1" applyFill="1" applyBorder="1" applyAlignment="1">
      <alignment horizontal="center"/>
    </xf>
    <xf numFmtId="0" fontId="1" fillId="9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15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166" fontId="9" fillId="10" borderId="3" xfId="0" applyNumberFormat="1" applyFont="1" applyFill="1" applyBorder="1" applyAlignment="1">
      <alignment horizontal="center"/>
    </xf>
    <xf numFmtId="166" fontId="9" fillId="10" borderId="16" xfId="0" applyNumberFormat="1" applyFont="1" applyFill="1" applyBorder="1" applyAlignment="1">
      <alignment horizontal="center"/>
    </xf>
    <xf numFmtId="166" fontId="9" fillId="10" borderId="4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right"/>
    </xf>
    <xf numFmtId="0" fontId="1" fillId="13" borderId="5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166" fontId="9" fillId="8" borderId="3" xfId="0" applyNumberFormat="1" applyFont="1" applyFill="1" applyBorder="1" applyAlignment="1">
      <alignment horizontal="center"/>
    </xf>
    <xf numFmtId="166" fontId="9" fillId="8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5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1" fillId="13" borderId="17" xfId="0" applyFont="1" applyFill="1" applyBorder="1" applyAlignment="1">
      <alignment horizontal="center"/>
    </xf>
    <xf numFmtId="0" fontId="6" fillId="0" borderId="0" xfId="0" applyFont="1"/>
    <xf numFmtId="165" fontId="6" fillId="0" borderId="0" xfId="0" applyNumberFormat="1" applyFont="1"/>
    <xf numFmtId="0" fontId="18" fillId="0" borderId="0" xfId="0" applyFont="1"/>
    <xf numFmtId="165" fontId="18" fillId="0" borderId="0" xfId="0" applyNumberFormat="1" applyFont="1"/>
    <xf numFmtId="0" fontId="8" fillId="0" borderId="0" xfId="0" applyFont="1"/>
    <xf numFmtId="165" fontId="8" fillId="0" borderId="0" xfId="0" applyNumberFormat="1" applyFont="1"/>
  </cellXfs>
  <cellStyles count="1">
    <cellStyle name="Normal" xfId="0" builtinId="0"/>
  </cellStyles>
  <dxfs count="255">
    <dxf>
      <fill>
        <patternFill patternType="none">
          <bgColor auto="1"/>
        </patternFill>
      </fill>
    </dxf>
    <dxf>
      <font>
        <b val="0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border diagonalUp="0" diagonalDown="0" outline="0">
        <left/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0" formatCode="General"/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0" formatCode="General"/>
      <border diagonalUp="0" diagonalDown="0" outline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5" formatCode="0;\-0;;@"/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outline="0"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5" formatCode="0;\-0;;@"/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 val="0"/>
      </font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color rgb="FF7030A0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5" formatCode="0;\-0;;@"/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color rgb="FF7030A0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</font>
      <numFmt numFmtId="165" formatCode="0;\-0;;@"/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numFmt numFmtId="167" formatCode="0&quot; kg&quot;"/>
      <alignment horizontal="center" vertical="bottom" textRotation="0" wrapText="0" indent="0" justifyLastLine="0" shrinkToFit="0" readingOrder="0"/>
    </dxf>
    <dxf>
      <numFmt numFmtId="167" formatCode="0&quot; kg&quot;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7" formatCode="0&quot; kg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5" formatCode="0;\-0;;@"/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+ &quot;0&quot; kg&quot;"/>
    </dxf>
    <dxf>
      <font>
        <b/>
      </font>
      <numFmt numFmtId="167" formatCode="0&quot; kg&quot;"/>
    </dxf>
    <dxf>
      <numFmt numFmtId="167" formatCode="0&quot; kg&quot;"/>
    </dxf>
    <dxf>
      <fill>
        <patternFill patternType="none">
          <fgColor indexed="64"/>
          <bgColor auto="1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165" formatCode="0;\-0;;@"/>
    </dxf>
    <dxf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numFmt numFmtId="169" formatCode="General&quot; m&quot;"/>
      <alignment horizontal="center" vertical="bottom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positions championnat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Stats!$O$3</c:f>
              <c:strCache>
                <c:ptCount val="1"/>
                <c:pt idx="0">
                  <c:v>GT-Alex74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Stats!$P$3:$T$3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Stats!$O$4</c:f>
              <c:strCache>
                <c:ptCount val="1"/>
                <c:pt idx="0">
                  <c:v>Valgar74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Stats!$P$4:$T$4</c:f>
              <c:numCache>
                <c:formatCode>General</c:formatCode>
                <c:ptCount val="5"/>
                <c:pt idx="0">
                  <c:v>16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Stats!$O$5</c:f>
              <c:strCache>
                <c:ptCount val="1"/>
                <c:pt idx="0">
                  <c:v>siberg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Stats!$P$5:$T$5</c:f>
              <c:numCache>
                <c:formatCode>General</c:formatCode>
                <c:ptCount val="5"/>
                <c:pt idx="0">
                  <c:v>13</c:v>
                </c:pt>
                <c:pt idx="1">
                  <c:v>14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Stats!$O$6</c:f>
              <c:strCache>
                <c:ptCount val="1"/>
                <c:pt idx="0">
                  <c:v>GTBE-Flow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Stats!$P$6:$T$6</c:f>
              <c:numCache>
                <c:formatCode>General</c:formatCode>
                <c:ptCount val="5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Stats!$O$7</c:f>
              <c:strCache>
                <c:ptCount val="1"/>
                <c:pt idx="0">
                  <c:v>Ailef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Stats!$P$7:$T$7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Stats!$O$8</c:f>
              <c:strCache>
                <c:ptCount val="1"/>
                <c:pt idx="0">
                  <c:v>Crazy_Kia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Stats!$P$8:$T$8</c:f>
              <c:numCache>
                <c:formatCode>General</c:formatCode>
                <c:ptCount val="5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Stats!$O$9</c:f>
              <c:strCache>
                <c:ptCount val="1"/>
                <c:pt idx="0">
                  <c:v>t45y6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Stats!$P$9:$T$9</c:f>
              <c:numCache>
                <c:formatCode>General</c:formatCode>
                <c:ptCount val="5"/>
                <c:pt idx="0">
                  <c:v>19</c:v>
                </c:pt>
                <c:pt idx="1">
                  <c:v>18</c:v>
                </c:pt>
                <c:pt idx="2">
                  <c:v>16</c:v>
                </c:pt>
                <c:pt idx="3">
                  <c:v>15</c:v>
                </c:pt>
                <c:pt idx="4">
                  <c:v>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Stats!$O$10</c:f>
              <c:strCache>
                <c:ptCount val="1"/>
                <c:pt idx="0">
                  <c:v>ricket--42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Stats!$P$10:$T$10</c:f>
              <c:numCache>
                <c:formatCode>General</c:formatCode>
                <c:ptCount val="5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14</c:v>
                </c:pt>
                <c:pt idx="4">
                  <c:v>13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Stats!$O$11</c:f>
              <c:strCache>
                <c:ptCount val="1"/>
                <c:pt idx="0">
                  <c:v>CHATsuffit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Stats!$P$11:$T$11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Stats!$O$12</c:f>
              <c:strCache>
                <c:ptCount val="1"/>
                <c:pt idx="0">
                  <c:v>Aweoob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Stats!$P$12:$T$12</c:f>
              <c:numCache>
                <c:formatCode>General</c:formatCode>
                <c:ptCount val="5"/>
                <c:pt idx="0">
                  <c:v>12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Stats!$O$13</c:f>
              <c:strCache>
                <c:ptCount val="1"/>
                <c:pt idx="0">
                  <c:v>ThePsykoPat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Stats!$P$13:$T$13</c:f>
              <c:numCache>
                <c:formatCode>General</c:formatCode>
                <c:ptCount val="5"/>
                <c:pt idx="0">
                  <c:v>18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Stats!$O$14</c:f>
              <c:strCache>
                <c:ptCount val="1"/>
                <c:pt idx="0">
                  <c:v>gégé42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Stats!$P$14:$T$14</c:f>
              <c:numCache>
                <c:formatCode>General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11</c:v>
                </c:pt>
                <c:pt idx="4">
                  <c:v>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Stats!$O$15</c:f>
              <c:strCache>
                <c:ptCount val="1"/>
                <c:pt idx="0">
                  <c:v>shenron262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Stats!$P$15:$T$15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Stats!$O$16</c:f>
              <c:strCache>
                <c:ptCount val="1"/>
                <c:pt idx="0">
                  <c:v>iaka59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Stats!$P$16:$T$16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Stats!$O$17</c:f>
              <c:strCache>
                <c:ptCount val="1"/>
                <c:pt idx="0">
                  <c:v>crachtest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Stats!$P$17:$T$17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Stats!$O$18</c:f>
              <c:strCache>
                <c:ptCount val="1"/>
                <c:pt idx="0">
                  <c:v>jarno63100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Stats!$P$18:$T$18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Stats!$O$19</c:f>
              <c:strCache>
                <c:ptCount val="1"/>
                <c:pt idx="0">
                  <c:v>Guesstom1981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Stats!$P$19:$T$19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Stats!$O$20</c:f>
              <c:strCache>
                <c:ptCount val="1"/>
                <c:pt idx="0">
                  <c:v>adrien007sco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Stats!$P$20:$T$20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Stats!$O$21</c:f>
              <c:strCache>
                <c:ptCount val="1"/>
                <c:pt idx="0">
                  <c:v>alainv-du-69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Stats!$P$21:$T$21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Stats!$O$22</c:f>
              <c:strCache>
                <c:ptCount val="1"/>
                <c:pt idx="0">
                  <c:v>Ethan66000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Stats!$P$22:$T$22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23669856"/>
        <c:axId val="-423668768"/>
      </c:lineChart>
      <c:catAx>
        <c:axId val="-42366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423668768"/>
        <c:crosses val="autoZero"/>
        <c:auto val="1"/>
        <c:lblAlgn val="ctr"/>
        <c:lblOffset val="100"/>
        <c:noMultiLvlLbl val="0"/>
      </c:catAx>
      <c:valAx>
        <c:axId val="-423668768"/>
        <c:scaling>
          <c:orientation val="minMax"/>
          <c:max val="20"/>
          <c:min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42366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lest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Stats!$Z$3</c:f>
              <c:strCache>
                <c:ptCount val="1"/>
                <c:pt idx="0">
                  <c:v>GT-Alex74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Stats!$AA$3:$AE$3</c:f>
              <c:numCache>
                <c:formatCode>General</c:formatCode>
                <c:ptCount val="5"/>
                <c:pt idx="0">
                  <c:v>61</c:v>
                </c:pt>
                <c:pt idx="1">
                  <c:v>105</c:v>
                </c:pt>
                <c:pt idx="2">
                  <c:v>126</c:v>
                </c:pt>
                <c:pt idx="3">
                  <c:v>45</c:v>
                </c:pt>
                <c:pt idx="4">
                  <c:v>119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Stats!$Z$4</c:f>
              <c:strCache>
                <c:ptCount val="1"/>
                <c:pt idx="0">
                  <c:v>Valgar74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Stats!$AA$4:$AE$4</c:f>
              <c:numCache>
                <c:formatCode>General</c:formatCode>
                <c:ptCount val="5"/>
                <c:pt idx="0">
                  <c:v>-28</c:v>
                </c:pt>
                <c:pt idx="1">
                  <c:v>74</c:v>
                </c:pt>
                <c:pt idx="2">
                  <c:v>120</c:v>
                </c:pt>
                <c:pt idx="3">
                  <c:v>39</c:v>
                </c:pt>
                <c:pt idx="4">
                  <c:v>101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Stats!$Z$5</c:f>
              <c:strCache>
                <c:ptCount val="1"/>
                <c:pt idx="0">
                  <c:v>siberg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Stats!$AA$5:$AE$5</c:f>
              <c:numCache>
                <c:formatCode>General</c:formatCode>
                <c:ptCount val="5"/>
                <c:pt idx="0">
                  <c:v>-28</c:v>
                </c:pt>
                <c:pt idx="1">
                  <c:v>-20</c:v>
                </c:pt>
                <c:pt idx="2">
                  <c:v>-2</c:v>
                </c:pt>
                <c:pt idx="3">
                  <c:v>75</c:v>
                </c:pt>
                <c:pt idx="4">
                  <c:v>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Stats!$Z$6</c:f>
              <c:strCache>
                <c:ptCount val="1"/>
                <c:pt idx="0">
                  <c:v>GTBE-Flow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Stats!$AA$6:$AE$6</c:f>
              <c:numCache>
                <c:formatCode>General</c:formatCode>
                <c:ptCount val="5"/>
                <c:pt idx="0">
                  <c:v>-28</c:v>
                </c:pt>
                <c:pt idx="1">
                  <c:v>-16</c:v>
                </c:pt>
                <c:pt idx="2">
                  <c:v>3</c:v>
                </c:pt>
                <c:pt idx="3">
                  <c:v>41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Stats!$Z$7</c:f>
              <c:strCache>
                <c:ptCount val="1"/>
                <c:pt idx="0">
                  <c:v>Ailef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Stats!$AA$7:$AE$7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31</c:v>
                </c:pt>
                <c:pt idx="3">
                  <c:v>-10</c:v>
                </c:pt>
                <c:pt idx="4">
                  <c:v>-6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Stats!$Z$8</c:f>
              <c:strCache>
                <c:ptCount val="1"/>
                <c:pt idx="0">
                  <c:v>Crazy_Kia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Stats!$AA$8:$AE$8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Stats!$Z$9</c:f>
              <c:strCache>
                <c:ptCount val="1"/>
                <c:pt idx="0">
                  <c:v>t45y6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Stats!$AA$9:$AE$9</c:f>
              <c:numCache>
                <c:formatCode>General</c:formatCode>
                <c:ptCount val="5"/>
                <c:pt idx="0">
                  <c:v>38</c:v>
                </c:pt>
                <c:pt idx="1">
                  <c:v>67</c:v>
                </c:pt>
                <c:pt idx="2">
                  <c:v>16</c:v>
                </c:pt>
                <c:pt idx="3">
                  <c:v>-5</c:v>
                </c:pt>
                <c:pt idx="4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Stats!$Z$10</c:f>
              <c:strCache>
                <c:ptCount val="1"/>
                <c:pt idx="0">
                  <c:v>ricket--42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Stats!$AA$10:$AE$10</c:f>
              <c:numCache>
                <c:formatCode>General</c:formatCode>
                <c:ptCount val="5"/>
                <c:pt idx="0">
                  <c:v>-28</c:v>
                </c:pt>
                <c:pt idx="1">
                  <c:v>-14</c:v>
                </c:pt>
                <c:pt idx="2">
                  <c:v>6</c:v>
                </c:pt>
                <c:pt idx="3">
                  <c:v>-4</c:v>
                </c:pt>
                <c:pt idx="4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Stats!$Z$11</c:f>
              <c:strCache>
                <c:ptCount val="1"/>
                <c:pt idx="0">
                  <c:v>CHATsuffit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Stats!$AA$11:$AE$11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Stats!$Z$12</c:f>
              <c:strCache>
                <c:ptCount val="1"/>
                <c:pt idx="0">
                  <c:v>Aweoob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Stats!$AA$12:$AE$12</c:f>
              <c:numCache>
                <c:formatCode>General</c:formatCode>
                <c:ptCount val="5"/>
                <c:pt idx="0">
                  <c:v>-28</c:v>
                </c:pt>
                <c:pt idx="1">
                  <c:v>-22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Stats!$Z$13</c:f>
              <c:strCache>
                <c:ptCount val="1"/>
                <c:pt idx="0">
                  <c:v>ThePsykoPat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Stats!$AA$13:$AE$13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Stats!$Z$14</c:f>
              <c:strCache>
                <c:ptCount val="1"/>
                <c:pt idx="0">
                  <c:v>gégé42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Stats!$AA$14:$AE$14</c:f>
              <c:numCache>
                <c:formatCode>General</c:formatCode>
                <c:ptCount val="5"/>
                <c:pt idx="0">
                  <c:v>-28</c:v>
                </c:pt>
                <c:pt idx="1">
                  <c:v>-16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Stats!$Z$15</c:f>
              <c:strCache>
                <c:ptCount val="1"/>
                <c:pt idx="0">
                  <c:v>shenron262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Stats!$AA$15:$AE$15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Stats!$Z$16</c:f>
              <c:strCache>
                <c:ptCount val="1"/>
                <c:pt idx="0">
                  <c:v>iaka59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Stats!$AA$16:$AE$16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Stats!$Z$17</c:f>
              <c:strCache>
                <c:ptCount val="1"/>
                <c:pt idx="0">
                  <c:v>crachtest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Stats!$AA$17:$AE$17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Stats!$Z$18</c:f>
              <c:strCache>
                <c:ptCount val="1"/>
                <c:pt idx="0">
                  <c:v>jarno63100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Stats!$AA$18:$AE$18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Stats!$Z$19</c:f>
              <c:strCache>
                <c:ptCount val="1"/>
                <c:pt idx="0">
                  <c:v>Guesstom1981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Stats!$AA$19:$AE$19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Stats!$Z$20</c:f>
              <c:strCache>
                <c:ptCount val="1"/>
                <c:pt idx="0">
                  <c:v>adrien007sco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Stats!$AA$20:$AE$20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Stats!$Z$21</c:f>
              <c:strCache>
                <c:ptCount val="1"/>
                <c:pt idx="0">
                  <c:v>alainv-du-69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Stats!$AA$21:$AE$21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Stats!$Z$22</c:f>
              <c:strCache>
                <c:ptCount val="1"/>
                <c:pt idx="0">
                  <c:v>Ethan66000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Stats!$AA$22:$AE$22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23663328"/>
        <c:axId val="-423673120"/>
      </c:lineChart>
      <c:catAx>
        <c:axId val="-42366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423673120"/>
        <c:crosses val="autoZero"/>
        <c:auto val="1"/>
        <c:lblAlgn val="ctr"/>
        <c:lblOffset val="100"/>
        <c:noMultiLvlLbl val="0"/>
      </c:catAx>
      <c:valAx>
        <c:axId val="-423673120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42366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points championnat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Stats!$A$3</c:f>
              <c:strCache>
                <c:ptCount val="1"/>
                <c:pt idx="0">
                  <c:v>GT-Alex74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Stats!$B$3:$G$3</c:f>
              <c:numCache>
                <c:formatCode>General</c:formatCode>
                <c:ptCount val="6"/>
                <c:pt idx="0">
                  <c:v>0</c:v>
                </c:pt>
                <c:pt idx="1">
                  <c:v>59</c:v>
                </c:pt>
                <c:pt idx="2">
                  <c:v>111</c:v>
                </c:pt>
                <c:pt idx="3">
                  <c:v>143</c:v>
                </c:pt>
                <c:pt idx="4">
                  <c:v>160</c:v>
                </c:pt>
                <c:pt idx="5">
                  <c:v>208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Stats!$A$4</c:f>
              <c:strCache>
                <c:ptCount val="1"/>
                <c:pt idx="0">
                  <c:v>Valgar74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Stats!$B$4:$G$4</c:f>
              <c:numCache>
                <c:formatCode>General</c:formatCode>
                <c:ptCount val="6"/>
                <c:pt idx="0">
                  <c:v>0</c:v>
                </c:pt>
                <c:pt idx="1">
                  <c:v>41</c:v>
                </c:pt>
                <c:pt idx="2">
                  <c:v>100</c:v>
                </c:pt>
                <c:pt idx="3">
                  <c:v>137</c:v>
                </c:pt>
                <c:pt idx="4">
                  <c:v>160</c:v>
                </c:pt>
                <c:pt idx="5">
                  <c:v>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Stats!$A$5</c:f>
              <c:strCache>
                <c:ptCount val="1"/>
                <c:pt idx="0">
                  <c:v>siberg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Stats!$B$5:$G$5</c:f>
              <c:numCache>
                <c:formatCode>General</c:formatCode>
                <c:ptCount val="6"/>
                <c:pt idx="0">
                  <c:v>0</c:v>
                </c:pt>
                <c:pt idx="1">
                  <c:v>36</c:v>
                </c:pt>
                <c:pt idx="2">
                  <c:v>75</c:v>
                </c:pt>
                <c:pt idx="3">
                  <c:v>103</c:v>
                </c:pt>
                <c:pt idx="4">
                  <c:v>143</c:v>
                </c:pt>
                <c:pt idx="5">
                  <c:v>177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Stats!$A$6</c:f>
              <c:strCache>
                <c:ptCount val="1"/>
                <c:pt idx="0">
                  <c:v>GTBE-Flow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Stats!$B$6:$G$6</c:f>
              <c:numCache>
                <c:formatCode>General</c:formatCode>
                <c:ptCount val="6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80</c:v>
                </c:pt>
                <c:pt idx="4">
                  <c:v>119</c:v>
                </c:pt>
                <c:pt idx="5">
                  <c:v>149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Stats!$A$7</c:f>
              <c:strCache>
                <c:ptCount val="1"/>
                <c:pt idx="0">
                  <c:v>Ailef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Stats!$B$7:$G$7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53</c:v>
                </c:pt>
                <c:pt idx="3">
                  <c:v>88</c:v>
                </c:pt>
                <c:pt idx="4">
                  <c:v>113</c:v>
                </c:pt>
                <c:pt idx="5">
                  <c:v>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Stats!$A$8</c:f>
              <c:strCache>
                <c:ptCount val="1"/>
                <c:pt idx="0">
                  <c:v>Crazy_Kia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Stats!$B$8:$G$8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51</c:v>
                </c:pt>
                <c:pt idx="3">
                  <c:v>74</c:v>
                </c:pt>
                <c:pt idx="4">
                  <c:v>91</c:v>
                </c:pt>
                <c:pt idx="5">
                  <c:v>117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Stats!$A$9</c:f>
              <c:strCache>
                <c:ptCount val="1"/>
                <c:pt idx="0">
                  <c:v>t45y6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Stats!$B$9:$G$9</c:f>
              <c:numCache>
                <c:formatCode>General</c:formatCode>
                <c:ptCount val="6"/>
                <c:pt idx="0">
                  <c:v>0</c:v>
                </c:pt>
                <c:pt idx="1">
                  <c:v>46</c:v>
                </c:pt>
                <c:pt idx="2">
                  <c:v>93</c:v>
                </c:pt>
                <c:pt idx="3">
                  <c:v>93</c:v>
                </c:pt>
                <c:pt idx="4">
                  <c:v>108</c:v>
                </c:pt>
                <c:pt idx="5">
                  <c:v>114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Stats!$A$10</c:f>
              <c:strCache>
                <c:ptCount val="1"/>
                <c:pt idx="0">
                  <c:v>ricket--42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Stats!$B$10:$G$10</c:f>
              <c:numCache>
                <c:formatCode>General</c:formatCode>
                <c:ptCount val="6"/>
                <c:pt idx="0">
                  <c:v>0</c:v>
                </c:pt>
                <c:pt idx="1">
                  <c:v>42</c:v>
                </c:pt>
                <c:pt idx="2">
                  <c:v>83</c:v>
                </c:pt>
                <c:pt idx="3">
                  <c:v>94</c:v>
                </c:pt>
                <c:pt idx="4">
                  <c:v>103</c:v>
                </c:pt>
                <c:pt idx="5">
                  <c:v>111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Stats!$A$11</c:f>
              <c:strCache>
                <c:ptCount val="1"/>
                <c:pt idx="0">
                  <c:v>CHATsuffit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Stats!$B$11:$G$11</c:f>
              <c:numCache>
                <c:formatCode>General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28</c:v>
                </c:pt>
                <c:pt idx="3">
                  <c:v>50</c:v>
                </c:pt>
                <c:pt idx="4">
                  <c:v>84</c:v>
                </c:pt>
                <c:pt idx="5">
                  <c:v>104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Stats!$A$12</c:f>
              <c:strCache>
                <c:ptCount val="1"/>
                <c:pt idx="0">
                  <c:v>Aweoob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Stats!$B$12:$G$12</c:f>
              <c:numCache>
                <c:formatCode>General</c:formatCode>
                <c:ptCount val="6"/>
                <c:pt idx="0">
                  <c:v>0</c:v>
                </c:pt>
                <c:pt idx="1">
                  <c:v>34</c:v>
                </c:pt>
                <c:pt idx="2">
                  <c:v>68</c:v>
                </c:pt>
                <c:pt idx="3">
                  <c:v>68</c:v>
                </c:pt>
                <c:pt idx="4">
                  <c:v>80</c:v>
                </c:pt>
                <c:pt idx="5">
                  <c:v>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Stats!$A$13</c:f>
              <c:strCache>
                <c:ptCount val="1"/>
                <c:pt idx="0">
                  <c:v>ThePsykoPat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Stats!$B$13:$G$13</c:f>
              <c:numCache>
                <c:formatCode>General</c:formatCode>
                <c:ptCount val="6"/>
                <c:pt idx="0">
                  <c:v>0</c:v>
                </c:pt>
                <c:pt idx="1">
                  <c:v>43</c:v>
                </c:pt>
                <c:pt idx="2">
                  <c:v>46</c:v>
                </c:pt>
                <c:pt idx="3">
                  <c:v>70</c:v>
                </c:pt>
                <c:pt idx="4">
                  <c:v>90</c:v>
                </c:pt>
                <c:pt idx="5">
                  <c:v>90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Stats!$A$14</c:f>
              <c:strCache>
                <c:ptCount val="1"/>
                <c:pt idx="0">
                  <c:v>gégé42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Stats!$B$14:$G$14</c:f>
              <c:numCache>
                <c:formatCode>General</c:formatCode>
                <c:ptCount val="6"/>
                <c:pt idx="0">
                  <c:v>0</c:v>
                </c:pt>
                <c:pt idx="1">
                  <c:v>40</c:v>
                </c:pt>
                <c:pt idx="2">
                  <c:v>77</c:v>
                </c:pt>
                <c:pt idx="3">
                  <c:v>84</c:v>
                </c:pt>
                <c:pt idx="4">
                  <c:v>84</c:v>
                </c:pt>
                <c:pt idx="5">
                  <c:v>84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Stats!$A$15</c:f>
              <c:strCache>
                <c:ptCount val="1"/>
                <c:pt idx="0">
                  <c:v>shenron262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Stats!$B$15:$G$15</c:f>
              <c:numCache>
                <c:formatCode>General</c:formatCode>
                <c:ptCount val="6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47</c:v>
                </c:pt>
                <c:pt idx="4">
                  <c:v>68</c:v>
                </c:pt>
                <c:pt idx="5">
                  <c:v>82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Stats!$A$16</c:f>
              <c:strCache>
                <c:ptCount val="1"/>
                <c:pt idx="0">
                  <c:v>iaka59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Stats!$B$16:$G$16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32</c:v>
                </c:pt>
                <c:pt idx="3">
                  <c:v>54</c:v>
                </c:pt>
                <c:pt idx="4">
                  <c:v>54</c:v>
                </c:pt>
                <c:pt idx="5">
                  <c:v>72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Stats!$A$17</c:f>
              <c:strCache>
                <c:ptCount val="1"/>
                <c:pt idx="0">
                  <c:v>crachtest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Stats!$B$17:$G$17</c:f>
              <c:numCache>
                <c:formatCode>General</c:formatCode>
                <c:ptCount val="6"/>
                <c:pt idx="0">
                  <c:v>0</c:v>
                </c:pt>
                <c:pt idx="1">
                  <c:v>11</c:v>
                </c:pt>
                <c:pt idx="2">
                  <c:v>32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Stats!$A$18</c:f>
              <c:strCache>
                <c:ptCount val="1"/>
                <c:pt idx="0">
                  <c:v>jarno63100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Stats!$B$18:$G$18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10</c:v>
                </c:pt>
                <c:pt idx="3">
                  <c:v>24</c:v>
                </c:pt>
                <c:pt idx="4">
                  <c:v>33</c:v>
                </c:pt>
                <c:pt idx="5">
                  <c:v>43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Stats!$A$19</c:f>
              <c:strCache>
                <c:ptCount val="1"/>
                <c:pt idx="0">
                  <c:v>Guesstom1981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Stats!$B$19:$G$19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42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Stats!$A$20</c:f>
              <c:strCache>
                <c:ptCount val="1"/>
                <c:pt idx="0">
                  <c:v>adrien007sco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Stats!$B$20:$G$20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Stats!$A$21</c:f>
              <c:strCache>
                <c:ptCount val="1"/>
                <c:pt idx="0">
                  <c:v>alainv-du-69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Stats!$B$21:$G$21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11</c:v>
                </c:pt>
                <c:pt idx="3">
                  <c:v>21</c:v>
                </c:pt>
                <c:pt idx="4">
                  <c:v>26</c:v>
                </c:pt>
                <c:pt idx="5">
                  <c:v>26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Stats!$A$22</c:f>
              <c:strCache>
                <c:ptCount val="1"/>
                <c:pt idx="0">
                  <c:v>Ethan66000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Stats!$B$22:$G$22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7871120"/>
        <c:axId val="-217866224"/>
      </c:lineChart>
      <c:catAx>
        <c:axId val="-21787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17866224"/>
        <c:crosses val="autoZero"/>
        <c:auto val="1"/>
        <c:lblAlgn val="ctr"/>
        <c:lblOffset val="100"/>
        <c:noMultiLvlLbl val="0"/>
      </c:catAx>
      <c:valAx>
        <c:axId val="-217866224"/>
        <c:scaling>
          <c:orientation val="minMax"/>
          <c:max val="2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1787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4761</xdr:rowOff>
    </xdr:from>
    <xdr:to>
      <xdr:col>30</xdr:col>
      <xdr:colOff>619125</xdr:colOff>
      <xdr:row>58</xdr:row>
      <xdr:rowOff>161924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96</xdr:row>
      <xdr:rowOff>147637</xdr:rowOff>
    </xdr:from>
    <xdr:to>
      <xdr:col>30</xdr:col>
      <xdr:colOff>342899</xdr:colOff>
      <xdr:row>131</xdr:row>
      <xdr:rowOff>180975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185736</xdr:rowOff>
    </xdr:from>
    <xdr:to>
      <xdr:col>30</xdr:col>
      <xdr:colOff>342899</xdr:colOff>
      <xdr:row>96</xdr:row>
      <xdr:rowOff>114299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leau6" displayName="Tableau6" ref="A2:G22" totalsRowShown="0" headerRowDxfId="254" tableBorderDxfId="253">
  <autoFilter ref="A2:G22"/>
  <tableColumns count="7">
    <tableColumn id="1" name="Pilote" dataDxfId="252"/>
    <tableColumn id="2" name="0" dataDxfId="251"/>
    <tableColumn id="3" name="1" dataDxfId="250">
      <calculatedColumnFormula>VLOOKUP(Tableau6[[#This Row],[Pilote]],Tableau35[#All],2,0)</calculatedColumnFormula>
    </tableColumn>
    <tableColumn id="4" name="2" dataDxfId="249">
      <calculatedColumnFormula>VLOOKUP(Tableau6[[#This Row],[Pilote]],Tableau35[#All],3,0)+Tableau6[[#This Row],[1]]</calculatedColumnFormula>
    </tableColumn>
    <tableColumn id="5" name="3" dataDxfId="248">
      <calculatedColumnFormula>VLOOKUP(Tableau6[[#This Row],[Pilote]],Tableau35[#All],4,0)+Tableau6[[#This Row],[2]]</calculatedColumnFormula>
    </tableColumn>
    <tableColumn id="6" name="4" dataDxfId="247">
      <calculatedColumnFormula>VLOOKUP(Tableau6[[#This Row],[Pilote]],Tableau35[#All],5,0)+Tableau6[[#This Row],[3]]</calculatedColumnFormula>
    </tableColumn>
    <tableColumn id="7" name="5" dataDxfId="246">
      <calculatedColumnFormula>VLOOKUP(Tableau6[[#This Row],[Pilote]],Tableau35[#All],6,0)+Tableau6[[#This Row],[4]]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3" name="Tableau53" displayName="Tableau53" ref="AB2:AC27" totalsRowShown="0">
  <autoFilter ref="AB2:AC27"/>
  <sortState ref="AB3:AC27">
    <sortCondition descending="1" ref="AC2:AC27"/>
  </sortState>
  <tableColumns count="2">
    <tableColumn id="1" name="Pilote" dataDxfId="193"/>
    <tableColumn id="2" name="Moy Pts/cours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33" name="Tableau33" displayName="Tableau33" ref="B1:G33" totalsRowShown="0">
  <autoFilter ref="B1:G33"/>
  <sortState ref="B2:G33">
    <sortCondition descending="1" ref="G1:G33"/>
  </sortState>
  <tableColumns count="6">
    <tableColumn id="1" name="Pilote"/>
    <tableColumn id="2" name="Voiture">
      <calculatedColumnFormula>VLOOKUP(Tableau33[[#This Row],[Pilote]],Tableau2[[Pilote]:[Voiture]],2,0)</calculatedColumnFormula>
    </tableColumn>
    <tableColumn id="3" name="Lest " dataDxfId="192">
      <calculatedColumnFormula>IF(VLOOKUP(Tableau33[[#This Row],[Pilote]],Tableau2[],3,0)&lt;'Classement général'!$F$13,Tableau33[[#This Row],[Lest additionnel]],VLOOKUP(Tableau33[[#This Row],[Pilote]],Tableau2[],3,0)-'Classement général'!$F$13+Tableau33[[#This Row],[Lest additionnel]])</calculatedColumnFormula>
    </tableColumn>
    <tableColumn id="4" name="Poids total" dataDxfId="191">
      <calculatedColumnFormula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calculatedColumnFormula>
    </tableColumn>
    <tableColumn id="6" name="Lest additionnel" dataDxfId="190"/>
    <tableColumn id="5" name="Pts." dataDxfId="189">
      <calculatedColumnFormula>IF(ISNA(VLOOKUP(Tableau33[[#This Row],[Pilote]],Tableau2[],3,0)),0,VLOOKUP(Tableau33[[#This Row],[Pilote]],Tableau2[],3,0))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34" name="Tableau34" displayName="Tableau34" ref="I1:K9" totalsRowShown="0">
  <autoFilter ref="I1:K9"/>
  <tableColumns count="3">
    <tableColumn id="1" name="Voiture" dataDxfId="188"/>
    <tableColumn id="2" name="Poids de base" dataDxfId="187"/>
    <tableColumn id="3" name="Poids maximum">
      <calculatedColumnFormula>Tableau34[[#This Row],[Poids de base]]+260</calculatedColumn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41" name="Tableau41" displayName="Tableau41" ref="B37:F62" totalsRowShown="0">
  <autoFilter ref="B37:F62"/>
  <sortState ref="B38:F62">
    <sortCondition descending="1" ref="D37:D62"/>
  </sortState>
  <tableColumns count="5">
    <tableColumn id="1" name="Pilote" dataDxfId="186"/>
    <tableColumn id="2" name="Voiture" dataDxfId="185">
      <calculatedColumnFormula>VLOOKUP(Tableau41[[#This Row],[Pilote]],Tableau2[[Pilote]:[Voiture]],2,0)</calculatedColumnFormula>
    </tableColumn>
    <tableColumn id="3" name="Lest" dataDxfId="184">
      <calculatedColumnFormula>VLOOKUP(Tableau41[[#This Row],[Pilote]],Tableau33[[Pilote]:[Lest additionnel]],3,0)</calculatedColumnFormula>
    </tableColumn>
    <tableColumn id="4" name="Poids total" dataDxfId="183">
      <calculatedColumnFormula>VLOOKUP(Tableau41[[#This Row],[Pilote]],Tableau33[[Pilote]:[Lest additionnel]],4,0)</calculatedColumnFormula>
    </tableColumn>
    <tableColumn id="5" name="PP" dataDxfId="18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43" name="Tableau122044" displayName="Tableau122044" ref="O2:R18" totalsRowShown="0">
  <autoFilter ref="O2:R18"/>
  <tableColumns count="4">
    <tableColumn id="1" name="Pos." dataDxfId="181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180">
      <calculatedColumnFormula>2*Tableau122044[[#This Row],[Enduro]]</calculatedColumnFormula>
    </tableColumn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id="44" name="Tableau1222145" displayName="Tableau1222145" ref="J2:M20" totalsRowShown="0" headerRowDxfId="179">
  <autoFilter ref="J2:M20"/>
  <tableColumns count="4">
    <tableColumn id="1" name="Pos." dataDxfId="178"/>
    <tableColumn id="2" name="Sprint" dataDxfId="177">
      <calculatedColumnFormula>IF((P3+K$12-(VLOOKUP((ROUNDUP($Q$21,0)),$O$3:$R$18,2)-1))&gt;K$12,P3+K$12-(VLOOKUP((ROUNDUP($Q$21,0)),$O$3:$R$18,2)-1),)</calculatedColumnFormula>
    </tableColumn>
    <tableColumn id="3" name="Enduro" dataDxfId="176">
      <calculatedColumnFormula>IF((Q3+L$12-(VLOOKUP((ROUNDUP($Q$21,0)),$O$3:$R$18,3)-1))&gt;L$12,Q3+L$12-(VLOOKUP((ROUNDUP($Q$21,0)),$O$3:$R$18,3)-1),)</calculatedColumnFormula>
    </tableColumn>
    <tableColumn id="4" name="Spéciale" dataDxfId="175">
      <calculatedColumnFormula>IF((R3+M$12-(VLOOKUP((ROUNDUP($Q$21,0)),$O$3:$R$18,4)-1))&gt;M$12,R3+M$12-(VLOOKUP((ROUNDUP($Q$21,0)),$O$3:$R$18,4)-1),)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id="45" name="Tableau2346" displayName="Tableau2346" ref="B2:H20" totalsRowShown="0">
  <autoFilter ref="B2:H20"/>
  <sortState ref="B3:H20">
    <sortCondition descending="1" ref="H2:H20"/>
  </sortState>
  <tableColumns count="7">
    <tableColumn id="1" name="Pilote"/>
    <tableColumn id="2" name="Voiture" dataDxfId="174">
      <calculatedColumnFormula>VLOOKUP(Tableau2346[[#This Row],[Pilote]],Tableau2[[Pilote]:[Voiture]],2,0)</calculatedColumnFormula>
    </tableColumn>
    <tableColumn id="3" name="Pos.          Sprint" dataDxfId="173"/>
    <tableColumn id="4" name="Pts.        Sprint" dataDxfId="172">
      <calculatedColumnFormula>IF(ISNA(VLOOKUP(Tableau2346[[#This Row],[Pos.          Sprint]],Tableau1222145[],2,0)),"",VLOOKUP(Tableau2346[[#This Row],[Pos.          Sprint]],Tableau1222145[],2,0))</calculatedColumnFormula>
    </tableColumn>
    <tableColumn id="5" name="Pos.        Enduro" dataDxfId="171"/>
    <tableColumn id="6" name="Pts.              Enduro" dataDxfId="170">
      <calculatedColumnFormula>IF(ISNA(VLOOKUP(Tableau2346[[#This Row],[Pos.        Enduro]],Tableau1222145[],3,0)),"",VLOOKUP(Tableau2346[[#This Row],[Pos.        Enduro]],Tableau1222145[],3,0))</calculatedColumnFormula>
    </tableColumn>
    <tableColumn id="7" name="Pts." dataDxfId="169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4" name="Tableau4" displayName="Tableau4" ref="B23:E41" totalsRowShown="0">
  <autoFilter ref="B23:E41"/>
  <sortState ref="B24:E41">
    <sortCondition ref="C23:C41"/>
  </sortState>
  <tableColumns count="4">
    <tableColumn id="1" name="Pilote" dataDxfId="168"/>
    <tableColumn id="2" name="Chrono" dataDxfId="167"/>
    <tableColumn id="3" name="Gap" dataDxfId="166">
      <calculatedColumnFormula>Tableau4[[#This Row],[Chrono]]-C23</calculatedColumnFormula>
    </tableColumn>
    <tableColumn id="4" name="/1er" dataDxfId="165">
      <calculatedColumnFormula>Tableau4[[#This Row],[Chrono]]-$C$24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5" name="Tableau46" displayName="Tableau46" ref="B44:F62" totalsRowShown="0">
  <autoFilter ref="B44:F62"/>
  <sortState ref="B45:F62">
    <sortCondition ref="C44:C62"/>
  </sortState>
  <tableColumns count="5">
    <tableColumn id="1" name="Pilote" dataDxfId="164"/>
    <tableColumn id="2" name="Chrono" dataDxfId="163"/>
    <tableColumn id="3" name="Gap" dataDxfId="162">
      <calculatedColumnFormula>Tableau46[[#This Row],[Chrono]]-C44</calculatedColumnFormula>
    </tableColumn>
    <tableColumn id="4" name="/1er" dataDxfId="161">
      <calculatedColumnFormula>Tableau46[[#This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40" name="Tableau4641" displayName="Tableau4641" ref="B65:F83" totalsRowShown="0">
  <autoFilter ref="B65:F83"/>
  <sortState ref="B66:F83">
    <sortCondition sortBy="fontColor" ref="B65:B83" dxfId="160"/>
  </sortState>
  <tableColumns count="5">
    <tableColumn id="1" name="Pilote" dataDxfId="159"/>
    <tableColumn id="2" name="Chrono" dataDxfId="158"/>
    <tableColumn id="3" name="Gap" dataDxfId="157">
      <calculatedColumnFormula>Tableau4641[[#This Row],[Chrono]]-C65</calculatedColumnFormula>
    </tableColumn>
    <tableColumn id="4" name="/1er" dataDxfId="156">
      <calculatedColumnFormula>Tableau4641[[#This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0" name="Tableau50" displayName="Tableau50" ref="H2:M22" totalsRowShown="0" headerRowDxfId="245" dataDxfId="244" tableBorderDxfId="243">
  <autoFilter ref="H2:M22"/>
  <sortState ref="H3:M22">
    <sortCondition ref="I2:I22"/>
  </sortState>
  <tableColumns count="6">
    <tableColumn id="1" name="Pilote" dataDxfId="242"/>
    <tableColumn id="2" name="1" dataDxfId="241"/>
    <tableColumn id="3" name="2" dataDxfId="240"/>
    <tableColumn id="4" name="3" dataDxfId="239"/>
    <tableColumn id="5" name="4" dataDxfId="238"/>
    <tableColumn id="6" name="5" dataDxfId="237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7" name="Tableau2468" displayName="Tableau2468" ref="B2:H20" totalsRowShown="0">
  <autoFilter ref="B2:H20"/>
  <sortState ref="B3:H20">
    <sortCondition descending="1" ref="H2:H20"/>
  </sortState>
  <tableColumns count="7">
    <tableColumn id="1" name="Pilote" dataDxfId="155"/>
    <tableColumn id="2" name="Voiture" dataDxfId="154">
      <calculatedColumnFormula>VLOOKUP(Tableau2468[[#This Row],[Pilote]],Tableau2[[Pilote]:[Voiture]],2,0)</calculatedColumnFormula>
    </tableColumn>
    <tableColumn id="3" name="Pos. Sprint" dataDxfId="153"/>
    <tableColumn id="4" name="Pts. Sprint" dataDxfId="152">
      <calculatedColumnFormula>IF(ISNA(VLOOKUP(D3,Tableau122214547[],2,0)),"",VLOOKUP(D3,Tableau122214547[],2,0))</calculatedColumnFormula>
    </tableColumn>
    <tableColumn id="5" name="Pos. Enduro" dataDxfId="151"/>
    <tableColumn id="6" name="Pts. Enduro" dataDxfId="150">
      <calculatedColumnFormula>IF(ISNA(VLOOKUP(F3,Tableau122214547[],3,0)),"",VLOOKUP(F3,Tableau122214547[],3,0))</calculatedColumnFormula>
    </tableColumn>
    <tableColumn id="7" name="Pts." dataDxfId="149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42" name="Tableau12204443" displayName="Tableau12204443" ref="O2:R18" totalsRowShown="0">
  <autoFilter ref="O2:R18"/>
  <tableColumns count="4">
    <tableColumn id="1" name="Pos." dataDxfId="148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147">
      <calculatedColumnFormula>2*Tableau12204443[[#This Row],[Enduro]]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id="46" name="Tableau122214547" displayName="Tableau122214547" ref="J2:M20" totalsRowShown="0" headerRowDxfId="146">
  <autoFilter ref="J2:M20"/>
  <tableColumns count="4">
    <tableColumn id="1" name="Pos." dataDxfId="145"/>
    <tableColumn id="2" name="Sprint" dataDxfId="144">
      <calculatedColumnFormula>IF((P3+K$12-(VLOOKUP((ROUNDUP($Q$21,0)),$O$3:$R$18,2)-1))&gt;K$12,P3+K$12-(VLOOKUP((ROUNDUP($Q$21,0)),$O$3:$R$18,2)-1),)</calculatedColumnFormula>
    </tableColumn>
    <tableColumn id="3" name="Enduro" dataDxfId="143">
      <calculatedColumnFormula>IF((Q3+L$12-(VLOOKUP((ROUNDUP($Q$21,0)),$O$3:$R$18,3)-1))&gt;L$12,Q3+L$12-(VLOOKUP((ROUNDUP($Q$21,0)),$O$3:$R$18,3)-1),)</calculatedColumnFormula>
    </tableColumn>
    <tableColumn id="4" name="Spéciale" dataDxfId="142">
      <calculatedColumnFormula>IF((R3+M$12-(VLOOKUP((ROUNDUP($Q$21,0)),$O$3:$R$18,4)-1))&gt;M$12,R3+M$12-(VLOOKUP((ROUNDUP($Q$21,0)),$O$3:$R$18,4)-1),)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id="47" name="Tableau448" displayName="Tableau448" ref="B23:E41" totalsRowShown="0">
  <autoFilter ref="B23:E41"/>
  <sortState ref="B24:E41">
    <sortCondition ref="C23:C41"/>
  </sortState>
  <tableColumns count="4">
    <tableColumn id="1" name="Pilote" dataDxfId="141"/>
    <tableColumn id="2" name="Chrono" dataDxfId="140"/>
    <tableColumn id="3" name="Gap" dataDxfId="139">
      <calculatedColumnFormula>Tableau448[[#This Row],[Chrono]]-C23</calculatedColumnFormula>
    </tableColumn>
    <tableColumn id="4" name="/1er" dataDxfId="138">
      <calculatedColumnFormula>Tableau448[[#This Row],[Chrono]]-$C$24</calculatedColumnFormula>
    </tableColumn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48" name="Tableau4649" displayName="Tableau4649" ref="B44:F62" totalsRowShown="0">
  <autoFilter ref="B44:F62"/>
  <sortState ref="B45:F62">
    <sortCondition ref="C44:C62"/>
  </sortState>
  <tableColumns count="5">
    <tableColumn id="1" name="Pilote" dataDxfId="137"/>
    <tableColumn id="2" name="Chrono" dataDxfId="136"/>
    <tableColumn id="3" name="Gap" dataDxfId="135">
      <calculatedColumnFormula>Tableau4649[[#This Row],[Chrono]]-C44</calculatedColumnFormula>
    </tableColumn>
    <tableColumn id="4" name="/1er" dataDxfId="134">
      <calculatedColumnFormula>Tableau4649[[#This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49" name="Tableau464150" displayName="Tableau464150" ref="B65:F83" totalsRowShown="0">
  <autoFilter ref="B65:F83"/>
  <sortState ref="B66:F83">
    <sortCondition sortBy="fontColor" ref="B65:B83" dxfId="133"/>
  </sortState>
  <tableColumns count="5">
    <tableColumn id="1" name="Pilote" dataDxfId="132"/>
    <tableColumn id="2" name="Chrono" dataDxfId="131"/>
    <tableColumn id="3" name="Gap" dataDxfId="130">
      <calculatedColumnFormula>Tableau464150[[#This Row],[Chrono]]-C65</calculatedColumnFormula>
    </tableColumn>
    <tableColumn id="4" name="/1er" dataDxfId="129">
      <calculatedColumnFormula>Tableau464150[[#This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8" name="Tableau12579" displayName="Tableau12579" ref="J2:M18" totalsRowShown="0">
  <autoFilter ref="J2:M18"/>
  <tableColumns count="4">
    <tableColumn id="1" name="Pos." dataDxfId="128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27">
      <calculatedColumnFormula>2*Tableau12579[[#This Row],[Enduro]]</calculatedColumnFormula>
    </tableColumn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id="9" name="Tableau246810" displayName="Tableau246810" ref="B2:H18" totalsRowShown="0">
  <autoFilter ref="B2:H18"/>
  <sortState ref="B3:H18">
    <sortCondition descending="1" ref="H2:H18"/>
  </sortState>
  <tableColumns count="7">
    <tableColumn id="1" name="Pilote" dataDxfId="126"/>
    <tableColumn id="2" name="Voiture" dataDxfId="125">
      <calculatedColumnFormula>VLOOKUP(Tableau246810[[#This Row],[Pilote]],Tableau2[[Pilote]:[Voiture]],2,0)</calculatedColumnFormula>
    </tableColumn>
    <tableColumn id="3" name="Pos. Sprint" dataDxfId="124"/>
    <tableColumn id="4" name="Pts. Sprint" dataDxfId="123">
      <calculatedColumnFormula>IF(ISNA(VLOOKUP(D3,Tableau12579[[Pos.]:[Sprint]],2,0)),"",VLOOKUP(D3,Tableau12579[[Pos.]:[Sprint]],2,0))</calculatedColumnFormula>
    </tableColumn>
    <tableColumn id="5" name="Pos. Enduro" dataDxfId="122"/>
    <tableColumn id="6" name="Pts. Enduro" dataDxfId="121">
      <calculatedColumnFormula>IF(ISNA(VLOOKUP(F3,Tableau12579[[Pos.]:[Enduro]],3,0)),"",VLOOKUP(F3,Tableau12579[[Pos.]:[Enduro]],3,0))</calculatedColumnFormula>
    </tableColumn>
    <tableColumn id="7" name="Pts." dataDxfId="120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10" name="Tableau1257911" displayName="Tableau1257911" ref="J2:M18" totalsRowShown="0">
  <autoFilter ref="J2:M18"/>
  <tableColumns count="4">
    <tableColumn id="1" name="Pos." dataDxfId="119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18">
      <calculatedColumnFormula>2*Tableau1257911[[#This Row],[Enduro]]</calculatedColumnFormula>
    </tableColumn>
  </tableColumns>
  <tableStyleInfo name="TableStyleMedium7" showFirstColumn="0" showLastColumn="0" showRowStripes="1" showColumnStripes="0"/>
</table>
</file>

<file path=xl/tables/table29.xml><?xml version="1.0" encoding="utf-8"?>
<table xmlns="http://schemas.openxmlformats.org/spreadsheetml/2006/main" id="11" name="Tableau24681012" displayName="Tableau24681012" ref="B2:H18" totalsRowShown="0">
  <autoFilter ref="B2:H18"/>
  <sortState ref="B3:H18">
    <sortCondition descending="1" ref="H2:H18"/>
  </sortState>
  <tableColumns count="7">
    <tableColumn id="1" name="Pilote" dataDxfId="117"/>
    <tableColumn id="2" name="Voiture" dataDxfId="116">
      <calculatedColumnFormula>VLOOKUP(Tableau24681012[[#This Row],[Pilote]],Tableau2[[Pilote]:[Voiture]],2,0)</calculatedColumnFormula>
    </tableColumn>
    <tableColumn id="3" name="Pos. Sprint" dataDxfId="115"/>
    <tableColumn id="4" name="Pts. Sprint" dataDxfId="114">
      <calculatedColumnFormula>IF(ISNA(VLOOKUP(D3,Tableau1257911[[Pos.]:[Sprint]],2,0)),"",VLOOKUP(D3,Tableau1257911[[Pos.]:[Sprint]],2,0))</calculatedColumnFormula>
    </tableColumn>
    <tableColumn id="5" name="Pos. Enduro" dataDxfId="113"/>
    <tableColumn id="6" name="Pts. Enduro" dataDxfId="112">
      <calculatedColumnFormula>IF(ISNA(VLOOKUP(F3,Tableau1257911[[Pos.]:[Enduro]],3,0)),"",VLOOKUP(F3,Tableau1257911[[Pos.]:[Enduro]],3,0))</calculatedColumnFormula>
    </tableColumn>
    <tableColumn id="7" name="Pts." dataDxfId="111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1" name="Tableau5052" displayName="Tableau5052" ref="O2:T22" totalsRowShown="0" headerRowDxfId="236" dataDxfId="235" tableBorderDxfId="234">
  <autoFilter ref="O2:T22"/>
  <sortState ref="O3:T22">
    <sortCondition descending="1" ref="T2:T22"/>
  </sortState>
  <tableColumns count="6">
    <tableColumn id="1" name="Pilote" dataDxfId="233"/>
    <tableColumn id="2" name="1" dataDxfId="232"/>
    <tableColumn id="3" name="2" dataDxfId="231"/>
    <tableColumn id="4" name="3" dataDxfId="230"/>
    <tableColumn id="5" name="4" dataDxfId="229"/>
    <tableColumn id="6" name="5" dataDxfId="228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12" name="Tableau125791113" displayName="Tableau125791113" ref="J2:M18" totalsRowShown="0">
  <autoFilter ref="J2:M18"/>
  <tableColumns count="4">
    <tableColumn id="1" name="Pos." dataDxfId="110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09">
      <calculatedColumnFormula>2*Tableau125791113[[#This Row],[Enduro]]</calculatedColumnFormula>
    </tableColumn>
  </tableColumns>
  <tableStyleInfo name="TableStyleMedium7" showFirstColumn="0" showLastColumn="0" showRowStripes="1" showColumnStripes="0"/>
</table>
</file>

<file path=xl/tables/table31.xml><?xml version="1.0" encoding="utf-8"?>
<table xmlns="http://schemas.openxmlformats.org/spreadsheetml/2006/main" id="13" name="Tableau2468101214" displayName="Tableau2468101214" ref="B2:E18" totalsRowShown="0">
  <autoFilter ref="B2:E18"/>
  <sortState ref="B3:E18">
    <sortCondition ref="D2:D18"/>
  </sortState>
  <tableColumns count="4">
    <tableColumn id="1" name="Pilote" dataDxfId="108"/>
    <tableColumn id="2" name="Voiture" dataDxfId="107">
      <calculatedColumnFormula>VLOOKUP(Tableau2468101214[[#This Row],[Pilote]],Tableau2[[Pilote]:[Voiture]],2,0)</calculatedColumnFormula>
    </tableColumn>
    <tableColumn id="3" name="Pos. Sprint" dataDxfId="106"/>
    <tableColumn id="4" name="Pts. Sprint" dataDxfId="105">
      <calculatedColumnFormula>IF(ISNA(VLOOKUP(D3,Tableau125791113[[Pos.]:[Spéciale]],4,0)),"",VLOOKUP(D3,Tableau125791113[[Pos.]:[Spéciale]],4,0))</calculatedColumnFormula>
    </tableColumn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14" name="Tableau12579111315" displayName="Tableau12579111315" ref="J2:M18" totalsRowShown="0">
  <autoFilter ref="J2:M18"/>
  <tableColumns count="4">
    <tableColumn id="1" name="Pos." dataDxfId="104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03">
      <calculatedColumnFormula>2*Tableau12579111315[[#This Row],[Enduro]]</calculatedColumnFormula>
    </tableColumn>
  </tableColumns>
  <tableStyleInfo name="TableStyleMedium7" showFirstColumn="0" showLastColumn="0" showRowStripes="1" showColumnStripes="0"/>
</table>
</file>

<file path=xl/tables/table33.xml><?xml version="1.0" encoding="utf-8"?>
<table xmlns="http://schemas.openxmlformats.org/spreadsheetml/2006/main" id="15" name="Tableau246810121416" displayName="Tableau246810121416" ref="B2:H18" totalsRowShown="0">
  <autoFilter ref="B2:H18"/>
  <sortState ref="B3:H18">
    <sortCondition descending="1" ref="H2:H18"/>
  </sortState>
  <tableColumns count="7">
    <tableColumn id="1" name="Pilote" dataDxfId="102"/>
    <tableColumn id="2" name="Voiture" dataDxfId="101">
      <calculatedColumnFormula>VLOOKUP(Tableau246810121416[[#This Row],[Pilote]],Tableau2[[Pilote]:[Voiture]],2,0)</calculatedColumnFormula>
    </tableColumn>
    <tableColumn id="3" name="Pos. Sprint" dataDxfId="100"/>
    <tableColumn id="4" name="Pts. Sprint" dataDxfId="99">
      <calculatedColumnFormula>IF(ISNA(VLOOKUP(D3,Tableau12579111315[[Pos.]:[Sprint]],2,0)),"",VLOOKUP(D3,Tableau12579111315[[Pos.]:[Sprint]],2,0))</calculatedColumnFormula>
    </tableColumn>
    <tableColumn id="5" name="Pos. Enduro" dataDxfId="98"/>
    <tableColumn id="6" name="Pts. Enduro" dataDxfId="97">
      <calculatedColumnFormula>IF(ISNA(VLOOKUP(F3,Tableau12579111315[[Pos.]:[Enduro]],3,0)),"",VLOOKUP(F3,Tableau12579111315[[Pos.]:[Enduro]],3,0))</calculatedColumnFormula>
    </tableColumn>
    <tableColumn id="7" name="Pts." dataDxfId="96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16" name="Tableau1257911131517" displayName="Tableau1257911131517" ref="J2:M18" totalsRowShown="0">
  <autoFilter ref="J2:M18"/>
  <tableColumns count="4">
    <tableColumn id="1" name="Pos." dataDxfId="95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94">
      <calculatedColumnFormula>2*Tableau1257911131517[[#This Row],[Enduro]]</calculatedColumnFormula>
    </tableColumn>
  </tableColumns>
  <tableStyleInfo name="TableStyleMedium7" showFirstColumn="0" showLastColumn="0" showRowStripes="1" showColumnStripes="0"/>
</table>
</file>

<file path=xl/tables/table35.xml><?xml version="1.0" encoding="utf-8"?>
<table xmlns="http://schemas.openxmlformats.org/spreadsheetml/2006/main" id="17" name="Tableau24681012141618" displayName="Tableau24681012141618" ref="B2:H18" totalsRowShown="0">
  <autoFilter ref="B2:H18"/>
  <sortState ref="B3:H18">
    <sortCondition descending="1" ref="H2:H18"/>
  </sortState>
  <tableColumns count="7">
    <tableColumn id="1" name="Pilote" dataDxfId="93"/>
    <tableColumn id="2" name="Voiture" dataDxfId="92">
      <calculatedColumnFormula>VLOOKUP(Tableau24681012141618[[#This Row],[Pilote]],Tableau2[[Pilote]:[Voiture]],2,0)</calculatedColumnFormula>
    </tableColumn>
    <tableColumn id="3" name="Pos. Sprint" dataDxfId="91"/>
    <tableColumn id="4" name="Pts. Sprint" dataDxfId="90">
      <calculatedColumnFormula>IF(ISNA(VLOOKUP(D3,Tableau1257911131517[[Pos.]:[Sprint]],2,0)),"",VLOOKUP(D3,Tableau1257911131517[[Pos.]:[Sprint]],2,0))</calculatedColumnFormula>
    </tableColumn>
    <tableColumn id="5" name="Pos. Enduro" dataDxfId="89"/>
    <tableColumn id="6" name="Pts. Enduro" dataDxfId="88">
      <calculatedColumnFormula>IF(ISNA(VLOOKUP(F3,Tableau1257911131517[[Pos.]:[Enduro]],3,0)),"",VLOOKUP(F3,Tableau1257911131517[[Pos.]:[Enduro]],3,0))</calculatedColumnFormula>
    </tableColumn>
    <tableColumn id="7" name="Pts." dataDxfId="87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18" name="Tableau125791113151719" displayName="Tableau125791113151719" ref="J2:M18" totalsRowShown="0">
  <autoFilter ref="J2:M18"/>
  <tableColumns count="4">
    <tableColumn id="1" name="Pos." dataDxfId="86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85">
      <calculatedColumnFormula>2*Tableau125791113151719[[#This Row],[Enduro]]</calculatedColumnFormula>
    </tableColumn>
  </tableColumns>
  <tableStyleInfo name="TableStyleMedium7" showFirstColumn="0" showLastColumn="0" showRowStripes="1" showColumnStripes="0"/>
</table>
</file>

<file path=xl/tables/table37.xml><?xml version="1.0" encoding="utf-8"?>
<table xmlns="http://schemas.openxmlformats.org/spreadsheetml/2006/main" id="21" name="Tableau2468101214161822" displayName="Tableau2468101214161822" ref="B2:H18" totalsRowShown="0">
  <autoFilter ref="B2:H18"/>
  <sortState ref="B3:H18">
    <sortCondition descending="1" ref="H2:H18"/>
  </sortState>
  <tableColumns count="7">
    <tableColumn id="1" name="Pilote" dataDxfId="84"/>
    <tableColumn id="2" name="Voiture" dataDxfId="83">
      <calculatedColumnFormula>VLOOKUP(Tableau2468101214161822[[#This Row],[Pilote]],Tableau2[[Pilote]:[Voiture]],2,0)</calculatedColumnFormula>
    </tableColumn>
    <tableColumn id="3" name="Pos. Sprint" dataDxfId="82"/>
    <tableColumn id="4" name="Pts. Sprint" dataDxfId="81">
      <calculatedColumnFormula>IF(ISNA(VLOOKUP(D3,Tableau125791113151719[[Pos.]:[Sprint]],2,0)),"",VLOOKUP(D3,Tableau125791113151719[[Pos.]:[Sprint]],2,0))</calculatedColumnFormula>
    </tableColumn>
    <tableColumn id="5" name="Pos. Enduro" dataDxfId="80"/>
    <tableColumn id="6" name="Pts. Enduro" dataDxfId="79">
      <calculatedColumnFormula>IF(ISNA(VLOOKUP(F3,Tableau125791113151719[[Pos.]:[Enduro]],3,0)),"",VLOOKUP(F3,Tableau125791113151719[[Pos.]:[Enduro]],3,0))</calculatedColumnFormula>
    </tableColumn>
    <tableColumn id="7" name="Pts." dataDxfId="78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22" name="Tableau12579111315171923" displayName="Tableau12579111315171923" ref="J2:M18" totalsRowShown="0">
  <autoFilter ref="J2:M18"/>
  <tableColumns count="4">
    <tableColumn id="1" name="Pos." dataDxfId="77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76">
      <calculatedColumnFormula>2*Tableau12579111315171923[[#This Row],[Enduro]]</calculatedColumnFormula>
    </tableColumn>
  </tableColumns>
  <tableStyleInfo name="TableStyleMedium7" showFirstColumn="0" showLastColumn="0" showRowStripes="1" showColumnStripes="0"/>
</table>
</file>

<file path=xl/tables/table39.xml><?xml version="1.0" encoding="utf-8"?>
<table xmlns="http://schemas.openxmlformats.org/spreadsheetml/2006/main" id="30" name="Tableau246810121416182231" displayName="Tableau246810121416182231" ref="B2:H18" totalsRowShown="0">
  <autoFilter ref="B2:H18"/>
  <sortState ref="B3:H18">
    <sortCondition descending="1" ref="H2:H18"/>
  </sortState>
  <tableColumns count="7">
    <tableColumn id="1" name="Pilote" dataDxfId="75"/>
    <tableColumn id="2" name="Voiture" dataDxfId="74">
      <calculatedColumnFormula>VLOOKUP(Tableau246810121416182231[[#This Row],[Pilote]],Tableau2[[Pilote]:[Voiture]],2,0)</calculatedColumnFormula>
    </tableColumn>
    <tableColumn id="3" name="Pos. Sprint" dataDxfId="73"/>
    <tableColumn id="4" name="Pts. Sprint" dataDxfId="72">
      <calculatedColumnFormula>IF(ISNA(VLOOKUP(D3,Tableau12579111315171923[[Pos.]:[Sprint]],2,0)),"",VLOOKUP(D3,Tableau12579111315171923[[Pos.]:[Sprint]],2,0))</calculatedColumnFormula>
    </tableColumn>
    <tableColumn id="5" name="Pos. Enduro" dataDxfId="71"/>
    <tableColumn id="6" name="Pts. Enduro" dataDxfId="70">
      <calculatedColumnFormula>IF(ISNA(VLOOKUP(F3,Tableau12579111315171923[[Pos.]:[Enduro]],3,0)),"",VLOOKUP(F3,Tableau12579111315171923[[Pos.]:[Enduro]],3,0))</calculatedColumnFormula>
    </tableColumn>
    <tableColumn id="7" name="Pts." dataDxfId="69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2" name="Tableau52" displayName="Tableau52" ref="Z2:AE22" totalsRowShown="0" tableBorderDxfId="227">
  <autoFilter ref="Z2:AE22"/>
  <sortState ref="Z3:AE22">
    <sortCondition descending="1" ref="AE2:AE22"/>
  </sortState>
  <tableColumns count="6">
    <tableColumn id="1" name="Pilote" dataDxfId="226"/>
    <tableColumn id="2" name="1" dataDxfId="225">
      <calculatedColumnFormula>VLOOKUP(Tableau52[[#This Row],[Pilote]],Tableau6[#All],2,0)-$X$2</calculatedColumnFormula>
    </tableColumn>
    <tableColumn id="3" name="2" dataDxfId="224">
      <calculatedColumnFormula>VLOOKUP(Tableau52[[#This Row],[Pilote]],Tableau6[#All],3,0)-$X$3</calculatedColumnFormula>
    </tableColumn>
    <tableColumn id="4" name="3" dataDxfId="223">
      <calculatedColumnFormula>VLOOKUP(Tableau52[[#This Row],[Pilote]],Tableau6[#All],4,0)-$X$4</calculatedColumnFormula>
    </tableColumn>
    <tableColumn id="5" name="4" dataDxfId="222">
      <calculatedColumnFormula>VLOOKUP(Tableau52[[#This Row],[Pilote]],Tableau6[#All],5,0)-$X$5</calculatedColumnFormula>
    </tableColumn>
    <tableColumn id="6" name="5" dataDxfId="221">
      <calculatedColumnFormula>VLOOKUP(Tableau52[[#This Row],[Pilote]],Tableau6[#All],6,0)-$X$6</calculatedColumnFormula>
    </tableColumn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31" name="Tableau1257911131517192332" displayName="Tableau1257911131517192332" ref="J2:M18" totalsRowShown="0">
  <autoFilter ref="J2:M18"/>
  <tableColumns count="4">
    <tableColumn id="1" name="Pos." dataDxfId="68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67">
      <calculatedColumnFormula>2*Tableau1257911131517192332[[#This Row],[Enduro]]</calculatedColumnFormula>
    </tableColumn>
  </tableColumns>
  <tableStyleInfo name="TableStyleMedium7" showFirstColumn="0" showLastColumn="0" showRowStripes="1" showColumnStripes="0"/>
</table>
</file>

<file path=xl/tables/table41.xml><?xml version="1.0" encoding="utf-8"?>
<table xmlns="http://schemas.openxmlformats.org/spreadsheetml/2006/main" id="32" name="Tableau24681012141618223133" displayName="Tableau24681012141618223133" ref="B2:H18" totalsRowShown="0">
  <autoFilter ref="B2:H18"/>
  <sortState ref="B3:H18">
    <sortCondition descending="1" ref="H2:H18"/>
  </sortState>
  <tableColumns count="7">
    <tableColumn id="1" name="Pilote" dataDxfId="66"/>
    <tableColumn id="2" name="Voiture" dataDxfId="65">
      <calculatedColumnFormula>VLOOKUP(Tableau24681012141618223133[[#This Row],[Pilote]],Tableau2[[Pilote]:[Voiture]],2,0)</calculatedColumnFormula>
    </tableColumn>
    <tableColumn id="3" name="Pos. Sprint" dataDxfId="64"/>
    <tableColumn id="4" name="Pts. Sprint" dataDxfId="63">
      <calculatedColumnFormula>IF(ISNA(VLOOKUP(D3,Tableau1257911131517192332[[Pos.]:[Sprint]],2,0)),"",VLOOKUP(D3,Tableau1257911131517192332[[Pos.]:[Sprint]],2,0))</calculatedColumnFormula>
    </tableColumn>
    <tableColumn id="5" name="Pos. Enduro" dataDxfId="62"/>
    <tableColumn id="6" name="Pts. Enduro" dataDxfId="61">
      <calculatedColumnFormula>IF(ISNA(VLOOKUP(F3,Tableau1257911131517192332[[Pos.]:[Enduro]],3,0)),"",VLOOKUP(F3,Tableau1257911131517192332[[Pos.]:[Enduro]],3,0))</calculatedColumnFormula>
    </tableColumn>
    <tableColumn id="7" name="Pts." dataDxfId="60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id="1" name="Tableau12" displayName="Tableau12" ref="J2:M18" totalsRowShown="0">
  <autoFilter ref="J2:M18"/>
  <tableColumns count="4">
    <tableColumn id="1" name="Pos." dataDxfId="59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58">
      <calculatedColumnFormula>2*Tableau12[[#This Row],[Enduro]]</calculatedColumnFormula>
    </tableColumn>
  </tableColumns>
  <tableStyleInfo name="TableStyleMedium7" showFirstColumn="0" showLastColumn="0" showRowStripes="1" showColumnStripes="0"/>
</table>
</file>

<file path=xl/tables/table43.xml><?xml version="1.0" encoding="utf-8"?>
<table xmlns="http://schemas.openxmlformats.org/spreadsheetml/2006/main" id="24" name="Tableau24" displayName="Tableau24" ref="B2:H18" totalsRowShown="0">
  <autoFilter ref="B2:H18"/>
  <sortState ref="B3:H18">
    <sortCondition descending="1" ref="H2:H18"/>
  </sortState>
  <tableColumns count="7">
    <tableColumn id="1" name="Pilote" dataDxfId="57"/>
    <tableColumn id="2" name="Voiture" dataDxfId="56">
      <calculatedColumnFormula>VLOOKUP(Tableau24[[#This Row],[Pilote]],Tableau2[[Pilote]:[Voiture]],2,0)</calculatedColumnFormula>
    </tableColumn>
    <tableColumn id="3" name="Pos. Sprint" dataDxfId="55"/>
    <tableColumn id="4" name="Pts. Sprint" dataDxfId="54">
      <calculatedColumnFormula>IF(ISNA(VLOOKUP(Tableau24[[#This Row],[Pos. Sprint]],Tableau12[],2,0)),"",VLOOKUP(Tableau24[[#This Row],[Pos. Sprint]],Tableau12[],2,0))</calculatedColumnFormula>
    </tableColumn>
    <tableColumn id="5" name="Pos. Enduro" dataDxfId="53"/>
    <tableColumn id="6" name="Pts. Enduro" dataDxfId="52">
      <calculatedColumnFormula>IF(ISNA(VLOOKUP(Tableau24[[#This Row],[Pos. Sprint]],Tableau12[],3,0)),"",VLOOKUP(Tableau24[[#This Row],[Pos. Sprint]],Tableau12[],3,0))</calculatedColumnFormula>
    </tableColumn>
    <tableColumn id="7" name="Pts." dataDxfId="51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id="19" name="Tableau1220" displayName="Tableau1220" ref="O2:R18" totalsRowShown="0">
  <autoFilter ref="O2:R18"/>
  <tableColumns count="4">
    <tableColumn id="1" name="Pos." dataDxfId="50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49">
      <calculatedColumnFormula>2*Tableau1220[[#This Row],[Enduro]]</calculatedColumnFormula>
    </tableColumn>
  </tableColumns>
  <tableStyleInfo name="TableStyleMedium7" showFirstColumn="0" showLastColumn="0" showRowStripes="1" showColumnStripes="0"/>
</table>
</file>

<file path=xl/tables/table45.xml><?xml version="1.0" encoding="utf-8"?>
<table xmlns="http://schemas.openxmlformats.org/spreadsheetml/2006/main" id="20" name="Tableau12221" displayName="Tableau12221" ref="J2:M34" totalsRowShown="0" headerRowDxfId="48">
  <autoFilter ref="J2:M34"/>
  <tableColumns count="4">
    <tableColumn id="1" name="Pos." dataDxfId="47"/>
    <tableColumn id="2" name="Sprint" dataDxfId="46">
      <calculatedColumnFormula>IF((P3+K$19-(VLOOKUP((ROUNDUP($Q$21,0)),$O$3:$R$18,2)-1))&gt;K$19,P3+K$19-(VLOOKUP((ROUNDUP($Q$21,0)),$O$3:$R$18,2)-1),)</calculatedColumnFormula>
    </tableColumn>
    <tableColumn id="3" name="Enduro" dataDxfId="45">
      <calculatedColumnFormula>IF((Q3+L$19-(VLOOKUP((ROUNDUP($Q$21,0)),$O$3:$R$18,3)-1))&gt;L$19,Q3+L$19-(VLOOKUP((ROUNDUP($Q$21,0)),$O$3:$R$18,3)-1),)</calculatedColumnFormula>
    </tableColumn>
    <tableColumn id="4" name="Spéciale" dataDxfId="44">
      <calculatedColumnFormula>IF((R3+M$19-(VLOOKUP((ROUNDUP($Q$21,0)),$O$3:$R$18,4)-1))&gt;M$19,R3+M$19-(VLOOKUP((ROUNDUP($Q$21,0)),$O$3:$R$18,4)-1),)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46.xml><?xml version="1.0" encoding="utf-8"?>
<table xmlns="http://schemas.openxmlformats.org/spreadsheetml/2006/main" id="23" name="Tableau23" displayName="Tableau23" ref="B2:H34" totalsRowShown="0">
  <autoFilter ref="B2:H34"/>
  <sortState ref="B3:H34">
    <sortCondition descending="1" ref="H2:H34"/>
  </sortState>
  <tableColumns count="7">
    <tableColumn id="1" name="Pilote"/>
    <tableColumn id="2" name="Voiture" dataDxfId="43">
      <calculatedColumnFormula>VLOOKUP(Tableau23[[#This Row],[Pilote]],Tableau2[[Pilote]:[Voiture]],2,0)</calculatedColumnFormula>
    </tableColumn>
    <tableColumn id="3" name="Pos.          Sprint" dataDxfId="42"/>
    <tableColumn id="4" name="Pts.        Sprint" dataDxfId="41">
      <calculatedColumnFormula>IF(ISNA(VLOOKUP(Tableau23[[#This Row],[Pos.          Sprint]],Tableau12221[],2,0)),"",VLOOKUP(Tableau23[[#This Row],[Pos.          Sprint]],Tableau12221[],2,0))</calculatedColumnFormula>
    </tableColumn>
    <tableColumn id="5" name="Pos.        Enduro" dataDxfId="40"/>
    <tableColumn id="6" name="Pts.              Enduro" dataDxfId="39">
      <calculatedColumnFormula>IF(ISNA(VLOOKUP(Tableau23[[#This Row],[Pos.        Enduro]],Tableau12221[],3,0)),"",VLOOKUP(Tableau23[[#This Row],[Pos.        Enduro]],Tableau12221[],3,0))</calculatedColumnFormula>
    </tableColumn>
    <tableColumn id="7" name="Pts." dataDxfId="38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id="25" name="Tableau1226" displayName="Tableau1226" ref="J2:M18" totalsRowShown="0">
  <autoFilter ref="J2:M18"/>
  <tableColumns count="4">
    <tableColumn id="1" name="Pos." dataDxfId="37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36">
      <calculatedColumnFormula>2*Tableau1226[[#This Row],[Enduro]]</calculatedColumnFormula>
    </tableColumn>
  </tableColumns>
  <tableStyleInfo name="TableStyleMedium7" showFirstColumn="0" showLastColumn="0" showRowStripes="1" showColumnStripes="0"/>
</table>
</file>

<file path=xl/tables/table48.xml><?xml version="1.0" encoding="utf-8"?>
<table xmlns="http://schemas.openxmlformats.org/spreadsheetml/2006/main" id="26" name="Tableau2427" displayName="Tableau2427" ref="B2:E18" totalsRowShown="0">
  <autoFilter ref="B2:E18"/>
  <sortState ref="B3:H18">
    <sortCondition descending="1" ref="H2:H18"/>
  </sortState>
  <tableColumns count="4">
    <tableColumn id="1" name="Pilote" dataDxfId="35"/>
    <tableColumn id="2" name="Voiture" dataDxfId="34">
      <calculatedColumnFormula>VLOOKUP(Tableau2427[[#This Row],[Pilote]],Tableau2[[Pilote]:[Voiture]],2,0)</calculatedColumnFormula>
    </tableColumn>
    <tableColumn id="3" name="Pos. Sprint" dataDxfId="33"/>
    <tableColumn id="4" name="Pts. Sprint" dataDxfId="32">
      <calculatedColumnFormula>IF(ISNA(VLOOKUP(D3,Tableau1226[[Pos.]:[Spéciale]],4,0)),"",VLOOKUP(D3,Tableau1226[[Pos.]:[Spéciale]],4,0))</calculatedColumnFormula>
    </tableColumn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id="27" name="Tableau122028" displayName="Tableau122028" ref="O2:R18" totalsRowShown="0">
  <autoFilter ref="O2:R18"/>
  <tableColumns count="4">
    <tableColumn id="1" name="Pos." dataDxfId="31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30">
      <calculatedColumnFormula>2*Tableau122028[[#This Row],[Enduro]]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36" name="Tableau21" displayName="Tableau21" ref="B1:F12" totalsRowShown="0">
  <autoFilter ref="B1:F12"/>
  <sortState ref="B2:F12">
    <sortCondition ref="B1:B12"/>
  </sortState>
  <tableColumns count="5">
    <tableColumn id="1" name="Date" dataDxfId="220"/>
    <tableColumn id="2" name="Circuit" dataDxfId="219"/>
    <tableColumn id="3" name="Longueur" dataDxfId="218"/>
    <tableColumn id="4" name="Météo variable" dataDxfId="217"/>
    <tableColumn id="5" name="Notes" dataDxfId="216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id="28" name="Tableau1222129" displayName="Tableau1222129" ref="J2:M34" totalsRowShown="0" headerRowDxfId="29">
  <autoFilter ref="J2:M34"/>
  <tableColumns count="4">
    <tableColumn id="1" name="Pos." dataDxfId="28"/>
    <tableColumn id="2" name="Sprint" dataDxfId="27">
      <calculatedColumnFormula>IF((P3+K$19-(VLOOKUP((ROUNDUP($Q$21,0)),$O$3:$R$18,2)-1))&gt;K$19,P3+K$19-(VLOOKUP((ROUNDUP($Q$21,0)),$O$3:$R$18,2)-1),)</calculatedColumnFormula>
    </tableColumn>
    <tableColumn id="3" name="Enduro" dataDxfId="26">
      <calculatedColumnFormula>IF((Q3+L$19-(VLOOKUP((ROUNDUP($Q$21,0)),$O$3:$R$18,3)-1))&gt;L$19,Q3+L$19-(VLOOKUP((ROUNDUP($Q$21,0)),$O$3:$R$18,3)-1),)</calculatedColumnFormula>
    </tableColumn>
    <tableColumn id="4" name="Spéciale" dataDxfId="25">
      <calculatedColumnFormula>IF((R3+M$19-(VLOOKUP((ROUNDUP($Q$21,0)),$O$3:$R$18,4)-1))&gt;M$19,R3+M$19-(VLOOKUP((ROUNDUP($Q$21,0)),$O$3:$R$18,4)-1),)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51.xml><?xml version="1.0" encoding="utf-8"?>
<table xmlns="http://schemas.openxmlformats.org/spreadsheetml/2006/main" id="29" name="Tableau2330" displayName="Tableau2330" ref="B2:E34" totalsRowShown="0">
  <autoFilter ref="B2:E34"/>
  <sortState ref="B3:H34">
    <sortCondition descending="1" ref="H2:H34"/>
  </sortState>
  <tableColumns count="4">
    <tableColumn id="1" name="Pilote"/>
    <tableColumn id="2" name="Voiture" dataDxfId="24">
      <calculatedColumnFormula>VLOOKUP(Tableau2330[[#This Row],[Pilote]],Tableau2[[Pilote]:[Voiture]],2,0)</calculatedColumnFormula>
    </tableColumn>
    <tableColumn id="3" name="Pos.          Sprint" dataDxfId="23"/>
    <tableColumn id="4" name="Pts.        Sprint" dataDxfId="22">
      <calculatedColumnFormula>IF(ISNA(VLOOKUP(D3,Tableau1222129[[Pos.]:[Spéciale]],4,0)),"",VLOOKUP(D3,Tableau1222129[[Pos.]:[Spéciale]],4,0))</calculatedColumnFormula>
    </tableColumn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id="38" name="Tableau13" displayName="Tableau13" ref="B1:I9" totalsRowShown="0" headerRowDxfId="21" dataDxfId="19" headerRowBorderDxfId="20">
  <autoFilter ref="B1:I9"/>
  <sortState ref="B2:I9">
    <sortCondition ref="C1:C9"/>
  </sortState>
  <tableColumns count="8">
    <tableColumn id="1" name="Voiture" dataDxfId="18"/>
    <tableColumn id="2" name="Temps total" dataDxfId="17">
      <calculatedColumnFormula>F2+G2+H2</calculatedColumnFormula>
    </tableColumn>
    <tableColumn id="3" name="Ecart total" dataDxfId="16">
      <calculatedColumnFormula>C2-$C$2</calculatedColumnFormula>
    </tableColumn>
    <tableColumn id="4" name="Ecart précédent" dataDxfId="15">
      <calculatedColumnFormula>C2-C1</calculatedColumnFormula>
    </tableColumn>
    <tableColumn id="5" name="Tsukuba" dataDxfId="14"/>
    <tableColumn id="6" name="Trial Mountain" dataDxfId="13"/>
    <tableColumn id="7" name="Grand Valley Speedway" dataDxfId="12"/>
    <tableColumn id="8" name="Usure pneu / 100 km" dataDxfId="11"/>
  </tableColumns>
  <tableStyleInfo name="TableStyleMedium7" showFirstColumn="0" showLastColumn="0" showRowStripes="1" showColumnStripes="0"/>
</table>
</file>

<file path=xl/tables/table53.xml><?xml version="1.0" encoding="utf-8"?>
<table xmlns="http://schemas.openxmlformats.org/spreadsheetml/2006/main" id="39" name="Tableau1315" displayName="Tableau1315" ref="B15:I23" totalsRowShown="0" headerRowDxfId="10" dataDxfId="8" headerRowBorderDxfId="9">
  <autoFilter ref="B15:I23"/>
  <sortState ref="B16:H23">
    <sortCondition ref="C15:C23"/>
  </sortState>
  <tableColumns count="8">
    <tableColumn id="1" name="Voiture" dataDxfId="7"/>
    <tableColumn id="2" name="Temps total" dataDxfId="6">
      <calculatedColumnFormula>1.5*F16+G16+0.75*H16</calculatedColumnFormula>
    </tableColumn>
    <tableColumn id="3" name="Ecart total" dataDxfId="5">
      <calculatedColumnFormula>C16-$C$16</calculatedColumnFormula>
    </tableColumn>
    <tableColumn id="4" name="Ecart précédent" dataDxfId="4">
      <calculatedColumnFormula>C16-C15</calculatedColumnFormula>
    </tableColumn>
    <tableColumn id="5" name="Tsukuba" dataDxfId="3"/>
    <tableColumn id="6" name="Trial Mountain" dataDxfId="2"/>
    <tableColumn id="7" name="Grand Valley Speedway" dataDxfId="1"/>
    <tableColumn id="8" name="Usure pneu / 100 km" dataDxfId="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2" name="Tableau2" displayName="Tableau2" ref="B2:D34" totalsRowShown="0">
  <autoFilter ref="B2:D34"/>
  <sortState ref="B3:D34">
    <sortCondition descending="1" ref="D2:D34"/>
  </sortState>
  <tableColumns count="3">
    <tableColumn id="1" name="Pilote"/>
    <tableColumn id="2" name="Voiture"/>
    <tableColumn id="3" name="Pts." dataDxfId="215">
      <calculatedColumnFormula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Tableau3" displayName="Tableau3" ref="G2:H10" totalsRowShown="0">
  <autoFilter ref="G2:H10"/>
  <sortState ref="G3:H10">
    <sortCondition descending="1" ref="H2:H10"/>
  </sortState>
  <tableColumns count="2">
    <tableColumn id="1" name="Constructeur"/>
    <tableColumn id="2" name="Pts." dataDxfId="214">
      <calculatedColumnFormula>SUMIF(Tableau2[Voiture],Tableau3[[#This Row],[Constructeur]],(Tableau2[Pts.]))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35" name="Tableau35" displayName="Tableau35" ref="O2:Y34" totalsRowShown="0" headerRowDxfId="213" dataDxfId="212">
  <autoFilter ref="O2:Y34"/>
  <tableColumns count="11">
    <tableColumn id="1" name="Pilote" dataDxfId="211"/>
    <tableColumn id="2" name="1" dataDxfId="210">
      <calculatedColumnFormula>IF(ISNA(VLOOKUP(Tableau35[[#This Row],[Pilote]],Tableau2346[],7,0)),0,VLOOKUP(Tableau35[[#This Row],[Pilote]],Tableau2346[],7,0))</calculatedColumnFormula>
    </tableColumn>
    <tableColumn id="3" name="2" dataDxfId="209">
      <calculatedColumnFormula>IF(ISNA(VLOOKUP(Tableau35[[#This Row],[Pilote]],Tableau2468[],7,0)),0,VLOOKUP(Tableau35[[#This Row],[Pilote]],Tableau2468[],7,0))</calculatedColumnFormula>
    </tableColumn>
    <tableColumn id="4" name="3" dataDxfId="208">
      <calculatedColumnFormula>IF(ISNA(VLOOKUP(Tableau35[[#This Row],[Pilote]],Tableau246810[],7,0)),0,VLOOKUP(Tableau35[[#This Row],[Pilote]],Tableau246810[],7,0))</calculatedColumnFormula>
    </tableColumn>
    <tableColumn id="5" name="4" dataDxfId="207">
      <calculatedColumnFormula>IF(ISNA(VLOOKUP(Tableau35[[#This Row],[Pilote]],Tableau24681012[],7,0)),0,VLOOKUP(Tableau35[[#This Row],[Pilote]],Tableau24681012[],7,0))</calculatedColumnFormula>
    </tableColumn>
    <tableColumn id="6" name="5" dataDxfId="206">
      <calculatedColumnFormula>IF(ISNA(VLOOKUP(Tableau35[[#This Row],[Pilote]],Tableau2468101214[],4,0)),0,VLOOKUP(Tableau35[[#This Row],[Pilote]],Tableau2468101214[],4,0))</calculatedColumnFormula>
    </tableColumn>
    <tableColumn id="7" name="6" dataDxfId="205">
      <calculatedColumnFormula>IF(ISNA(VLOOKUP(Tableau35[[#This Row],[Pilote]],Tableau246810121416[],7,0)),0,VLOOKUP(Tableau35[[#This Row],[Pilote]],Tableau246810121416[],7,0))</calculatedColumnFormula>
    </tableColumn>
    <tableColumn id="8" name="7" dataDxfId="204">
      <calculatedColumnFormula>IF(ISNA(VLOOKUP(Tableau35[[#This Row],[Pilote]],Tableau24681012141618[],7,0)),0,VLOOKUP(Tableau35[[#This Row],[Pilote]],Tableau24681012141618[],7,0))</calculatedColumnFormula>
    </tableColumn>
    <tableColumn id="9" name="8" dataDxfId="203">
      <calculatedColumnFormula>IF(ISNA(VLOOKUP(Tableau35[[#This Row],[Pilote]],Tableau2468101214161822[],7,0)),0,VLOOKUP(Tableau35[[#This Row],[Pilote]],Tableau2468101214161822[],7,0))</calculatedColumnFormula>
    </tableColumn>
    <tableColumn id="10" name="9" dataDxfId="202">
      <calculatedColumnFormula>IF(ISNA(VLOOKUP(Tableau35[[#This Row],[Pilote]],Tableau246810121416182231[],7,0)),0,VLOOKUP(Tableau35[[#This Row],[Pilote]],Tableau246810121416182231[],7,0))</calculatedColumnFormula>
    </tableColumn>
    <tableColumn id="11" name="10" dataDxfId="201">
      <calculatedColumnFormula>IF(ISNA(VLOOKUP(Tableau35[[#This Row],[Pilote]],Tableau24681012141618223133[],7,0)),0,VLOOKUP(Tableau35[[#This Row],[Pilote]],Tableau24681012141618223133[],7,0))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37" name="Tableau10" displayName="Tableau10" ref="J2:M34" totalsRowShown="0" headerRowDxfId="200" headerRowBorderDxfId="199" tableBorderDxfId="198">
  <autoFilter ref="J2:M34"/>
  <sortState ref="J3:M34">
    <sortCondition ref="K1:K33"/>
  </sortState>
  <tableColumns count="4">
    <tableColumn id="1" name="Lettre" dataDxfId="197"/>
    <tableColumn id="2" name="Ordre" dataDxfId="196">
      <calculatedColumnFormula>1+K2</calculatedColumnFormula>
    </tableColumn>
    <tableColumn id="3" name="Voiture" dataDxfId="195"/>
    <tableColumn id="4" name="Pilote" dataDxfId="19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table" Target="../tables/table3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table" Target="../tables/table4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4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table" Target="../tables/table4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13.bin"/><Relationship Id="rId4" Type="http://schemas.openxmlformats.org/officeDocument/2006/relationships/table" Target="../tables/table51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3.xml"/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opLeftCell="A60" workbookViewId="0">
      <selection activeCell="AG98" sqref="AG98"/>
    </sheetView>
  </sheetViews>
  <sheetFormatPr baseColWidth="10" defaultRowHeight="15" x14ac:dyDescent="0.25"/>
  <cols>
    <col min="1" max="1" width="15.5703125" customWidth="1"/>
    <col min="2" max="2" width="5.28515625" customWidth="1"/>
    <col min="3" max="3" width="5.140625" customWidth="1"/>
    <col min="4" max="4" width="5" customWidth="1"/>
    <col min="5" max="6" width="4.85546875" customWidth="1"/>
    <col min="7" max="7" width="5.7109375" customWidth="1"/>
    <col min="8" max="8" width="14.5703125" customWidth="1"/>
    <col min="9" max="9" width="7" customWidth="1"/>
    <col min="10" max="10" width="6.7109375" customWidth="1"/>
    <col min="11" max="12" width="6.85546875" customWidth="1"/>
    <col min="13" max="13" width="6.42578125" customWidth="1"/>
    <col min="14" max="14" width="5.140625" customWidth="1"/>
    <col min="15" max="15" width="15.85546875" customWidth="1"/>
    <col min="16" max="16" width="5.42578125" customWidth="1"/>
    <col min="17" max="17" width="5.5703125" customWidth="1"/>
    <col min="18" max="18" width="6" customWidth="1"/>
    <col min="19" max="19" width="5.85546875" customWidth="1"/>
    <col min="20" max="20" width="5.7109375" customWidth="1"/>
    <col min="21" max="21" width="5.42578125" customWidth="1"/>
    <col min="25" max="25" width="7.28515625" customWidth="1"/>
    <col min="26" max="26" width="14.42578125" customWidth="1"/>
    <col min="27" max="27" width="5.140625" customWidth="1"/>
    <col min="28" max="28" width="5.85546875" customWidth="1"/>
    <col min="29" max="29" width="5.42578125" customWidth="1"/>
    <col min="30" max="30" width="5" customWidth="1"/>
    <col min="31" max="31" width="5.28515625" customWidth="1"/>
  </cols>
  <sheetData>
    <row r="1" spans="1:31" x14ac:dyDescent="0.25">
      <c r="A1" s="240" t="s">
        <v>201</v>
      </c>
      <c r="B1" s="240"/>
      <c r="C1" s="240"/>
      <c r="D1" s="240"/>
      <c r="E1" s="240"/>
      <c r="F1" s="240"/>
      <c r="H1" s="240" t="s">
        <v>202</v>
      </c>
      <c r="I1" s="240"/>
      <c r="J1" s="240"/>
      <c r="K1" s="240"/>
      <c r="L1" s="240"/>
      <c r="M1" s="240"/>
      <c r="O1" s="240" t="s">
        <v>203</v>
      </c>
      <c r="P1" s="240"/>
      <c r="Q1" s="240"/>
      <c r="R1" s="240"/>
      <c r="S1" s="240"/>
      <c r="T1" s="240"/>
      <c r="V1" t="s">
        <v>204</v>
      </c>
      <c r="Z1" s="240" t="s">
        <v>205</v>
      </c>
      <c r="AA1" s="240"/>
      <c r="AB1" s="240"/>
      <c r="AC1" s="240"/>
      <c r="AD1" s="240"/>
      <c r="AE1" s="240"/>
    </row>
    <row r="2" spans="1:31" x14ac:dyDescent="0.25">
      <c r="A2" s="16" t="s">
        <v>5</v>
      </c>
      <c r="B2" s="216" t="s">
        <v>206</v>
      </c>
      <c r="C2" s="216" t="s">
        <v>56</v>
      </c>
      <c r="D2" s="216" t="s">
        <v>57</v>
      </c>
      <c r="E2" s="216" t="s">
        <v>58</v>
      </c>
      <c r="F2" s="216" t="s">
        <v>59</v>
      </c>
      <c r="G2" s="216" t="s">
        <v>60</v>
      </c>
      <c r="H2" s="226" t="s">
        <v>5</v>
      </c>
      <c r="I2" s="185" t="s">
        <v>56</v>
      </c>
      <c r="J2" s="185" t="s">
        <v>57</v>
      </c>
      <c r="K2" s="185" t="s">
        <v>58</v>
      </c>
      <c r="L2" s="185" t="s">
        <v>59</v>
      </c>
      <c r="M2" s="185" t="s">
        <v>60</v>
      </c>
      <c r="O2" s="226" t="s">
        <v>5</v>
      </c>
      <c r="P2" s="185" t="s">
        <v>56</v>
      </c>
      <c r="Q2" s="185" t="s">
        <v>57</v>
      </c>
      <c r="R2" s="185" t="s">
        <v>58</v>
      </c>
      <c r="S2" s="185" t="s">
        <v>59</v>
      </c>
      <c r="T2" s="185" t="s">
        <v>60</v>
      </c>
      <c r="V2">
        <v>1</v>
      </c>
      <c r="W2">
        <v>27.8</v>
      </c>
      <c r="X2">
        <v>28</v>
      </c>
      <c r="Z2" s="223" t="s">
        <v>5</v>
      </c>
      <c r="AA2" t="s">
        <v>56</v>
      </c>
      <c r="AB2" t="s">
        <v>57</v>
      </c>
      <c r="AC2" t="s">
        <v>58</v>
      </c>
      <c r="AD2" t="s">
        <v>59</v>
      </c>
      <c r="AE2" t="s">
        <v>60</v>
      </c>
    </row>
    <row r="3" spans="1:31" x14ac:dyDescent="0.25">
      <c r="A3" s="1" t="s">
        <v>7</v>
      </c>
      <c r="B3" s="213">
        <v>0</v>
      </c>
      <c r="C3" s="213">
        <f>VLOOKUP(Tableau6[[#This Row],[Pilote]],Tableau35[#All],2,0)</f>
        <v>59</v>
      </c>
      <c r="D3" s="213">
        <f>VLOOKUP(Tableau6[[#This Row],[Pilote]],Tableau35[#All],3,0)+Tableau6[[#This Row],[1]]</f>
        <v>111</v>
      </c>
      <c r="E3" s="213">
        <f>VLOOKUP(Tableau6[[#This Row],[Pilote]],Tableau35[#All],4,0)+Tableau6[[#This Row],[2]]</f>
        <v>143</v>
      </c>
      <c r="F3" s="213">
        <f>VLOOKUP(Tableau6[[#This Row],[Pilote]],Tableau35[#All],5,0)+Tableau6[[#This Row],[3]]</f>
        <v>160</v>
      </c>
      <c r="G3" s="213">
        <f>VLOOKUP(Tableau6[[#This Row],[Pilote]],Tableau35[#All],6,0)+Tableau6[[#This Row],[4]]</f>
        <v>208</v>
      </c>
      <c r="H3" s="1" t="s">
        <v>7</v>
      </c>
      <c r="I3" s="19">
        <v>1</v>
      </c>
      <c r="J3" s="19">
        <v>1</v>
      </c>
      <c r="K3" s="19">
        <v>1</v>
      </c>
      <c r="L3" s="19">
        <v>1</v>
      </c>
      <c r="M3" s="19">
        <v>1</v>
      </c>
      <c r="O3" s="1" t="s">
        <v>7</v>
      </c>
      <c r="P3">
        <v>20</v>
      </c>
      <c r="Q3">
        <v>20</v>
      </c>
      <c r="R3">
        <v>20</v>
      </c>
      <c r="S3">
        <v>20</v>
      </c>
      <c r="T3">
        <v>20</v>
      </c>
      <c r="V3">
        <v>2</v>
      </c>
      <c r="W3">
        <f>27.8+W2</f>
        <v>55.6</v>
      </c>
      <c r="X3">
        <v>56</v>
      </c>
      <c r="Z3" s="224" t="s">
        <v>7</v>
      </c>
      <c r="AA3">
        <v>61</v>
      </c>
      <c r="AB3">
        <v>105</v>
      </c>
      <c r="AC3">
        <v>126</v>
      </c>
      <c r="AD3">
        <f>VLOOKUP(Tableau52[[#This Row],[Pilote]],Tableau6[#All],5,0)-$X$5</f>
        <v>45</v>
      </c>
      <c r="AE3">
        <v>119</v>
      </c>
    </row>
    <row r="4" spans="1:31" x14ac:dyDescent="0.25">
      <c r="A4" s="1" t="s">
        <v>24</v>
      </c>
      <c r="B4" s="213">
        <v>0</v>
      </c>
      <c r="C4" s="213">
        <f>VLOOKUP(Tableau6[[#This Row],[Pilote]],Tableau35[#All],2,0)</f>
        <v>41</v>
      </c>
      <c r="D4" s="213">
        <f>VLOOKUP(Tableau6[[#This Row],[Pilote]],Tableau35[#All],3,0)+Tableau6[[#This Row],[1]]</f>
        <v>100</v>
      </c>
      <c r="E4" s="213">
        <f>VLOOKUP(Tableau6[[#This Row],[Pilote]],Tableau35[#All],4,0)+Tableau6[[#This Row],[2]]</f>
        <v>137</v>
      </c>
      <c r="F4" s="213">
        <f>VLOOKUP(Tableau6[[#This Row],[Pilote]],Tableau35[#All],5,0)+Tableau6[[#This Row],[3]]</f>
        <v>160</v>
      </c>
      <c r="G4" s="213">
        <f>VLOOKUP(Tableau6[[#This Row],[Pilote]],Tableau35[#All],6,0)+Tableau6[[#This Row],[4]]</f>
        <v>200</v>
      </c>
      <c r="H4" s="1" t="s">
        <v>15</v>
      </c>
      <c r="I4" s="19">
        <v>2</v>
      </c>
      <c r="J4" s="19">
        <v>3</v>
      </c>
      <c r="K4" s="19">
        <v>5</v>
      </c>
      <c r="L4" s="19">
        <v>6</v>
      </c>
      <c r="M4" s="19">
        <v>7</v>
      </c>
      <c r="O4" s="1" t="s">
        <v>24</v>
      </c>
      <c r="P4">
        <v>16</v>
      </c>
      <c r="Q4">
        <v>19</v>
      </c>
      <c r="R4">
        <v>19</v>
      </c>
      <c r="S4">
        <v>20</v>
      </c>
      <c r="T4">
        <v>19</v>
      </c>
      <c r="V4">
        <v>3</v>
      </c>
      <c r="W4">
        <f>21.5+W3</f>
        <v>77.099999999999994</v>
      </c>
      <c r="X4">
        <v>77</v>
      </c>
      <c r="Z4" s="225" t="s">
        <v>24</v>
      </c>
      <c r="AA4">
        <f>VLOOKUP(Tableau52[[#This Row],[Pilote]],Tableau6[#All],2,0)-$X$2</f>
        <v>-28</v>
      </c>
      <c r="AB4">
        <v>74</v>
      </c>
      <c r="AC4">
        <v>120</v>
      </c>
      <c r="AD4">
        <f>VLOOKUP(Tableau52[[#This Row],[Pilote]],Tableau6[#All],5,0)-$X$5</f>
        <v>39</v>
      </c>
      <c r="AE4">
        <v>101</v>
      </c>
    </row>
    <row r="5" spans="1:31" x14ac:dyDescent="0.25">
      <c r="A5" s="1" t="s">
        <v>174</v>
      </c>
      <c r="B5" s="213">
        <v>0</v>
      </c>
      <c r="C5" s="213">
        <f>VLOOKUP(Tableau6[[#This Row],[Pilote]],Tableau35[#All],2,0)</f>
        <v>36</v>
      </c>
      <c r="D5" s="213">
        <f>VLOOKUP(Tableau6[[#This Row],[Pilote]],Tableau35[#All],3,0)+Tableau6[[#This Row],[1]]</f>
        <v>75</v>
      </c>
      <c r="E5" s="213">
        <f>VLOOKUP(Tableau6[[#This Row],[Pilote]],Tableau35[#All],4,0)+Tableau6[[#This Row],[2]]</f>
        <v>103</v>
      </c>
      <c r="F5" s="213">
        <f>VLOOKUP(Tableau6[[#This Row],[Pilote]],Tableau35[#All],5,0)+Tableau6[[#This Row],[3]]</f>
        <v>143</v>
      </c>
      <c r="G5" s="213">
        <f>VLOOKUP(Tableau6[[#This Row],[Pilote]],Tableau35[#All],6,0)+Tableau6[[#This Row],[4]]</f>
        <v>177</v>
      </c>
      <c r="H5" s="1" t="s">
        <v>19</v>
      </c>
      <c r="I5" s="19">
        <v>3</v>
      </c>
      <c r="J5" s="19">
        <v>11</v>
      </c>
      <c r="K5" s="19">
        <v>10</v>
      </c>
      <c r="L5" s="19">
        <v>9</v>
      </c>
      <c r="M5" s="19">
        <v>11</v>
      </c>
      <c r="O5" s="1" t="s">
        <v>174</v>
      </c>
      <c r="P5">
        <v>13</v>
      </c>
      <c r="Q5">
        <v>14</v>
      </c>
      <c r="R5">
        <v>18</v>
      </c>
      <c r="S5">
        <v>18</v>
      </c>
      <c r="T5">
        <v>18</v>
      </c>
      <c r="V5">
        <v>4</v>
      </c>
      <c r="W5">
        <f>20.4+W4</f>
        <v>97.5</v>
      </c>
      <c r="X5">
        <v>98</v>
      </c>
      <c r="Z5" s="224" t="s">
        <v>174</v>
      </c>
      <c r="AA5">
        <f>VLOOKUP(Tableau52[[#This Row],[Pilote]],Tableau6[#All],2,0)-$X$2</f>
        <v>-28</v>
      </c>
      <c r="AB5">
        <f>VLOOKUP(Tableau52[[#This Row],[Pilote]],Tableau6[#All],3,0)-$X$3</f>
        <v>-20</v>
      </c>
      <c r="AC5">
        <f>VLOOKUP(Tableau52[[#This Row],[Pilote]],Tableau6[#All],4,0)-$X$4</f>
        <v>-2</v>
      </c>
      <c r="AD5">
        <v>75</v>
      </c>
      <c r="AE5">
        <v>98</v>
      </c>
    </row>
    <row r="6" spans="1:31" x14ac:dyDescent="0.25">
      <c r="A6" s="1" t="s">
        <v>177</v>
      </c>
      <c r="B6" s="213">
        <v>0</v>
      </c>
      <c r="C6" s="213">
        <f>VLOOKUP(Tableau6[[#This Row],[Pilote]],Tableau35[#All],2,0)</f>
        <v>40</v>
      </c>
      <c r="D6" s="213">
        <f>VLOOKUP(Tableau6[[#This Row],[Pilote]],Tableau35[#All],3,0)+Tableau6[[#This Row],[1]]</f>
        <v>80</v>
      </c>
      <c r="E6" s="213">
        <f>VLOOKUP(Tableau6[[#This Row],[Pilote]],Tableau35[#All],4,0)+Tableau6[[#This Row],[2]]</f>
        <v>80</v>
      </c>
      <c r="F6" s="213">
        <f>VLOOKUP(Tableau6[[#This Row],[Pilote]],Tableau35[#All],5,0)+Tableau6[[#This Row],[3]]</f>
        <v>119</v>
      </c>
      <c r="G6" s="213">
        <f>VLOOKUP(Tableau6[[#This Row],[Pilote]],Tableau35[#All],6,0)+Tableau6[[#This Row],[4]]</f>
        <v>149</v>
      </c>
      <c r="H6" s="1" t="s">
        <v>175</v>
      </c>
      <c r="I6" s="19">
        <v>4</v>
      </c>
      <c r="J6" s="19">
        <v>4</v>
      </c>
      <c r="K6" s="19">
        <v>4</v>
      </c>
      <c r="L6" s="19">
        <v>7</v>
      </c>
      <c r="M6" s="19">
        <v>8</v>
      </c>
      <c r="O6" s="1" t="s">
        <v>177</v>
      </c>
      <c r="P6">
        <v>15</v>
      </c>
      <c r="Q6">
        <v>16</v>
      </c>
      <c r="R6">
        <v>13</v>
      </c>
      <c r="S6">
        <v>17</v>
      </c>
      <c r="T6">
        <v>17</v>
      </c>
      <c r="V6">
        <v>5</v>
      </c>
      <c r="W6">
        <f>21.9+W5</f>
        <v>119.4</v>
      </c>
      <c r="X6">
        <v>119</v>
      </c>
      <c r="Z6" s="225" t="s">
        <v>177</v>
      </c>
      <c r="AA6">
        <f>VLOOKUP(Tableau52[[#This Row],[Pilote]],Tableau6[#All],2,0)-$X$2</f>
        <v>-28</v>
      </c>
      <c r="AB6">
        <f>VLOOKUP(Tableau52[[#This Row],[Pilote]],Tableau6[#All],3,0)-$X$3</f>
        <v>-16</v>
      </c>
      <c r="AC6">
        <f>VLOOKUP(Tableau52[[#This Row],[Pilote]],Tableau6[#All],4,0)-$X$4</f>
        <v>3</v>
      </c>
      <c r="AD6">
        <v>41</v>
      </c>
      <c r="AE6">
        <f>VLOOKUP(Tableau52[[#This Row],[Pilote]],Tableau6[#All],6,0)-$X$6</f>
        <v>0</v>
      </c>
    </row>
    <row r="7" spans="1:31" x14ac:dyDescent="0.25">
      <c r="A7" s="1" t="s">
        <v>11</v>
      </c>
      <c r="B7" s="213">
        <v>0</v>
      </c>
      <c r="C7" s="213">
        <f>VLOOKUP(Tableau6[[#This Row],[Pilote]],Tableau35[#All],2,0)</f>
        <v>21</v>
      </c>
      <c r="D7" s="213">
        <f>VLOOKUP(Tableau6[[#This Row],[Pilote]],Tableau35[#All],3,0)+Tableau6[[#This Row],[1]]</f>
        <v>53</v>
      </c>
      <c r="E7" s="213">
        <f>VLOOKUP(Tableau6[[#This Row],[Pilote]],Tableau35[#All],4,0)+Tableau6[[#This Row],[2]]</f>
        <v>88</v>
      </c>
      <c r="F7" s="213">
        <f>VLOOKUP(Tableau6[[#This Row],[Pilote]],Tableau35[#All],5,0)+Tableau6[[#This Row],[3]]</f>
        <v>113</v>
      </c>
      <c r="G7" s="213">
        <f>VLOOKUP(Tableau6[[#This Row],[Pilote]],Tableau35[#All],6,0)+Tableau6[[#This Row],[4]]</f>
        <v>137</v>
      </c>
      <c r="H7" s="1" t="s">
        <v>24</v>
      </c>
      <c r="I7" s="19">
        <v>5</v>
      </c>
      <c r="J7" s="19">
        <v>2</v>
      </c>
      <c r="K7" s="19">
        <v>2</v>
      </c>
      <c r="L7" s="19">
        <v>1</v>
      </c>
      <c r="M7" s="19">
        <v>2</v>
      </c>
      <c r="O7" s="1" t="s">
        <v>11</v>
      </c>
      <c r="P7">
        <v>11</v>
      </c>
      <c r="Q7">
        <v>12</v>
      </c>
      <c r="R7">
        <v>15</v>
      </c>
      <c r="S7">
        <v>16</v>
      </c>
      <c r="T7">
        <v>16</v>
      </c>
      <c r="Z7" s="224" t="s">
        <v>11</v>
      </c>
      <c r="AA7">
        <v>0</v>
      </c>
      <c r="AB7">
        <v>0</v>
      </c>
      <c r="AC7">
        <v>31</v>
      </c>
      <c r="AD7">
        <f>VLOOKUP(Tableau52[[#This Row],[Pilote]],Tableau6[#All],5,0)-$X$5</f>
        <v>-10</v>
      </c>
      <c r="AE7">
        <f>VLOOKUP(Tableau52[[#This Row],[Pilote]],Tableau6[#All],6,0)-$X$6</f>
        <v>-6</v>
      </c>
    </row>
    <row r="8" spans="1:31" x14ac:dyDescent="0.25">
      <c r="A8" s="1" t="s">
        <v>25</v>
      </c>
      <c r="B8" s="213">
        <v>0</v>
      </c>
      <c r="C8" s="213">
        <f>VLOOKUP(Tableau6[[#This Row],[Pilote]],Tableau35[#All],2,0)</f>
        <v>21</v>
      </c>
      <c r="D8" s="213">
        <f>VLOOKUP(Tableau6[[#This Row],[Pilote]],Tableau35[#All],3,0)+Tableau6[[#This Row],[1]]</f>
        <v>51</v>
      </c>
      <c r="E8" s="213">
        <f>VLOOKUP(Tableau6[[#This Row],[Pilote]],Tableau35[#All],4,0)+Tableau6[[#This Row],[2]]</f>
        <v>74</v>
      </c>
      <c r="F8" s="213">
        <f>VLOOKUP(Tableau6[[#This Row],[Pilote]],Tableau35[#All],5,0)+Tableau6[[#This Row],[3]]</f>
        <v>91</v>
      </c>
      <c r="G8" s="213">
        <f>VLOOKUP(Tableau6[[#This Row],[Pilote]],Tableau35[#All],6,0)+Tableau6[[#This Row],[4]]</f>
        <v>117</v>
      </c>
      <c r="H8" s="1" t="s">
        <v>177</v>
      </c>
      <c r="I8" s="19">
        <v>6</v>
      </c>
      <c r="J8" s="19">
        <v>5</v>
      </c>
      <c r="K8" s="19">
        <v>8</v>
      </c>
      <c r="L8" s="19">
        <v>4</v>
      </c>
      <c r="M8" s="19">
        <v>4</v>
      </c>
      <c r="O8" s="1" t="s">
        <v>25</v>
      </c>
      <c r="P8">
        <v>11</v>
      </c>
      <c r="Q8">
        <v>11</v>
      </c>
      <c r="R8">
        <v>12</v>
      </c>
      <c r="S8">
        <v>13</v>
      </c>
      <c r="T8">
        <v>15</v>
      </c>
      <c r="Z8" s="225" t="s">
        <v>25</v>
      </c>
      <c r="AA8">
        <v>0</v>
      </c>
      <c r="AB8">
        <v>0</v>
      </c>
      <c r="AC8">
        <v>0</v>
      </c>
      <c r="AD8">
        <v>0</v>
      </c>
      <c r="AE8">
        <v>0</v>
      </c>
    </row>
    <row r="9" spans="1:31" x14ac:dyDescent="0.25">
      <c r="A9" s="1" t="s">
        <v>15</v>
      </c>
      <c r="B9" s="213">
        <v>0</v>
      </c>
      <c r="C9" s="213">
        <f>VLOOKUP(Tableau6[[#This Row],[Pilote]],Tableau35[#All],2,0)</f>
        <v>46</v>
      </c>
      <c r="D9" s="213">
        <f>VLOOKUP(Tableau6[[#This Row],[Pilote]],Tableau35[#All],3,0)+Tableau6[[#This Row],[1]]</f>
        <v>93</v>
      </c>
      <c r="E9" s="213">
        <f>VLOOKUP(Tableau6[[#This Row],[Pilote]],Tableau35[#All],4,0)+Tableau6[[#This Row],[2]]</f>
        <v>93</v>
      </c>
      <c r="F9" s="213">
        <f>VLOOKUP(Tableau6[[#This Row],[Pilote]],Tableau35[#All],5,0)+Tableau6[[#This Row],[3]]</f>
        <v>108</v>
      </c>
      <c r="G9" s="213">
        <f>VLOOKUP(Tableau6[[#This Row],[Pilote]],Tableau35[#All],6,0)+Tableau6[[#This Row],[4]]</f>
        <v>114</v>
      </c>
      <c r="H9" s="1" t="s">
        <v>31</v>
      </c>
      <c r="I9" s="19">
        <v>6</v>
      </c>
      <c r="J9" s="19">
        <v>6</v>
      </c>
      <c r="K9" s="19">
        <v>7</v>
      </c>
      <c r="L9" s="19">
        <v>10</v>
      </c>
      <c r="M9" s="19">
        <v>12</v>
      </c>
      <c r="O9" s="1" t="s">
        <v>15</v>
      </c>
      <c r="P9">
        <v>19</v>
      </c>
      <c r="Q9">
        <v>18</v>
      </c>
      <c r="R9">
        <v>16</v>
      </c>
      <c r="S9">
        <v>15</v>
      </c>
      <c r="T9">
        <v>14</v>
      </c>
      <c r="Z9" s="224" t="s">
        <v>15</v>
      </c>
      <c r="AA9">
        <v>38</v>
      </c>
      <c r="AB9">
        <v>67</v>
      </c>
      <c r="AC9">
        <f>VLOOKUP(Tableau52[[#This Row],[Pilote]],Tableau6[#All],4,0)-$X$4</f>
        <v>16</v>
      </c>
      <c r="AD9">
        <f>VLOOKUP(Tableau52[[#This Row],[Pilote]],Tableau6[#All],5,0)-$X$5</f>
        <v>-5</v>
      </c>
      <c r="AE9">
        <v>0</v>
      </c>
    </row>
    <row r="10" spans="1:31" x14ac:dyDescent="0.25">
      <c r="A10" s="1" t="s">
        <v>175</v>
      </c>
      <c r="B10" s="213">
        <v>0</v>
      </c>
      <c r="C10" s="213">
        <f>VLOOKUP(Tableau6[[#This Row],[Pilote]],Tableau35[#All],2,0)</f>
        <v>42</v>
      </c>
      <c r="D10" s="213">
        <f>VLOOKUP(Tableau6[[#This Row],[Pilote]],Tableau35[#All],3,0)+Tableau6[[#This Row],[1]]</f>
        <v>83</v>
      </c>
      <c r="E10" s="213">
        <f>VLOOKUP(Tableau6[[#This Row],[Pilote]],Tableau35[#All],4,0)+Tableau6[[#This Row],[2]]</f>
        <v>94</v>
      </c>
      <c r="F10" s="213">
        <f>VLOOKUP(Tableau6[[#This Row],[Pilote]],Tableau35[#All],5,0)+Tableau6[[#This Row],[3]]</f>
        <v>103</v>
      </c>
      <c r="G10" s="213">
        <f>VLOOKUP(Tableau6[[#This Row],[Pilote]],Tableau35[#All],6,0)+Tableau6[[#This Row],[4]]</f>
        <v>111</v>
      </c>
      <c r="H10" s="1" t="s">
        <v>174</v>
      </c>
      <c r="I10" s="19">
        <v>8</v>
      </c>
      <c r="J10" s="19">
        <v>7</v>
      </c>
      <c r="K10" s="19">
        <v>3</v>
      </c>
      <c r="L10" s="19">
        <v>3</v>
      </c>
      <c r="M10" s="19">
        <v>3</v>
      </c>
      <c r="O10" s="1" t="s">
        <v>175</v>
      </c>
      <c r="P10">
        <v>17</v>
      </c>
      <c r="Q10">
        <v>17</v>
      </c>
      <c r="R10">
        <v>17</v>
      </c>
      <c r="S10">
        <v>14</v>
      </c>
      <c r="T10">
        <v>13</v>
      </c>
      <c r="Z10" s="225" t="s">
        <v>175</v>
      </c>
      <c r="AA10">
        <f>VLOOKUP(Tableau52[[#This Row],[Pilote]],Tableau6[#All],2,0)-$X$2</f>
        <v>-28</v>
      </c>
      <c r="AB10">
        <f>VLOOKUP(Tableau52[[#This Row],[Pilote]],Tableau6[#All],3,0)-$X$3</f>
        <v>-14</v>
      </c>
      <c r="AC10">
        <f>VLOOKUP(Tableau52[[#This Row],[Pilote]],Tableau6[#All],4,0)-$X$4</f>
        <v>6</v>
      </c>
      <c r="AD10">
        <f>VLOOKUP(Tableau52[[#This Row],[Pilote]],Tableau6[#All],5,0)-$X$5</f>
        <v>-4</v>
      </c>
      <c r="AE10">
        <v>0</v>
      </c>
    </row>
    <row r="11" spans="1:31" x14ac:dyDescent="0.25">
      <c r="A11" s="1" t="s">
        <v>21</v>
      </c>
      <c r="B11" s="213">
        <v>0</v>
      </c>
      <c r="C11" s="213">
        <f>VLOOKUP(Tableau6[[#This Row],[Pilote]],Tableau35[#All],2,0)</f>
        <v>16</v>
      </c>
      <c r="D11" s="213">
        <f>VLOOKUP(Tableau6[[#This Row],[Pilote]],Tableau35[#All],3,0)+Tableau6[[#This Row],[1]]</f>
        <v>28</v>
      </c>
      <c r="E11" s="213">
        <f>VLOOKUP(Tableau6[[#This Row],[Pilote]],Tableau35[#All],4,0)+Tableau6[[#This Row],[2]]</f>
        <v>50</v>
      </c>
      <c r="F11" s="213">
        <f>VLOOKUP(Tableau6[[#This Row],[Pilote]],Tableau35[#All],5,0)+Tableau6[[#This Row],[3]]</f>
        <v>84</v>
      </c>
      <c r="G11" s="213">
        <f>VLOOKUP(Tableau6[[#This Row],[Pilote]],Tableau35[#All],6,0)+Tableau6[[#This Row],[4]]</f>
        <v>104</v>
      </c>
      <c r="H11" s="1" t="s">
        <v>9</v>
      </c>
      <c r="I11" s="19">
        <v>9</v>
      </c>
      <c r="J11" s="19">
        <v>8</v>
      </c>
      <c r="K11" s="19">
        <v>11</v>
      </c>
      <c r="L11" s="19">
        <v>12</v>
      </c>
      <c r="M11" s="19">
        <v>10</v>
      </c>
      <c r="O11" s="1" t="s">
        <v>21</v>
      </c>
      <c r="P11">
        <v>8</v>
      </c>
      <c r="Q11">
        <v>7</v>
      </c>
      <c r="R11">
        <v>8</v>
      </c>
      <c r="S11">
        <v>11</v>
      </c>
      <c r="T11">
        <v>12</v>
      </c>
      <c r="Z11" s="224" t="s">
        <v>21</v>
      </c>
      <c r="AA11">
        <v>0</v>
      </c>
      <c r="AB11">
        <v>0</v>
      </c>
      <c r="AC11">
        <v>0</v>
      </c>
      <c r="AD11">
        <v>10</v>
      </c>
      <c r="AE11">
        <v>0</v>
      </c>
    </row>
    <row r="12" spans="1:31" x14ac:dyDescent="0.25">
      <c r="A12" s="1" t="s">
        <v>9</v>
      </c>
      <c r="B12" s="213">
        <v>0</v>
      </c>
      <c r="C12" s="213">
        <f>VLOOKUP(Tableau6[[#This Row],[Pilote]],Tableau35[#All],2,0)</f>
        <v>34</v>
      </c>
      <c r="D12" s="213">
        <f>VLOOKUP(Tableau6[[#This Row],[Pilote]],Tableau35[#All],3,0)+Tableau6[[#This Row],[1]]</f>
        <v>68</v>
      </c>
      <c r="E12" s="213">
        <f>VLOOKUP(Tableau6[[#This Row],[Pilote]],Tableau35[#All],4,0)+Tableau6[[#This Row],[2]]</f>
        <v>68</v>
      </c>
      <c r="F12" s="213">
        <f>VLOOKUP(Tableau6[[#This Row],[Pilote]],Tableau35[#All],5,0)+Tableau6[[#This Row],[3]]</f>
        <v>80</v>
      </c>
      <c r="G12" s="213">
        <f>VLOOKUP(Tableau6[[#This Row],[Pilote]],Tableau35[#All],6,0)+Tableau6[[#This Row],[4]]</f>
        <v>96</v>
      </c>
      <c r="H12" s="1" t="s">
        <v>11</v>
      </c>
      <c r="I12" s="19">
        <v>10</v>
      </c>
      <c r="J12" s="19">
        <v>9</v>
      </c>
      <c r="K12" s="19">
        <v>6</v>
      </c>
      <c r="L12" s="19">
        <v>5</v>
      </c>
      <c r="M12" s="19">
        <v>5</v>
      </c>
      <c r="O12" s="1" t="s">
        <v>9</v>
      </c>
      <c r="P12">
        <v>12</v>
      </c>
      <c r="Q12">
        <v>13</v>
      </c>
      <c r="R12">
        <v>10</v>
      </c>
      <c r="S12">
        <v>9</v>
      </c>
      <c r="T12">
        <v>11</v>
      </c>
      <c r="Z12" s="225" t="s">
        <v>9</v>
      </c>
      <c r="AA12">
        <f>VLOOKUP(Tableau52[[#This Row],[Pilote]],Tableau6[#All],2,0)-$X$2</f>
        <v>-28</v>
      </c>
      <c r="AB12">
        <f>VLOOKUP(Tableau52[[#This Row],[Pilote]],Tableau6[#All],3,0)-$X$3</f>
        <v>-22</v>
      </c>
      <c r="AC12">
        <v>0</v>
      </c>
      <c r="AD12">
        <v>0</v>
      </c>
      <c r="AE12">
        <v>0</v>
      </c>
    </row>
    <row r="13" spans="1:31" x14ac:dyDescent="0.25">
      <c r="A13" s="1" t="s">
        <v>19</v>
      </c>
      <c r="B13" s="213">
        <v>0</v>
      </c>
      <c r="C13" s="213">
        <f>VLOOKUP(Tableau6[[#This Row],[Pilote]],Tableau35[#All],2,0)</f>
        <v>43</v>
      </c>
      <c r="D13" s="213">
        <f>VLOOKUP(Tableau6[[#This Row],[Pilote]],Tableau35[#All],3,0)+Tableau6[[#This Row],[1]]</f>
        <v>46</v>
      </c>
      <c r="E13" s="213">
        <f>VLOOKUP(Tableau6[[#This Row],[Pilote]],Tableau35[#All],4,0)+Tableau6[[#This Row],[2]]</f>
        <v>70</v>
      </c>
      <c r="F13" s="213">
        <f>VLOOKUP(Tableau6[[#This Row],[Pilote]],Tableau35[#All],5,0)+Tableau6[[#This Row],[3]]</f>
        <v>90</v>
      </c>
      <c r="G13" s="213">
        <f>VLOOKUP(Tableau6[[#This Row],[Pilote]],Tableau35[#All],6,0)+Tableau6[[#This Row],[4]]</f>
        <v>90</v>
      </c>
      <c r="H13" s="1" t="s">
        <v>25</v>
      </c>
      <c r="I13" s="19">
        <v>10</v>
      </c>
      <c r="J13" s="19">
        <v>10</v>
      </c>
      <c r="K13" s="19">
        <v>9</v>
      </c>
      <c r="L13" s="19">
        <v>8</v>
      </c>
      <c r="M13" s="19">
        <v>6</v>
      </c>
      <c r="O13" s="1" t="s">
        <v>19</v>
      </c>
      <c r="P13">
        <v>18</v>
      </c>
      <c r="Q13">
        <v>10</v>
      </c>
      <c r="R13">
        <v>11</v>
      </c>
      <c r="S13">
        <v>12</v>
      </c>
      <c r="T13">
        <v>10</v>
      </c>
      <c r="Z13" s="224" t="s">
        <v>19</v>
      </c>
      <c r="AA13">
        <v>25</v>
      </c>
      <c r="AB13">
        <v>0</v>
      </c>
      <c r="AC13">
        <v>0</v>
      </c>
      <c r="AD13">
        <v>0</v>
      </c>
      <c r="AE13">
        <v>0</v>
      </c>
    </row>
    <row r="14" spans="1:31" x14ac:dyDescent="0.25">
      <c r="A14" s="1" t="s">
        <v>31</v>
      </c>
      <c r="B14" s="213">
        <v>0</v>
      </c>
      <c r="C14" s="213">
        <f>VLOOKUP(Tableau6[[#This Row],[Pilote]],Tableau35[#All],2,0)</f>
        <v>40</v>
      </c>
      <c r="D14" s="213">
        <f>VLOOKUP(Tableau6[[#This Row],[Pilote]],Tableau35[#All],3,0)+Tableau6[[#This Row],[1]]</f>
        <v>77</v>
      </c>
      <c r="E14" s="213">
        <f>VLOOKUP(Tableau6[[#This Row],[Pilote]],Tableau35[#All],4,0)+Tableau6[[#This Row],[2]]</f>
        <v>84</v>
      </c>
      <c r="F14" s="213">
        <f>VLOOKUP(Tableau6[[#This Row],[Pilote]],Tableau35[#All],5,0)+Tableau6[[#This Row],[3]]</f>
        <v>84</v>
      </c>
      <c r="G14" s="213">
        <f>VLOOKUP(Tableau6[[#This Row],[Pilote]],Tableau35[#All],6,0)+Tableau6[[#This Row],[4]]</f>
        <v>84</v>
      </c>
      <c r="H14" s="1" t="s">
        <v>28</v>
      </c>
      <c r="I14" s="19">
        <v>10</v>
      </c>
      <c r="J14" s="19">
        <v>12</v>
      </c>
      <c r="K14" s="19">
        <v>12</v>
      </c>
      <c r="L14" s="19">
        <v>14</v>
      </c>
      <c r="M14" s="19">
        <v>14</v>
      </c>
      <c r="O14" s="1" t="s">
        <v>31</v>
      </c>
      <c r="P14">
        <v>15</v>
      </c>
      <c r="Q14">
        <v>15</v>
      </c>
      <c r="R14">
        <v>14</v>
      </c>
      <c r="S14">
        <v>11</v>
      </c>
      <c r="T14">
        <v>9</v>
      </c>
      <c r="Z14" s="225" t="s">
        <v>31</v>
      </c>
      <c r="AA14">
        <f>VLOOKUP(Tableau52[[#This Row],[Pilote]],Tableau6[#All],2,0)-$X$2</f>
        <v>-28</v>
      </c>
      <c r="AB14">
        <f>VLOOKUP(Tableau52[[#This Row],[Pilote]],Tableau6[#All],3,0)-$X$3</f>
        <v>-16</v>
      </c>
      <c r="AC14">
        <f>VLOOKUP(Tableau52[[#This Row],[Pilote]],Tableau6[#All],4,0)-$X$4</f>
        <v>0</v>
      </c>
      <c r="AD14">
        <v>0</v>
      </c>
      <c r="AE14">
        <v>0</v>
      </c>
    </row>
    <row r="15" spans="1:31" x14ac:dyDescent="0.25">
      <c r="A15" s="1" t="s">
        <v>173</v>
      </c>
      <c r="B15" s="213">
        <v>0</v>
      </c>
      <c r="C15" s="213">
        <f>VLOOKUP(Tableau6[[#This Row],[Pilote]],Tableau35[#All],2,0)</f>
        <v>14</v>
      </c>
      <c r="D15" s="213">
        <f>VLOOKUP(Tableau6[[#This Row],[Pilote]],Tableau35[#All],3,0)+Tableau6[[#This Row],[1]]</f>
        <v>24</v>
      </c>
      <c r="E15" s="213">
        <f>VLOOKUP(Tableau6[[#This Row],[Pilote]],Tableau35[#All],4,0)+Tableau6[[#This Row],[2]]</f>
        <v>47</v>
      </c>
      <c r="F15" s="213">
        <f>VLOOKUP(Tableau6[[#This Row],[Pilote]],Tableau35[#All],5,0)+Tableau6[[#This Row],[3]]</f>
        <v>68</v>
      </c>
      <c r="G15" s="213">
        <f>VLOOKUP(Tableau6[[#This Row],[Pilote]],Tableau35[#All],6,0)+Tableau6[[#This Row],[4]]</f>
        <v>82</v>
      </c>
      <c r="H15" s="1" t="s">
        <v>21</v>
      </c>
      <c r="I15" s="19">
        <v>13</v>
      </c>
      <c r="J15" s="19">
        <v>14</v>
      </c>
      <c r="K15" s="19">
        <v>13</v>
      </c>
      <c r="L15" s="19">
        <v>10</v>
      </c>
      <c r="M15" s="19">
        <v>9</v>
      </c>
      <c r="O15" s="1" t="s">
        <v>173</v>
      </c>
      <c r="P15">
        <v>7</v>
      </c>
      <c r="Q15">
        <v>5</v>
      </c>
      <c r="R15">
        <v>7</v>
      </c>
      <c r="S15">
        <v>8</v>
      </c>
      <c r="T15">
        <v>8</v>
      </c>
      <c r="Z15" s="224" t="s">
        <v>173</v>
      </c>
      <c r="AA15">
        <v>0</v>
      </c>
      <c r="AB15">
        <v>0</v>
      </c>
      <c r="AC15">
        <v>0</v>
      </c>
      <c r="AD15">
        <v>0</v>
      </c>
      <c r="AE15">
        <v>0</v>
      </c>
    </row>
    <row r="16" spans="1:31" x14ac:dyDescent="0.25">
      <c r="A16" s="1" t="s">
        <v>28</v>
      </c>
      <c r="B16" s="213">
        <v>0</v>
      </c>
      <c r="C16" s="213">
        <f>VLOOKUP(Tableau6[[#This Row],[Pilote]],Tableau35[#All],2,0)</f>
        <v>21</v>
      </c>
      <c r="D16" s="213">
        <f>VLOOKUP(Tableau6[[#This Row],[Pilote]],Tableau35[#All],3,0)+Tableau6[[#This Row],[1]]</f>
        <v>32</v>
      </c>
      <c r="E16" s="213">
        <f>VLOOKUP(Tableau6[[#This Row],[Pilote]],Tableau35[#All],4,0)+Tableau6[[#This Row],[2]]</f>
        <v>54</v>
      </c>
      <c r="F16" s="213">
        <f>VLOOKUP(Tableau6[[#This Row],[Pilote]],Tableau35[#All],5,0)+Tableau6[[#This Row],[3]]</f>
        <v>54</v>
      </c>
      <c r="G16" s="213">
        <f>VLOOKUP(Tableau6[[#This Row],[Pilote]],Tableau35[#All],6,0)+Tableau6[[#This Row],[4]]</f>
        <v>72</v>
      </c>
      <c r="H16" s="1" t="s">
        <v>173</v>
      </c>
      <c r="I16" s="19">
        <v>14</v>
      </c>
      <c r="J16" s="19">
        <v>16</v>
      </c>
      <c r="K16" s="19">
        <v>14</v>
      </c>
      <c r="L16" s="19">
        <v>13</v>
      </c>
      <c r="M16" s="19">
        <v>13</v>
      </c>
      <c r="O16" s="1" t="s">
        <v>28</v>
      </c>
      <c r="P16">
        <v>11</v>
      </c>
      <c r="Q16">
        <v>9</v>
      </c>
      <c r="R16">
        <v>9</v>
      </c>
      <c r="S16">
        <v>7</v>
      </c>
      <c r="T16">
        <v>7</v>
      </c>
      <c r="Z16" s="225" t="s">
        <v>28</v>
      </c>
      <c r="AA16">
        <v>0</v>
      </c>
      <c r="AB16">
        <v>0</v>
      </c>
      <c r="AC16">
        <v>0</v>
      </c>
      <c r="AD16">
        <v>0</v>
      </c>
      <c r="AE16">
        <v>0</v>
      </c>
    </row>
    <row r="17" spans="1:31" x14ac:dyDescent="0.25">
      <c r="A17" s="1" t="s">
        <v>29</v>
      </c>
      <c r="B17" s="213">
        <v>0</v>
      </c>
      <c r="C17" s="213">
        <f>VLOOKUP(Tableau6[[#This Row],[Pilote]],Tableau35[#All],2,0)</f>
        <v>11</v>
      </c>
      <c r="D17" s="213">
        <f>VLOOKUP(Tableau6[[#This Row],[Pilote]],Tableau35[#All],3,0)+Tableau6[[#This Row],[1]]</f>
        <v>32</v>
      </c>
      <c r="E17" s="213">
        <f>VLOOKUP(Tableau6[[#This Row],[Pilote]],Tableau35[#All],4,0)+Tableau6[[#This Row],[2]]</f>
        <v>45</v>
      </c>
      <c r="F17" s="213">
        <f>VLOOKUP(Tableau6[[#This Row],[Pilote]],Tableau35[#All],5,0)+Tableau6[[#This Row],[3]]</f>
        <v>45</v>
      </c>
      <c r="G17" s="213">
        <f>VLOOKUP(Tableau6[[#This Row],[Pilote]],Tableau35[#All],6,0)+Tableau6[[#This Row],[4]]</f>
        <v>45</v>
      </c>
      <c r="H17" s="1" t="s">
        <v>29</v>
      </c>
      <c r="I17" s="19">
        <v>15</v>
      </c>
      <c r="J17" s="19">
        <v>12</v>
      </c>
      <c r="K17" s="19">
        <v>15</v>
      </c>
      <c r="L17" s="19">
        <v>15</v>
      </c>
      <c r="M17" s="19">
        <v>15</v>
      </c>
      <c r="O17" s="1" t="s">
        <v>29</v>
      </c>
      <c r="P17">
        <v>6</v>
      </c>
      <c r="Q17">
        <v>9</v>
      </c>
      <c r="R17">
        <v>6</v>
      </c>
      <c r="S17">
        <v>6</v>
      </c>
      <c r="T17">
        <v>6</v>
      </c>
      <c r="Z17" s="224" t="s">
        <v>29</v>
      </c>
      <c r="AA17">
        <v>0</v>
      </c>
      <c r="AB17">
        <v>0</v>
      </c>
      <c r="AC17">
        <v>0</v>
      </c>
      <c r="AD17">
        <v>0</v>
      </c>
      <c r="AE17">
        <v>0</v>
      </c>
    </row>
    <row r="18" spans="1:31" x14ac:dyDescent="0.25">
      <c r="A18" s="1" t="s">
        <v>26</v>
      </c>
      <c r="B18" s="213">
        <v>0</v>
      </c>
      <c r="C18" s="213">
        <f>VLOOKUP(Tableau6[[#This Row],[Pilote]],Tableau35[#All],2,0)</f>
        <v>4</v>
      </c>
      <c r="D18" s="213">
        <f>VLOOKUP(Tableau6[[#This Row],[Pilote]],Tableau35[#All],3,0)+Tableau6[[#This Row],[1]]</f>
        <v>10</v>
      </c>
      <c r="E18" s="213">
        <f>VLOOKUP(Tableau6[[#This Row],[Pilote]],Tableau35[#All],4,0)+Tableau6[[#This Row],[2]]</f>
        <v>24</v>
      </c>
      <c r="F18" s="213">
        <f>VLOOKUP(Tableau6[[#This Row],[Pilote]],Tableau35[#All],5,0)+Tableau6[[#This Row],[3]]</f>
        <v>33</v>
      </c>
      <c r="G18" s="213">
        <f>VLOOKUP(Tableau6[[#This Row],[Pilote]],Tableau35[#All],6,0)+Tableau6[[#This Row],[4]]</f>
        <v>43</v>
      </c>
      <c r="H18" s="1" t="s">
        <v>17</v>
      </c>
      <c r="I18" s="19">
        <v>16</v>
      </c>
      <c r="J18" s="19">
        <v>14</v>
      </c>
      <c r="K18" s="19">
        <v>16</v>
      </c>
      <c r="L18" s="19">
        <v>17</v>
      </c>
      <c r="M18" s="19">
        <v>18</v>
      </c>
      <c r="O18" s="1" t="s">
        <v>26</v>
      </c>
      <c r="P18">
        <v>4</v>
      </c>
      <c r="Q18">
        <v>3</v>
      </c>
      <c r="R18">
        <v>4</v>
      </c>
      <c r="S18">
        <v>5</v>
      </c>
      <c r="T18">
        <v>5</v>
      </c>
      <c r="Z18" s="225" t="s">
        <v>26</v>
      </c>
      <c r="AA18">
        <v>0</v>
      </c>
      <c r="AB18">
        <v>0</v>
      </c>
      <c r="AC18">
        <v>0</v>
      </c>
      <c r="AD18">
        <v>0</v>
      </c>
      <c r="AE18">
        <v>0</v>
      </c>
    </row>
    <row r="19" spans="1:31" x14ac:dyDescent="0.25">
      <c r="A19" s="1" t="s">
        <v>198</v>
      </c>
      <c r="B19" s="213">
        <v>0</v>
      </c>
      <c r="C19" s="213">
        <f>VLOOKUP(Tableau6[[#This Row],[Pilote]],Tableau35[#All],2,0)</f>
        <v>0</v>
      </c>
      <c r="D19" s="213">
        <f>VLOOKUP(Tableau6[[#This Row],[Pilote]],Tableau35[#All],3,0)+Tableau6[[#This Row],[1]]</f>
        <v>0</v>
      </c>
      <c r="E19" s="213">
        <f>VLOOKUP(Tableau6[[#This Row],[Pilote]],Tableau35[#All],4,0)+Tableau6[[#This Row],[2]]</f>
        <v>0</v>
      </c>
      <c r="F19" s="213">
        <f>VLOOKUP(Tableau6[[#This Row],[Pilote]],Tableau35[#All],5,0)+Tableau6[[#This Row],[3]]</f>
        <v>20</v>
      </c>
      <c r="G19" s="213">
        <f>VLOOKUP(Tableau6[[#This Row],[Pilote]],Tableau35[#All],6,0)+Tableau6[[#This Row],[4]]</f>
        <v>42</v>
      </c>
      <c r="H19" s="1" t="s">
        <v>26</v>
      </c>
      <c r="I19" s="19">
        <v>17</v>
      </c>
      <c r="J19" s="19">
        <v>18</v>
      </c>
      <c r="K19" s="19">
        <v>17</v>
      </c>
      <c r="L19" s="19">
        <v>16</v>
      </c>
      <c r="M19" s="19">
        <v>16</v>
      </c>
      <c r="O19" s="1" t="s">
        <v>198</v>
      </c>
      <c r="P19">
        <v>2</v>
      </c>
      <c r="Q19">
        <v>2</v>
      </c>
      <c r="R19">
        <v>2</v>
      </c>
      <c r="S19">
        <v>2</v>
      </c>
      <c r="T19">
        <v>4</v>
      </c>
      <c r="Z19" s="224" t="s">
        <v>198</v>
      </c>
      <c r="AA19">
        <v>0</v>
      </c>
      <c r="AB19">
        <v>0</v>
      </c>
      <c r="AC19">
        <v>0</v>
      </c>
      <c r="AD19">
        <v>0</v>
      </c>
      <c r="AE19">
        <v>0</v>
      </c>
    </row>
    <row r="20" spans="1:31" x14ac:dyDescent="0.25">
      <c r="A20" s="1" t="s">
        <v>17</v>
      </c>
      <c r="B20" s="213">
        <v>0</v>
      </c>
      <c r="C20" s="213">
        <f>VLOOKUP(Tableau6[[#This Row],[Pilote]],Tableau35[#All],2,0)</f>
        <v>8</v>
      </c>
      <c r="D20" s="213">
        <f>VLOOKUP(Tableau6[[#This Row],[Pilote]],Tableau35[#All],3,0)+Tableau6[[#This Row],[1]]</f>
        <v>28</v>
      </c>
      <c r="E20" s="213">
        <f>VLOOKUP(Tableau6[[#This Row],[Pilote]],Tableau35[#All],4,0)+Tableau6[[#This Row],[2]]</f>
        <v>28</v>
      </c>
      <c r="F20" s="213">
        <f>VLOOKUP(Tableau6[[#This Row],[Pilote]],Tableau35[#All],5,0)+Tableau6[[#This Row],[3]]</f>
        <v>28</v>
      </c>
      <c r="G20" s="213">
        <f>VLOOKUP(Tableau6[[#This Row],[Pilote]],Tableau35[#All],6,0)+Tableau6[[#This Row],[4]]</f>
        <v>28</v>
      </c>
      <c r="H20" s="1" t="s">
        <v>13</v>
      </c>
      <c r="I20" s="19">
        <v>17</v>
      </c>
      <c r="J20" s="19">
        <v>17</v>
      </c>
      <c r="K20" s="19">
        <v>18</v>
      </c>
      <c r="L20" s="19">
        <v>18</v>
      </c>
      <c r="M20" s="19">
        <v>19</v>
      </c>
      <c r="O20" s="1" t="s">
        <v>17</v>
      </c>
      <c r="P20">
        <v>5</v>
      </c>
      <c r="Q20">
        <v>7</v>
      </c>
      <c r="R20">
        <v>5</v>
      </c>
      <c r="S20">
        <v>4</v>
      </c>
      <c r="T20">
        <v>3</v>
      </c>
      <c r="Z20" s="225" t="s">
        <v>17</v>
      </c>
      <c r="AA20">
        <v>0</v>
      </c>
      <c r="AB20">
        <v>0</v>
      </c>
      <c r="AC20">
        <v>0</v>
      </c>
      <c r="AD20">
        <v>0</v>
      </c>
      <c r="AE20">
        <v>0</v>
      </c>
    </row>
    <row r="21" spans="1:31" x14ac:dyDescent="0.25">
      <c r="A21" s="1" t="s">
        <v>13</v>
      </c>
      <c r="B21" s="213">
        <v>0</v>
      </c>
      <c r="C21" s="213">
        <f>VLOOKUP(Tableau6[[#This Row],[Pilote]],Tableau35[#All],2,0)</f>
        <v>4</v>
      </c>
      <c r="D21" s="213">
        <f>VLOOKUP(Tableau6[[#This Row],[Pilote]],Tableau35[#All],3,0)+Tableau6[[#This Row],[1]]</f>
        <v>11</v>
      </c>
      <c r="E21" s="213">
        <f>VLOOKUP(Tableau6[[#This Row],[Pilote]],Tableau35[#All],4,0)+Tableau6[[#This Row],[2]]</f>
        <v>21</v>
      </c>
      <c r="F21" s="213">
        <f>VLOOKUP(Tableau6[[#This Row],[Pilote]],Tableau35[#All],5,0)+Tableau6[[#This Row],[3]]</f>
        <v>26</v>
      </c>
      <c r="G21" s="213">
        <f>VLOOKUP(Tableau6[[#This Row],[Pilote]],Tableau35[#All],6,0)+Tableau6[[#This Row],[4]]</f>
        <v>26</v>
      </c>
      <c r="H21" s="1" t="s">
        <v>198</v>
      </c>
      <c r="I21" s="19">
        <v>19</v>
      </c>
      <c r="J21" s="19">
        <v>19</v>
      </c>
      <c r="K21" s="19">
        <v>19</v>
      </c>
      <c r="L21" s="19">
        <v>19</v>
      </c>
      <c r="M21" s="19">
        <v>17</v>
      </c>
      <c r="O21" s="1" t="s">
        <v>13</v>
      </c>
      <c r="P21">
        <v>4</v>
      </c>
      <c r="Q21">
        <v>4</v>
      </c>
      <c r="R21">
        <v>3</v>
      </c>
      <c r="S21">
        <v>3</v>
      </c>
      <c r="T21">
        <v>2</v>
      </c>
      <c r="Z21" s="224" t="s">
        <v>13</v>
      </c>
      <c r="AA21">
        <v>0</v>
      </c>
      <c r="AB21">
        <v>0</v>
      </c>
      <c r="AC21">
        <v>0</v>
      </c>
      <c r="AD21">
        <v>0</v>
      </c>
      <c r="AE21">
        <v>0</v>
      </c>
    </row>
    <row r="22" spans="1:31" x14ac:dyDescent="0.25">
      <c r="A22" s="1" t="s">
        <v>200</v>
      </c>
      <c r="B22" s="213">
        <v>0</v>
      </c>
      <c r="C22" s="213">
        <f>VLOOKUP(Tableau6[[#This Row],[Pilote]],Tableau35[#All],2,0)</f>
        <v>0</v>
      </c>
      <c r="D22" s="213">
        <f>VLOOKUP(Tableau6[[#This Row],[Pilote]],Tableau35[#All],3,0)+Tableau6[[#This Row],[1]]</f>
        <v>0</v>
      </c>
      <c r="E22" s="213">
        <f>VLOOKUP(Tableau6[[#This Row],[Pilote]],Tableau35[#All],4,0)+Tableau6[[#This Row],[2]]</f>
        <v>0</v>
      </c>
      <c r="F22" s="213">
        <f>VLOOKUP(Tableau6[[#This Row],[Pilote]],Tableau35[#All],5,0)+Tableau6[[#This Row],[3]]</f>
        <v>0</v>
      </c>
      <c r="G22" s="213">
        <f>VLOOKUP(Tableau6[[#This Row],[Pilote]],Tableau35[#All],6,0)+Tableau6[[#This Row],[4]]</f>
        <v>12</v>
      </c>
      <c r="H22" s="1" t="s">
        <v>200</v>
      </c>
      <c r="I22" s="19">
        <v>20</v>
      </c>
      <c r="J22" s="19">
        <v>20</v>
      </c>
      <c r="K22" s="19">
        <v>20</v>
      </c>
      <c r="L22" s="19">
        <v>20</v>
      </c>
      <c r="M22" s="19">
        <v>20</v>
      </c>
      <c r="O22" s="1" t="s">
        <v>200</v>
      </c>
      <c r="P22">
        <v>1</v>
      </c>
      <c r="Q22">
        <v>1</v>
      </c>
      <c r="R22">
        <v>1</v>
      </c>
      <c r="S22">
        <v>1</v>
      </c>
      <c r="T22">
        <v>1</v>
      </c>
      <c r="Z22" s="225" t="s">
        <v>200</v>
      </c>
      <c r="AA22">
        <v>0</v>
      </c>
      <c r="AB22">
        <v>0</v>
      </c>
      <c r="AC22">
        <v>0</v>
      </c>
      <c r="AD22">
        <v>0</v>
      </c>
      <c r="AE22">
        <v>0</v>
      </c>
    </row>
  </sheetData>
  <mergeCells count="4">
    <mergeCell ref="H1:M1"/>
    <mergeCell ref="A1:F1"/>
    <mergeCell ref="O1:T1"/>
    <mergeCell ref="Z1:AE1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L25" sqref="L25"/>
    </sheetView>
  </sheetViews>
  <sheetFormatPr baseColWidth="10" defaultRowHeight="15" x14ac:dyDescent="0.25"/>
  <cols>
    <col min="1" max="1" width="4.7109375" customWidth="1"/>
    <col min="2" max="2" width="14.570312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27" t="s">
        <v>178</v>
      </c>
      <c r="C1" s="127">
        <v>6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24</v>
      </c>
      <c r="C3" s="1" t="str">
        <f>VLOOKUP(Tableau246810121416[[#This Row],[Pilote]],Tableau2[[Pilote]:[Voiture]],2,0)</f>
        <v>Suzuki</v>
      </c>
      <c r="D3" s="211">
        <v>3</v>
      </c>
      <c r="E3" s="40">
        <f>IF(ISNA(VLOOKUP(D3,Tableau12579111315[[Pos.]:[Sprint]],2,0)),"",VLOOKUP(D3,Tableau12579111315[[Pos.]:[Sprint]],2,0))</f>
        <v>15</v>
      </c>
      <c r="F3" s="210">
        <v>1</v>
      </c>
      <c r="G3" s="40">
        <f>IF(ISNA(VLOOKUP(F3,Tableau12579111315[[Pos.]:[Enduro]],3,0)),"",VLOOKUP(F3,Tableau12579111315[[Pos.]:[Enduro]],3,0))</f>
        <v>24</v>
      </c>
      <c r="H3" s="44">
        <f t="shared" ref="H3:H18" si="0">IF(ISERROR(E3+G3),0,E3+G3)</f>
        <v>39</v>
      </c>
      <c r="J3" s="2">
        <v>1</v>
      </c>
      <c r="K3">
        <v>20</v>
      </c>
      <c r="L3">
        <v>24</v>
      </c>
      <c r="M3">
        <f>2*Tableau12579111315[[#This Row],[Enduro]]</f>
        <v>48</v>
      </c>
    </row>
    <row r="4" spans="1:13" x14ac:dyDescent="0.25">
      <c r="A4" s="56">
        <f t="shared" ref="A4:A18" si="1">A3+1</f>
        <v>2</v>
      </c>
      <c r="B4" s="1" t="s">
        <v>21</v>
      </c>
      <c r="C4" s="1" t="str">
        <f>VLOOKUP(Tableau246810121416[[#This Row],[Pilote]],Tableau2[[Pilote]:[Voiture]],2,0)</f>
        <v>Mini</v>
      </c>
      <c r="D4" s="218">
        <v>2</v>
      </c>
      <c r="E4" s="40">
        <f>IF(ISNA(VLOOKUP(D4,Tableau12579111315[[Pos.]:[Sprint]],2,0)),"",VLOOKUP(D4,Tableau12579111315[[Pos.]:[Sprint]],2,0))</f>
        <v>17</v>
      </c>
      <c r="F4" s="218">
        <v>2</v>
      </c>
      <c r="G4" s="40">
        <f>IF(ISNA(VLOOKUP(F4,Tableau12579111315[[Pos.]:[Enduro]],3,0)),"",VLOOKUP(F4,Tableau12579111315[[Pos.]:[Enduro]],3,0))</f>
        <v>20</v>
      </c>
      <c r="H4" s="44">
        <f t="shared" si="0"/>
        <v>37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2*Tableau12579111315[[#This Row],[Enduro]]</f>
        <v>40</v>
      </c>
    </row>
    <row r="5" spans="1:13" x14ac:dyDescent="0.25">
      <c r="A5" s="57">
        <f t="shared" si="1"/>
        <v>3</v>
      </c>
      <c r="B5" s="1" t="s">
        <v>25</v>
      </c>
      <c r="C5" s="1" t="str">
        <f>VLOOKUP(Tableau246810121416[[#This Row],[Pilote]],Tableau2[[Pilote]:[Voiture]],2,0)</f>
        <v>Mazda</v>
      </c>
      <c r="D5" s="210">
        <v>1</v>
      </c>
      <c r="E5" s="40">
        <f>IF(ISNA(VLOOKUP(D5,Tableau12579111315[[Pos.]:[Sprint]],2,0)),"",VLOOKUP(D5,Tableau12579111315[[Pos.]:[Sprint]],2,0))</f>
        <v>20</v>
      </c>
      <c r="F5" s="41">
        <v>4</v>
      </c>
      <c r="G5" s="40">
        <f>IF(ISNA(VLOOKUP(F5,Tableau12579111315[[Pos.]:[Enduro]],3,0)),"",VLOOKUP(F5,Tableau12579111315[[Pos.]:[Enduro]],3,0))</f>
        <v>15</v>
      </c>
      <c r="H5" s="44">
        <f t="shared" si="0"/>
        <v>35</v>
      </c>
      <c r="J5" s="4">
        <f t="shared" si="2"/>
        <v>3</v>
      </c>
      <c r="K5">
        <v>15</v>
      </c>
      <c r="L5">
        <f t="shared" si="3"/>
        <v>17</v>
      </c>
      <c r="M5">
        <f>2*Tableau12579111315[[#This Row],[Enduro]]</f>
        <v>34</v>
      </c>
    </row>
    <row r="6" spans="1:13" x14ac:dyDescent="0.25">
      <c r="A6" s="52">
        <f t="shared" si="1"/>
        <v>4</v>
      </c>
      <c r="B6" s="1" t="s">
        <v>28</v>
      </c>
      <c r="C6" s="1" t="str">
        <f>VLOOKUP(Tableau246810121416[[#This Row],[Pilote]],Tableau2[[Pilote]:[Voiture]],2,0)</f>
        <v>Honda</v>
      </c>
      <c r="D6" s="41">
        <v>7</v>
      </c>
      <c r="E6" s="40">
        <f>IF(ISNA(VLOOKUP(D6,Tableau12579111315[[Pos.]:[Sprint]],2,0)),"",VLOOKUP(D6,Tableau12579111315[[Pos.]:[Sprint]],2,0))</f>
        <v>10</v>
      </c>
      <c r="F6" s="211">
        <v>3</v>
      </c>
      <c r="G6" s="40">
        <f>IF(ISNA(VLOOKUP(F6,Tableau12579111315[[Pos.]:[Enduro]],3,0)),"",VLOOKUP(F6,Tableau12579111315[[Pos.]:[Enduro]],3,0))</f>
        <v>17</v>
      </c>
      <c r="H6" s="44">
        <f t="shared" si="0"/>
        <v>27</v>
      </c>
      <c r="J6" s="5">
        <f t="shared" si="2"/>
        <v>4</v>
      </c>
      <c r="K6">
        <v>13</v>
      </c>
      <c r="L6">
        <f t="shared" si="3"/>
        <v>15</v>
      </c>
      <c r="M6">
        <f>2*Tableau12579111315[[#This Row],[Enduro]]</f>
        <v>30</v>
      </c>
    </row>
    <row r="7" spans="1:13" x14ac:dyDescent="0.25">
      <c r="A7" s="52">
        <f t="shared" si="1"/>
        <v>5</v>
      </c>
      <c r="B7" s="1" t="s">
        <v>7</v>
      </c>
      <c r="C7" s="1" t="str">
        <f>VLOOKUP(Tableau246810121416[[#This Row],[Pilote]],Tableau2[[Pilote]:[Voiture]],2,0)</f>
        <v>Suzuki</v>
      </c>
      <c r="D7" s="41">
        <v>5</v>
      </c>
      <c r="E7" s="40">
        <f>IF(ISNA(VLOOKUP(D7,Tableau12579111315[[Pos.]:[Sprint]],2,0)),"",VLOOKUP(D7,Tableau12579111315[[Pos.]:[Sprint]],2,0))</f>
        <v>12</v>
      </c>
      <c r="F7" s="41">
        <v>5</v>
      </c>
      <c r="G7" s="40">
        <f>IF(ISNA(VLOOKUP(F7,Tableau12579111315[[Pos.]:[Enduro]],3,0)),"",VLOOKUP(F7,Tableau12579111315[[Pos.]:[Enduro]],3,0))</f>
        <v>13</v>
      </c>
      <c r="H7" s="44">
        <f t="shared" si="0"/>
        <v>25</v>
      </c>
      <c r="J7" s="5">
        <f t="shared" si="2"/>
        <v>5</v>
      </c>
      <c r="K7">
        <v>12</v>
      </c>
      <c r="L7">
        <f t="shared" si="3"/>
        <v>13</v>
      </c>
      <c r="M7">
        <f>2*Tableau12579111315[[#This Row],[Enduro]]</f>
        <v>26</v>
      </c>
    </row>
    <row r="8" spans="1:13" x14ac:dyDescent="0.25">
      <c r="A8" s="52">
        <f t="shared" si="1"/>
        <v>6</v>
      </c>
      <c r="B8" s="1" t="s">
        <v>9</v>
      </c>
      <c r="C8" s="1" t="str">
        <f>VLOOKUP(Tableau246810121416[[#This Row],[Pilote]],Tableau2[[Pilote]:[Voiture]],2,0)</f>
        <v>Mazda</v>
      </c>
      <c r="D8" s="41">
        <v>4</v>
      </c>
      <c r="E8" s="40">
        <f>IF(ISNA(VLOOKUP(D8,Tableau12579111315[[Pos.]:[Sprint]],2,0)),"",VLOOKUP(D8,Tableau12579111315[[Pos.]:[Sprint]],2,0))</f>
        <v>13</v>
      </c>
      <c r="F8" s="41">
        <v>10</v>
      </c>
      <c r="G8" s="40">
        <f>IF(ISNA(VLOOKUP(F8,Tableau12579111315[[Pos.]:[Enduro]],3,0)),"",VLOOKUP(F8,Tableau12579111315[[Pos.]:[Enduro]],3,0))</f>
        <v>8</v>
      </c>
      <c r="H8" s="44">
        <f t="shared" si="0"/>
        <v>21</v>
      </c>
      <c r="J8" s="5">
        <f t="shared" si="2"/>
        <v>6</v>
      </c>
      <c r="K8">
        <v>11</v>
      </c>
      <c r="L8">
        <f t="shared" si="3"/>
        <v>12</v>
      </c>
      <c r="M8">
        <f>2*Tableau12579111315[[#This Row],[Enduro]]</f>
        <v>24</v>
      </c>
    </row>
    <row r="9" spans="1:13" x14ac:dyDescent="0.25">
      <c r="A9" s="52">
        <f t="shared" si="1"/>
        <v>7</v>
      </c>
      <c r="B9" s="1" t="s">
        <v>198</v>
      </c>
      <c r="C9" s="1" t="str">
        <f>VLOOKUP(Tableau246810121416[[#This Row],[Pilote]],Tableau2[[Pilote]:[Voiture]],2,0)</f>
        <v>Toyota</v>
      </c>
      <c r="D9" s="41">
        <v>6</v>
      </c>
      <c r="E9" s="40">
        <f>IF(ISNA(VLOOKUP(D9,Tableau12579111315[[Pos.]:[Sprint]],2,0)),"",VLOOKUP(D9,Tableau12579111315[[Pos.]:[Sprint]],2,0))</f>
        <v>11</v>
      </c>
      <c r="F9" s="41">
        <v>8</v>
      </c>
      <c r="G9" s="40">
        <f>IF(ISNA(VLOOKUP(F9,Tableau12579111315[[Pos.]:[Enduro]],3,0)),"",VLOOKUP(F9,Tableau12579111315[[Pos.]:[Enduro]],3,0))</f>
        <v>10</v>
      </c>
      <c r="H9" s="44">
        <f t="shared" si="0"/>
        <v>21</v>
      </c>
      <c r="J9" s="5">
        <f t="shared" si="2"/>
        <v>7</v>
      </c>
      <c r="K9">
        <v>10</v>
      </c>
      <c r="L9">
        <f t="shared" si="3"/>
        <v>11</v>
      </c>
      <c r="M9">
        <f>2*Tableau12579111315[[#This Row],[Enduro]]</f>
        <v>22</v>
      </c>
    </row>
    <row r="10" spans="1:13" x14ac:dyDescent="0.25">
      <c r="A10" s="52">
        <f t="shared" si="1"/>
        <v>8</v>
      </c>
      <c r="B10" s="1" t="s">
        <v>11</v>
      </c>
      <c r="C10" s="1" t="str">
        <f>VLOOKUP(Tableau246810121416[[#This Row],[Pilote]],Tableau2[[Pilote]:[Voiture]],2,0)</f>
        <v>Nissan</v>
      </c>
      <c r="D10" s="41">
        <v>8</v>
      </c>
      <c r="E10" s="40">
        <f>IF(ISNA(VLOOKUP(D10,Tableau12579111315[[Pos.]:[Sprint]],2,0)),"",VLOOKUP(D10,Tableau12579111315[[Pos.]:[Sprint]],2,0))</f>
        <v>9</v>
      </c>
      <c r="F10" s="41">
        <v>7</v>
      </c>
      <c r="G10" s="40">
        <f>IF(ISNA(VLOOKUP(F10,Tableau12579111315[[Pos.]:[Enduro]],3,0)),"",VLOOKUP(F10,Tableau12579111315[[Pos.]:[Enduro]],3,0))</f>
        <v>11</v>
      </c>
      <c r="H10" s="44">
        <f t="shared" si="0"/>
        <v>20</v>
      </c>
      <c r="J10" s="5">
        <f t="shared" si="2"/>
        <v>8</v>
      </c>
      <c r="K10">
        <v>9</v>
      </c>
      <c r="L10">
        <f t="shared" si="3"/>
        <v>10</v>
      </c>
      <c r="M10">
        <f>2*Tableau12579111315[[#This Row],[Enduro]]</f>
        <v>20</v>
      </c>
    </row>
    <row r="11" spans="1:13" x14ac:dyDescent="0.25">
      <c r="A11" s="52">
        <f t="shared" si="1"/>
        <v>9</v>
      </c>
      <c r="B11" s="1" t="s">
        <v>174</v>
      </c>
      <c r="C11" s="1" t="str">
        <f>VLOOKUP(Tableau246810121416[[#This Row],[Pilote]],Tableau2[[Pilote]:[Voiture]],2,0)</f>
        <v>Mini</v>
      </c>
      <c r="D11" s="41">
        <v>9</v>
      </c>
      <c r="E11" s="40">
        <f>IF(ISNA(VLOOKUP(D11,Tableau12579111315[[Pos.]:[Sprint]],2,0)),"",VLOOKUP(D11,Tableau12579111315[[Pos.]:[Sprint]],2,0))</f>
        <v>8</v>
      </c>
      <c r="F11" s="41">
        <v>6</v>
      </c>
      <c r="G11" s="40">
        <f>IF(ISNA(VLOOKUP(F11,Tableau12579111315[[Pos.]:[Enduro]],3,0)),"",VLOOKUP(F11,Tableau12579111315[[Pos.]:[Enduro]],3,0))</f>
        <v>12</v>
      </c>
      <c r="H11" s="44">
        <f t="shared" si="0"/>
        <v>20</v>
      </c>
      <c r="J11" s="5">
        <f t="shared" si="2"/>
        <v>9</v>
      </c>
      <c r="K11">
        <v>8</v>
      </c>
      <c r="L11">
        <f t="shared" si="3"/>
        <v>9</v>
      </c>
      <c r="M11">
        <f>2*Tableau12579111315[[#This Row],[Enduro]]</f>
        <v>18</v>
      </c>
    </row>
    <row r="12" spans="1:13" x14ac:dyDescent="0.25">
      <c r="A12" s="52">
        <f t="shared" si="1"/>
        <v>10</v>
      </c>
      <c r="B12" s="1" t="s">
        <v>26</v>
      </c>
      <c r="C12" s="1" t="str">
        <f>VLOOKUP(Tableau246810121416[[#This Row],[Pilote]],Tableau2[[Pilote]:[Voiture]],2,0)</f>
        <v>Alfa Romeo</v>
      </c>
      <c r="D12" s="41">
        <v>10</v>
      </c>
      <c r="E12" s="40">
        <f>IF(ISNA(VLOOKUP(D12,Tableau12579111315[[Pos.]:[Sprint]],2,0)),"",VLOOKUP(D12,Tableau12579111315[[Pos.]:[Sprint]],2,0))</f>
        <v>7</v>
      </c>
      <c r="F12" s="41">
        <v>9</v>
      </c>
      <c r="G12" s="40">
        <f>IF(ISNA(VLOOKUP(F12,Tableau12579111315[[Pos.]:[Enduro]],3,0)),"",VLOOKUP(F12,Tableau12579111315[[Pos.]:[Enduro]],3,0))</f>
        <v>9</v>
      </c>
      <c r="H12" s="44">
        <f t="shared" si="0"/>
        <v>16</v>
      </c>
      <c r="J12" s="5">
        <f t="shared" si="2"/>
        <v>10</v>
      </c>
      <c r="K12">
        <v>7</v>
      </c>
      <c r="L12">
        <f t="shared" si="3"/>
        <v>8</v>
      </c>
      <c r="M12">
        <f>2*Tableau12579111315[[#This Row],[Enduro]]</f>
        <v>16</v>
      </c>
    </row>
    <row r="13" spans="1:13" x14ac:dyDescent="0.25">
      <c r="A13" s="52">
        <f t="shared" si="1"/>
        <v>11</v>
      </c>
      <c r="B13" s="1" t="s">
        <v>200</v>
      </c>
      <c r="C13" s="1" t="str">
        <f>VLOOKUP(Tableau246810121416[[#This Row],[Pilote]],Tableau2[[Pilote]:[Voiture]],2,0)</f>
        <v>Abarth</v>
      </c>
      <c r="D13" s="41">
        <v>11</v>
      </c>
      <c r="E13" s="40">
        <f>IF(ISNA(VLOOKUP(D13,Tableau12579111315[[Pos.]:[Sprint]],2,0)),"",VLOOKUP(D13,Tableau12579111315[[Pos.]:[Sprint]],2,0))</f>
        <v>6</v>
      </c>
      <c r="F13" s="41">
        <v>11</v>
      </c>
      <c r="G13" s="40">
        <f>IF(ISNA(VLOOKUP(F13,Tableau12579111315[[Pos.]:[Enduro]],3,0)),"",VLOOKUP(F13,Tableau12579111315[[Pos.]:[Enduro]],3,0))</f>
        <v>7</v>
      </c>
      <c r="H13" s="44">
        <f t="shared" si="0"/>
        <v>13</v>
      </c>
      <c r="J13" s="5">
        <f t="shared" si="2"/>
        <v>11</v>
      </c>
      <c r="K13">
        <v>6</v>
      </c>
      <c r="L13">
        <f t="shared" si="3"/>
        <v>7</v>
      </c>
      <c r="M13">
        <f>2*Tableau12579111315[[#This Row],[Enduro]]</f>
        <v>14</v>
      </c>
    </row>
    <row r="14" spans="1:13" x14ac:dyDescent="0.25">
      <c r="A14" s="52">
        <f t="shared" si="1"/>
        <v>12</v>
      </c>
      <c r="B14" s="1"/>
      <c r="C14" s="1"/>
      <c r="D14" s="41"/>
      <c r="E14" s="40" t="str">
        <f>IF(ISNA(VLOOKUP(D14,Tableau12579111315[[Pos.]:[Sprint]],2,0)),"",VLOOKUP(D14,Tableau12579111315[[Pos.]:[Sprint]],2,0))</f>
        <v/>
      </c>
      <c r="F14" s="41"/>
      <c r="G14" s="40" t="str">
        <f>IF(ISNA(VLOOKUP(F14,Tableau12579111315[[Pos.]:[Enduro]],3,0)),"",VLOOKUP(F14,Tableau12579111315[[Pos.]:[Enduro]],3,0))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2*Tableau12579111315[[#This Row],[Enduro]]</f>
        <v>12</v>
      </c>
    </row>
    <row r="15" spans="1:13" x14ac:dyDescent="0.25">
      <c r="A15" s="52">
        <f t="shared" si="1"/>
        <v>13</v>
      </c>
      <c r="B15" s="1"/>
      <c r="C15" s="1"/>
      <c r="D15" s="41"/>
      <c r="E15" s="40" t="str">
        <f>IF(ISNA(VLOOKUP(D15,Tableau12579111315[[Pos.]:[Sprint]],2,0)),"",VLOOKUP(D15,Tableau12579111315[[Pos.]:[Sprint]],2,0))</f>
        <v/>
      </c>
      <c r="F15" s="41"/>
      <c r="G15" s="40" t="str">
        <f>IF(ISNA(VLOOKUP(F15,Tableau12579111315[[Pos.]:[Enduro]],3,0)),"",VLOOKUP(F15,Tableau12579111315[[Pos.]:[Enduro]],3,0))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2*Tableau12579111315[[#This Row],[Enduro]]</f>
        <v>10</v>
      </c>
    </row>
    <row r="16" spans="1:13" x14ac:dyDescent="0.25">
      <c r="A16" s="52">
        <f t="shared" si="1"/>
        <v>14</v>
      </c>
      <c r="B16" s="1"/>
      <c r="C16" s="1" t="e">
        <f>VLOOKUP(Tableau246810121416[[#This Row],[Pilote]],Tableau2[[Pilote]:[Voiture]],2,0)</f>
        <v>#N/A</v>
      </c>
      <c r="D16" s="41"/>
      <c r="E16" s="40" t="str">
        <f>IF(ISNA(VLOOKUP(D16,Tableau12579111315[[Pos.]:[Sprint]],2,0)),"",VLOOKUP(D16,Tableau12579111315[[Pos.]:[Sprint]],2,0))</f>
        <v/>
      </c>
      <c r="F16" s="41"/>
      <c r="G16" s="40" t="str">
        <f>IF(ISNA(VLOOKUP(F16,Tableau12579111315[[Pos.]:[Enduro]],3,0)),"",VLOOKUP(F16,Tableau12579111315[[Pos.]:[Enduro]],3,0))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VLOOKUP(Tableau246810121416[[#This Row],[Pilote]],Tableau2[[Pilote]:[Voiture]],2,0)</f>
        <v>#N/A</v>
      </c>
      <c r="D17" s="41"/>
      <c r="E17" s="40" t="str">
        <f>IF(ISNA(VLOOKUP(D17,Tableau12579111315[[Pos.]:[Sprint]],2,0)),"",VLOOKUP(D17,Tableau12579111315[[Pos.]:[Sprint]],2,0))</f>
        <v/>
      </c>
      <c r="F17" s="41"/>
      <c r="G17" s="40" t="str">
        <f>IF(ISNA(VLOOKUP(F17,Tableau12579111315[[Pos.]:[Enduro]],3,0)),"",VLOOKUP(F17,Tableau12579111315[[Pos.]:[Enduro]],3,0))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VLOOKUP(Tableau246810121416[[#This Row],[Pilote]],Tableau2[[Pilote]:[Voiture]],2,0)</f>
        <v>#N/A</v>
      </c>
      <c r="D18" s="41"/>
      <c r="E18" s="40" t="str">
        <f>IF(ISNA(VLOOKUP(D18,Tableau12579111315[[Pos.]:[Sprint]],2,0)),"",VLOOKUP(D18,Tableau12579111315[[Pos.]:[Sprint]],2,0))</f>
        <v/>
      </c>
      <c r="F18" s="41"/>
      <c r="G18" s="40" t="str">
        <f>IF(ISNA(VLOOKUP(F18,Tableau12579111315[[Pos.]:[Enduro]],3,0)),"",VLOOKUP(F18,Tableau12579111315[[Pos.]:[Enduro]],3,0))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11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SUM(Tableau246810121416[Pts.])/O21</f>
        <v>24.90909090909091</v>
      </c>
      <c r="P23" s="271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B16" sqref="B3:B16"/>
    </sheetView>
  </sheetViews>
  <sheetFormatPr baseColWidth="10" defaultRowHeight="15" x14ac:dyDescent="0.25"/>
  <cols>
    <col min="1" max="1" width="4.7109375" customWidth="1"/>
    <col min="2" max="2" width="14.14062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28" t="s">
        <v>178</v>
      </c>
      <c r="C1" s="127">
        <v>7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174</v>
      </c>
      <c r="C3" s="1" t="str">
        <f>VLOOKUP(Tableau24681012141618[[#This Row],[Pilote]],Tableau2[[Pilote]:[Voiture]],2,0)</f>
        <v>Mini</v>
      </c>
      <c r="D3" s="218">
        <v>2</v>
      </c>
      <c r="E3" s="40">
        <f>IF(ISNA(VLOOKUP(D3,Tableau1257911131517[[Pos.]:[Sprint]],2,0)),"",VLOOKUP(D3,Tableau1257911131517[[Pos.]:[Sprint]],2,0))</f>
        <v>17</v>
      </c>
      <c r="F3" s="210">
        <v>1</v>
      </c>
      <c r="G3" s="40">
        <f>IF(ISNA(VLOOKUP(F3,Tableau1257911131517[[Pos.]:[Enduro]],3,0)),"",VLOOKUP(F3,Tableau1257911131517[[Pos.]:[Enduro]],3,0))</f>
        <v>24</v>
      </c>
      <c r="H3" s="219">
        <f t="shared" ref="H3:H18" si="0">IF(ISERROR(E3+G3),0,E3+G3)</f>
        <v>41</v>
      </c>
      <c r="J3" s="2">
        <v>1</v>
      </c>
      <c r="K3">
        <v>20</v>
      </c>
      <c r="L3">
        <v>24</v>
      </c>
      <c r="M3">
        <f>2*Tableau1257911131517[[#This Row],[Enduro]]</f>
        <v>48</v>
      </c>
    </row>
    <row r="4" spans="1:13" x14ac:dyDescent="0.25">
      <c r="A4" s="56">
        <f t="shared" ref="A4:A18" si="1">A3+1</f>
        <v>2</v>
      </c>
      <c r="B4" t="s">
        <v>207</v>
      </c>
      <c r="C4" s="1" t="str">
        <f>VLOOKUP(Tableau24681012141618[[#This Row],[Pilote]],Tableau2[[Pilote]:[Voiture]],2,0)</f>
        <v>Mazda</v>
      </c>
      <c r="D4" s="210">
        <v>1</v>
      </c>
      <c r="E4" s="40">
        <f>IF(ISNA(VLOOKUP(D4,Tableau1257911131517[[Pos.]:[Sprint]],2,0)),"",VLOOKUP(D4,Tableau1257911131517[[Pos.]:[Sprint]],2,0))</f>
        <v>20</v>
      </c>
      <c r="F4" s="41">
        <v>5</v>
      </c>
      <c r="G4" s="40">
        <f>IF(ISNA(VLOOKUP(F4,Tableau1257911131517[[Pos.]:[Enduro]],3,0)),"",VLOOKUP(F4,Tableau1257911131517[[Pos.]:[Enduro]],3,0))</f>
        <v>13</v>
      </c>
      <c r="H4" s="219">
        <f t="shared" si="0"/>
        <v>33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2*Tableau1257911131517[[#This Row],[Enduro]]</f>
        <v>40</v>
      </c>
    </row>
    <row r="5" spans="1:13" x14ac:dyDescent="0.25">
      <c r="A5" s="57">
        <f t="shared" si="1"/>
        <v>3</v>
      </c>
      <c r="B5" s="1" t="s">
        <v>7</v>
      </c>
      <c r="C5" s="1" t="str">
        <f>VLOOKUP(Tableau24681012141618[[#This Row],[Pilote]],Tableau2[[Pilote]:[Voiture]],2,0)</f>
        <v>Suzuki</v>
      </c>
      <c r="D5" s="41">
        <v>5</v>
      </c>
      <c r="E5" s="40">
        <f>IF(ISNA(VLOOKUP(D5,Tableau1257911131517[[Pos.]:[Sprint]],2,0)),"",VLOOKUP(D5,Tableau1257911131517[[Pos.]:[Sprint]],2,0))</f>
        <v>12</v>
      </c>
      <c r="F5" s="211">
        <v>3</v>
      </c>
      <c r="G5" s="40">
        <f>IF(ISNA(VLOOKUP(F5,Tableau1257911131517[[Pos.]:[Enduro]],3,0)),"",VLOOKUP(F5,Tableau1257911131517[[Pos.]:[Enduro]],3,0))</f>
        <v>17</v>
      </c>
      <c r="H5" s="219">
        <f t="shared" si="0"/>
        <v>29</v>
      </c>
      <c r="J5" s="4">
        <f t="shared" si="2"/>
        <v>3</v>
      </c>
      <c r="K5">
        <v>15</v>
      </c>
      <c r="L5">
        <f t="shared" si="3"/>
        <v>17</v>
      </c>
      <c r="M5">
        <f>2*Tableau1257911131517[[#This Row],[Enduro]]</f>
        <v>34</v>
      </c>
    </row>
    <row r="6" spans="1:13" x14ac:dyDescent="0.25">
      <c r="A6" s="52">
        <f t="shared" si="1"/>
        <v>4</v>
      </c>
      <c r="B6" s="1" t="s">
        <v>11</v>
      </c>
      <c r="C6" s="1" t="str">
        <f>VLOOKUP(Tableau24681012141618[[#This Row],[Pilote]],Tableau2[[Pilote]:[Voiture]],2,0)</f>
        <v>Nissan</v>
      </c>
      <c r="D6" s="41">
        <v>4</v>
      </c>
      <c r="E6" s="40">
        <f>IF(ISNA(VLOOKUP(D6,Tableau1257911131517[[Pos.]:[Sprint]],2,0)),"",VLOOKUP(D6,Tableau1257911131517[[Pos.]:[Sprint]],2,0))</f>
        <v>13</v>
      </c>
      <c r="F6" s="41">
        <v>4</v>
      </c>
      <c r="G6" s="40">
        <f>IF(ISNA(VLOOKUP(F6,Tableau1257911131517[[Pos.]:[Enduro]],3,0)),"",VLOOKUP(F6,Tableau1257911131517[[Pos.]:[Enduro]],3,0))</f>
        <v>15</v>
      </c>
      <c r="H6" s="219">
        <f t="shared" si="0"/>
        <v>28</v>
      </c>
      <c r="J6" s="5">
        <f t="shared" si="2"/>
        <v>4</v>
      </c>
      <c r="K6">
        <v>13</v>
      </c>
      <c r="L6">
        <f t="shared" si="3"/>
        <v>15</v>
      </c>
      <c r="M6">
        <f>2*Tableau1257911131517[[#This Row],[Enduro]]</f>
        <v>30</v>
      </c>
    </row>
    <row r="7" spans="1:13" x14ac:dyDescent="0.25">
      <c r="A7" s="52">
        <f t="shared" si="1"/>
        <v>5</v>
      </c>
      <c r="B7" s="1" t="s">
        <v>15</v>
      </c>
      <c r="C7" s="1" t="str">
        <f>VLOOKUP(Tableau24681012141618[[#This Row],[Pilote]],Tableau2[[Pilote]:[Voiture]],2,0)</f>
        <v>Honda</v>
      </c>
      <c r="D7" s="211">
        <v>3</v>
      </c>
      <c r="E7" s="40">
        <f>IF(ISNA(VLOOKUP(D7,Tableau1257911131517[[Pos.]:[Sprint]],2,0)),"",VLOOKUP(D7,Tableau1257911131517[[Pos.]:[Sprint]],2,0))</f>
        <v>15</v>
      </c>
      <c r="F7" s="41">
        <v>6</v>
      </c>
      <c r="G7" s="40">
        <f>IF(ISNA(VLOOKUP(F7,Tableau1257911131517[[Pos.]:[Enduro]],3,0)),"",VLOOKUP(F7,Tableau1257911131517[[Pos.]:[Enduro]],3,0))</f>
        <v>12</v>
      </c>
      <c r="H7" s="219">
        <f t="shared" si="0"/>
        <v>27</v>
      </c>
      <c r="J7" s="5">
        <f t="shared" si="2"/>
        <v>5</v>
      </c>
      <c r="K7">
        <v>12</v>
      </c>
      <c r="L7">
        <f t="shared" si="3"/>
        <v>13</v>
      </c>
      <c r="M7">
        <f>2*Tableau1257911131517[[#This Row],[Enduro]]</f>
        <v>26</v>
      </c>
    </row>
    <row r="8" spans="1:13" x14ac:dyDescent="0.25">
      <c r="A8" s="52">
        <f t="shared" si="1"/>
        <v>6</v>
      </c>
      <c r="B8" s="1" t="s">
        <v>21</v>
      </c>
      <c r="C8" s="1" t="str">
        <f>VLOOKUP(Tableau24681012141618[[#This Row],[Pilote]],Tableau2[[Pilote]:[Voiture]],2,0)</f>
        <v>Mini</v>
      </c>
      <c r="D8" s="41">
        <v>13</v>
      </c>
      <c r="E8" s="40">
        <f>IF(ISNA(VLOOKUP(D8,Tableau1257911131517[[Pos.]:[Sprint]],2,0)),"",VLOOKUP(D8,Tableau1257911131517[[Pos.]:[Sprint]],2,0))</f>
        <v>4</v>
      </c>
      <c r="F8" s="218">
        <v>2</v>
      </c>
      <c r="G8" s="40">
        <f>IF(ISNA(VLOOKUP(F8,Tableau1257911131517[[Pos.]:[Enduro]],3,0)),"",VLOOKUP(F8,Tableau1257911131517[[Pos.]:[Enduro]],3,0))</f>
        <v>20</v>
      </c>
      <c r="H8" s="219">
        <f t="shared" si="0"/>
        <v>24</v>
      </c>
      <c r="J8" s="5">
        <f t="shared" si="2"/>
        <v>6</v>
      </c>
      <c r="K8">
        <v>11</v>
      </c>
      <c r="L8">
        <f t="shared" si="3"/>
        <v>12</v>
      </c>
      <c r="M8">
        <f>2*Tableau1257911131517[[#This Row],[Enduro]]</f>
        <v>24</v>
      </c>
    </row>
    <row r="9" spans="1:13" x14ac:dyDescent="0.25">
      <c r="A9" s="52">
        <f t="shared" si="1"/>
        <v>7</v>
      </c>
      <c r="B9" s="1" t="s">
        <v>19</v>
      </c>
      <c r="C9" s="1" t="str">
        <f>VLOOKUP(Tableau24681012141618[[#This Row],[Pilote]],Tableau2[[Pilote]:[Voiture]],2,0)</f>
        <v>Alfa Romeo</v>
      </c>
      <c r="D9" s="41">
        <v>6</v>
      </c>
      <c r="E9" s="40">
        <f>IF(ISNA(VLOOKUP(D9,Tableau1257911131517[[Pos.]:[Sprint]],2,0)),"",VLOOKUP(D9,Tableau1257911131517[[Pos.]:[Sprint]],2,0))</f>
        <v>11</v>
      </c>
      <c r="F9" s="41">
        <v>8</v>
      </c>
      <c r="G9" s="40">
        <f>IF(ISNA(VLOOKUP(F9,Tableau1257911131517[[Pos.]:[Enduro]],3,0)),"",VLOOKUP(F9,Tableau1257911131517[[Pos.]:[Enduro]],3,0))</f>
        <v>10</v>
      </c>
      <c r="H9" s="219">
        <f t="shared" si="0"/>
        <v>21</v>
      </c>
      <c r="J9" s="5">
        <f t="shared" si="2"/>
        <v>7</v>
      </c>
      <c r="K9">
        <v>10</v>
      </c>
      <c r="L9">
        <f t="shared" si="3"/>
        <v>11</v>
      </c>
      <c r="M9">
        <f>2*Tableau1257911131517[[#This Row],[Enduro]]</f>
        <v>22</v>
      </c>
    </row>
    <row r="10" spans="1:13" x14ac:dyDescent="0.25">
      <c r="A10" s="52">
        <f t="shared" si="1"/>
        <v>8</v>
      </c>
      <c r="B10" s="1" t="s">
        <v>25</v>
      </c>
      <c r="C10" s="1" t="str">
        <f>VLOOKUP(Tableau24681012141618[[#This Row],[Pilote]],Tableau2[[Pilote]:[Voiture]],2,0)</f>
        <v>Mazda</v>
      </c>
      <c r="D10" s="41">
        <v>7</v>
      </c>
      <c r="E10" s="40">
        <f>IF(ISNA(VLOOKUP(D10,Tableau1257911131517[[Pos.]:[Sprint]],2,0)),"",VLOOKUP(D10,Tableau1257911131517[[Pos.]:[Sprint]],2,0))</f>
        <v>10</v>
      </c>
      <c r="F10" s="41">
        <v>7</v>
      </c>
      <c r="G10" s="40">
        <f>IF(ISNA(VLOOKUP(F10,Tableau1257911131517[[Pos.]:[Enduro]],3,0)),"",VLOOKUP(F10,Tableau1257911131517[[Pos.]:[Enduro]],3,0))</f>
        <v>11</v>
      </c>
      <c r="H10" s="219">
        <f t="shared" si="0"/>
        <v>21</v>
      </c>
      <c r="J10" s="5">
        <f t="shared" si="2"/>
        <v>8</v>
      </c>
      <c r="K10">
        <v>9</v>
      </c>
      <c r="L10">
        <f t="shared" si="3"/>
        <v>10</v>
      </c>
      <c r="M10">
        <f>2*Tableau1257911131517[[#This Row],[Enduro]]</f>
        <v>20</v>
      </c>
    </row>
    <row r="11" spans="1:13" x14ac:dyDescent="0.25">
      <c r="A11" s="52">
        <f t="shared" si="1"/>
        <v>9</v>
      </c>
      <c r="B11" s="1" t="s">
        <v>200</v>
      </c>
      <c r="C11" s="1" t="str">
        <f>VLOOKUP(Tableau24681012141618[[#This Row],[Pilote]],Tableau2[[Pilote]:[Voiture]],2,0)</f>
        <v>Abarth</v>
      </c>
      <c r="D11" s="41">
        <v>8</v>
      </c>
      <c r="E11" s="40">
        <f>IF(ISNA(VLOOKUP(D11,Tableau1257911131517[[Pos.]:[Sprint]],2,0)),"",VLOOKUP(D11,Tableau1257911131517[[Pos.]:[Sprint]],2,0))</f>
        <v>9</v>
      </c>
      <c r="F11" s="41">
        <v>9</v>
      </c>
      <c r="G11" s="40">
        <f>IF(ISNA(VLOOKUP(F11,Tableau1257911131517[[Pos.]:[Enduro]],3,0)),"",VLOOKUP(F11,Tableau1257911131517[[Pos.]:[Enduro]],3,0))</f>
        <v>9</v>
      </c>
      <c r="H11" s="219">
        <f t="shared" si="0"/>
        <v>18</v>
      </c>
      <c r="J11" s="5">
        <f t="shared" si="2"/>
        <v>9</v>
      </c>
      <c r="K11">
        <v>8</v>
      </c>
      <c r="L11">
        <f t="shared" si="3"/>
        <v>9</v>
      </c>
      <c r="M11">
        <f>2*Tableau1257911131517[[#This Row],[Enduro]]</f>
        <v>18</v>
      </c>
    </row>
    <row r="12" spans="1:13" x14ac:dyDescent="0.25">
      <c r="A12" s="52">
        <f t="shared" si="1"/>
        <v>10</v>
      </c>
      <c r="B12" s="1" t="s">
        <v>24</v>
      </c>
      <c r="C12" s="1" t="str">
        <f>VLOOKUP(Tableau24681012141618[[#This Row],[Pilote]],Tableau2[[Pilote]:[Voiture]],2,0)</f>
        <v>Suzuki</v>
      </c>
      <c r="D12" s="41">
        <v>9</v>
      </c>
      <c r="E12" s="40">
        <f>IF(ISNA(VLOOKUP(D12,Tableau1257911131517[[Pos.]:[Sprint]],2,0)),"",VLOOKUP(D12,Tableau1257911131517[[Pos.]:[Sprint]],2,0))</f>
        <v>8</v>
      </c>
      <c r="F12" s="41">
        <v>11</v>
      </c>
      <c r="G12" s="40">
        <f>IF(ISNA(VLOOKUP(F12,Tableau1257911131517[[Pos.]:[Enduro]],3,0)),"",VLOOKUP(F12,Tableau1257911131517[[Pos.]:[Enduro]],3,0))</f>
        <v>7</v>
      </c>
      <c r="H12" s="219">
        <f t="shared" si="0"/>
        <v>15</v>
      </c>
      <c r="J12" s="5">
        <f t="shared" si="2"/>
        <v>10</v>
      </c>
      <c r="K12">
        <v>7</v>
      </c>
      <c r="L12">
        <f t="shared" si="3"/>
        <v>8</v>
      </c>
      <c r="M12">
        <f>2*Tableau1257911131517[[#This Row],[Enduro]]</f>
        <v>16</v>
      </c>
    </row>
    <row r="13" spans="1:13" x14ac:dyDescent="0.25">
      <c r="A13" s="52">
        <f t="shared" si="1"/>
        <v>11</v>
      </c>
      <c r="B13" s="1" t="s">
        <v>28</v>
      </c>
      <c r="C13" s="1" t="str">
        <f>VLOOKUP(Tableau24681012141618[[#This Row],[Pilote]],Tableau2[[Pilote]:[Voiture]],2,0)</f>
        <v>Honda</v>
      </c>
      <c r="D13" s="41">
        <v>11</v>
      </c>
      <c r="E13" s="40">
        <f>IF(ISNA(VLOOKUP(D13,Tableau1257911131517[[Pos.]:[Sprint]],2,0)),"",VLOOKUP(D13,Tableau1257911131517[[Pos.]:[Sprint]],2,0))</f>
        <v>6</v>
      </c>
      <c r="F13" s="41">
        <v>10</v>
      </c>
      <c r="G13" s="40">
        <f>IF(ISNA(VLOOKUP(F13,Tableau1257911131517[[Pos.]:[Enduro]],3,0)),"",VLOOKUP(F13,Tableau1257911131517[[Pos.]:[Enduro]],3,0))</f>
        <v>8</v>
      </c>
      <c r="H13" s="219">
        <f t="shared" si="0"/>
        <v>14</v>
      </c>
      <c r="J13" s="5">
        <f t="shared" si="2"/>
        <v>11</v>
      </c>
      <c r="K13">
        <v>6</v>
      </c>
      <c r="L13">
        <f t="shared" si="3"/>
        <v>7</v>
      </c>
      <c r="M13">
        <f>2*Tableau1257911131517[[#This Row],[Enduro]]</f>
        <v>14</v>
      </c>
    </row>
    <row r="14" spans="1:13" x14ac:dyDescent="0.25">
      <c r="A14" s="52">
        <f t="shared" si="1"/>
        <v>12</v>
      </c>
      <c r="B14" s="1" t="s">
        <v>9</v>
      </c>
      <c r="C14" s="1" t="str">
        <f>VLOOKUP(Tableau24681012141618[[#This Row],[Pilote]],Tableau2[[Pilote]:[Voiture]],2,0)</f>
        <v>Mazda</v>
      </c>
      <c r="D14" s="41">
        <v>10</v>
      </c>
      <c r="E14" s="40">
        <f>IF(ISNA(VLOOKUP(D14,Tableau1257911131517[[Pos.]:[Sprint]],2,0)),"",VLOOKUP(D14,Tableau1257911131517[[Pos.]:[Sprint]],2,0))</f>
        <v>7</v>
      </c>
      <c r="F14" s="41">
        <v>14</v>
      </c>
      <c r="G14" s="40">
        <f>IF(ISNA(VLOOKUP(F14,Tableau1257911131517[[Pos.]:[Enduro]],3,0)),"",VLOOKUP(F14,Tableau1257911131517[[Pos.]:[Enduro]],3,0))</f>
        <v>4</v>
      </c>
      <c r="H14" s="219">
        <f t="shared" si="0"/>
        <v>11</v>
      </c>
      <c r="J14" s="5">
        <f t="shared" si="2"/>
        <v>12</v>
      </c>
      <c r="K14">
        <v>5</v>
      </c>
      <c r="L14">
        <f t="shared" si="3"/>
        <v>6</v>
      </c>
      <c r="M14">
        <f>2*Tableau1257911131517[[#This Row],[Enduro]]</f>
        <v>12</v>
      </c>
    </row>
    <row r="15" spans="1:13" x14ac:dyDescent="0.25">
      <c r="A15" s="52">
        <f t="shared" si="1"/>
        <v>13</v>
      </c>
      <c r="B15" s="1" t="s">
        <v>26</v>
      </c>
      <c r="C15" s="1" t="str">
        <f>VLOOKUP(Tableau24681012141618[[#This Row],[Pilote]],Tableau2[[Pilote]:[Voiture]],2,0)</f>
        <v>Alfa Romeo</v>
      </c>
      <c r="D15" s="41">
        <v>12</v>
      </c>
      <c r="E15" s="40">
        <f>IF(ISNA(VLOOKUP(D15,Tableau1257911131517[[Pos.]:[Sprint]],2,0)),"",VLOOKUP(D15,Tableau1257911131517[[Pos.]:[Sprint]],2,0))</f>
        <v>5</v>
      </c>
      <c r="F15" s="41">
        <v>12</v>
      </c>
      <c r="G15" s="40">
        <f>IF(ISNA(VLOOKUP(F15,Tableau1257911131517[[Pos.]:[Enduro]],3,0)),"",VLOOKUP(F15,Tableau1257911131517[[Pos.]:[Enduro]],3,0))</f>
        <v>6</v>
      </c>
      <c r="H15" s="219">
        <f t="shared" si="0"/>
        <v>11</v>
      </c>
      <c r="J15" s="5">
        <f t="shared" si="2"/>
        <v>13</v>
      </c>
      <c r="K15">
        <v>4</v>
      </c>
      <c r="L15">
        <f t="shared" si="3"/>
        <v>5</v>
      </c>
      <c r="M15">
        <f>2*Tableau1257911131517[[#This Row],[Enduro]]</f>
        <v>10</v>
      </c>
    </row>
    <row r="16" spans="1:13" x14ac:dyDescent="0.25">
      <c r="A16" s="52">
        <f t="shared" si="1"/>
        <v>14</v>
      </c>
      <c r="B16" s="1" t="s">
        <v>209</v>
      </c>
      <c r="C16" s="1" t="str">
        <f>VLOOKUP(Tableau24681012141618[[#This Row],[Pilote]],Tableau2[[Pilote]:[Voiture]],2,0)</f>
        <v>Suzuki</v>
      </c>
      <c r="D16" s="41">
        <v>14</v>
      </c>
      <c r="E16" s="40">
        <f>IF(ISNA(VLOOKUP(D16,Tableau1257911131517[[Pos.]:[Sprint]],2,0)),"",VLOOKUP(D16,Tableau1257911131517[[Pos.]:[Sprint]],2,0))</f>
        <v>3</v>
      </c>
      <c r="F16" s="41">
        <v>13</v>
      </c>
      <c r="G16" s="40">
        <f>IF(ISNA(VLOOKUP(F16,Tableau1257911131517[[Pos.]:[Enduro]],3,0)),"",VLOOKUP(F16,Tableau1257911131517[[Pos.]:[Enduro]],3,0))</f>
        <v>5</v>
      </c>
      <c r="H16" s="219">
        <f t="shared" si="0"/>
        <v>8</v>
      </c>
      <c r="J16" s="5">
        <f t="shared" si="2"/>
        <v>14</v>
      </c>
      <c r="K16">
        <v>3</v>
      </c>
      <c r="L16">
        <f t="shared" si="3"/>
        <v>4</v>
      </c>
      <c r="M16">
        <f>2*Tableau1257911131517[[#This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VLOOKUP(Tableau24681012141618[[#This Row],[Pilote]],Tableau2[[Pilote]:[Voiture]],2,0)</f>
        <v>#N/A</v>
      </c>
      <c r="D17" s="41"/>
      <c r="E17" s="40" t="str">
        <f>IF(ISNA(VLOOKUP(D17,Tableau1257911131517[[Pos.]:[Sprint]],2,0)),"",VLOOKUP(D17,Tableau1257911131517[[Pos.]:[Sprint]],2,0))</f>
        <v/>
      </c>
      <c r="F17" s="41"/>
      <c r="G17" s="40" t="str">
        <f>IF(ISNA(VLOOKUP(F17,Tableau1257911131517[[Pos.]:[Enduro]],3,0)),"",VLOOKUP(F17,Tableau1257911131517[[Pos.]:[Enduro]],3,0))</f>
        <v/>
      </c>
      <c r="H17" s="219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VLOOKUP(Tableau24681012141618[[#This Row],[Pilote]],Tableau2[[Pilote]:[Voiture]],2,0)</f>
        <v>#N/A</v>
      </c>
      <c r="D18" s="41"/>
      <c r="E18" s="40" t="str">
        <f>IF(ISNA(VLOOKUP(D18,Tableau1257911131517[[Pos.]:[Sprint]],2,0)),"",VLOOKUP(D18,Tableau1257911131517[[Pos.]:[Sprint]],2,0))</f>
        <v/>
      </c>
      <c r="F18" s="41"/>
      <c r="G18" s="40" t="str">
        <f>IF(ISNA(VLOOKUP(F18,Tableau1257911131517[[Pos.]:[Enduro]],3,0)),"",VLOOKUP(F18,Tableau1257911131517[[Pos.]:[Enduro]],3,0))</f>
        <v/>
      </c>
      <c r="H18" s="219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14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SUM(Tableau24681012141618[Pts.])/O21</f>
        <v>21.5</v>
      </c>
      <c r="P23" s="271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B1" sqref="B1:C1"/>
    </sheetView>
  </sheetViews>
  <sheetFormatPr baseColWidth="10" defaultRowHeight="15" x14ac:dyDescent="0.25"/>
  <cols>
    <col min="1" max="1" width="4.7109375" customWidth="1"/>
    <col min="2" max="2" width="16.855468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6" x14ac:dyDescent="0.25">
      <c r="A1" s="29"/>
      <c r="B1" s="231" t="s">
        <v>178</v>
      </c>
      <c r="C1" s="127">
        <v>8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6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  <c r="P2" t="s">
        <v>210</v>
      </c>
    </row>
    <row r="3" spans="1:16" x14ac:dyDescent="0.25">
      <c r="A3" s="55">
        <v>1</v>
      </c>
      <c r="B3" s="1" t="s">
        <v>25</v>
      </c>
      <c r="C3" s="1" t="str">
        <f>VLOOKUP(Tableau2468101214161822[[#This Row],[Pilote]],Tableau2[[Pilote]:[Voiture]],2,0)</f>
        <v>Mazda</v>
      </c>
      <c r="D3" s="210">
        <v>1</v>
      </c>
      <c r="E3" s="40">
        <f>IF(ISNA(VLOOKUP(D3,Tableau125791113151719[[Pos.]:[Sprint]],2,0)),"",VLOOKUP(D3,Tableau125791113151719[[Pos.]:[Sprint]],2,0))</f>
        <v>20</v>
      </c>
      <c r="F3" s="218">
        <v>2</v>
      </c>
      <c r="G3" s="40">
        <f>IF(ISNA(VLOOKUP(F3,Tableau125791113151719[[Pos.]:[Enduro]],3,0)),"",VLOOKUP(F3,Tableau125791113151719[[Pos.]:[Enduro]],3,0))</f>
        <v>20</v>
      </c>
      <c r="H3" s="219">
        <f t="shared" ref="H3:H18" si="0">IF(ISERROR(E3+G3),0,E3+G3)</f>
        <v>40</v>
      </c>
      <c r="J3" s="2">
        <v>1</v>
      </c>
      <c r="K3">
        <v>20</v>
      </c>
      <c r="L3">
        <v>24</v>
      </c>
      <c r="M3">
        <f>2*Tableau125791113151719[[#This Row],[Enduro]]</f>
        <v>48</v>
      </c>
    </row>
    <row r="4" spans="1:16" x14ac:dyDescent="0.25">
      <c r="A4" s="56">
        <f t="shared" ref="A4:A18" si="1">A3+1</f>
        <v>2</v>
      </c>
      <c r="B4" s="1" t="s">
        <v>24</v>
      </c>
      <c r="C4" s="1" t="str">
        <f>VLOOKUP(Tableau2468101214161822[[#This Row],[Pilote]],Tableau2[[Pilote]:[Voiture]],2,0)</f>
        <v>Suzuki</v>
      </c>
      <c r="D4" s="41">
        <v>10</v>
      </c>
      <c r="E4" s="40">
        <f>IF(ISNA(VLOOKUP(D4,Tableau125791113151719[[Pos.]:[Sprint]],2,0)),"",VLOOKUP(D4,Tableau125791113151719[[Pos.]:[Sprint]],2,0))</f>
        <v>7</v>
      </c>
      <c r="F4" s="210">
        <v>1</v>
      </c>
      <c r="G4" s="40">
        <f>IF(ISNA(VLOOKUP(F4,Tableau125791113151719[[Pos.]:[Enduro]],3,0)),"",VLOOKUP(F4,Tableau125791113151719[[Pos.]:[Enduro]],3,0))</f>
        <v>24</v>
      </c>
      <c r="H4" s="219">
        <f t="shared" si="0"/>
        <v>31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2*Tableau125791113151719[[#This Row],[Enduro]]</f>
        <v>40</v>
      </c>
    </row>
    <row r="5" spans="1:16" x14ac:dyDescent="0.25">
      <c r="A5" s="57">
        <f t="shared" si="1"/>
        <v>3</v>
      </c>
      <c r="B5" s="1" t="s">
        <v>21</v>
      </c>
      <c r="C5" s="1" t="str">
        <f>VLOOKUP(Tableau2468101214161822[[#This Row],[Pilote]],Tableau2[[Pilote]:[Voiture]],2,0)</f>
        <v>Mini</v>
      </c>
      <c r="D5" s="211">
        <v>3</v>
      </c>
      <c r="E5" s="40">
        <f>IF(ISNA(VLOOKUP(D5,Tableau125791113151719[[Pos.]:[Sprint]],2,0)),"",VLOOKUP(D5,Tableau125791113151719[[Pos.]:[Sprint]],2,0))</f>
        <v>15</v>
      </c>
      <c r="F5" s="41">
        <v>4</v>
      </c>
      <c r="G5" s="40">
        <f>IF(ISNA(VLOOKUP(F5,Tableau125791113151719[[Pos.]:[Enduro]],3,0)),"",VLOOKUP(F5,Tableau125791113151719[[Pos.]:[Enduro]],3,0))</f>
        <v>15</v>
      </c>
      <c r="H5" s="219">
        <f t="shared" si="0"/>
        <v>30</v>
      </c>
      <c r="J5" s="4">
        <f t="shared" si="2"/>
        <v>3</v>
      </c>
      <c r="K5">
        <v>15</v>
      </c>
      <c r="L5">
        <f t="shared" si="3"/>
        <v>17</v>
      </c>
      <c r="M5">
        <f>2*Tableau125791113151719[[#This Row],[Enduro]]</f>
        <v>34</v>
      </c>
    </row>
    <row r="6" spans="1:16" x14ac:dyDescent="0.25">
      <c r="A6" s="52">
        <f t="shared" si="1"/>
        <v>4</v>
      </c>
      <c r="B6" s="1" t="s">
        <v>28</v>
      </c>
      <c r="C6" s="1" t="str">
        <f>VLOOKUP(Tableau2468101214161822[[#This Row],[Pilote]],Tableau2[[Pilote]:[Voiture]],2,0)</f>
        <v>Honda</v>
      </c>
      <c r="D6" s="41">
        <v>4</v>
      </c>
      <c r="E6" s="40">
        <f>IF(ISNA(VLOOKUP(D6,Tableau125791113151719[[Pos.]:[Sprint]],2,0)),"",VLOOKUP(D6,Tableau125791113151719[[Pos.]:[Sprint]],2,0))</f>
        <v>13</v>
      </c>
      <c r="F6" s="41">
        <v>5</v>
      </c>
      <c r="G6" s="40">
        <f>IF(ISNA(VLOOKUP(F6,Tableau125791113151719[[Pos.]:[Enduro]],3,0)),"",VLOOKUP(F6,Tableau125791113151719[[Pos.]:[Enduro]],3,0))</f>
        <v>13</v>
      </c>
      <c r="H6" s="219">
        <f t="shared" si="0"/>
        <v>26</v>
      </c>
      <c r="J6" s="5">
        <f t="shared" si="2"/>
        <v>4</v>
      </c>
      <c r="K6">
        <v>13</v>
      </c>
      <c r="L6">
        <f t="shared" si="3"/>
        <v>15</v>
      </c>
      <c r="M6">
        <f>2*Tableau125791113151719[[#This Row],[Enduro]]</f>
        <v>30</v>
      </c>
    </row>
    <row r="7" spans="1:16" x14ac:dyDescent="0.25">
      <c r="A7" s="52">
        <f t="shared" si="1"/>
        <v>5</v>
      </c>
      <c r="B7" s="1" t="s">
        <v>11</v>
      </c>
      <c r="C7" s="1" t="str">
        <f>VLOOKUP(Tableau2468101214161822[[#This Row],[Pilote]],Tableau2[[Pilote]:[Voiture]],2,0)</f>
        <v>Nissan</v>
      </c>
      <c r="D7" s="41">
        <v>9</v>
      </c>
      <c r="E7" s="40">
        <f>IF(ISNA(VLOOKUP(D7,Tableau125791113151719[[Pos.]:[Sprint]],2,0)),"",VLOOKUP(D7,Tableau125791113151719[[Pos.]:[Sprint]],2,0))</f>
        <v>8</v>
      </c>
      <c r="F7" s="211">
        <v>3</v>
      </c>
      <c r="G7" s="40">
        <f>IF(ISNA(VLOOKUP(F7,Tableau125791113151719[[Pos.]:[Enduro]],3,0)),"",VLOOKUP(F7,Tableau125791113151719[[Pos.]:[Enduro]],3,0))</f>
        <v>17</v>
      </c>
      <c r="H7" s="219">
        <f t="shared" si="0"/>
        <v>25</v>
      </c>
      <c r="J7" s="5">
        <f t="shared" si="2"/>
        <v>5</v>
      </c>
      <c r="K7">
        <v>12</v>
      </c>
      <c r="L7">
        <f t="shared" si="3"/>
        <v>13</v>
      </c>
      <c r="M7">
        <f>2*Tableau125791113151719[[#This Row],[Enduro]]</f>
        <v>26</v>
      </c>
    </row>
    <row r="8" spans="1:16" x14ac:dyDescent="0.25">
      <c r="A8" s="52">
        <f t="shared" si="1"/>
        <v>6</v>
      </c>
      <c r="B8" s="1" t="s">
        <v>7</v>
      </c>
      <c r="C8" s="1" t="str">
        <f>VLOOKUP(Tableau2468101214161822[[#This Row],[Pilote]],Tableau2[[Pilote]:[Voiture]],2,0)</f>
        <v>Suzuki</v>
      </c>
      <c r="D8" s="41">
        <v>6</v>
      </c>
      <c r="E8" s="40">
        <f>IF(ISNA(VLOOKUP(D8,Tableau125791113151719[[Pos.]:[Sprint]],2,0)),"",VLOOKUP(D8,Tableau125791113151719[[Pos.]:[Sprint]],2,0))</f>
        <v>11</v>
      </c>
      <c r="F8" s="41">
        <v>6</v>
      </c>
      <c r="G8" s="40">
        <f>IF(ISNA(VLOOKUP(F8,Tableau125791113151719[[Pos.]:[Enduro]],3,0)),"",VLOOKUP(F8,Tableau125791113151719[[Pos.]:[Enduro]],3,0))</f>
        <v>12</v>
      </c>
      <c r="H8" s="219">
        <f t="shared" si="0"/>
        <v>23</v>
      </c>
      <c r="J8" s="5">
        <f t="shared" si="2"/>
        <v>6</v>
      </c>
      <c r="K8">
        <v>11</v>
      </c>
      <c r="L8">
        <f t="shared" si="3"/>
        <v>12</v>
      </c>
      <c r="M8">
        <f>2*Tableau125791113151719[[#This Row],[Enduro]]</f>
        <v>24</v>
      </c>
    </row>
    <row r="9" spans="1:16" x14ac:dyDescent="0.25">
      <c r="A9" s="52">
        <f t="shared" si="1"/>
        <v>7</v>
      </c>
      <c r="B9" s="1" t="s">
        <v>173</v>
      </c>
      <c r="C9" s="1" t="str">
        <f>VLOOKUP(Tableau2468101214161822[[#This Row],[Pilote]],Tableau2[[Pilote]:[Voiture]],2,0)</f>
        <v>Nissan</v>
      </c>
      <c r="D9" s="41">
        <v>8</v>
      </c>
      <c r="E9" s="40">
        <f>IF(ISNA(VLOOKUP(D9,Tableau125791113151719[[Pos.]:[Sprint]],2,0)),"",VLOOKUP(D9,Tableau125791113151719[[Pos.]:[Sprint]],2,0))</f>
        <v>9</v>
      </c>
      <c r="F9" s="41">
        <v>7</v>
      </c>
      <c r="G9" s="40">
        <f>IF(ISNA(VLOOKUP(F9,Tableau125791113151719[[Pos.]:[Enduro]],3,0)),"",VLOOKUP(F9,Tableau125791113151719[[Pos.]:[Enduro]],3,0))</f>
        <v>11</v>
      </c>
      <c r="H9" s="219">
        <f t="shared" si="0"/>
        <v>20</v>
      </c>
      <c r="J9" s="5">
        <f t="shared" si="2"/>
        <v>7</v>
      </c>
      <c r="K9">
        <v>10</v>
      </c>
      <c r="L9">
        <f t="shared" si="3"/>
        <v>11</v>
      </c>
      <c r="M9">
        <f>2*Tableau125791113151719[[#This Row],[Enduro]]</f>
        <v>22</v>
      </c>
    </row>
    <row r="10" spans="1:16" x14ac:dyDescent="0.25">
      <c r="A10" s="52">
        <f t="shared" si="1"/>
        <v>8</v>
      </c>
      <c r="B10" s="1" t="s">
        <v>177</v>
      </c>
      <c r="C10" s="1" t="str">
        <f>VLOOKUP(Tableau2468101214161822[[#This Row],[Pilote]],Tableau2[[Pilote]:[Voiture]],2,0)</f>
        <v>Honda</v>
      </c>
      <c r="D10" s="41">
        <v>5</v>
      </c>
      <c r="E10" s="40">
        <f>IF(ISNA(VLOOKUP(D10,Tableau125791113151719[[Pos.]:[Sprint]],2,0)),"",VLOOKUP(D10,Tableau125791113151719[[Pos.]:[Sprint]],2,0))</f>
        <v>12</v>
      </c>
      <c r="F10" s="234">
        <v>10</v>
      </c>
      <c r="G10" s="40">
        <f>IF(ISNA(VLOOKUP(F10,Tableau125791113151719[[Pos.]:[Enduro]],3,0)),"",VLOOKUP(F10,Tableau125791113151719[[Pos.]:[Enduro]],3,0))</f>
        <v>8</v>
      </c>
      <c r="H10" s="219">
        <f t="shared" si="0"/>
        <v>20</v>
      </c>
      <c r="J10" s="5">
        <f t="shared" si="2"/>
        <v>8</v>
      </c>
      <c r="K10">
        <v>9</v>
      </c>
      <c r="L10">
        <f t="shared" si="3"/>
        <v>10</v>
      </c>
      <c r="M10">
        <f>2*Tableau125791113151719[[#This Row],[Enduro]]</f>
        <v>20</v>
      </c>
    </row>
    <row r="11" spans="1:16" x14ac:dyDescent="0.25">
      <c r="A11" s="52">
        <f t="shared" si="1"/>
        <v>9</v>
      </c>
      <c r="B11" s="1" t="s">
        <v>174</v>
      </c>
      <c r="C11" s="1" t="str">
        <f>VLOOKUP(Tableau2468101214161822[[#This Row],[Pilote]],Tableau2[[Pilote]:[Voiture]],2,0)</f>
        <v>Mini</v>
      </c>
      <c r="D11" s="218">
        <v>2</v>
      </c>
      <c r="E11" s="40">
        <f>IF(ISNA(VLOOKUP(D11,Tableau125791113151719[[Pos.]:[Sprint]],2,0)),"",VLOOKUP(D11,Tableau125791113151719[[Pos.]:[Sprint]],2,0))</f>
        <v>17</v>
      </c>
      <c r="F11" s="233" t="s">
        <v>211</v>
      </c>
      <c r="G11" s="235">
        <v>0</v>
      </c>
      <c r="H11" s="219">
        <f t="shared" si="0"/>
        <v>17</v>
      </c>
      <c r="J11" s="5">
        <f t="shared" si="2"/>
        <v>9</v>
      </c>
      <c r="K11">
        <v>8</v>
      </c>
      <c r="L11">
        <f t="shared" si="3"/>
        <v>9</v>
      </c>
      <c r="M11">
        <f>2*Tableau125791113151719[[#This Row],[Enduro]]</f>
        <v>18</v>
      </c>
    </row>
    <row r="12" spans="1:16" x14ac:dyDescent="0.25">
      <c r="A12" s="52">
        <f t="shared" si="1"/>
        <v>10</v>
      </c>
      <c r="B12" t="s">
        <v>207</v>
      </c>
      <c r="C12" s="1" t="str">
        <f>VLOOKUP(Tableau2468101214161822[[#This Row],[Pilote]],Tableau2[[Pilote]:[Voiture]],2,0)</f>
        <v>Mazda</v>
      </c>
      <c r="D12" s="41">
        <v>7</v>
      </c>
      <c r="E12" s="40">
        <f>IF(ISNA(VLOOKUP(D12,Tableau125791113151719[[Pos.]:[Sprint]],2,0)),"",VLOOKUP(D12,Tableau125791113151719[[Pos.]:[Sprint]],2,0))</f>
        <v>10</v>
      </c>
      <c r="F12" s="234">
        <v>11</v>
      </c>
      <c r="G12" s="40">
        <f>IF(ISNA(VLOOKUP(F12,Tableau125791113151719[[Pos.]:[Enduro]],3,0)),"",VLOOKUP(F12,Tableau125791113151719[[Pos.]:[Enduro]],3,0))</f>
        <v>7</v>
      </c>
      <c r="H12" s="219">
        <f t="shared" si="0"/>
        <v>17</v>
      </c>
      <c r="J12" s="5">
        <f t="shared" si="2"/>
        <v>10</v>
      </c>
      <c r="K12">
        <v>7</v>
      </c>
      <c r="L12">
        <f t="shared" si="3"/>
        <v>8</v>
      </c>
      <c r="M12">
        <f>2*Tableau125791113151719[[#This Row],[Enduro]]</f>
        <v>16</v>
      </c>
    </row>
    <row r="13" spans="1:16" x14ac:dyDescent="0.25">
      <c r="A13" s="52">
        <f t="shared" si="1"/>
        <v>11</v>
      </c>
      <c r="B13" s="1" t="s">
        <v>208</v>
      </c>
      <c r="C13" s="1" t="str">
        <f>VLOOKUP(Tableau2468101214161822[[#This Row],[Pilote]],Tableau2[[Pilote]:[Voiture]],2,0)</f>
        <v>Mini</v>
      </c>
      <c r="D13" s="41">
        <v>11</v>
      </c>
      <c r="E13" s="40">
        <f>IF(ISNA(VLOOKUP(D13,Tableau125791113151719[[Pos.]:[Sprint]],2,0)),"",VLOOKUP(D13,Tableau125791113151719[[Pos.]:[Sprint]],2,0))</f>
        <v>6</v>
      </c>
      <c r="F13" s="41">
        <v>8</v>
      </c>
      <c r="G13" s="40">
        <f>IF(ISNA(VLOOKUP(F13,Tableau125791113151719[[Pos.]:[Enduro]],3,0)),"",VLOOKUP(F13,Tableau125791113151719[[Pos.]:[Enduro]],3,0))</f>
        <v>10</v>
      </c>
      <c r="H13" s="219">
        <f t="shared" si="0"/>
        <v>16</v>
      </c>
      <c r="J13" s="5">
        <f t="shared" si="2"/>
        <v>11</v>
      </c>
      <c r="K13">
        <v>6</v>
      </c>
      <c r="L13">
        <f t="shared" si="3"/>
        <v>7</v>
      </c>
      <c r="M13">
        <f>2*Tableau125791113151719[[#This Row],[Enduro]]</f>
        <v>14</v>
      </c>
    </row>
    <row r="14" spans="1:16" x14ac:dyDescent="0.25">
      <c r="A14" s="52">
        <f t="shared" si="1"/>
        <v>12</v>
      </c>
      <c r="B14" s="1" t="s">
        <v>26</v>
      </c>
      <c r="C14" s="1" t="str">
        <f>VLOOKUP(Tableau2468101214161822[[#This Row],[Pilote]],Tableau2[[Pilote]:[Voiture]],2,0)</f>
        <v>Alfa Romeo</v>
      </c>
      <c r="D14" s="41">
        <v>12</v>
      </c>
      <c r="E14" s="40">
        <f>IF(ISNA(VLOOKUP(D14,Tableau125791113151719[[Pos.]:[Sprint]],2,0)),"",VLOOKUP(D14,Tableau125791113151719[[Pos.]:[Sprint]],2,0))</f>
        <v>5</v>
      </c>
      <c r="F14" s="234">
        <v>9</v>
      </c>
      <c r="G14" s="40">
        <f>IF(ISNA(VLOOKUP(F14,Tableau125791113151719[[Pos.]:[Enduro]],3,0)),"",VLOOKUP(F14,Tableau125791113151719[[Pos.]:[Enduro]],3,0))</f>
        <v>9</v>
      </c>
      <c r="H14" s="219">
        <f t="shared" si="0"/>
        <v>14</v>
      </c>
      <c r="J14" s="5">
        <f t="shared" si="2"/>
        <v>12</v>
      </c>
      <c r="K14">
        <v>5</v>
      </c>
      <c r="L14">
        <f t="shared" si="3"/>
        <v>6</v>
      </c>
      <c r="M14">
        <f>2*Tableau125791113151719[[#This Row],[Enduro]]</f>
        <v>12</v>
      </c>
    </row>
    <row r="15" spans="1:16" x14ac:dyDescent="0.25">
      <c r="A15" s="52">
        <f t="shared" si="1"/>
        <v>13</v>
      </c>
      <c r="B15" s="1" t="s">
        <v>9</v>
      </c>
      <c r="C15" s="1" t="str">
        <f>VLOOKUP(Tableau2468101214161822[[#This Row],[Pilote]],Tableau2[[Pilote]:[Voiture]],2,0)</f>
        <v>Mazda</v>
      </c>
      <c r="D15" s="41">
        <v>13</v>
      </c>
      <c r="E15" s="40">
        <f>IF(ISNA(VLOOKUP(D15,Tableau125791113151719[[Pos.]:[Sprint]],2,0)),"",VLOOKUP(D15,Tableau125791113151719[[Pos.]:[Sprint]],2,0))</f>
        <v>4</v>
      </c>
      <c r="F15" s="234">
        <v>12</v>
      </c>
      <c r="G15" s="40">
        <f>IF(ISNA(VLOOKUP(F15,Tableau125791113151719[[Pos.]:[Enduro]],3,0)),"",VLOOKUP(F15,Tableau125791113151719[[Pos.]:[Enduro]],3,0))</f>
        <v>6</v>
      </c>
      <c r="H15" s="219">
        <f t="shared" si="0"/>
        <v>10</v>
      </c>
      <c r="J15" s="5">
        <f t="shared" si="2"/>
        <v>13</v>
      </c>
      <c r="K15">
        <v>4</v>
      </c>
      <c r="L15">
        <f t="shared" si="3"/>
        <v>5</v>
      </c>
      <c r="M15">
        <f>2*Tableau125791113151719[[#This Row],[Enduro]]</f>
        <v>10</v>
      </c>
    </row>
    <row r="16" spans="1:16" x14ac:dyDescent="0.25">
      <c r="A16" s="52">
        <f t="shared" si="1"/>
        <v>14</v>
      </c>
      <c r="B16" s="1"/>
      <c r="C16" s="1" t="e">
        <f>VLOOKUP(Tableau2468101214161822[[#This Row],[Pilote]],Tableau2[[Pilote]:[Voiture]],2,0)</f>
        <v>#N/A</v>
      </c>
      <c r="D16" s="41"/>
      <c r="E16" s="40" t="str">
        <f>IF(ISNA(VLOOKUP(D16,Tableau125791113151719[[Pos.]:[Sprint]],2,0)),"",VLOOKUP(D16,Tableau125791113151719[[Pos.]:[Sprint]],2,0))</f>
        <v/>
      </c>
      <c r="F16" s="41"/>
      <c r="G16" s="40" t="str">
        <f>IF(ISNA(VLOOKUP(F16,Tableau125791113151719[[Pos.]:[Enduro]],3,0)),"",VLOOKUP(F16,Tableau125791113151719[[Pos.]:[Enduro]],3,0))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2*Tableau125791113151719[[#This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VLOOKUP(Tableau2468101214161822[[#This Row],[Pilote]],Tableau2[[Pilote]:[Voiture]],2,0)</f>
        <v>#N/A</v>
      </c>
      <c r="D17" s="41"/>
      <c r="E17" s="40" t="str">
        <f>IF(ISNA(VLOOKUP(D17,Tableau125791113151719[[Pos.]:[Sprint]],2,0)),"",VLOOKUP(D17,Tableau125791113151719[[Pos.]:[Sprint]],2,0))</f>
        <v/>
      </c>
      <c r="F17" s="41"/>
      <c r="G17" s="40" t="str">
        <f>IF(ISNA(VLOOKUP(F17,Tableau125791113151719[[Pos.]:[Enduro]],3,0)),"",VLOOKUP(F17,Tableau125791113151719[[Pos.]:[Enduro]],3,0))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2*Tableau125791113151719[[#This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VLOOKUP(Tableau2468101214161822[[#This Row],[Pilote]],Tableau2[[Pilote]:[Voiture]],2,0)</f>
        <v>#N/A</v>
      </c>
      <c r="D18" s="41"/>
      <c r="E18" s="40" t="str">
        <f>IF(ISNA(VLOOKUP(D18,Tableau125791113151719[[Pos.]:[Sprint]],2,0)),"",VLOOKUP(D18,Tableau125791113151719[[Pos.]:[Sprint]],2,0))</f>
        <v/>
      </c>
      <c r="F18" s="41"/>
      <c r="G18" s="40" t="str">
        <f>IF(ISNA(VLOOKUP(F18,Tableau125791113151719[[Pos.]:[Enduro]],3,0)),"",VLOOKUP(F18,Tableau125791113151719[[Pos.]:[Enduro]],3,0))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2*Tableau125791113151719[[#This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13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SUM(Tableau2468101214161822[Pts.])/O21</f>
        <v>22.23076923076923</v>
      </c>
      <c r="P23" s="271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B3" sqref="B3:B13"/>
    </sheetView>
  </sheetViews>
  <sheetFormatPr baseColWidth="10" defaultRowHeight="15" x14ac:dyDescent="0.25"/>
  <cols>
    <col min="1" max="1" width="4.7109375" customWidth="1"/>
    <col min="2" max="2" width="15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36" t="s">
        <v>178</v>
      </c>
      <c r="C1" s="127">
        <v>9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7</v>
      </c>
      <c r="C3" s="1" t="str">
        <f>VLOOKUP(Tableau246810121416182231[[#This Row],[Pilote]],Tableau2[[Pilote]:[Voiture]],2,0)</f>
        <v>Suzuki</v>
      </c>
      <c r="D3" s="41">
        <v>4</v>
      </c>
      <c r="E3" s="40">
        <f>IF(ISNA(VLOOKUP(D3,Tableau12579111315171923[[Pos.]:[Sprint]],2,0)),"",VLOOKUP(D3,Tableau12579111315171923[[Pos.]:[Sprint]],2,0))</f>
        <v>13</v>
      </c>
      <c r="F3" s="41">
        <v>1</v>
      </c>
      <c r="G3" s="40">
        <f>IF(ISNA(VLOOKUP(F3,Tableau12579111315171923[[Pos.]:[Enduro]],3,0)),"",VLOOKUP(F3,Tableau12579111315171923[[Pos.]:[Enduro]],3,0))</f>
        <v>24</v>
      </c>
      <c r="H3" s="44">
        <f t="shared" ref="H3:H18" si="0">IF(ISERROR(E3+G3),0,E3+G3)</f>
        <v>37</v>
      </c>
      <c r="J3" s="2">
        <v>1</v>
      </c>
      <c r="K3">
        <v>20</v>
      </c>
      <c r="L3">
        <v>24</v>
      </c>
      <c r="M3">
        <f>2*Tableau12579111315171923[[#This Row],[Enduro]]</f>
        <v>48</v>
      </c>
    </row>
    <row r="4" spans="1:13" x14ac:dyDescent="0.25">
      <c r="A4" s="56">
        <f t="shared" ref="A4:A18" si="1">A3+1</f>
        <v>2</v>
      </c>
      <c r="B4" s="1" t="s">
        <v>174</v>
      </c>
      <c r="C4" s="1" t="str">
        <f>VLOOKUP(Tableau246810121416182231[[#This Row],[Pilote]],Tableau2[[Pilote]:[Voiture]],2,0)</f>
        <v>Mini</v>
      </c>
      <c r="D4" s="41">
        <v>2</v>
      </c>
      <c r="E4" s="40">
        <f>IF(ISNA(VLOOKUP(D4,Tableau12579111315171923[[Pos.]:[Sprint]],2,0)),"",VLOOKUP(D4,Tableau12579111315171923[[Pos.]:[Sprint]],2,0))</f>
        <v>17</v>
      </c>
      <c r="F4" s="41">
        <v>2</v>
      </c>
      <c r="G4" s="40">
        <f>IF(ISNA(VLOOKUP(F4,Tableau12579111315171923[[Pos.]:[Enduro]],3,0)),"",VLOOKUP(F4,Tableau12579111315171923[[Pos.]:[Enduro]],3,0))</f>
        <v>20</v>
      </c>
      <c r="H4" s="44">
        <f t="shared" si="0"/>
        <v>37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2*Tableau12579111315171923[[#This Row],[Enduro]]</f>
        <v>40</v>
      </c>
    </row>
    <row r="5" spans="1:13" x14ac:dyDescent="0.25">
      <c r="A5" s="57">
        <f t="shared" si="1"/>
        <v>3</v>
      </c>
      <c r="B5" s="1" t="s">
        <v>21</v>
      </c>
      <c r="C5" s="1" t="str">
        <f>VLOOKUP(Tableau246810121416182231[[#This Row],[Pilote]],Tableau2[[Pilote]:[Voiture]],2,0)</f>
        <v>Mini</v>
      </c>
      <c r="D5" s="41">
        <v>1</v>
      </c>
      <c r="E5" s="40">
        <f>IF(ISNA(VLOOKUP(D5,Tableau12579111315171923[[Pos.]:[Sprint]],2,0)),"",VLOOKUP(D5,Tableau12579111315171923[[Pos.]:[Sprint]],2,0))</f>
        <v>20</v>
      </c>
      <c r="F5" s="41">
        <v>4</v>
      </c>
      <c r="G5" s="40">
        <f>IF(ISNA(VLOOKUP(F5,Tableau12579111315171923[[Pos.]:[Enduro]],3,0)),"",VLOOKUP(F5,Tableau12579111315171923[[Pos.]:[Enduro]],3,0))</f>
        <v>15</v>
      </c>
      <c r="H5" s="44">
        <f t="shared" si="0"/>
        <v>35</v>
      </c>
      <c r="J5" s="4">
        <f t="shared" si="2"/>
        <v>3</v>
      </c>
      <c r="K5">
        <v>15</v>
      </c>
      <c r="L5">
        <f t="shared" si="3"/>
        <v>17</v>
      </c>
      <c r="M5">
        <f>2*Tableau12579111315171923[[#This Row],[Enduro]]</f>
        <v>34</v>
      </c>
    </row>
    <row r="6" spans="1:13" x14ac:dyDescent="0.25">
      <c r="A6" s="52">
        <f t="shared" si="1"/>
        <v>4</v>
      </c>
      <c r="B6" s="1" t="s">
        <v>25</v>
      </c>
      <c r="C6" s="1" t="str">
        <f>VLOOKUP(Tableau246810121416182231[[#This Row],[Pilote]],Tableau2[[Pilote]:[Voiture]],2,0)</f>
        <v>Mazda</v>
      </c>
      <c r="D6" s="41">
        <v>7</v>
      </c>
      <c r="E6" s="40">
        <f>IF(ISNA(VLOOKUP(D6,Tableau12579111315171923[[Pos.]:[Sprint]],2,0)),"",VLOOKUP(D6,Tableau12579111315171923[[Pos.]:[Sprint]],2,0))</f>
        <v>10</v>
      </c>
      <c r="F6" s="41">
        <v>3</v>
      </c>
      <c r="G6" s="40">
        <f>IF(ISNA(VLOOKUP(F6,Tableau12579111315171923[[Pos.]:[Enduro]],3,0)),"",VLOOKUP(F6,Tableau12579111315171923[[Pos.]:[Enduro]],3,0))</f>
        <v>17</v>
      </c>
      <c r="H6" s="44">
        <f t="shared" si="0"/>
        <v>27</v>
      </c>
      <c r="J6" s="5">
        <f t="shared" si="2"/>
        <v>4</v>
      </c>
      <c r="K6">
        <v>13</v>
      </c>
      <c r="L6">
        <f t="shared" si="3"/>
        <v>15</v>
      </c>
      <c r="M6">
        <f>2*Tableau12579111315171923[[#This Row],[Enduro]]</f>
        <v>30</v>
      </c>
    </row>
    <row r="7" spans="1:13" x14ac:dyDescent="0.25">
      <c r="A7" s="52">
        <f t="shared" si="1"/>
        <v>5</v>
      </c>
      <c r="B7" s="1" t="s">
        <v>19</v>
      </c>
      <c r="C7" s="1" t="str">
        <f>VLOOKUP(Tableau246810121416182231[[#This Row],[Pilote]],Tableau2[[Pilote]:[Voiture]],2,0)</f>
        <v>Alfa Romeo</v>
      </c>
      <c r="D7" s="41">
        <v>3</v>
      </c>
      <c r="E7" s="40">
        <f>IF(ISNA(VLOOKUP(D7,Tableau12579111315171923[[Pos.]:[Sprint]],2,0)),"",VLOOKUP(D7,Tableau12579111315171923[[Pos.]:[Sprint]],2,0))</f>
        <v>15</v>
      </c>
      <c r="F7" s="41">
        <v>6</v>
      </c>
      <c r="G7" s="40">
        <f>IF(ISNA(VLOOKUP(F7,Tableau12579111315171923[[Pos.]:[Enduro]],3,0)),"",VLOOKUP(F7,Tableau12579111315171923[[Pos.]:[Enduro]],3,0))</f>
        <v>12</v>
      </c>
      <c r="H7" s="44">
        <f t="shared" si="0"/>
        <v>27</v>
      </c>
      <c r="J7" s="5">
        <f t="shared" si="2"/>
        <v>5</v>
      </c>
      <c r="K7">
        <v>12</v>
      </c>
      <c r="L7">
        <f t="shared" si="3"/>
        <v>13</v>
      </c>
      <c r="M7">
        <f>2*Tableau12579111315171923[[#This Row],[Enduro]]</f>
        <v>26</v>
      </c>
    </row>
    <row r="8" spans="1:13" x14ac:dyDescent="0.25">
      <c r="A8" s="52">
        <f t="shared" si="1"/>
        <v>6</v>
      </c>
      <c r="B8" s="1" t="s">
        <v>24</v>
      </c>
      <c r="C8" s="1" t="str">
        <f>VLOOKUP(Tableau246810121416182231[[#This Row],[Pilote]],Tableau2[[Pilote]:[Voiture]],2,0)</f>
        <v>Suzuki</v>
      </c>
      <c r="D8" s="41">
        <v>5</v>
      </c>
      <c r="E8" s="40">
        <f>IF(ISNA(VLOOKUP(D8,Tableau12579111315171923[[Pos.]:[Sprint]],2,0)),"",VLOOKUP(D8,Tableau12579111315171923[[Pos.]:[Sprint]],2,0))</f>
        <v>12</v>
      </c>
      <c r="F8" s="41">
        <v>5</v>
      </c>
      <c r="G8" s="40">
        <f>IF(ISNA(VLOOKUP(F8,Tableau12579111315171923[[Pos.]:[Enduro]],3,0)),"",VLOOKUP(F8,Tableau12579111315171923[[Pos.]:[Enduro]],3,0))</f>
        <v>13</v>
      </c>
      <c r="H8" s="44">
        <f t="shared" si="0"/>
        <v>25</v>
      </c>
      <c r="J8" s="5">
        <f t="shared" si="2"/>
        <v>6</v>
      </c>
      <c r="K8">
        <v>11</v>
      </c>
      <c r="L8">
        <f t="shared" si="3"/>
        <v>12</v>
      </c>
      <c r="M8">
        <f>2*Tableau12579111315171923[[#This Row],[Enduro]]</f>
        <v>24</v>
      </c>
    </row>
    <row r="9" spans="1:13" x14ac:dyDescent="0.25">
      <c r="A9" s="52">
        <f t="shared" si="1"/>
        <v>7</v>
      </c>
      <c r="B9" s="1" t="s">
        <v>28</v>
      </c>
      <c r="C9" s="1" t="str">
        <f>VLOOKUP(Tableau246810121416182231[[#This Row],[Pilote]],Tableau2[[Pilote]:[Voiture]],2,0)</f>
        <v>Honda</v>
      </c>
      <c r="D9" s="41">
        <v>8</v>
      </c>
      <c r="E9" s="40">
        <f>IF(ISNA(VLOOKUP(D9,Tableau12579111315171923[[Pos.]:[Sprint]],2,0)),"",VLOOKUP(D9,Tableau12579111315171923[[Pos.]:[Sprint]],2,0))</f>
        <v>9</v>
      </c>
      <c r="F9" s="41">
        <v>7</v>
      </c>
      <c r="G9" s="40">
        <f>IF(ISNA(VLOOKUP(F9,Tableau12579111315171923[[Pos.]:[Enduro]],3,0)),"",VLOOKUP(F9,Tableau12579111315171923[[Pos.]:[Enduro]],3,0))</f>
        <v>11</v>
      </c>
      <c r="H9" s="44">
        <f t="shared" si="0"/>
        <v>20</v>
      </c>
      <c r="J9" s="5">
        <f t="shared" si="2"/>
        <v>7</v>
      </c>
      <c r="K9">
        <v>10</v>
      </c>
      <c r="L9">
        <f t="shared" si="3"/>
        <v>11</v>
      </c>
      <c r="M9">
        <f>2*Tableau12579111315171923[[#This Row],[Enduro]]</f>
        <v>22</v>
      </c>
    </row>
    <row r="10" spans="1:13" x14ac:dyDescent="0.25">
      <c r="A10" s="52">
        <f t="shared" si="1"/>
        <v>8</v>
      </c>
      <c r="B10" s="1" t="s">
        <v>15</v>
      </c>
      <c r="C10" s="1" t="str">
        <f>VLOOKUP(Tableau246810121416182231[[#This Row],[Pilote]],Tableau2[[Pilote]:[Voiture]],2,0)</f>
        <v>Honda</v>
      </c>
      <c r="D10" s="41">
        <v>6</v>
      </c>
      <c r="E10" s="40">
        <f>IF(ISNA(VLOOKUP(D10,Tableau12579111315171923[[Pos.]:[Sprint]],2,0)),"",VLOOKUP(D10,Tableau12579111315171923[[Pos.]:[Sprint]],2,0))</f>
        <v>11</v>
      </c>
      <c r="F10" s="41">
        <v>11</v>
      </c>
      <c r="G10" s="40">
        <f>IF(ISNA(VLOOKUP(F10,Tableau12579111315171923[[Pos.]:[Enduro]],3,0)),"",VLOOKUP(F10,Tableau12579111315171923[[Pos.]:[Enduro]],3,0))</f>
        <v>7</v>
      </c>
      <c r="H10" s="44">
        <f t="shared" si="0"/>
        <v>18</v>
      </c>
      <c r="J10" s="5">
        <f t="shared" si="2"/>
        <v>8</v>
      </c>
      <c r="K10">
        <v>9</v>
      </c>
      <c r="L10">
        <f t="shared" si="3"/>
        <v>10</v>
      </c>
      <c r="M10">
        <f>2*Tableau12579111315171923[[#This Row],[Enduro]]</f>
        <v>20</v>
      </c>
    </row>
    <row r="11" spans="1:13" x14ac:dyDescent="0.25">
      <c r="A11" s="52">
        <f t="shared" si="1"/>
        <v>9</v>
      </c>
      <c r="B11" s="1" t="s">
        <v>209</v>
      </c>
      <c r="C11" s="1" t="str">
        <f>VLOOKUP(Tableau246810121416182231[[#This Row],[Pilote]],Tableau2[[Pilote]:[Voiture]],2,0)</f>
        <v>Suzuki</v>
      </c>
      <c r="D11" s="41">
        <v>9</v>
      </c>
      <c r="E11" s="40">
        <f>IF(ISNA(VLOOKUP(D11,Tableau12579111315171923[[Pos.]:[Sprint]],2,0)),"",VLOOKUP(D11,Tableau12579111315171923[[Pos.]:[Sprint]],2,0))</f>
        <v>8</v>
      </c>
      <c r="F11" s="41">
        <v>9</v>
      </c>
      <c r="G11" s="40">
        <f>IF(ISNA(VLOOKUP(F11,Tableau12579111315171923[[Pos.]:[Enduro]],3,0)),"",VLOOKUP(F11,Tableau12579111315171923[[Pos.]:[Enduro]],3,0))</f>
        <v>9</v>
      </c>
      <c r="H11" s="44">
        <f t="shared" si="0"/>
        <v>17</v>
      </c>
      <c r="J11" s="5">
        <f t="shared" si="2"/>
        <v>9</v>
      </c>
      <c r="K11">
        <v>8</v>
      </c>
      <c r="L11">
        <f t="shared" si="3"/>
        <v>9</v>
      </c>
      <c r="M11">
        <f>2*Tableau12579111315171923[[#This Row],[Enduro]]</f>
        <v>18</v>
      </c>
    </row>
    <row r="12" spans="1:13" x14ac:dyDescent="0.25">
      <c r="A12" s="52">
        <f t="shared" si="1"/>
        <v>10</v>
      </c>
      <c r="B12" s="1" t="s">
        <v>11</v>
      </c>
      <c r="C12" s="1" t="str">
        <f>VLOOKUP(Tableau246810121416182231[[#This Row],[Pilote]],Tableau2[[Pilote]:[Voiture]],2,0)</f>
        <v>Nissan</v>
      </c>
      <c r="D12" s="41">
        <v>11</v>
      </c>
      <c r="E12" s="40">
        <f>IF(ISNA(VLOOKUP(D12,Tableau12579111315171923[[Pos.]:[Sprint]],2,0)),"",VLOOKUP(D12,Tableau12579111315171923[[Pos.]:[Sprint]],2,0))</f>
        <v>6</v>
      </c>
      <c r="F12" s="41">
        <v>8</v>
      </c>
      <c r="G12" s="40">
        <f>IF(ISNA(VLOOKUP(F12,Tableau12579111315171923[[Pos.]:[Enduro]],3,0)),"",VLOOKUP(F12,Tableau12579111315171923[[Pos.]:[Enduro]],3,0))</f>
        <v>10</v>
      </c>
      <c r="H12" s="44">
        <f t="shared" si="0"/>
        <v>16</v>
      </c>
      <c r="J12" s="5">
        <f t="shared" si="2"/>
        <v>10</v>
      </c>
      <c r="K12">
        <v>7</v>
      </c>
      <c r="L12">
        <f t="shared" si="3"/>
        <v>8</v>
      </c>
      <c r="M12">
        <f>2*Tableau12579111315171923[[#This Row],[Enduro]]</f>
        <v>16</v>
      </c>
    </row>
    <row r="13" spans="1:13" x14ac:dyDescent="0.25">
      <c r="A13" s="52">
        <f t="shared" si="1"/>
        <v>11</v>
      </c>
      <c r="B13" s="1" t="s">
        <v>212</v>
      </c>
      <c r="C13" s="1" t="str">
        <f>VLOOKUP(Tableau246810121416182231[[#This Row],[Pilote]],Tableau2[[Pilote]:[Voiture]],2,0)</f>
        <v>Abarth</v>
      </c>
      <c r="D13" s="41">
        <v>10</v>
      </c>
      <c r="E13" s="40">
        <f>IF(ISNA(VLOOKUP(D13,Tableau12579111315171923[[Pos.]:[Sprint]],2,0)),"",VLOOKUP(D13,Tableau12579111315171923[[Pos.]:[Sprint]],2,0))</f>
        <v>7</v>
      </c>
      <c r="F13" s="41">
        <v>10</v>
      </c>
      <c r="G13" s="40">
        <f>IF(ISNA(VLOOKUP(F13,Tableau12579111315171923[[Pos.]:[Enduro]],3,0)),"",VLOOKUP(F13,Tableau12579111315171923[[Pos.]:[Enduro]],3,0))</f>
        <v>8</v>
      </c>
      <c r="H13" s="44">
        <f t="shared" si="0"/>
        <v>15</v>
      </c>
      <c r="J13" s="5">
        <f t="shared" si="2"/>
        <v>11</v>
      </c>
      <c r="K13">
        <v>6</v>
      </c>
      <c r="L13">
        <f t="shared" si="3"/>
        <v>7</v>
      </c>
      <c r="M13">
        <f>2*Tableau12579111315171923[[#This Row],[Enduro]]</f>
        <v>14</v>
      </c>
    </row>
    <row r="14" spans="1:13" x14ac:dyDescent="0.25">
      <c r="A14" s="52">
        <f t="shared" si="1"/>
        <v>12</v>
      </c>
      <c r="B14" s="1"/>
      <c r="C14" s="1" t="e">
        <f>VLOOKUP(Tableau246810121416182231[[#This Row],[Pilote]],Tableau2[[Pilote]:[Voiture]],2,0)</f>
        <v>#N/A</v>
      </c>
      <c r="D14" s="41"/>
      <c r="E14" s="40" t="str">
        <f>IF(ISNA(VLOOKUP(D14,Tableau12579111315171923[[Pos.]:[Sprint]],2,0)),"",VLOOKUP(D14,Tableau12579111315171923[[Pos.]:[Sprint]],2,0))</f>
        <v/>
      </c>
      <c r="F14" s="41"/>
      <c r="G14" s="40" t="str">
        <f>IF(ISNA(VLOOKUP(F14,Tableau12579111315171923[[Pos.]:[Enduro]],3,0)),"",VLOOKUP(F14,Tableau12579111315171923[[Pos.]:[Enduro]],3,0))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2*Tableau12579111315171923[[#This Row],[Enduro]]</f>
        <v>12</v>
      </c>
    </row>
    <row r="15" spans="1:13" x14ac:dyDescent="0.25">
      <c r="A15" s="52">
        <f t="shared" si="1"/>
        <v>13</v>
      </c>
      <c r="B15" s="1"/>
      <c r="C15" s="1" t="e">
        <f>VLOOKUP(Tableau246810121416182231[[#This Row],[Pilote]],Tableau2[[Pilote]:[Voiture]],2,0)</f>
        <v>#N/A</v>
      </c>
      <c r="D15" s="41"/>
      <c r="E15" s="40" t="str">
        <f>IF(ISNA(VLOOKUP(D15,Tableau12579111315171923[[Pos.]:[Sprint]],2,0)),"",VLOOKUP(D15,Tableau12579111315171923[[Pos.]:[Sprint]],2,0))</f>
        <v/>
      </c>
      <c r="F15" s="41"/>
      <c r="G15" s="40" t="str">
        <f>IF(ISNA(VLOOKUP(F15,Tableau12579111315171923[[Pos.]:[Enduro]],3,0)),"",VLOOKUP(F15,Tableau12579111315171923[[Pos.]:[Enduro]],3,0))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2*Tableau12579111315171923[[#This Row],[Enduro]]</f>
        <v>10</v>
      </c>
    </row>
    <row r="16" spans="1:13" x14ac:dyDescent="0.25">
      <c r="A16" s="52">
        <f t="shared" si="1"/>
        <v>14</v>
      </c>
      <c r="B16" s="1"/>
      <c r="C16" s="1" t="e">
        <f>VLOOKUP(Tableau246810121416182231[[#This Row],[Pilote]],Tableau2[[Pilote]:[Voiture]],2,0)</f>
        <v>#N/A</v>
      </c>
      <c r="D16" s="41"/>
      <c r="E16" s="40" t="str">
        <f>IF(ISNA(VLOOKUP(D16,Tableau12579111315171923[[Pos.]:[Sprint]],2,0)),"",VLOOKUP(D16,Tableau12579111315171923[[Pos.]:[Sprint]],2,0))</f>
        <v/>
      </c>
      <c r="F16" s="41"/>
      <c r="G16" s="40" t="str">
        <f>IF(ISNA(VLOOKUP(F16,Tableau12579111315171923[[Pos.]:[Enduro]],3,0)),"",VLOOKUP(F16,Tableau12579111315171923[[Pos.]:[Enduro]],3,0))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2*Tableau12579111315171923[[#This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VLOOKUP(Tableau246810121416182231[[#This Row],[Pilote]],Tableau2[[Pilote]:[Voiture]],2,0)</f>
        <v>#N/A</v>
      </c>
      <c r="D17" s="41"/>
      <c r="E17" s="40" t="str">
        <f>IF(ISNA(VLOOKUP(D17,Tableau12579111315171923[[Pos.]:[Sprint]],2,0)),"",VLOOKUP(D17,Tableau12579111315171923[[Pos.]:[Sprint]],2,0))</f>
        <v/>
      </c>
      <c r="F17" s="41"/>
      <c r="G17" s="40" t="str">
        <f>IF(ISNA(VLOOKUP(F17,Tableau12579111315171923[[Pos.]:[Enduro]],3,0)),"",VLOOKUP(F17,Tableau12579111315171923[[Pos.]:[Enduro]],3,0))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2*Tableau12579111315171923[[#This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VLOOKUP(Tableau246810121416182231[[#This Row],[Pilote]],Tableau2[[Pilote]:[Voiture]],2,0)</f>
        <v>#N/A</v>
      </c>
      <c r="D18" s="41"/>
      <c r="E18" s="40" t="str">
        <f>IF(ISNA(VLOOKUP(D18,Tableau12579111315171923[[Pos.]:[Sprint]],2,0)),"",VLOOKUP(D18,Tableau12579111315171923[[Pos.]:[Sprint]],2,0))</f>
        <v/>
      </c>
      <c r="F18" s="41"/>
      <c r="G18" s="40" t="str">
        <f>IF(ISNA(VLOOKUP(F18,Tableau12579111315171923[[Pos.]:[Enduro]],3,0)),"",VLOOKUP(F18,Tableau12579111315171923[[Pos.]:[Enduro]],3,0))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2*Tableau12579111315171923[[#This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11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SUM(Tableau246810121416182231[Pts.])/O21</f>
        <v>24.90909090909091</v>
      </c>
      <c r="P23" s="271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S30" sqref="S30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38" t="s">
        <v>178</v>
      </c>
      <c r="C1" s="127">
        <v>10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177</v>
      </c>
      <c r="C3" s="1" t="str">
        <f>VLOOKUP(Tableau24681012141618223133[[#This Row],[Pilote]],Tableau2[[Pilote]:[Voiture]],2,0)</f>
        <v>Honda</v>
      </c>
      <c r="D3" s="41">
        <v>6</v>
      </c>
      <c r="E3" s="40">
        <f>IF(ISNA(VLOOKUP(D3,Tableau1257911131517192332[[Pos.]:[Sprint]],2,0)),"",VLOOKUP(D3,Tableau1257911131517192332[[Pos.]:[Sprint]],2,0))</f>
        <v>11</v>
      </c>
      <c r="F3" s="210">
        <v>1</v>
      </c>
      <c r="G3" s="40">
        <f>IF(ISNA(VLOOKUP(F3,Tableau1257911131517192332[[Pos.]:[Enduro]],3,0)),"",VLOOKUP(F3,Tableau1257911131517192332[[Pos.]:[Enduro]],3,0))</f>
        <v>24</v>
      </c>
      <c r="H3" s="219">
        <f t="shared" ref="H3:H18" si="0">IF(ISERROR(E3+G3),0,E3+G3)</f>
        <v>35</v>
      </c>
      <c r="J3" s="2">
        <v>1</v>
      </c>
      <c r="K3">
        <v>20</v>
      </c>
      <c r="L3">
        <v>24</v>
      </c>
      <c r="M3">
        <f>2*Tableau1257911131517192332[[#This Row],[Enduro]]</f>
        <v>48</v>
      </c>
    </row>
    <row r="4" spans="1:13" x14ac:dyDescent="0.25">
      <c r="A4" s="56">
        <f t="shared" ref="A4:A18" si="1">A3+1</f>
        <v>2</v>
      </c>
      <c r="B4" s="1" t="s">
        <v>21</v>
      </c>
      <c r="C4" s="1" t="str">
        <f>VLOOKUP(Tableau24681012141618223133[[#This Row],[Pilote]],Tableau2[[Pilote]:[Voiture]],2,0)</f>
        <v>Mini</v>
      </c>
      <c r="D4" s="41">
        <v>4</v>
      </c>
      <c r="E4" s="40">
        <f>IF(ISNA(VLOOKUP(D4,Tableau1257911131517192332[[Pos.]:[Sprint]],2,0)),"",VLOOKUP(D4,Tableau1257911131517192332[[Pos.]:[Sprint]],2,0))</f>
        <v>13</v>
      </c>
      <c r="F4" s="218">
        <v>2</v>
      </c>
      <c r="G4" s="40">
        <f>IF(ISNA(VLOOKUP(F4,Tableau1257911131517192332[[Pos.]:[Enduro]],3,0)),"",VLOOKUP(F4,Tableau1257911131517192332[[Pos.]:[Enduro]],3,0))</f>
        <v>20</v>
      </c>
      <c r="H4" s="219">
        <f t="shared" si="0"/>
        <v>33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2*Tableau1257911131517192332[[#This Row],[Enduro]]</f>
        <v>40</v>
      </c>
    </row>
    <row r="5" spans="1:13" x14ac:dyDescent="0.25">
      <c r="A5" s="57">
        <f t="shared" si="1"/>
        <v>3</v>
      </c>
      <c r="B5" s="1" t="s">
        <v>11</v>
      </c>
      <c r="C5" s="1" t="str">
        <f>VLOOKUP(Tableau24681012141618223133[[#This Row],[Pilote]],Tableau2[[Pilote]:[Voiture]],2,0)</f>
        <v>Nissan</v>
      </c>
      <c r="D5" s="210">
        <v>1</v>
      </c>
      <c r="E5" s="40">
        <f>IF(ISNA(VLOOKUP(D5,Tableau1257911131517192332[[Pos.]:[Sprint]],2,0)),"",VLOOKUP(D5,Tableau1257911131517192332[[Pos.]:[Sprint]],2,0))</f>
        <v>20</v>
      </c>
      <c r="F5" s="41">
        <v>7</v>
      </c>
      <c r="G5" s="40">
        <f>IF(ISNA(VLOOKUP(F5,Tableau1257911131517192332[[Pos.]:[Enduro]],3,0)),"",VLOOKUP(F5,Tableau1257911131517192332[[Pos.]:[Enduro]],3,0))</f>
        <v>11</v>
      </c>
      <c r="H5" s="219">
        <f t="shared" si="0"/>
        <v>31</v>
      </c>
      <c r="J5" s="4">
        <f t="shared" si="2"/>
        <v>3</v>
      </c>
      <c r="K5">
        <v>15</v>
      </c>
      <c r="L5">
        <f t="shared" si="3"/>
        <v>17</v>
      </c>
      <c r="M5">
        <f>2*Tableau1257911131517192332[[#This Row],[Enduro]]</f>
        <v>34</v>
      </c>
    </row>
    <row r="6" spans="1:13" x14ac:dyDescent="0.25">
      <c r="A6" s="52">
        <f t="shared" si="1"/>
        <v>4</v>
      </c>
      <c r="B6" s="1" t="s">
        <v>7</v>
      </c>
      <c r="C6" s="1" t="str">
        <f>VLOOKUP(Tableau24681012141618223133[[#This Row],[Pilote]],Tableau2[[Pilote]:[Voiture]],2,0)</f>
        <v>Suzuki</v>
      </c>
      <c r="D6" s="218">
        <v>2</v>
      </c>
      <c r="E6" s="40">
        <f>IF(ISNA(VLOOKUP(D6,Tableau1257911131517192332[[Pos.]:[Sprint]],2,0)),"",VLOOKUP(D6,Tableau1257911131517192332[[Pos.]:[Sprint]],2,0))</f>
        <v>17</v>
      </c>
      <c r="F6" s="41">
        <v>6</v>
      </c>
      <c r="G6" s="40">
        <f>IF(ISNA(VLOOKUP(F6,Tableau1257911131517192332[[Pos.]:[Enduro]],3,0)),"",VLOOKUP(F6,Tableau1257911131517192332[[Pos.]:[Enduro]],3,0))</f>
        <v>12</v>
      </c>
      <c r="H6" s="219">
        <f t="shared" si="0"/>
        <v>29</v>
      </c>
      <c r="J6" s="5">
        <f t="shared" si="2"/>
        <v>4</v>
      </c>
      <c r="K6">
        <v>13</v>
      </c>
      <c r="L6">
        <f t="shared" si="3"/>
        <v>15</v>
      </c>
      <c r="M6">
        <f>2*Tableau1257911131517192332[[#This Row],[Enduro]]</f>
        <v>30</v>
      </c>
    </row>
    <row r="7" spans="1:13" x14ac:dyDescent="0.25">
      <c r="A7" s="52">
        <f t="shared" si="1"/>
        <v>5</v>
      </c>
      <c r="B7" s="1" t="s">
        <v>24</v>
      </c>
      <c r="C7" s="1" t="str">
        <f>VLOOKUP(Tableau24681012141618223133[[#This Row],[Pilote]],Tableau2[[Pilote]:[Voiture]],2,0)</f>
        <v>Suzuki</v>
      </c>
      <c r="D7" s="211">
        <v>3</v>
      </c>
      <c r="E7" s="40">
        <f>IF(ISNA(VLOOKUP(D7,Tableau1257911131517192332[[Pos.]:[Sprint]],2,0)),"",VLOOKUP(D7,Tableau1257911131517192332[[Pos.]:[Sprint]],2,0))</f>
        <v>15</v>
      </c>
      <c r="F7" s="41">
        <v>5</v>
      </c>
      <c r="G7" s="40">
        <f>IF(ISNA(VLOOKUP(F7,Tableau1257911131517192332[[Pos.]:[Enduro]],3,0)),"",VLOOKUP(F7,Tableau1257911131517192332[[Pos.]:[Enduro]],3,0))</f>
        <v>13</v>
      </c>
      <c r="H7" s="219">
        <f t="shared" si="0"/>
        <v>28</v>
      </c>
      <c r="J7" s="5">
        <f t="shared" si="2"/>
        <v>5</v>
      </c>
      <c r="K7">
        <v>12</v>
      </c>
      <c r="L7">
        <f t="shared" si="3"/>
        <v>13</v>
      </c>
      <c r="M7">
        <f>2*Tableau1257911131517192332[[#This Row],[Enduro]]</f>
        <v>26</v>
      </c>
    </row>
    <row r="8" spans="1:13" x14ac:dyDescent="0.25">
      <c r="A8" s="52">
        <f t="shared" si="1"/>
        <v>6</v>
      </c>
      <c r="B8" s="1" t="s">
        <v>174</v>
      </c>
      <c r="C8" s="1" t="str">
        <f>VLOOKUP(Tableau24681012141618223133[[#This Row],[Pilote]],Tableau2[[Pilote]:[Voiture]],2,0)</f>
        <v>Mini</v>
      </c>
      <c r="D8" s="41">
        <v>5</v>
      </c>
      <c r="E8" s="40">
        <f>IF(ISNA(VLOOKUP(D8,Tableau1257911131517192332[[Pos.]:[Sprint]],2,0)),"",VLOOKUP(D8,Tableau1257911131517192332[[Pos.]:[Sprint]],2,0))</f>
        <v>12</v>
      </c>
      <c r="F8" s="41">
        <v>4</v>
      </c>
      <c r="G8" s="40">
        <f>IF(ISNA(VLOOKUP(F8,Tableau1257911131517192332[[Pos.]:[Enduro]],3,0)),"",VLOOKUP(F8,Tableau1257911131517192332[[Pos.]:[Enduro]],3,0))</f>
        <v>15</v>
      </c>
      <c r="H8" s="219">
        <f t="shared" si="0"/>
        <v>27</v>
      </c>
      <c r="J8" s="5">
        <f t="shared" si="2"/>
        <v>6</v>
      </c>
      <c r="K8">
        <v>11</v>
      </c>
      <c r="L8">
        <f t="shared" si="3"/>
        <v>12</v>
      </c>
      <c r="M8">
        <f>2*Tableau1257911131517192332[[#This Row],[Enduro]]</f>
        <v>24</v>
      </c>
    </row>
    <row r="9" spans="1:13" x14ac:dyDescent="0.25">
      <c r="A9" s="52">
        <f t="shared" si="1"/>
        <v>7</v>
      </c>
      <c r="B9" s="1" t="s">
        <v>15</v>
      </c>
      <c r="C9" s="1" t="str">
        <f>VLOOKUP(Tableau24681012141618223133[[#This Row],[Pilote]],Tableau2[[Pilote]:[Voiture]],2,0)</f>
        <v>Honda</v>
      </c>
      <c r="D9" s="41">
        <v>11</v>
      </c>
      <c r="E9" s="40">
        <f>IF(ISNA(VLOOKUP(D9,Tableau1257911131517192332[[Pos.]:[Sprint]],2,0)),"",VLOOKUP(D9,Tableau1257911131517192332[[Pos.]:[Sprint]],2,0))</f>
        <v>6</v>
      </c>
      <c r="F9" s="211">
        <v>3</v>
      </c>
      <c r="G9" s="40">
        <f>IF(ISNA(VLOOKUP(F9,Tableau1257911131517192332[[Pos.]:[Enduro]],3,0)),"",VLOOKUP(F9,Tableau1257911131517192332[[Pos.]:[Enduro]],3,0))</f>
        <v>17</v>
      </c>
      <c r="H9" s="219">
        <f t="shared" si="0"/>
        <v>23</v>
      </c>
      <c r="J9" s="5">
        <f t="shared" si="2"/>
        <v>7</v>
      </c>
      <c r="K9">
        <v>10</v>
      </c>
      <c r="L9">
        <f t="shared" si="3"/>
        <v>11</v>
      </c>
      <c r="M9">
        <f>2*Tableau1257911131517192332[[#This Row],[Enduro]]</f>
        <v>22</v>
      </c>
    </row>
    <row r="10" spans="1:13" x14ac:dyDescent="0.25">
      <c r="A10" s="52">
        <f t="shared" si="1"/>
        <v>8</v>
      </c>
      <c r="B10" s="1" t="s">
        <v>25</v>
      </c>
      <c r="C10" s="1" t="str">
        <f>VLOOKUP(Tableau24681012141618223133[[#This Row],[Pilote]],Tableau2[[Pilote]:[Voiture]],2,0)</f>
        <v>Mazda</v>
      </c>
      <c r="D10" s="41">
        <v>7</v>
      </c>
      <c r="E10" s="40">
        <f>IF(ISNA(VLOOKUP(D10,Tableau1257911131517192332[[Pos.]:[Sprint]],2,0)),"",VLOOKUP(D10,Tableau1257911131517192332[[Pos.]:[Sprint]],2,0))</f>
        <v>10</v>
      </c>
      <c r="F10" s="41">
        <v>8</v>
      </c>
      <c r="G10" s="40">
        <f>IF(ISNA(VLOOKUP(F10,Tableau1257911131517192332[[Pos.]:[Enduro]],3,0)),"",VLOOKUP(F10,Tableau1257911131517192332[[Pos.]:[Enduro]],3,0))</f>
        <v>10</v>
      </c>
      <c r="H10" s="219">
        <f t="shared" si="0"/>
        <v>20</v>
      </c>
      <c r="J10" s="5">
        <f t="shared" si="2"/>
        <v>8</v>
      </c>
      <c r="K10">
        <v>9</v>
      </c>
      <c r="L10">
        <f t="shared" si="3"/>
        <v>10</v>
      </c>
      <c r="M10">
        <f>2*Tableau1257911131517192332[[#This Row],[Enduro]]</f>
        <v>20</v>
      </c>
    </row>
    <row r="11" spans="1:13" x14ac:dyDescent="0.25">
      <c r="A11" s="52">
        <f t="shared" si="1"/>
        <v>9</v>
      </c>
      <c r="B11" s="1" t="s">
        <v>28</v>
      </c>
      <c r="C11" s="1" t="str">
        <f>VLOOKUP(Tableau24681012141618223133[[#This Row],[Pilote]],Tableau2[[Pilote]:[Voiture]],2,0)</f>
        <v>Honda</v>
      </c>
      <c r="D11" s="41">
        <v>9</v>
      </c>
      <c r="E11" s="40">
        <f>IF(ISNA(VLOOKUP(D11,Tableau1257911131517192332[[Pos.]:[Sprint]],2,0)),"",VLOOKUP(D11,Tableau1257911131517192332[[Pos.]:[Sprint]],2,0))</f>
        <v>8</v>
      </c>
      <c r="F11" s="41">
        <v>9</v>
      </c>
      <c r="G11" s="40">
        <f>IF(ISNA(VLOOKUP(F11,Tableau1257911131517192332[[Pos.]:[Enduro]],3,0)),"",VLOOKUP(F11,Tableau1257911131517192332[[Pos.]:[Enduro]],3,0))</f>
        <v>9</v>
      </c>
      <c r="H11" s="219">
        <f t="shared" si="0"/>
        <v>17</v>
      </c>
      <c r="J11" s="5">
        <f t="shared" si="2"/>
        <v>9</v>
      </c>
      <c r="K11">
        <v>8</v>
      </c>
      <c r="L11">
        <f t="shared" si="3"/>
        <v>9</v>
      </c>
      <c r="M11">
        <f>2*Tableau1257911131517192332[[#This Row],[Enduro]]</f>
        <v>18</v>
      </c>
    </row>
    <row r="12" spans="1:13" x14ac:dyDescent="0.25">
      <c r="A12" s="52">
        <f t="shared" si="1"/>
        <v>10</v>
      </c>
      <c r="B12" s="1" t="s">
        <v>19</v>
      </c>
      <c r="C12" s="1" t="str">
        <f>VLOOKUP(Tableau24681012141618223133[[#This Row],[Pilote]],Tableau2[[Pilote]:[Voiture]],2,0)</f>
        <v>Alfa Romeo</v>
      </c>
      <c r="D12" s="41">
        <v>8</v>
      </c>
      <c r="E12" s="40">
        <f>IF(ISNA(VLOOKUP(D12,Tableau1257911131517192332[[Pos.]:[Sprint]],2,0)),"",VLOOKUP(D12,Tableau1257911131517192332[[Pos.]:[Sprint]],2,0))</f>
        <v>9</v>
      </c>
      <c r="F12" s="41">
        <v>11</v>
      </c>
      <c r="G12" s="40">
        <f>IF(ISNA(VLOOKUP(F12,Tableau1257911131517192332[[Pos.]:[Enduro]],3,0)),"",VLOOKUP(F12,Tableau1257911131517192332[[Pos.]:[Enduro]],3,0))</f>
        <v>7</v>
      </c>
      <c r="H12" s="219">
        <f t="shared" si="0"/>
        <v>16</v>
      </c>
      <c r="J12" s="5">
        <f t="shared" si="2"/>
        <v>10</v>
      </c>
      <c r="K12">
        <v>7</v>
      </c>
      <c r="L12">
        <f t="shared" si="3"/>
        <v>8</v>
      </c>
      <c r="M12">
        <f>2*Tableau1257911131517192332[[#This Row],[Enduro]]</f>
        <v>16</v>
      </c>
    </row>
    <row r="13" spans="1:13" x14ac:dyDescent="0.25">
      <c r="A13" s="52">
        <f t="shared" si="1"/>
        <v>11</v>
      </c>
      <c r="B13" s="1" t="s">
        <v>26</v>
      </c>
      <c r="C13" s="1" t="str">
        <f>VLOOKUP(Tableau24681012141618223133[[#This Row],[Pilote]],Tableau2[[Pilote]:[Voiture]],2,0)</f>
        <v>Alfa Romeo</v>
      </c>
      <c r="D13" s="41">
        <v>10</v>
      </c>
      <c r="E13" s="40">
        <f>IF(ISNA(VLOOKUP(D13,Tableau1257911131517192332[[Pos.]:[Sprint]],2,0)),"",VLOOKUP(D13,Tableau1257911131517192332[[Pos.]:[Sprint]],2,0))</f>
        <v>7</v>
      </c>
      <c r="F13" s="41">
        <v>10</v>
      </c>
      <c r="G13" s="40">
        <f>IF(ISNA(VLOOKUP(F13,Tableau1257911131517192332[[Pos.]:[Enduro]],3,0)),"",VLOOKUP(F13,Tableau1257911131517192332[[Pos.]:[Enduro]],3,0))</f>
        <v>8</v>
      </c>
      <c r="H13" s="219">
        <f t="shared" si="0"/>
        <v>15</v>
      </c>
      <c r="J13" s="5">
        <f t="shared" si="2"/>
        <v>11</v>
      </c>
      <c r="K13">
        <v>6</v>
      </c>
      <c r="L13">
        <f t="shared" si="3"/>
        <v>7</v>
      </c>
      <c r="M13">
        <f>2*Tableau1257911131517192332[[#This Row],[Enduro]]</f>
        <v>14</v>
      </c>
    </row>
    <row r="14" spans="1:13" x14ac:dyDescent="0.25">
      <c r="A14" s="52">
        <f t="shared" si="1"/>
        <v>12</v>
      </c>
      <c r="B14" s="1"/>
      <c r="C14" s="1" t="e">
        <f>VLOOKUP(Tableau24681012141618223133[[#This Row],[Pilote]],Tableau2[[Pilote]:[Voiture]],2,0)</f>
        <v>#N/A</v>
      </c>
      <c r="D14" s="41"/>
      <c r="E14" s="40" t="str">
        <f>IF(ISNA(VLOOKUP(D14,Tableau1257911131517192332[[Pos.]:[Sprint]],2,0)),"",VLOOKUP(D14,Tableau1257911131517192332[[Pos.]:[Sprint]],2,0))</f>
        <v/>
      </c>
      <c r="F14" s="41"/>
      <c r="G14" s="40" t="str">
        <f>IF(ISNA(VLOOKUP(F14,Tableau1257911131517192332[[Pos.]:[Enduro]],3,0)),"",VLOOKUP(F14,Tableau1257911131517192332[[Pos.]:[Enduro]],3,0))</f>
        <v/>
      </c>
      <c r="H14" s="219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2*Tableau1257911131517192332[[#This Row],[Enduro]]</f>
        <v>12</v>
      </c>
    </row>
    <row r="15" spans="1:13" x14ac:dyDescent="0.25">
      <c r="A15" s="52">
        <f t="shared" si="1"/>
        <v>13</v>
      </c>
      <c r="B15" s="1"/>
      <c r="C15" s="1" t="e">
        <f>VLOOKUP(Tableau24681012141618223133[[#This Row],[Pilote]],Tableau2[[Pilote]:[Voiture]],2,0)</f>
        <v>#N/A</v>
      </c>
      <c r="D15" s="41"/>
      <c r="E15" s="40" t="str">
        <f>IF(ISNA(VLOOKUP(D15,Tableau1257911131517192332[[Pos.]:[Sprint]],2,0)),"",VLOOKUP(D15,Tableau1257911131517192332[[Pos.]:[Sprint]],2,0))</f>
        <v/>
      </c>
      <c r="F15" s="41"/>
      <c r="G15" s="40" t="str">
        <f>IF(ISNA(VLOOKUP(F15,Tableau1257911131517192332[[Pos.]:[Enduro]],3,0)),"",VLOOKUP(F15,Tableau1257911131517192332[[Pos.]:[Enduro]],3,0))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2*Tableau1257911131517192332[[#This Row],[Enduro]]</f>
        <v>10</v>
      </c>
    </row>
    <row r="16" spans="1:13" x14ac:dyDescent="0.25">
      <c r="A16" s="52">
        <f t="shared" si="1"/>
        <v>14</v>
      </c>
      <c r="B16" s="1"/>
      <c r="C16" s="1" t="e">
        <f>VLOOKUP(Tableau24681012141618223133[[#This Row],[Pilote]],Tableau2[[Pilote]:[Voiture]],2,0)</f>
        <v>#N/A</v>
      </c>
      <c r="D16" s="41"/>
      <c r="E16" s="40" t="str">
        <f>IF(ISNA(VLOOKUP(D16,Tableau1257911131517192332[[Pos.]:[Sprint]],2,0)),"",VLOOKUP(D16,Tableau1257911131517192332[[Pos.]:[Sprint]],2,0))</f>
        <v/>
      </c>
      <c r="F16" s="41"/>
      <c r="G16" s="40" t="str">
        <f>IF(ISNA(VLOOKUP(F16,Tableau1257911131517192332[[Pos.]:[Enduro]],3,0)),"",VLOOKUP(F16,Tableau1257911131517192332[[Pos.]:[Enduro]],3,0))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2*Tableau1257911131517192332[[#This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VLOOKUP(Tableau24681012141618223133[[#This Row],[Pilote]],Tableau2[[Pilote]:[Voiture]],2,0)</f>
        <v>#N/A</v>
      </c>
      <c r="D17" s="41"/>
      <c r="E17" s="40" t="str">
        <f>IF(ISNA(VLOOKUP(D17,Tableau1257911131517192332[[Pos.]:[Sprint]],2,0)),"",VLOOKUP(D17,Tableau1257911131517192332[[Pos.]:[Sprint]],2,0))</f>
        <v/>
      </c>
      <c r="F17" s="41"/>
      <c r="G17" s="40" t="str">
        <f>IF(ISNA(VLOOKUP(F17,Tableau1257911131517192332[[Pos.]:[Enduro]],3,0)),"",VLOOKUP(F17,Tableau1257911131517192332[[Pos.]:[Enduro]],3,0))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2*Tableau1257911131517192332[[#This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VLOOKUP(Tableau24681012141618223133[[#This Row],[Pilote]],Tableau2[[Pilote]:[Voiture]],2,0)</f>
        <v>#N/A</v>
      </c>
      <c r="D18" s="41"/>
      <c r="E18" s="40" t="str">
        <f>IF(ISNA(VLOOKUP(D18,Tableau1257911131517192332[[Pos.]:[Sprint]],2,0)),"",VLOOKUP(D18,Tableau1257911131517192332[[Pos.]:[Sprint]],2,0))</f>
        <v/>
      </c>
      <c r="F18" s="41"/>
      <c r="G18" s="40" t="str">
        <f>IF(ISNA(VLOOKUP(F18,Tableau1257911131517192332[[Pos.]:[Enduro]],3,0)),"",VLOOKUP(F18,Tableau1257911131517192332[[Pos.]:[Enduro]],3,0))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2*Tableau1257911131517192332[[#This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11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SUM(Tableau24681012141618223133[Pts.])/O21</f>
        <v>24.90909090909091</v>
      </c>
      <c r="P23" s="271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E3" sqref="E3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9"/>
      <c r="C1" s="29"/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/>
      <c r="C3" s="1" t="e">
        <f>VLOOKUP(Tableau24[[#This Row],[Pilote]],Tableau2[[Pilote]:[Voiture]],2,0)</f>
        <v>#N/A</v>
      </c>
      <c r="D3" s="41"/>
      <c r="E3" s="40" t="str">
        <f>IF(ISNA(VLOOKUP(Tableau24[[#This Row],[Pos. Sprint]],Tableau12[],2,0)),"",VLOOKUP(Tableau24[[#This Row],[Pos. Sprint]],Tableau12[],2,0))</f>
        <v/>
      </c>
      <c r="F3" s="41"/>
      <c r="G3" s="40" t="str">
        <f>IF(ISNA(VLOOKUP(Tableau24[[#This Row],[Pos. Sprint]],Tableau12[],3,0)),"",VLOOKUP(Tableau24[[#This Row],[Pos. Sprint]],Tableau12[],3,0))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2*Tableau12[[#This Row],[Enduro]]</f>
        <v>48</v>
      </c>
    </row>
    <row r="4" spans="1:13" x14ac:dyDescent="0.25">
      <c r="A4" s="56">
        <f>A3+1</f>
        <v>2</v>
      </c>
      <c r="B4" s="1"/>
      <c r="C4" s="1" t="e">
        <f>VLOOKUP(Tableau24[[#This Row],[Pilote]],Tableau2[[Pilote]:[Voiture]],2,0)</f>
        <v>#N/A</v>
      </c>
      <c r="D4" s="41"/>
      <c r="E4" s="40" t="str">
        <f>IF(ISNA(VLOOKUP(Tableau24[[#This Row],[Pos. Sprint]],Tableau12[],2,0)),"",VLOOKUP(Tableau24[[#This Row],[Pos. Sprint]],Tableau12[],2,0))</f>
        <v/>
      </c>
      <c r="F4" s="41"/>
      <c r="G4" s="40" t="str">
        <f>IF(ISNA(VLOOKUP(Tableau24[[#This Row],[Pos. Sprint]],Tableau12[],3,0)),"",VLOOKUP(Tableau24[[#This Row],[Pos. Sprint]],Tableau12[],3,0))</f>
        <v/>
      </c>
      <c r="H4" s="44">
        <f t="shared" si="0"/>
        <v>0</v>
      </c>
      <c r="J4" s="3">
        <f t="shared" ref="J4:J18" si="1">J3+1</f>
        <v>2</v>
      </c>
      <c r="K4">
        <v>17</v>
      </c>
      <c r="L4">
        <f t="shared" ref="L4:L18" si="2">K3</f>
        <v>20</v>
      </c>
      <c r="M4">
        <f>2*Tableau12[[#This Row],[Enduro]]</f>
        <v>40</v>
      </c>
    </row>
    <row r="5" spans="1:13" x14ac:dyDescent="0.25">
      <c r="A5" s="57">
        <f>A4+1</f>
        <v>3</v>
      </c>
      <c r="B5" s="1"/>
      <c r="C5" s="1" t="e">
        <f>VLOOKUP(Tableau24[[#This Row],[Pilote]],Tableau2[[Pilote]:[Voiture]],2,0)</f>
        <v>#N/A</v>
      </c>
      <c r="D5" s="41"/>
      <c r="E5" s="40" t="str">
        <f>IF(ISNA(VLOOKUP(Tableau24[[#This Row],[Pos. Sprint]],Tableau12[],2,0)),"",VLOOKUP(Tableau24[[#This Row],[Pos. Sprint]],Tableau12[],2,0))</f>
        <v/>
      </c>
      <c r="F5" s="41"/>
      <c r="G5" s="40" t="str">
        <f>IF(ISNA(VLOOKUP(Tableau24[[#This Row],[Pos. Sprint]],Tableau12[],3,0)),"",VLOOKUP(Tableau24[[#This Row],[Pos. Sprint]],Tableau12[],3,0))</f>
        <v/>
      </c>
      <c r="H5" s="44">
        <f t="shared" si="0"/>
        <v>0</v>
      </c>
      <c r="J5" s="4">
        <f t="shared" si="1"/>
        <v>3</v>
      </c>
      <c r="K5">
        <v>15</v>
      </c>
      <c r="L5">
        <f t="shared" si="2"/>
        <v>17</v>
      </c>
      <c r="M5">
        <f>2*Tableau12[[#This Row],[Enduro]]</f>
        <v>34</v>
      </c>
    </row>
    <row r="6" spans="1:13" x14ac:dyDescent="0.25">
      <c r="A6" s="52">
        <f t="shared" ref="A6:A18" si="3">A5+1</f>
        <v>4</v>
      </c>
      <c r="B6" s="1"/>
      <c r="C6" s="1" t="e">
        <f>VLOOKUP(Tableau24[[#This Row],[Pilote]],Tableau2[[Pilote]:[Voiture]],2,0)</f>
        <v>#N/A</v>
      </c>
      <c r="D6" s="41"/>
      <c r="E6" s="40" t="str">
        <f>IF(ISNA(VLOOKUP(Tableau24[[#This Row],[Pos. Sprint]],Tableau12[],2,0)),"",VLOOKUP(Tableau24[[#This Row],[Pos. Sprint]],Tableau12[],2,0))</f>
        <v/>
      </c>
      <c r="F6" s="41"/>
      <c r="G6" s="40" t="str">
        <f>IF(ISNA(VLOOKUP(Tableau24[[#This Row],[Pos. Sprint]],Tableau12[],3,0)),"",VLOOKUP(Tableau24[[#This Row],[Pos. Sprint]],Tableau12[],3,0))</f>
        <v/>
      </c>
      <c r="H6" s="44">
        <f t="shared" si="0"/>
        <v>0</v>
      </c>
      <c r="J6" s="5">
        <f t="shared" si="1"/>
        <v>4</v>
      </c>
      <c r="K6">
        <v>13</v>
      </c>
      <c r="L6">
        <f t="shared" si="2"/>
        <v>15</v>
      </c>
      <c r="M6">
        <f>2*Tableau12[[#This Row],[Enduro]]</f>
        <v>30</v>
      </c>
    </row>
    <row r="7" spans="1:13" x14ac:dyDescent="0.25">
      <c r="A7" s="52">
        <f t="shared" si="3"/>
        <v>5</v>
      </c>
      <c r="B7" s="1"/>
      <c r="C7" s="1" t="e">
        <f>VLOOKUP(Tableau24[[#This Row],[Pilote]],Tableau2[[Pilote]:[Voiture]],2,0)</f>
        <v>#N/A</v>
      </c>
      <c r="D7" s="41"/>
      <c r="E7" s="40" t="str">
        <f>IF(ISNA(VLOOKUP(Tableau24[[#This Row],[Pos. Sprint]],Tableau12[],2,0)),"",VLOOKUP(Tableau24[[#This Row],[Pos. Sprint]],Tableau12[],2,0))</f>
        <v/>
      </c>
      <c r="F7" s="41"/>
      <c r="G7" s="40" t="str">
        <f>IF(ISNA(VLOOKUP(Tableau24[[#This Row],[Pos. Sprint]],Tableau12[],3,0)),"",VLOOKUP(Tableau24[[#This Row],[Pos. Sprint]],Tableau12[],3,0))</f>
        <v/>
      </c>
      <c r="H7" s="44">
        <f t="shared" si="0"/>
        <v>0</v>
      </c>
      <c r="J7" s="5">
        <f t="shared" si="1"/>
        <v>5</v>
      </c>
      <c r="K7">
        <v>12</v>
      </c>
      <c r="L7">
        <f t="shared" si="2"/>
        <v>13</v>
      </c>
      <c r="M7">
        <f>2*Tableau12[[#This Row],[Enduro]]</f>
        <v>26</v>
      </c>
    </row>
    <row r="8" spans="1:13" x14ac:dyDescent="0.25">
      <c r="A8" s="52">
        <f t="shared" si="3"/>
        <v>6</v>
      </c>
      <c r="B8" s="1"/>
      <c r="C8" s="1" t="e">
        <f>VLOOKUP(Tableau24[[#This Row],[Pilote]],Tableau2[[Pilote]:[Voiture]],2,0)</f>
        <v>#N/A</v>
      </c>
      <c r="D8" s="41"/>
      <c r="E8" s="40" t="str">
        <f>IF(ISNA(VLOOKUP(Tableau24[[#This Row],[Pos. Sprint]],Tableau12[],2,0)),"",VLOOKUP(Tableau24[[#This Row],[Pos. Sprint]],Tableau12[],2,0))</f>
        <v/>
      </c>
      <c r="F8" s="41"/>
      <c r="G8" s="40" t="str">
        <f>IF(ISNA(VLOOKUP(Tableau24[[#This Row],[Pos. Sprint]],Tableau12[],3,0)),"",VLOOKUP(Tableau24[[#This Row],[Pos. Sprint]],Tableau12[],3,0))</f>
        <v/>
      </c>
      <c r="H8" s="44">
        <f t="shared" si="0"/>
        <v>0</v>
      </c>
      <c r="J8" s="5">
        <f t="shared" si="1"/>
        <v>6</v>
      </c>
      <c r="K8">
        <v>11</v>
      </c>
      <c r="L8">
        <f t="shared" si="2"/>
        <v>12</v>
      </c>
      <c r="M8">
        <f>2*Tableau12[[#This Row],[Enduro]]</f>
        <v>24</v>
      </c>
    </row>
    <row r="9" spans="1:13" x14ac:dyDescent="0.25">
      <c r="A9" s="52">
        <f t="shared" si="3"/>
        <v>7</v>
      </c>
      <c r="B9" s="1"/>
      <c r="C9" s="1" t="e">
        <f>VLOOKUP(Tableau24[[#This Row],[Pilote]],Tableau2[[Pilote]:[Voiture]],2,0)</f>
        <v>#N/A</v>
      </c>
      <c r="D9" s="41"/>
      <c r="E9" s="40" t="str">
        <f>IF(ISNA(VLOOKUP(Tableau24[[#This Row],[Pos. Sprint]],Tableau12[],2,0)),"",VLOOKUP(Tableau24[[#This Row],[Pos. Sprint]],Tableau12[],2,0))</f>
        <v/>
      </c>
      <c r="F9" s="41"/>
      <c r="G9" s="40" t="str">
        <f>IF(ISNA(VLOOKUP(Tableau24[[#This Row],[Pos. Sprint]],Tableau12[],3,0)),"",VLOOKUP(Tableau24[[#This Row],[Pos. Sprint]],Tableau12[],3,0))</f>
        <v/>
      </c>
      <c r="H9" s="44">
        <f t="shared" si="0"/>
        <v>0</v>
      </c>
      <c r="J9" s="5">
        <f t="shared" si="1"/>
        <v>7</v>
      </c>
      <c r="K9">
        <v>10</v>
      </c>
      <c r="L9">
        <f t="shared" si="2"/>
        <v>11</v>
      </c>
      <c r="M9">
        <f>2*Tableau12[[#This Row],[Enduro]]</f>
        <v>22</v>
      </c>
    </row>
    <row r="10" spans="1:13" x14ac:dyDescent="0.25">
      <c r="A10" s="52">
        <f t="shared" si="3"/>
        <v>8</v>
      </c>
      <c r="B10" s="1"/>
      <c r="C10" s="1" t="e">
        <f>VLOOKUP(Tableau24[[#This Row],[Pilote]],Tableau2[[Pilote]:[Voiture]],2,0)</f>
        <v>#N/A</v>
      </c>
      <c r="D10" s="41"/>
      <c r="E10" s="40" t="str">
        <f>IF(ISNA(VLOOKUP(Tableau24[[#This Row],[Pos. Sprint]],Tableau12[],2,0)),"",VLOOKUP(Tableau24[[#This Row],[Pos. Sprint]],Tableau12[],2,0))</f>
        <v/>
      </c>
      <c r="F10" s="41"/>
      <c r="G10" s="40" t="str">
        <f>IF(ISNA(VLOOKUP(Tableau24[[#This Row],[Pos. Sprint]],Tableau12[],3,0)),"",VLOOKUP(Tableau24[[#This Row],[Pos. Sprint]],Tableau12[],3,0))</f>
        <v/>
      </c>
      <c r="H10" s="44">
        <f t="shared" si="0"/>
        <v>0</v>
      </c>
      <c r="J10" s="5">
        <f t="shared" si="1"/>
        <v>8</v>
      </c>
      <c r="K10">
        <v>9</v>
      </c>
      <c r="L10">
        <f t="shared" si="2"/>
        <v>10</v>
      </c>
      <c r="M10">
        <f>2*Tableau12[[#This Row],[Enduro]]</f>
        <v>20</v>
      </c>
    </row>
    <row r="11" spans="1:13" x14ac:dyDescent="0.25">
      <c r="A11" s="52">
        <f t="shared" si="3"/>
        <v>9</v>
      </c>
      <c r="B11" s="1"/>
      <c r="C11" s="1" t="e">
        <f>VLOOKUP(Tableau24[[#This Row],[Pilote]],Tableau2[[Pilote]:[Voiture]],2,0)</f>
        <v>#N/A</v>
      </c>
      <c r="D11" s="41"/>
      <c r="E11" s="40" t="str">
        <f>IF(ISNA(VLOOKUP(Tableau24[[#This Row],[Pos. Sprint]],Tableau12[],2,0)),"",VLOOKUP(Tableau24[[#This Row],[Pos. Sprint]],Tableau12[],2,0))</f>
        <v/>
      </c>
      <c r="F11" s="41"/>
      <c r="G11" s="40" t="str">
        <f>IF(ISNA(VLOOKUP(Tableau24[[#This Row],[Pos. Sprint]],Tableau12[],3,0)),"",VLOOKUP(Tableau24[[#This Row],[Pos. Sprint]],Tableau12[],3,0))</f>
        <v/>
      </c>
      <c r="H11" s="44">
        <f t="shared" si="0"/>
        <v>0</v>
      </c>
      <c r="J11" s="5">
        <f t="shared" si="1"/>
        <v>9</v>
      </c>
      <c r="K11">
        <v>8</v>
      </c>
      <c r="L11">
        <f t="shared" si="2"/>
        <v>9</v>
      </c>
      <c r="M11">
        <f>2*Tableau12[[#This Row],[Enduro]]</f>
        <v>18</v>
      </c>
    </row>
    <row r="12" spans="1:13" x14ac:dyDescent="0.25">
      <c r="A12" s="52">
        <f t="shared" si="3"/>
        <v>10</v>
      </c>
      <c r="B12" s="1"/>
      <c r="C12" s="1" t="e">
        <f>VLOOKUP(Tableau24[[#This Row],[Pilote]],Tableau2[[Pilote]:[Voiture]],2,0)</f>
        <v>#N/A</v>
      </c>
      <c r="D12" s="41"/>
      <c r="E12" s="40" t="str">
        <f>IF(ISNA(VLOOKUP(Tableau24[[#This Row],[Pos. Sprint]],Tableau12[],2,0)),"",VLOOKUP(Tableau24[[#This Row],[Pos. Sprint]],Tableau12[],2,0))</f>
        <v/>
      </c>
      <c r="F12" s="41"/>
      <c r="G12" s="40" t="str">
        <f>IF(ISNA(VLOOKUP(Tableau24[[#This Row],[Pos. Sprint]],Tableau12[],3,0)),"",VLOOKUP(Tableau24[[#This Row],[Pos. Sprint]],Tableau12[],3,0))</f>
        <v/>
      </c>
      <c r="H12" s="44">
        <f t="shared" si="0"/>
        <v>0</v>
      </c>
      <c r="J12" s="5">
        <f t="shared" si="1"/>
        <v>10</v>
      </c>
      <c r="K12">
        <v>7</v>
      </c>
      <c r="L12">
        <f t="shared" si="2"/>
        <v>8</v>
      </c>
      <c r="M12">
        <f>2*Tableau12[[#This Row],[Enduro]]</f>
        <v>16</v>
      </c>
    </row>
    <row r="13" spans="1:13" x14ac:dyDescent="0.25">
      <c r="A13" s="52">
        <f t="shared" si="3"/>
        <v>11</v>
      </c>
      <c r="B13" s="1"/>
      <c r="C13" s="1" t="e">
        <f>VLOOKUP(Tableau24[[#This Row],[Pilote]],Tableau2[[Pilote]:[Voiture]],2,0)</f>
        <v>#N/A</v>
      </c>
      <c r="D13" s="41"/>
      <c r="E13" s="40" t="str">
        <f>IF(ISNA(VLOOKUP(Tableau24[[#This Row],[Pos. Sprint]],Tableau12[],2,0)),"",VLOOKUP(Tableau24[[#This Row],[Pos. Sprint]],Tableau12[],2,0))</f>
        <v/>
      </c>
      <c r="F13" s="41"/>
      <c r="G13" s="40" t="str">
        <f>IF(ISNA(VLOOKUP(Tableau24[[#This Row],[Pos. Sprint]],Tableau12[],3,0)),"",VLOOKUP(Tableau24[[#This Row],[Pos. Sprint]],Tableau12[],3,0))</f>
        <v/>
      </c>
      <c r="H13" s="44">
        <f t="shared" si="0"/>
        <v>0</v>
      </c>
      <c r="J13" s="5">
        <f t="shared" si="1"/>
        <v>11</v>
      </c>
      <c r="K13">
        <v>6</v>
      </c>
      <c r="L13">
        <f t="shared" si="2"/>
        <v>7</v>
      </c>
      <c r="M13">
        <f>2*Tableau12[[#This Row],[Enduro]]</f>
        <v>14</v>
      </c>
    </row>
    <row r="14" spans="1:13" x14ac:dyDescent="0.25">
      <c r="A14" s="52">
        <f t="shared" si="3"/>
        <v>12</v>
      </c>
      <c r="B14" s="1"/>
      <c r="C14" s="1" t="e">
        <f>VLOOKUP(Tableau24[[#This Row],[Pilote]],Tableau2[[Pilote]:[Voiture]],2,0)</f>
        <v>#N/A</v>
      </c>
      <c r="D14" s="41"/>
      <c r="E14" s="40" t="str">
        <f>IF(ISNA(VLOOKUP(Tableau24[[#This Row],[Pos. Sprint]],Tableau12[],2,0)),"",VLOOKUP(Tableau24[[#This Row],[Pos. Sprint]],Tableau12[],2,0))</f>
        <v/>
      </c>
      <c r="F14" s="41"/>
      <c r="G14" s="40" t="str">
        <f>IF(ISNA(VLOOKUP(Tableau24[[#This Row],[Pos. Sprint]],Tableau12[],3,0)),"",VLOOKUP(Tableau24[[#This Row],[Pos. Sprint]],Tableau12[],3,0))</f>
        <v/>
      </c>
      <c r="H14" s="44">
        <f t="shared" si="0"/>
        <v>0</v>
      </c>
      <c r="J14" s="5">
        <f t="shared" si="1"/>
        <v>12</v>
      </c>
      <c r="K14">
        <v>5</v>
      </c>
      <c r="L14">
        <f t="shared" si="2"/>
        <v>6</v>
      </c>
      <c r="M14">
        <f>2*Tableau12[[#This Row],[Enduro]]</f>
        <v>12</v>
      </c>
    </row>
    <row r="15" spans="1:13" x14ac:dyDescent="0.25">
      <c r="A15" s="52">
        <f t="shared" si="3"/>
        <v>13</v>
      </c>
      <c r="B15" s="1"/>
      <c r="C15" s="1" t="e">
        <f>VLOOKUP(Tableau24[[#This Row],[Pilote]],Tableau2[[Pilote]:[Voiture]],2,0)</f>
        <v>#N/A</v>
      </c>
      <c r="D15" s="41"/>
      <c r="E15" s="40" t="str">
        <f>IF(ISNA(VLOOKUP(Tableau24[[#This Row],[Pos. Sprint]],Tableau12[],2,0)),"",VLOOKUP(Tableau24[[#This Row],[Pos. Sprint]],Tableau12[],2,0))</f>
        <v/>
      </c>
      <c r="F15" s="41"/>
      <c r="G15" s="40" t="str">
        <f>IF(ISNA(VLOOKUP(Tableau24[[#This Row],[Pos. Sprint]],Tableau12[],3,0)),"",VLOOKUP(Tableau24[[#This Row],[Pos. Sprint]],Tableau12[],3,0))</f>
        <v/>
      </c>
      <c r="H15" s="44">
        <f t="shared" si="0"/>
        <v>0</v>
      </c>
      <c r="J15" s="5">
        <f t="shared" si="1"/>
        <v>13</v>
      </c>
      <c r="K15">
        <v>4</v>
      </c>
      <c r="L15">
        <f t="shared" si="2"/>
        <v>5</v>
      </c>
      <c r="M15">
        <f>2*Tableau12[[#This Row],[Enduro]]</f>
        <v>10</v>
      </c>
    </row>
    <row r="16" spans="1:13" x14ac:dyDescent="0.25">
      <c r="A16" s="52">
        <f t="shared" si="3"/>
        <v>14</v>
      </c>
      <c r="B16" s="1"/>
      <c r="C16" s="1" t="e">
        <f>VLOOKUP(Tableau24[[#This Row],[Pilote]],Tableau2[[Pilote]:[Voiture]],2,0)</f>
        <v>#N/A</v>
      </c>
      <c r="D16" s="41"/>
      <c r="E16" s="40" t="str">
        <f>IF(ISNA(VLOOKUP(Tableau24[[#This Row],[Pos. Sprint]],Tableau12[],2,0)),"",VLOOKUP(Tableau24[[#This Row],[Pos. Sprint]],Tableau12[],2,0))</f>
        <v/>
      </c>
      <c r="F16" s="41"/>
      <c r="G16" s="40" t="str">
        <f>IF(ISNA(VLOOKUP(Tableau24[[#This Row],[Pos. Sprint]],Tableau12[],3,0)),"",VLOOKUP(Tableau24[[#This Row],[Pos. Sprint]],Tableau12[],3,0))</f>
        <v/>
      </c>
      <c r="H16" s="44">
        <f t="shared" si="0"/>
        <v>0</v>
      </c>
      <c r="J16" s="5">
        <f t="shared" si="1"/>
        <v>14</v>
      </c>
      <c r="K16">
        <v>3</v>
      </c>
      <c r="L16">
        <f t="shared" si="2"/>
        <v>4</v>
      </c>
      <c r="M16">
        <f>2*Tableau12[[#This Row],[Enduro]]</f>
        <v>8</v>
      </c>
    </row>
    <row r="17" spans="1:16" x14ac:dyDescent="0.25">
      <c r="A17" s="52">
        <f t="shared" si="3"/>
        <v>15</v>
      </c>
      <c r="B17" s="1"/>
      <c r="C17" s="1" t="e">
        <f>VLOOKUP(Tableau24[[#This Row],[Pilote]],Tableau2[[Pilote]:[Voiture]],2,0)</f>
        <v>#N/A</v>
      </c>
      <c r="D17" s="41"/>
      <c r="E17" s="40" t="str">
        <f>IF(ISNA(VLOOKUP(Tableau24[[#This Row],[Pos. Sprint]],Tableau12[],2,0)),"",VLOOKUP(Tableau24[[#This Row],[Pos. Sprint]],Tableau12[],2,0))</f>
        <v/>
      </c>
      <c r="F17" s="41"/>
      <c r="G17" s="40" t="str">
        <f>IF(ISNA(VLOOKUP(Tableau24[[#This Row],[Pos. Sprint]],Tableau12[],3,0)),"",VLOOKUP(Tableau24[[#This Row],[Pos. Sprint]],Tableau12[],3,0))</f>
        <v/>
      </c>
      <c r="H17" s="44">
        <f t="shared" si="0"/>
        <v>0</v>
      </c>
      <c r="J17" s="5">
        <f t="shared" si="1"/>
        <v>15</v>
      </c>
      <c r="K17">
        <v>2</v>
      </c>
      <c r="L17">
        <f t="shared" si="2"/>
        <v>3</v>
      </c>
      <c r="M17">
        <f>2*Tableau12[[#This Row],[Enduro]]</f>
        <v>6</v>
      </c>
    </row>
    <row r="18" spans="1:16" x14ac:dyDescent="0.25">
      <c r="A18" s="53">
        <f t="shared" si="3"/>
        <v>16</v>
      </c>
      <c r="B18" s="1"/>
      <c r="C18" s="1" t="e">
        <f>VLOOKUP(Tableau24[[#This Row],[Pilote]],Tableau2[[Pilote]:[Voiture]],2,0)</f>
        <v>#N/A</v>
      </c>
      <c r="D18" s="41"/>
      <c r="E18" s="40" t="str">
        <f>IF(ISNA(VLOOKUP(Tableau24[[#This Row],[Pos. Sprint]],Tableau12[],2,0)),"",VLOOKUP(Tableau24[[#This Row],[Pos. Sprint]],Tableau12[],2,0))</f>
        <v/>
      </c>
      <c r="F18" s="41"/>
      <c r="G18" s="40" t="str">
        <f>IF(ISNA(VLOOKUP(Tableau24[[#This Row],[Pos. Sprint]],Tableau12[],3,0)),"",VLOOKUP(Tableau24[[#This Row],[Pos. Sprint]],Tableau12[],3,0))</f>
        <v/>
      </c>
      <c r="H18" s="44">
        <f t="shared" si="0"/>
        <v>0</v>
      </c>
      <c r="J18" s="5">
        <f t="shared" si="1"/>
        <v>16</v>
      </c>
      <c r="K18">
        <v>1</v>
      </c>
      <c r="L18">
        <f t="shared" si="2"/>
        <v>2</v>
      </c>
      <c r="M18">
        <f>2*Tableau12[[#This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15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SUM(Tableau24[Pts.])/O21</f>
        <v>0</v>
      </c>
      <c r="P23" s="271"/>
    </row>
    <row r="24" spans="1:16" ht="15.75" thickTop="1" x14ac:dyDescent="0.25"/>
  </sheetData>
  <mergeCells count="7">
    <mergeCell ref="F1:G1"/>
    <mergeCell ref="D1:E1"/>
    <mergeCell ref="O21:P21"/>
    <mergeCell ref="O22:P22"/>
    <mergeCell ref="O23:P23"/>
    <mergeCell ref="J1:M1"/>
    <mergeCell ref="O20:P20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F37" sqref="F37"/>
    </sheetView>
  </sheetViews>
  <sheetFormatPr baseColWidth="10" defaultRowHeight="15" x14ac:dyDescent="0.25"/>
  <cols>
    <col min="1" max="1" width="6.140625" customWidth="1"/>
    <col min="2" max="2" width="11.7109375" customWidth="1"/>
    <col min="3" max="3" width="10.85546875" customWidth="1"/>
    <col min="4" max="4" width="6.85546875" customWidth="1"/>
    <col min="5" max="7" width="6.28515625" customWidth="1"/>
    <col min="8" max="8" width="6.7109375" customWidth="1"/>
    <col min="9" max="9" width="10.140625" customWidth="1"/>
    <col min="10" max="10" width="6.42578125" customWidth="1"/>
    <col min="11" max="11" width="8.7109375" customWidth="1"/>
    <col min="12" max="12" width="9.7109375" customWidth="1"/>
    <col min="13" max="13" width="10" customWidth="1"/>
    <col min="14" max="14" width="0.85546875" customWidth="1"/>
    <col min="15" max="15" width="6.42578125" customWidth="1"/>
    <col min="16" max="16" width="8.28515625" customWidth="1"/>
    <col min="17" max="17" width="9.28515625" customWidth="1"/>
    <col min="18" max="18" width="10.28515625" customWidth="1"/>
    <col min="19" max="19" width="1" customWidth="1"/>
    <col min="20" max="20" width="6.5703125" customWidth="1"/>
    <col min="21" max="21" width="8.140625" customWidth="1"/>
    <col min="22" max="22" width="10.140625" customWidth="1"/>
    <col min="23" max="23" width="10" customWidth="1"/>
  </cols>
  <sheetData>
    <row r="1" spans="1:24" x14ac:dyDescent="0.25">
      <c r="A1" s="29"/>
      <c r="B1" s="29"/>
      <c r="C1" s="29"/>
      <c r="D1" s="259" t="s">
        <v>0</v>
      </c>
      <c r="E1" s="260"/>
      <c r="F1" s="259" t="s">
        <v>1</v>
      </c>
      <c r="G1" s="260"/>
      <c r="H1" s="37" t="s">
        <v>2</v>
      </c>
      <c r="I1" s="14"/>
      <c r="J1" s="261" t="s">
        <v>41</v>
      </c>
      <c r="K1" s="261"/>
      <c r="L1" s="261"/>
      <c r="M1" s="262"/>
      <c r="N1" s="18"/>
      <c r="O1" s="265" t="s">
        <v>35</v>
      </c>
      <c r="P1" s="265"/>
      <c r="Q1" s="265"/>
      <c r="R1" s="265"/>
      <c r="S1" s="13"/>
      <c r="X1" s="13"/>
    </row>
    <row r="2" spans="1:24" x14ac:dyDescent="0.25">
      <c r="A2" s="54" t="s">
        <v>3</v>
      </c>
      <c r="B2" t="s">
        <v>5</v>
      </c>
      <c r="C2" t="s">
        <v>6</v>
      </c>
      <c r="D2" s="31" t="s">
        <v>37</v>
      </c>
      <c r="E2" s="32" t="s">
        <v>38</v>
      </c>
      <c r="F2" s="31" t="s">
        <v>39</v>
      </c>
      <c r="G2" s="32" t="s">
        <v>40</v>
      </c>
      <c r="H2" s="38" t="s">
        <v>4</v>
      </c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  <c r="X2" s="8"/>
    </row>
    <row r="3" spans="1:24" x14ac:dyDescent="0.25">
      <c r="A3" s="55">
        <v>1</v>
      </c>
      <c r="B3" s="1"/>
      <c r="C3" s="1" t="e">
        <f>VLOOKUP(Tableau23[[#This Row],[Pilote]],Tableau2[[Pilote]:[Voiture]],2,0)</f>
        <v>#N/A</v>
      </c>
      <c r="D3" s="33"/>
      <c r="E3" s="34" t="str">
        <f>IF(ISNA(VLOOKUP(Tableau23[[#This Row],[Pos.          Sprint]],Tableau12221[],2,0)),"",VLOOKUP(Tableau23[[#This Row],[Pos.          Sprint]],Tableau12221[],2,0))</f>
        <v/>
      </c>
      <c r="F3" s="33"/>
      <c r="G3" s="32" t="str">
        <f>IF(ISNA(VLOOKUP(Tableau23[[#This Row],[Pos.        Enduro]],Tableau12221[],3,0)),"",VLOOKUP(Tableau23[[#This Row],[Pos.        Enduro]],Tableau12221[],3,0))</f>
        <v/>
      </c>
      <c r="H3" s="42">
        <f t="shared" ref="H3:H34" si="0">IF(ISERROR(E3+G3),0,E3+G3)</f>
        <v>0</v>
      </c>
      <c r="J3" s="21" t="s">
        <v>141</v>
      </c>
      <c r="K3" s="17">
        <f t="shared" ref="K3:K18" si="1">IF((P3+K$19-(VLOOKUP((ROUNDUP($Q$21,0)),$O$3:$R$18,2)-1))&gt;K$19,P3+K$19-(VLOOKUP((ROUNDUP($Q$21,0)),$O$3:$R$18,2)-1),)</f>
        <v>26</v>
      </c>
      <c r="L3" s="17">
        <f t="shared" ref="L3:L18" si="2">IF((Q3+L$19-(VLOOKUP((ROUNDUP($Q$21,0)),$O$3:$R$18,3)-1))&gt;L$19,Q3+L$19-(VLOOKUP((ROUNDUP($Q$21,0)),$O$3:$R$18,3)-1),)</f>
        <v>33</v>
      </c>
      <c r="M3" s="17">
        <f t="shared" ref="M3:M18" si="3">IF((R3+M$19-(VLOOKUP((ROUNDUP($Q$21,0)),$O$3:$R$18,4)-1))&gt;M$19,R3+M$19-(VLOOKUP((ROUNDUP($Q$21,0)),$O$3:$R$18,4)-1),)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2*Tableau1220[[#This Row],[Enduro]]</f>
        <v>48</v>
      </c>
      <c r="X3" s="8"/>
    </row>
    <row r="4" spans="1:24" x14ac:dyDescent="0.25">
      <c r="A4" s="56">
        <f>A3+1</f>
        <v>2</v>
      </c>
      <c r="B4" s="1"/>
      <c r="C4" s="1" t="e">
        <f>VLOOKUP(Tableau23[[#This Row],[Pilote]],Tableau2[[Pilote]:[Voiture]],2,0)</f>
        <v>#N/A</v>
      </c>
      <c r="D4" s="33"/>
      <c r="E4" s="34" t="str">
        <f>IF(ISNA(VLOOKUP(Tableau23[[#This Row],[Pos.          Sprint]],Tableau12221[],2,0)),"",VLOOKUP(Tableau23[[#This Row],[Pos.          Sprint]],Tableau12221[],2,0))</f>
        <v/>
      </c>
      <c r="F4" s="33"/>
      <c r="G4" s="32" t="str">
        <f>IF(ISNA(VLOOKUP(Tableau23[[#This Row],[Pos.        Enduro]],Tableau12221[],3,0)),"",VLOOKUP(Tableau23[[#This Row],[Pos.        Enduro]],Tableau12221[],3,0))</f>
        <v/>
      </c>
      <c r="H4" s="42">
        <f t="shared" si="0"/>
        <v>0</v>
      </c>
      <c r="J4" s="22" t="s">
        <v>142</v>
      </c>
      <c r="K4" s="17">
        <f t="shared" si="1"/>
        <v>23</v>
      </c>
      <c r="L4" s="17">
        <f t="shared" si="2"/>
        <v>29</v>
      </c>
      <c r="M4" s="17">
        <f t="shared" si="3"/>
        <v>57</v>
      </c>
      <c r="N4" s="19"/>
      <c r="O4" s="10">
        <f t="shared" ref="O4:O18" si="4">O3+1</f>
        <v>2</v>
      </c>
      <c r="P4">
        <v>17</v>
      </c>
      <c r="Q4">
        <f t="shared" ref="Q4:Q18" si="5">P3</f>
        <v>20</v>
      </c>
      <c r="R4">
        <f>2*Tableau1220[[#This Row],[Enduro]]</f>
        <v>40</v>
      </c>
      <c r="X4" s="8"/>
    </row>
    <row r="5" spans="1:24" x14ac:dyDescent="0.25">
      <c r="A5" s="57">
        <f>A4+1</f>
        <v>3</v>
      </c>
      <c r="B5" s="1"/>
      <c r="C5" s="1" t="e">
        <f>VLOOKUP(Tableau23[[#This Row],[Pilote]],Tableau2[[Pilote]:[Voiture]],2,0)</f>
        <v>#N/A</v>
      </c>
      <c r="D5" s="33"/>
      <c r="E5" s="34" t="str">
        <f>IF(ISNA(VLOOKUP(Tableau23[[#This Row],[Pos.          Sprint]],Tableau12221[],2,0)),"",VLOOKUP(Tableau23[[#This Row],[Pos.          Sprint]],Tableau12221[],2,0))</f>
        <v/>
      </c>
      <c r="F5" s="33"/>
      <c r="G5" s="32" t="str">
        <f>IF(ISNA(VLOOKUP(Tableau23[[#This Row],[Pos.        Enduro]],Tableau12221[],3,0)),"",VLOOKUP(Tableau23[[#This Row],[Pos.        Enduro]],Tableau12221[],3,0))</f>
        <v/>
      </c>
      <c r="H5" s="42">
        <f t="shared" si="0"/>
        <v>0</v>
      </c>
      <c r="J5" s="23" t="s">
        <v>143</v>
      </c>
      <c r="K5" s="17">
        <f t="shared" si="1"/>
        <v>21</v>
      </c>
      <c r="L5" s="17">
        <f t="shared" si="2"/>
        <v>26</v>
      </c>
      <c r="M5" s="17">
        <f t="shared" si="3"/>
        <v>51</v>
      </c>
      <c r="N5" s="19"/>
      <c r="O5" s="11">
        <f t="shared" si="4"/>
        <v>3</v>
      </c>
      <c r="P5">
        <v>15</v>
      </c>
      <c r="Q5">
        <f t="shared" si="5"/>
        <v>17</v>
      </c>
      <c r="R5">
        <f>2*Tableau1220[[#This Row],[Enduro]]</f>
        <v>34</v>
      </c>
      <c r="X5" s="8"/>
    </row>
    <row r="6" spans="1:24" x14ac:dyDescent="0.25">
      <c r="A6" s="58">
        <f t="shared" ref="A6:A34" si="6">A5+1</f>
        <v>4</v>
      </c>
      <c r="B6" s="1"/>
      <c r="C6" s="1" t="e">
        <f>VLOOKUP(Tableau23[[#This Row],[Pilote]],Tableau2[[Pilote]:[Voiture]],2,0)</f>
        <v>#N/A</v>
      </c>
      <c r="D6" s="33"/>
      <c r="E6" s="34" t="str">
        <f>IF(ISNA(VLOOKUP(Tableau23[[#This Row],[Pos.          Sprint]],Tableau12221[],2,0)),"",VLOOKUP(Tableau23[[#This Row],[Pos.          Sprint]],Tableau12221[],2,0))</f>
        <v/>
      </c>
      <c r="F6" s="33"/>
      <c r="G6" s="32" t="str">
        <f>IF(ISNA(VLOOKUP(Tableau23[[#This Row],[Pos.        Enduro]],Tableau12221[],3,0)),"",VLOOKUP(Tableau23[[#This Row],[Pos.        Enduro]],Tableau12221[],3,0))</f>
        <v/>
      </c>
      <c r="H6" s="42">
        <f t="shared" si="0"/>
        <v>0</v>
      </c>
      <c r="J6" s="24" t="s">
        <v>144</v>
      </c>
      <c r="K6" s="17">
        <f t="shared" si="1"/>
        <v>19</v>
      </c>
      <c r="L6" s="17">
        <f t="shared" si="2"/>
        <v>24</v>
      </c>
      <c r="M6" s="17">
        <f t="shared" si="3"/>
        <v>47</v>
      </c>
      <c r="N6" s="19"/>
      <c r="O6" s="12">
        <f t="shared" si="4"/>
        <v>4</v>
      </c>
      <c r="P6">
        <v>13</v>
      </c>
      <c r="Q6">
        <f t="shared" si="5"/>
        <v>15</v>
      </c>
      <c r="R6">
        <f>2*Tableau1220[[#This Row],[Enduro]]</f>
        <v>30</v>
      </c>
      <c r="X6" s="8"/>
    </row>
    <row r="7" spans="1:24" x14ac:dyDescent="0.25">
      <c r="A7" s="58">
        <f t="shared" si="6"/>
        <v>5</v>
      </c>
      <c r="B7" s="1"/>
      <c r="C7" s="1" t="e">
        <f>VLOOKUP(Tableau23[[#This Row],[Pilote]],Tableau2[[Pilote]:[Voiture]],2,0)</f>
        <v>#N/A</v>
      </c>
      <c r="D7" s="33"/>
      <c r="E7" s="34" t="str">
        <f>IF(ISNA(VLOOKUP(Tableau23[[#This Row],[Pos.          Sprint]],Tableau12221[],2,0)),"",VLOOKUP(Tableau23[[#This Row],[Pos.          Sprint]],Tableau12221[],2,0))</f>
        <v/>
      </c>
      <c r="F7" s="33"/>
      <c r="G7" s="32" t="str">
        <f>IF(ISNA(VLOOKUP(Tableau23[[#This Row],[Pos.        Enduro]],Tableau12221[],3,0)),"",VLOOKUP(Tableau23[[#This Row],[Pos.        Enduro]],Tableau12221[],3,0))</f>
        <v/>
      </c>
      <c r="H7" s="42">
        <f t="shared" si="0"/>
        <v>0</v>
      </c>
      <c r="J7" s="24" t="s">
        <v>145</v>
      </c>
      <c r="K7" s="17">
        <f t="shared" si="1"/>
        <v>18</v>
      </c>
      <c r="L7" s="17">
        <f t="shared" si="2"/>
        <v>22</v>
      </c>
      <c r="M7" s="17">
        <f t="shared" si="3"/>
        <v>43</v>
      </c>
      <c r="N7" s="19"/>
      <c r="O7" s="12">
        <f t="shared" si="4"/>
        <v>5</v>
      </c>
      <c r="P7">
        <v>12</v>
      </c>
      <c r="Q7">
        <f t="shared" si="5"/>
        <v>13</v>
      </c>
      <c r="R7">
        <f>2*Tableau1220[[#This Row],[Enduro]]</f>
        <v>26</v>
      </c>
      <c r="X7" s="8"/>
    </row>
    <row r="8" spans="1:24" x14ac:dyDescent="0.25">
      <c r="A8" s="58">
        <f t="shared" si="6"/>
        <v>6</v>
      </c>
      <c r="B8" s="1"/>
      <c r="C8" s="1" t="e">
        <f>VLOOKUP(Tableau23[[#This Row],[Pilote]],Tableau2[[Pilote]:[Voiture]],2,0)</f>
        <v>#N/A</v>
      </c>
      <c r="D8" s="33"/>
      <c r="E8" s="34" t="str">
        <f>IF(ISNA(VLOOKUP(Tableau23[[#This Row],[Pos.          Sprint]],Tableau12221[],2,0)),"",VLOOKUP(Tableau23[[#This Row],[Pos.          Sprint]],Tableau12221[],2,0))</f>
        <v/>
      </c>
      <c r="F8" s="33"/>
      <c r="G8" s="32" t="str">
        <f>IF(ISNA(VLOOKUP(Tableau23[[#This Row],[Pos.        Enduro]],Tableau12221[],3,0)),"",VLOOKUP(Tableau23[[#This Row],[Pos.        Enduro]],Tableau12221[],3,0))</f>
        <v/>
      </c>
      <c r="H8" s="42">
        <f t="shared" si="0"/>
        <v>0</v>
      </c>
      <c r="J8" s="24" t="s">
        <v>146</v>
      </c>
      <c r="K8" s="17">
        <f t="shared" si="1"/>
        <v>17</v>
      </c>
      <c r="L8" s="17">
        <f t="shared" si="2"/>
        <v>21</v>
      </c>
      <c r="M8" s="17">
        <f t="shared" si="3"/>
        <v>41</v>
      </c>
      <c r="N8" s="19"/>
      <c r="O8" s="12">
        <f t="shared" si="4"/>
        <v>6</v>
      </c>
      <c r="P8">
        <v>11</v>
      </c>
      <c r="Q8">
        <f t="shared" si="5"/>
        <v>12</v>
      </c>
      <c r="R8">
        <f>2*Tableau1220[[#This Row],[Enduro]]</f>
        <v>24</v>
      </c>
      <c r="X8" s="8"/>
    </row>
    <row r="9" spans="1:24" x14ac:dyDescent="0.25">
      <c r="A9" s="58">
        <f t="shared" si="6"/>
        <v>7</v>
      </c>
      <c r="B9" s="1"/>
      <c r="C9" s="1" t="e">
        <f>VLOOKUP(Tableau23[[#This Row],[Pilote]],Tableau2[[Pilote]:[Voiture]],2,0)</f>
        <v>#N/A</v>
      </c>
      <c r="D9" s="33"/>
      <c r="E9" s="34" t="str">
        <f>IF(ISNA(VLOOKUP(Tableau23[[#This Row],[Pos.          Sprint]],Tableau12221[],2,0)),"",VLOOKUP(Tableau23[[#This Row],[Pos.          Sprint]],Tableau12221[],2,0))</f>
        <v/>
      </c>
      <c r="F9" s="33"/>
      <c r="G9" s="32" t="str">
        <f>IF(ISNA(VLOOKUP(Tableau23[[#This Row],[Pos.        Enduro]],Tableau12221[],3,0)),"",VLOOKUP(Tableau23[[#This Row],[Pos.        Enduro]],Tableau12221[],3,0))</f>
        <v/>
      </c>
      <c r="H9" s="42">
        <f t="shared" si="0"/>
        <v>0</v>
      </c>
      <c r="J9" s="24" t="s">
        <v>147</v>
      </c>
      <c r="K9" s="17">
        <f t="shared" si="1"/>
        <v>16</v>
      </c>
      <c r="L9" s="17">
        <f t="shared" si="2"/>
        <v>20</v>
      </c>
      <c r="M9" s="17">
        <f t="shared" si="3"/>
        <v>39</v>
      </c>
      <c r="N9" s="19"/>
      <c r="O9" s="12">
        <f t="shared" si="4"/>
        <v>7</v>
      </c>
      <c r="P9">
        <v>10</v>
      </c>
      <c r="Q9">
        <f t="shared" si="5"/>
        <v>11</v>
      </c>
      <c r="R9">
        <f>2*Tableau1220[[#This Row],[Enduro]]</f>
        <v>22</v>
      </c>
      <c r="X9" s="8"/>
    </row>
    <row r="10" spans="1:24" x14ac:dyDescent="0.25">
      <c r="A10" s="58">
        <f t="shared" si="6"/>
        <v>8</v>
      </c>
      <c r="B10" s="1"/>
      <c r="C10" s="1" t="e">
        <f>VLOOKUP(Tableau23[[#This Row],[Pilote]],Tableau2[[Pilote]:[Voiture]],2,0)</f>
        <v>#N/A</v>
      </c>
      <c r="D10" s="33"/>
      <c r="E10" s="34" t="str">
        <f>IF(ISNA(VLOOKUP(Tableau23[[#This Row],[Pos.          Sprint]],Tableau12221[],2,0)),"",VLOOKUP(Tableau23[[#This Row],[Pos.          Sprint]],Tableau12221[],2,0))</f>
        <v/>
      </c>
      <c r="F10" s="33"/>
      <c r="G10" s="32" t="str">
        <f>IF(ISNA(VLOOKUP(Tableau23[[#This Row],[Pos.        Enduro]],Tableau12221[],3,0)),"",VLOOKUP(Tableau23[[#This Row],[Pos.        Enduro]],Tableau12221[],3,0))</f>
        <v/>
      </c>
      <c r="H10" s="42">
        <f t="shared" si="0"/>
        <v>0</v>
      </c>
      <c r="J10" s="24" t="s">
        <v>148</v>
      </c>
      <c r="K10" s="17">
        <f t="shared" si="1"/>
        <v>15</v>
      </c>
      <c r="L10" s="17">
        <f t="shared" si="2"/>
        <v>19</v>
      </c>
      <c r="M10" s="17">
        <f t="shared" si="3"/>
        <v>37</v>
      </c>
      <c r="N10" s="19"/>
      <c r="O10" s="12">
        <f t="shared" si="4"/>
        <v>8</v>
      </c>
      <c r="P10">
        <v>9</v>
      </c>
      <c r="Q10">
        <f t="shared" si="5"/>
        <v>10</v>
      </c>
      <c r="R10">
        <f>2*Tableau1220[[#This Row],[Enduro]]</f>
        <v>20</v>
      </c>
      <c r="X10" s="8"/>
    </row>
    <row r="11" spans="1:24" x14ac:dyDescent="0.25">
      <c r="A11" s="58">
        <f t="shared" si="6"/>
        <v>9</v>
      </c>
      <c r="B11" s="1"/>
      <c r="C11" s="1" t="e">
        <f>VLOOKUP(Tableau23[[#This Row],[Pilote]],Tableau2[[Pilote]:[Voiture]],2,0)</f>
        <v>#N/A</v>
      </c>
      <c r="D11" s="33"/>
      <c r="E11" s="34" t="str">
        <f>IF(ISNA(VLOOKUP(Tableau23[[#This Row],[Pos.          Sprint]],Tableau12221[],2,0)),"",VLOOKUP(Tableau23[[#This Row],[Pos.          Sprint]],Tableau12221[],2,0))</f>
        <v/>
      </c>
      <c r="F11" s="33"/>
      <c r="G11" s="32" t="str">
        <f>IF(ISNA(VLOOKUP(Tableau23[[#This Row],[Pos.        Enduro]],Tableau12221[],3,0)),"",VLOOKUP(Tableau23[[#This Row],[Pos.        Enduro]],Tableau12221[],3,0))</f>
        <v/>
      </c>
      <c r="H11" s="42">
        <f t="shared" si="0"/>
        <v>0</v>
      </c>
      <c r="J11" s="24" t="s">
        <v>149</v>
      </c>
      <c r="K11" s="17">
        <f t="shared" si="1"/>
        <v>14</v>
      </c>
      <c r="L11" s="17">
        <f t="shared" si="2"/>
        <v>18</v>
      </c>
      <c r="M11" s="17">
        <f t="shared" si="3"/>
        <v>35</v>
      </c>
      <c r="N11" s="19"/>
      <c r="O11" s="12">
        <f t="shared" si="4"/>
        <v>9</v>
      </c>
      <c r="P11">
        <v>8</v>
      </c>
      <c r="Q11">
        <f t="shared" si="5"/>
        <v>9</v>
      </c>
      <c r="R11">
        <f>2*Tableau1220[[#This Row],[Enduro]]</f>
        <v>18</v>
      </c>
      <c r="X11" s="8"/>
    </row>
    <row r="12" spans="1:24" x14ac:dyDescent="0.25">
      <c r="A12" s="58">
        <f t="shared" si="6"/>
        <v>10</v>
      </c>
      <c r="B12" s="1"/>
      <c r="C12" s="1" t="e">
        <f>VLOOKUP(Tableau23[[#This Row],[Pilote]],Tableau2[[Pilote]:[Voiture]],2,0)</f>
        <v>#N/A</v>
      </c>
      <c r="D12" s="33"/>
      <c r="E12" s="34" t="str">
        <f>IF(ISNA(VLOOKUP(Tableau23[[#This Row],[Pos.          Sprint]],Tableau12221[],2,0)),"",VLOOKUP(Tableau23[[#This Row],[Pos.          Sprint]],Tableau12221[],2,0))</f>
        <v/>
      </c>
      <c r="F12" s="33"/>
      <c r="G12" s="32" t="str">
        <f>IF(ISNA(VLOOKUP(Tableau23[[#This Row],[Pos.        Enduro]],Tableau12221[],3,0)),"",VLOOKUP(Tableau23[[#This Row],[Pos.        Enduro]],Tableau12221[],3,0))</f>
        <v/>
      </c>
      <c r="H12" s="42">
        <f t="shared" si="0"/>
        <v>0</v>
      </c>
      <c r="J12" s="24" t="s">
        <v>150</v>
      </c>
      <c r="K12" s="17">
        <f t="shared" si="1"/>
        <v>0</v>
      </c>
      <c r="L12" s="17">
        <f t="shared" si="2"/>
        <v>0</v>
      </c>
      <c r="M12" s="17">
        <f t="shared" si="3"/>
        <v>0</v>
      </c>
      <c r="N12" s="19"/>
      <c r="O12" s="12">
        <f t="shared" si="4"/>
        <v>10</v>
      </c>
      <c r="P12">
        <v>7</v>
      </c>
      <c r="Q12">
        <f t="shared" si="5"/>
        <v>8</v>
      </c>
      <c r="R12">
        <f>2*Tableau1220[[#This Row],[Enduro]]</f>
        <v>16</v>
      </c>
      <c r="X12" s="8"/>
    </row>
    <row r="13" spans="1:24" x14ac:dyDescent="0.25">
      <c r="A13" s="58">
        <f t="shared" si="6"/>
        <v>11</v>
      </c>
      <c r="B13" s="1"/>
      <c r="C13" s="1" t="e">
        <f>VLOOKUP(Tableau23[[#This Row],[Pilote]],Tableau2[[Pilote]:[Voiture]],2,0)</f>
        <v>#N/A</v>
      </c>
      <c r="D13" s="33"/>
      <c r="E13" s="34" t="str">
        <f>IF(ISNA(VLOOKUP(Tableau23[[#This Row],[Pos.          Sprint]],Tableau12221[],2,0)),"",VLOOKUP(Tableau23[[#This Row],[Pos.          Sprint]],Tableau12221[],2,0))</f>
        <v/>
      </c>
      <c r="F13" s="33"/>
      <c r="G13" s="32" t="str">
        <f>IF(ISNA(VLOOKUP(Tableau23[[#This Row],[Pos.        Enduro]],Tableau12221[],3,0)),"",VLOOKUP(Tableau23[[#This Row],[Pos.        Enduro]],Tableau12221[],3,0))</f>
        <v/>
      </c>
      <c r="H13" s="42">
        <f t="shared" si="0"/>
        <v>0</v>
      </c>
      <c r="J13" s="24" t="s">
        <v>151</v>
      </c>
      <c r="K13" s="17">
        <f t="shared" si="1"/>
        <v>0</v>
      </c>
      <c r="L13" s="17">
        <f t="shared" si="2"/>
        <v>0</v>
      </c>
      <c r="M13" s="17">
        <f t="shared" si="3"/>
        <v>0</v>
      </c>
      <c r="N13" s="19"/>
      <c r="O13" s="12">
        <f t="shared" si="4"/>
        <v>11</v>
      </c>
      <c r="P13">
        <v>6</v>
      </c>
      <c r="Q13">
        <f t="shared" si="5"/>
        <v>7</v>
      </c>
      <c r="R13">
        <f>2*Tableau1220[[#This Row],[Enduro]]</f>
        <v>14</v>
      </c>
      <c r="X13" s="8"/>
    </row>
    <row r="14" spans="1:24" x14ac:dyDescent="0.25">
      <c r="A14" s="58">
        <f t="shared" si="6"/>
        <v>12</v>
      </c>
      <c r="B14" s="1"/>
      <c r="C14" s="1" t="e">
        <f>VLOOKUP(Tableau23[[#This Row],[Pilote]],Tableau2[[Pilote]:[Voiture]],2,0)</f>
        <v>#N/A</v>
      </c>
      <c r="D14" s="33"/>
      <c r="E14" s="34" t="str">
        <f>IF(ISNA(VLOOKUP(Tableau23[[#This Row],[Pos.          Sprint]],Tableau12221[],2,0)),"",VLOOKUP(Tableau23[[#This Row],[Pos.          Sprint]],Tableau12221[],2,0))</f>
        <v/>
      </c>
      <c r="F14" s="33"/>
      <c r="G14" s="32" t="str">
        <f>IF(ISNA(VLOOKUP(Tableau23[[#This Row],[Pos.        Enduro]],Tableau12221[],3,0)),"",VLOOKUP(Tableau23[[#This Row],[Pos.        Enduro]],Tableau12221[],3,0))</f>
        <v/>
      </c>
      <c r="H14" s="42">
        <f t="shared" si="0"/>
        <v>0</v>
      </c>
      <c r="J14" s="24" t="s">
        <v>152</v>
      </c>
      <c r="K14" s="17">
        <f t="shared" si="1"/>
        <v>0</v>
      </c>
      <c r="L14" s="17">
        <f t="shared" si="2"/>
        <v>0</v>
      </c>
      <c r="M14" s="17">
        <f t="shared" si="3"/>
        <v>0</v>
      </c>
      <c r="N14" s="19"/>
      <c r="O14" s="12">
        <f t="shared" si="4"/>
        <v>12</v>
      </c>
      <c r="P14">
        <v>5</v>
      </c>
      <c r="Q14">
        <f t="shared" si="5"/>
        <v>6</v>
      </c>
      <c r="R14">
        <f>2*Tableau1220[[#This Row],[Enduro]]</f>
        <v>12</v>
      </c>
      <c r="X14" s="8"/>
    </row>
    <row r="15" spans="1:24" x14ac:dyDescent="0.25">
      <c r="A15" s="58">
        <f t="shared" si="6"/>
        <v>13</v>
      </c>
      <c r="B15" s="1"/>
      <c r="C15" s="1" t="e">
        <f>VLOOKUP(Tableau23[[#This Row],[Pilote]],Tableau2[[Pilote]:[Voiture]],2,0)</f>
        <v>#N/A</v>
      </c>
      <c r="D15" s="33"/>
      <c r="E15" s="34" t="str">
        <f>IF(ISNA(VLOOKUP(Tableau23[[#This Row],[Pos.          Sprint]],Tableau12221[],2,0)),"",VLOOKUP(Tableau23[[#This Row],[Pos.          Sprint]],Tableau12221[],2,0))</f>
        <v/>
      </c>
      <c r="F15" s="33"/>
      <c r="G15" s="32" t="str">
        <f>IF(ISNA(VLOOKUP(Tableau23[[#This Row],[Pos.        Enduro]],Tableau12221[],3,0)),"",VLOOKUP(Tableau23[[#This Row],[Pos.        Enduro]],Tableau12221[],3,0))</f>
        <v/>
      </c>
      <c r="H15" s="42">
        <f t="shared" si="0"/>
        <v>0</v>
      </c>
      <c r="J15" s="24" t="s">
        <v>153</v>
      </c>
      <c r="K15" s="17">
        <f t="shared" si="1"/>
        <v>0</v>
      </c>
      <c r="L15" s="17">
        <f t="shared" si="2"/>
        <v>0</v>
      </c>
      <c r="M15" s="17">
        <f t="shared" si="3"/>
        <v>0</v>
      </c>
      <c r="N15" s="19"/>
      <c r="O15" s="12">
        <f t="shared" si="4"/>
        <v>13</v>
      </c>
      <c r="P15">
        <v>4</v>
      </c>
      <c r="Q15">
        <f t="shared" si="5"/>
        <v>5</v>
      </c>
      <c r="R15">
        <f>2*Tableau1220[[#This Row],[Enduro]]</f>
        <v>10</v>
      </c>
      <c r="X15" s="8"/>
    </row>
    <row r="16" spans="1:24" x14ac:dyDescent="0.25">
      <c r="A16" s="58">
        <f t="shared" si="6"/>
        <v>14</v>
      </c>
      <c r="B16" s="1"/>
      <c r="C16" s="1" t="e">
        <f>VLOOKUP(Tableau23[[#This Row],[Pilote]],Tableau2[[Pilote]:[Voiture]],2,0)</f>
        <v>#N/A</v>
      </c>
      <c r="D16" s="33"/>
      <c r="E16" s="34" t="str">
        <f>IF(ISNA(VLOOKUP(Tableau23[[#This Row],[Pos.          Sprint]],Tableau12221[],2,0)),"",VLOOKUP(Tableau23[[#This Row],[Pos.          Sprint]],Tableau12221[],2,0))</f>
        <v/>
      </c>
      <c r="F16" s="33"/>
      <c r="G16" s="32" t="str">
        <f>IF(ISNA(VLOOKUP(Tableau23[[#This Row],[Pos.        Enduro]],Tableau12221[],3,0)),"",VLOOKUP(Tableau23[[#This Row],[Pos.        Enduro]],Tableau12221[],3,0))</f>
        <v/>
      </c>
      <c r="H16" s="42">
        <f t="shared" si="0"/>
        <v>0</v>
      </c>
      <c r="J16" s="24" t="s">
        <v>154</v>
      </c>
      <c r="K16" s="17">
        <f t="shared" si="1"/>
        <v>0</v>
      </c>
      <c r="L16" s="17">
        <f t="shared" si="2"/>
        <v>0</v>
      </c>
      <c r="M16" s="17">
        <f t="shared" si="3"/>
        <v>0</v>
      </c>
      <c r="N16" s="19"/>
      <c r="O16" s="12">
        <f t="shared" si="4"/>
        <v>14</v>
      </c>
      <c r="P16">
        <v>3</v>
      </c>
      <c r="Q16">
        <f t="shared" si="5"/>
        <v>4</v>
      </c>
      <c r="R16">
        <f>2*Tableau1220[[#This Row],[Enduro]]</f>
        <v>8</v>
      </c>
      <c r="X16" s="8"/>
    </row>
    <row r="17" spans="1:24" x14ac:dyDescent="0.25">
      <c r="A17" s="58">
        <f t="shared" si="6"/>
        <v>15</v>
      </c>
      <c r="B17" s="1"/>
      <c r="C17" s="1" t="e">
        <f>VLOOKUP(Tableau23[[#This Row],[Pilote]],Tableau2[[Pilote]:[Voiture]],2,0)</f>
        <v>#N/A</v>
      </c>
      <c r="D17" s="33"/>
      <c r="E17" s="34" t="str">
        <f>IF(ISNA(VLOOKUP(Tableau23[[#This Row],[Pos.          Sprint]],Tableau12221[],2,0)),"",VLOOKUP(Tableau23[[#This Row],[Pos.          Sprint]],Tableau12221[],2,0))</f>
        <v/>
      </c>
      <c r="F17" s="33"/>
      <c r="G17" s="32" t="str">
        <f>IF(ISNA(VLOOKUP(Tableau23[[#This Row],[Pos.        Enduro]],Tableau12221[],3,0)),"",VLOOKUP(Tableau23[[#This Row],[Pos.        Enduro]],Tableau12221[],3,0))</f>
        <v/>
      </c>
      <c r="H17" s="42">
        <f t="shared" si="0"/>
        <v>0</v>
      </c>
      <c r="J17" s="24" t="s">
        <v>155</v>
      </c>
      <c r="K17" s="17">
        <f t="shared" si="1"/>
        <v>0</v>
      </c>
      <c r="L17" s="17">
        <f t="shared" si="2"/>
        <v>0</v>
      </c>
      <c r="M17" s="17">
        <f t="shared" si="3"/>
        <v>0</v>
      </c>
      <c r="N17" s="19"/>
      <c r="O17" s="12">
        <f t="shared" si="4"/>
        <v>15</v>
      </c>
      <c r="P17">
        <v>2</v>
      </c>
      <c r="Q17">
        <f t="shared" si="5"/>
        <v>3</v>
      </c>
      <c r="R17">
        <f>2*Tableau1220[[#This Row],[Enduro]]</f>
        <v>6</v>
      </c>
      <c r="X17" s="8"/>
    </row>
    <row r="18" spans="1:24" x14ac:dyDescent="0.25">
      <c r="A18" s="58">
        <f t="shared" si="6"/>
        <v>16</v>
      </c>
      <c r="B18" s="1"/>
      <c r="C18" s="1" t="e">
        <f>VLOOKUP(Tableau23[[#This Row],[Pilote]],Tableau2[[Pilote]:[Voiture]],2,0)</f>
        <v>#N/A</v>
      </c>
      <c r="D18" s="33"/>
      <c r="E18" s="34" t="str">
        <f>IF(ISNA(VLOOKUP(Tableau23[[#This Row],[Pos.          Sprint]],Tableau12221[],2,0)),"",VLOOKUP(Tableau23[[#This Row],[Pos.          Sprint]],Tableau12221[],2,0))</f>
        <v/>
      </c>
      <c r="F18" s="33"/>
      <c r="G18" s="32" t="str">
        <f>IF(ISNA(VLOOKUP(Tableau23[[#This Row],[Pos.        Enduro]],Tableau12221[],3,0)),"",VLOOKUP(Tableau23[[#This Row],[Pos.        Enduro]],Tableau12221[],3,0))</f>
        <v/>
      </c>
      <c r="H18" s="42">
        <f t="shared" si="0"/>
        <v>0</v>
      </c>
      <c r="J18" s="24" t="s">
        <v>156</v>
      </c>
      <c r="K18" s="17">
        <f t="shared" si="1"/>
        <v>0</v>
      </c>
      <c r="L18" s="17">
        <f t="shared" si="2"/>
        <v>0</v>
      </c>
      <c r="M18" s="17">
        <f t="shared" si="3"/>
        <v>0</v>
      </c>
      <c r="N18" s="19"/>
      <c r="O18" s="12">
        <f t="shared" si="4"/>
        <v>16</v>
      </c>
      <c r="P18">
        <v>1</v>
      </c>
      <c r="Q18">
        <f t="shared" si="5"/>
        <v>2</v>
      </c>
      <c r="R18">
        <f>2*Tableau1220[[#This Row],[Enduro]]</f>
        <v>4</v>
      </c>
      <c r="X18" s="8"/>
    </row>
    <row r="19" spans="1:24" ht="15.75" thickBot="1" x14ac:dyDescent="0.3">
      <c r="A19" s="58">
        <f t="shared" si="6"/>
        <v>17</v>
      </c>
      <c r="B19" s="1"/>
      <c r="C19" s="1" t="e">
        <f>VLOOKUP(Tableau23[[#This Row],[Pilote]],Tableau2[[Pilote]:[Voiture]],2,0)</f>
        <v>#N/A</v>
      </c>
      <c r="D19" s="33"/>
      <c r="E19" s="34" t="str">
        <f>IF(ISNA(VLOOKUP(Tableau23[[#This Row],[Pos.          Sprint]],Tableau12221[],2,0)),"",VLOOKUP(Tableau23[[#This Row],[Pos.          Sprint]],Tableau12221[],2,0))</f>
        <v/>
      </c>
      <c r="F19" s="33"/>
      <c r="G19" s="32" t="str">
        <f>IF(ISNA(VLOOKUP(Tableau23[[#This Row],[Pos.        Enduro]],Tableau12221[],3,0)),"",VLOOKUP(Tableau23[[#This Row],[Pos.        Enduro]],Tableau12221[],3,0))</f>
        <v/>
      </c>
      <c r="H19" s="42">
        <f t="shared" si="0"/>
        <v>0</v>
      </c>
      <c r="J19" s="25" t="s">
        <v>157</v>
      </c>
      <c r="K19" s="6">
        <f t="shared" ref="K19:K34" si="7">P3-(VLOOKUP((ROUNDDOWN($Q$21,0)),$O$3:$R$18,2)-1)</f>
        <v>13</v>
      </c>
      <c r="L19" s="6">
        <f t="shared" ref="L19:L34" si="8">IF(Q3-(VLOOKUP((ROUNDDOWN($Q$21,0)),$O$3:$R$18,3)-2)&gt;1,Q3-(VLOOKUP((ROUNDDOWN($Q$21,0)),$O$3:$R$18,3)-2),)</f>
        <v>17</v>
      </c>
      <c r="M19" s="6">
        <f t="shared" ref="M19:M34" si="9">IF(R3-(VLOOKUP((ROUNDDOWN($Q$21,0)),$O$3:$R$18,4)-4)&gt;3,R3-(VLOOKUP((ROUNDDOWN($Q$21,0)),$O$3:$R$18,4)-4),)</f>
        <v>34</v>
      </c>
      <c r="X19" s="8"/>
    </row>
    <row r="20" spans="1:24" ht="15.75" thickTop="1" x14ac:dyDescent="0.25">
      <c r="A20" s="58">
        <f t="shared" si="6"/>
        <v>18</v>
      </c>
      <c r="B20" s="1"/>
      <c r="C20" s="1" t="e">
        <f>VLOOKUP(Tableau23[[#This Row],[Pilote]],Tableau2[[Pilote]:[Voiture]],2,0)</f>
        <v>#N/A</v>
      </c>
      <c r="D20" s="33"/>
      <c r="E20" s="34" t="str">
        <f>IF(ISNA(VLOOKUP(Tableau23[[#This Row],[Pos.          Sprint]],Tableau12221[],2,0)),"",VLOOKUP(Tableau23[[#This Row],[Pos.          Sprint]],Tableau12221[],2,0))</f>
        <v/>
      </c>
      <c r="F20" s="33"/>
      <c r="G20" s="32" t="str">
        <f>IF(ISNA(VLOOKUP(Tableau23[[#This Row],[Pos.        Enduro]],Tableau12221[],3,0)),"",VLOOKUP(Tableau23[[#This Row],[Pos.        Enduro]],Tableau12221[],3,0))</f>
        <v/>
      </c>
      <c r="H20" s="42">
        <f t="shared" si="0"/>
        <v>0</v>
      </c>
      <c r="J20" s="26" t="s">
        <v>158</v>
      </c>
      <c r="K20" s="6">
        <f t="shared" si="7"/>
        <v>10</v>
      </c>
      <c r="L20" s="6">
        <f t="shared" si="8"/>
        <v>13</v>
      </c>
      <c r="M20" s="6">
        <f t="shared" si="9"/>
        <v>26</v>
      </c>
      <c r="O20" s="248" t="s">
        <v>36</v>
      </c>
      <c r="P20" s="250"/>
      <c r="Q20" s="266" t="s">
        <v>34</v>
      </c>
      <c r="R20" s="267"/>
      <c r="S20" s="8"/>
      <c r="X20" s="8"/>
    </row>
    <row r="21" spans="1:24" ht="15.75" thickBot="1" x14ac:dyDescent="0.3">
      <c r="A21" s="58">
        <f t="shared" si="6"/>
        <v>19</v>
      </c>
      <c r="C21" t="e">
        <f>VLOOKUP(Tableau23[[#This Row],[Pilote]],Tableau2[[Pilote]:[Voiture]],2,0)</f>
        <v>#N/A</v>
      </c>
      <c r="D21" s="35"/>
      <c r="E21" s="34" t="str">
        <f>IF(ISNA(VLOOKUP(Tableau23[[#This Row],[Pos.          Sprint]],Tableau12221[],2,0)),"",VLOOKUP(Tableau23[[#This Row],[Pos.          Sprint]],Tableau12221[],2,0))</f>
        <v/>
      </c>
      <c r="F21" s="35"/>
      <c r="G21" s="32" t="str">
        <f>IF(ISNA(VLOOKUP(Tableau23[[#This Row],[Pos.        Enduro]],Tableau12221[],3,0)),"",VLOOKUP(Tableau23[[#This Row],[Pos.        Enduro]],Tableau12221[],3,0))</f>
        <v/>
      </c>
      <c r="H21" s="42">
        <f t="shared" si="0"/>
        <v>0</v>
      </c>
      <c r="J21" s="27" t="s">
        <v>159</v>
      </c>
      <c r="K21" s="6">
        <f t="shared" si="7"/>
        <v>8</v>
      </c>
      <c r="L21" s="6">
        <f t="shared" si="8"/>
        <v>10</v>
      </c>
      <c r="M21" s="6">
        <f t="shared" si="9"/>
        <v>20</v>
      </c>
      <c r="O21" s="263">
        <v>18</v>
      </c>
      <c r="P21" s="264"/>
      <c r="Q21" s="268">
        <f>O21/2</f>
        <v>9</v>
      </c>
      <c r="R21" s="269"/>
      <c r="S21" s="8"/>
      <c r="X21" s="8"/>
    </row>
    <row r="22" spans="1:24" ht="15.75" thickTop="1" x14ac:dyDescent="0.25">
      <c r="A22" s="58">
        <f t="shared" si="6"/>
        <v>20</v>
      </c>
      <c r="C22" t="e">
        <f>VLOOKUP(Tableau23[[#This Row],[Pilote]],Tableau2[[Pilote]:[Voiture]],2,0)</f>
        <v>#N/A</v>
      </c>
      <c r="D22" s="35"/>
      <c r="E22" s="34" t="str">
        <f>IF(ISNA(VLOOKUP(Tableau23[[#This Row],[Pos.          Sprint]],Tableau12221[],2,0)),"",VLOOKUP(Tableau23[[#This Row],[Pos.          Sprint]],Tableau12221[],2,0))</f>
        <v/>
      </c>
      <c r="F22" s="35"/>
      <c r="G22" s="32" t="str">
        <f>IF(ISNA(VLOOKUP(Tableau23[[#This Row],[Pos.        Enduro]],Tableau12221[],3,0)),"",VLOOKUP(Tableau23[[#This Row],[Pos.        Enduro]],Tableau12221[],3,0))</f>
        <v/>
      </c>
      <c r="H22" s="42">
        <f t="shared" si="0"/>
        <v>0</v>
      </c>
      <c r="J22" s="15" t="s">
        <v>160</v>
      </c>
      <c r="K22" s="6">
        <f t="shared" si="7"/>
        <v>6</v>
      </c>
      <c r="L22" s="6">
        <f t="shared" si="8"/>
        <v>8</v>
      </c>
      <c r="M22" s="6">
        <f t="shared" si="9"/>
        <v>16</v>
      </c>
      <c r="O22" s="252" t="s">
        <v>42</v>
      </c>
      <c r="P22" s="253"/>
      <c r="Q22" s="253"/>
      <c r="R22" s="254"/>
      <c r="S22" s="8"/>
      <c r="X22" s="8"/>
    </row>
    <row r="23" spans="1:24" ht="15.75" thickBot="1" x14ac:dyDescent="0.3">
      <c r="A23" s="58">
        <f t="shared" si="6"/>
        <v>21</v>
      </c>
      <c r="C23" t="e">
        <f>VLOOKUP(Tableau23[[#This Row],[Pilote]],Tableau2[[Pilote]:[Voiture]],2,0)</f>
        <v>#N/A</v>
      </c>
      <c r="D23" s="35"/>
      <c r="E23" s="34" t="str">
        <f>IF(ISNA(VLOOKUP(Tableau23[[#This Row],[Pos.          Sprint]],Tableau12221[],2,0)),"",VLOOKUP(Tableau23[[#This Row],[Pos.          Sprint]],Tableau12221[],2,0))</f>
        <v/>
      </c>
      <c r="F23" s="35"/>
      <c r="G23" s="32" t="str">
        <f>IF(ISNA(VLOOKUP(Tableau23[[#This Row],[Pos.        Enduro]],Tableau12221[],3,0)),"",VLOOKUP(Tableau23[[#This Row],[Pos.        Enduro]],Tableau12221[],3,0))</f>
        <v/>
      </c>
      <c r="H23" s="42">
        <f t="shared" si="0"/>
        <v>0</v>
      </c>
      <c r="J23" s="15" t="s">
        <v>161</v>
      </c>
      <c r="K23" s="6">
        <f t="shared" si="7"/>
        <v>5</v>
      </c>
      <c r="L23" s="6">
        <f t="shared" si="8"/>
        <v>6</v>
      </c>
      <c r="M23" s="6">
        <f t="shared" si="9"/>
        <v>12</v>
      </c>
      <c r="O23" s="255">
        <f>SUM(Tableau23[Pts.])/O21</f>
        <v>0</v>
      </c>
      <c r="P23" s="256"/>
      <c r="Q23" s="256"/>
      <c r="R23" s="257"/>
      <c r="S23" s="8"/>
      <c r="T23" s="8"/>
      <c r="U23" s="7"/>
      <c r="V23" s="8"/>
      <c r="W23" s="8"/>
      <c r="X23" s="8"/>
    </row>
    <row r="24" spans="1:24" ht="15.75" thickTop="1" x14ac:dyDescent="0.25">
      <c r="A24" s="58">
        <f t="shared" si="6"/>
        <v>22</v>
      </c>
      <c r="C24" t="e">
        <f>VLOOKUP(Tableau23[[#This Row],[Pilote]],Tableau2[[Pilote]:[Voiture]],2,0)</f>
        <v>#N/A</v>
      </c>
      <c r="D24" s="35"/>
      <c r="E24" s="34" t="str">
        <f>IF(ISNA(VLOOKUP(Tableau23[[#This Row],[Pos.          Sprint]],Tableau12221[],2,0)),"",VLOOKUP(Tableau23[[#This Row],[Pos.          Sprint]],Tableau12221[],2,0))</f>
        <v/>
      </c>
      <c r="F24" s="35"/>
      <c r="G24" s="32" t="str">
        <f>IF(ISNA(VLOOKUP(Tableau23[[#This Row],[Pos.        Enduro]],Tableau12221[],3,0)),"",VLOOKUP(Tableau23[[#This Row],[Pos.        Enduro]],Tableau12221[],3,0))</f>
        <v/>
      </c>
      <c r="H24" s="42">
        <f t="shared" si="0"/>
        <v>0</v>
      </c>
      <c r="J24" s="15" t="s">
        <v>162</v>
      </c>
      <c r="K24" s="6">
        <f t="shared" si="7"/>
        <v>4</v>
      </c>
      <c r="L24" s="6">
        <f t="shared" si="8"/>
        <v>5</v>
      </c>
      <c r="M24" s="6">
        <f t="shared" si="9"/>
        <v>10</v>
      </c>
      <c r="Q24" s="8"/>
      <c r="R24" s="8"/>
      <c r="S24" s="8"/>
      <c r="T24" s="8"/>
      <c r="U24" s="7"/>
      <c r="V24" s="8"/>
      <c r="W24" s="8"/>
      <c r="X24" s="8"/>
    </row>
    <row r="25" spans="1:24" x14ac:dyDescent="0.25">
      <c r="A25" s="58">
        <f t="shared" si="6"/>
        <v>23</v>
      </c>
      <c r="C25" t="e">
        <f>VLOOKUP(Tableau23[[#This Row],[Pilote]],Tableau2[[Pilote]:[Voiture]],2,0)</f>
        <v>#N/A</v>
      </c>
      <c r="D25" s="35"/>
      <c r="E25" s="34" t="str">
        <f>IF(ISNA(VLOOKUP(Tableau23[[#This Row],[Pos.          Sprint]],Tableau12221[],2,0)),"",VLOOKUP(Tableau23[[#This Row],[Pos.          Sprint]],Tableau12221[],2,0))</f>
        <v/>
      </c>
      <c r="F25" s="35"/>
      <c r="G25" s="32" t="str">
        <f>IF(ISNA(VLOOKUP(Tableau23[[#This Row],[Pos.        Enduro]],Tableau12221[],3,0)),"",VLOOKUP(Tableau23[[#This Row],[Pos.        Enduro]],Tableau12221[],3,0))</f>
        <v/>
      </c>
      <c r="H25" s="42">
        <f t="shared" si="0"/>
        <v>0</v>
      </c>
      <c r="J25" s="15" t="s">
        <v>163</v>
      </c>
      <c r="K25" s="6">
        <f t="shared" si="7"/>
        <v>3</v>
      </c>
      <c r="L25" s="6">
        <f t="shared" si="8"/>
        <v>4</v>
      </c>
      <c r="M25" s="6">
        <f t="shared" si="9"/>
        <v>8</v>
      </c>
      <c r="Q25" s="8"/>
      <c r="R25" s="8"/>
      <c r="S25" s="8"/>
      <c r="T25" s="8"/>
      <c r="U25" s="7"/>
      <c r="V25" s="8"/>
      <c r="W25" s="8"/>
      <c r="X25" s="8"/>
    </row>
    <row r="26" spans="1:24" x14ac:dyDescent="0.25">
      <c r="A26" s="58">
        <f t="shared" si="6"/>
        <v>24</v>
      </c>
      <c r="C26" t="e">
        <f>VLOOKUP(Tableau23[[#This Row],[Pilote]],Tableau2[[Pilote]:[Voiture]],2,0)</f>
        <v>#N/A</v>
      </c>
      <c r="D26" s="35"/>
      <c r="E26" s="34" t="str">
        <f>IF(ISNA(VLOOKUP(Tableau23[[#This Row],[Pos.          Sprint]],Tableau12221[],2,0)),"",VLOOKUP(Tableau23[[#This Row],[Pos.          Sprint]],Tableau12221[],2,0))</f>
        <v/>
      </c>
      <c r="F26" s="35"/>
      <c r="G26" s="32" t="str">
        <f>IF(ISNA(VLOOKUP(Tableau23[[#This Row],[Pos.        Enduro]],Tableau12221[],3,0)),"",VLOOKUP(Tableau23[[#This Row],[Pos.        Enduro]],Tableau12221[],3,0))</f>
        <v/>
      </c>
      <c r="H26" s="42">
        <f t="shared" si="0"/>
        <v>0</v>
      </c>
      <c r="J26" s="15" t="s">
        <v>164</v>
      </c>
      <c r="K26" s="6">
        <f t="shared" si="7"/>
        <v>2</v>
      </c>
      <c r="L26" s="6">
        <f t="shared" si="8"/>
        <v>3</v>
      </c>
      <c r="M26" s="6">
        <f t="shared" si="9"/>
        <v>6</v>
      </c>
      <c r="Q26" s="8"/>
      <c r="R26" s="8"/>
      <c r="S26" s="8"/>
      <c r="T26" s="8"/>
      <c r="U26" s="7"/>
      <c r="V26" s="8"/>
      <c r="W26" s="8"/>
      <c r="X26" s="8"/>
    </row>
    <row r="27" spans="1:24" x14ac:dyDescent="0.25">
      <c r="A27" s="58">
        <f t="shared" si="6"/>
        <v>25</v>
      </c>
      <c r="C27" t="e">
        <f>VLOOKUP(Tableau23[[#This Row],[Pilote]],Tableau2[[Pilote]:[Voiture]],2,0)</f>
        <v>#N/A</v>
      </c>
      <c r="D27" s="35"/>
      <c r="E27" s="34" t="str">
        <f>IF(ISNA(VLOOKUP(Tableau23[[#This Row],[Pos.          Sprint]],Tableau12221[],2,0)),"",VLOOKUP(Tableau23[[#This Row],[Pos.          Sprint]],Tableau12221[],2,0))</f>
        <v/>
      </c>
      <c r="F27" s="35"/>
      <c r="G27" s="32" t="str">
        <f>IF(ISNA(VLOOKUP(Tableau23[[#This Row],[Pos.        Enduro]],Tableau12221[],3,0)),"",VLOOKUP(Tableau23[[#This Row],[Pos.        Enduro]],Tableau12221[],3,0))</f>
        <v/>
      </c>
      <c r="H27" s="42">
        <f t="shared" si="0"/>
        <v>0</v>
      </c>
      <c r="J27" s="15" t="s">
        <v>165</v>
      </c>
      <c r="K27" s="6">
        <f t="shared" si="7"/>
        <v>1</v>
      </c>
      <c r="L27" s="6">
        <f t="shared" si="8"/>
        <v>2</v>
      </c>
      <c r="M27" s="6">
        <f t="shared" si="9"/>
        <v>4</v>
      </c>
      <c r="Q27" s="8"/>
      <c r="R27" s="8"/>
      <c r="S27" s="8"/>
      <c r="T27" s="8"/>
      <c r="U27" s="7"/>
      <c r="V27" s="8"/>
      <c r="W27" s="8"/>
      <c r="X27" s="8"/>
    </row>
    <row r="28" spans="1:24" x14ac:dyDescent="0.25">
      <c r="A28" s="58">
        <f t="shared" si="6"/>
        <v>26</v>
      </c>
      <c r="C28" t="e">
        <f>VLOOKUP(Tableau23[[#This Row],[Pilote]],Tableau2[[Pilote]:[Voiture]],2,0)</f>
        <v>#N/A</v>
      </c>
      <c r="D28" s="35"/>
      <c r="E28" s="34" t="str">
        <f>IF(ISNA(VLOOKUP(Tableau23[[#This Row],[Pos.          Sprint]],Tableau12221[],2,0)),"",VLOOKUP(Tableau23[[#This Row],[Pos.          Sprint]],Tableau12221[],2,0))</f>
        <v/>
      </c>
      <c r="F28" s="35"/>
      <c r="G28" s="32" t="str">
        <f>IF(ISNA(VLOOKUP(Tableau23[[#This Row],[Pos.        Enduro]],Tableau12221[],3,0)),"",VLOOKUP(Tableau23[[#This Row],[Pos.        Enduro]],Tableau12221[],3,0))</f>
        <v/>
      </c>
      <c r="H28" s="42">
        <f t="shared" si="0"/>
        <v>0</v>
      </c>
      <c r="J28" s="15" t="s">
        <v>166</v>
      </c>
      <c r="K28" s="6">
        <f t="shared" si="7"/>
        <v>0</v>
      </c>
      <c r="L28" s="6">
        <f t="shared" si="8"/>
        <v>0</v>
      </c>
      <c r="M28" s="6">
        <f t="shared" si="9"/>
        <v>0</v>
      </c>
      <c r="Q28" s="8"/>
      <c r="R28" s="8"/>
      <c r="S28" s="8"/>
      <c r="T28" s="8"/>
      <c r="U28" s="7"/>
      <c r="V28" s="8"/>
      <c r="W28" s="8"/>
      <c r="X28" s="8"/>
    </row>
    <row r="29" spans="1:24" x14ac:dyDescent="0.25">
      <c r="A29" s="58">
        <f t="shared" si="6"/>
        <v>27</v>
      </c>
      <c r="C29" t="e">
        <f>VLOOKUP(Tableau23[[#This Row],[Pilote]],Tableau2[[Pilote]:[Voiture]],2,0)</f>
        <v>#N/A</v>
      </c>
      <c r="D29" s="35"/>
      <c r="E29" s="34" t="str">
        <f>IF(ISNA(VLOOKUP(Tableau23[[#This Row],[Pos.          Sprint]],Tableau12221[],2,0)),"",VLOOKUP(Tableau23[[#This Row],[Pos.          Sprint]],Tableau12221[],2,0))</f>
        <v/>
      </c>
      <c r="F29" s="35"/>
      <c r="G29" s="32" t="str">
        <f>IF(ISNA(VLOOKUP(Tableau23[[#This Row],[Pos.        Enduro]],Tableau12221[],3,0)),"",VLOOKUP(Tableau23[[#This Row],[Pos.        Enduro]],Tableau12221[],3,0))</f>
        <v/>
      </c>
      <c r="H29" s="42">
        <f t="shared" si="0"/>
        <v>0</v>
      </c>
      <c r="J29" s="15" t="s">
        <v>167</v>
      </c>
      <c r="K29" s="6">
        <f t="shared" si="7"/>
        <v>-1</v>
      </c>
      <c r="L29" s="6">
        <f t="shared" si="8"/>
        <v>0</v>
      </c>
      <c r="M29" s="6">
        <f t="shared" si="9"/>
        <v>0</v>
      </c>
      <c r="P29" s="7"/>
      <c r="Q29" s="8"/>
      <c r="R29" s="8"/>
      <c r="S29" s="8"/>
      <c r="T29" s="8"/>
      <c r="U29" s="7"/>
      <c r="V29" s="8"/>
      <c r="W29" s="8"/>
      <c r="X29" s="8"/>
    </row>
    <row r="30" spans="1:24" x14ac:dyDescent="0.25">
      <c r="A30" s="58">
        <f t="shared" si="6"/>
        <v>28</v>
      </c>
      <c r="C30" t="e">
        <f>VLOOKUP(Tableau23[[#This Row],[Pilote]],Tableau2[[Pilote]:[Voiture]],2,0)</f>
        <v>#N/A</v>
      </c>
      <c r="D30" s="35"/>
      <c r="E30" s="34" t="str">
        <f>IF(ISNA(VLOOKUP(Tableau23[[#This Row],[Pos.          Sprint]],Tableau12221[],2,0)),"",VLOOKUP(Tableau23[[#This Row],[Pos.          Sprint]],Tableau12221[],2,0))</f>
        <v/>
      </c>
      <c r="F30" s="35"/>
      <c r="G30" s="32" t="str">
        <f>IF(ISNA(VLOOKUP(Tableau23[[#This Row],[Pos.        Enduro]],Tableau12221[],3,0)),"",VLOOKUP(Tableau23[[#This Row],[Pos.        Enduro]],Tableau12221[],3,0))</f>
        <v/>
      </c>
      <c r="H30" s="42">
        <f t="shared" si="0"/>
        <v>0</v>
      </c>
      <c r="J30" s="15" t="s">
        <v>168</v>
      </c>
      <c r="K30" s="6">
        <f t="shared" si="7"/>
        <v>-2</v>
      </c>
      <c r="L30" s="6">
        <f t="shared" si="8"/>
        <v>0</v>
      </c>
      <c r="M30" s="6">
        <f t="shared" si="9"/>
        <v>0</v>
      </c>
      <c r="P30" s="7"/>
      <c r="Q30" s="8"/>
      <c r="R30" s="8"/>
      <c r="S30" s="8"/>
      <c r="T30" s="8"/>
      <c r="U30" s="7"/>
      <c r="V30" s="8"/>
      <c r="W30" s="8"/>
      <c r="X30" s="8"/>
    </row>
    <row r="31" spans="1:24" x14ac:dyDescent="0.25">
      <c r="A31" s="58">
        <f t="shared" si="6"/>
        <v>29</v>
      </c>
      <c r="C31" t="e">
        <f>VLOOKUP(Tableau23[[#This Row],[Pilote]],Tableau2[[Pilote]:[Voiture]],2,0)</f>
        <v>#N/A</v>
      </c>
      <c r="D31" s="35"/>
      <c r="E31" s="34" t="str">
        <f>IF(ISNA(VLOOKUP(Tableau23[[#This Row],[Pos.          Sprint]],Tableau12221[],2,0)),"",VLOOKUP(Tableau23[[#This Row],[Pos.          Sprint]],Tableau12221[],2,0))</f>
        <v/>
      </c>
      <c r="F31" s="35"/>
      <c r="G31" s="32" t="str">
        <f>IF(ISNA(VLOOKUP(Tableau23[[#This Row],[Pos.        Enduro]],Tableau12221[],3,0)),"",VLOOKUP(Tableau23[[#This Row],[Pos.        Enduro]],Tableau12221[],3,0))</f>
        <v/>
      </c>
      <c r="H31" s="42">
        <f t="shared" si="0"/>
        <v>0</v>
      </c>
      <c r="J31" s="15" t="s">
        <v>169</v>
      </c>
      <c r="K31" s="6">
        <f t="shared" si="7"/>
        <v>-3</v>
      </c>
      <c r="L31" s="6">
        <f t="shared" si="8"/>
        <v>0</v>
      </c>
      <c r="M31" s="6">
        <f t="shared" si="9"/>
        <v>0</v>
      </c>
      <c r="P31" s="7"/>
      <c r="Q31" s="8"/>
      <c r="R31" s="8"/>
      <c r="S31" s="8"/>
      <c r="T31" s="8"/>
      <c r="U31" s="7"/>
      <c r="V31" s="8"/>
      <c r="W31" s="8"/>
      <c r="X31" s="8"/>
    </row>
    <row r="32" spans="1:24" x14ac:dyDescent="0.25">
      <c r="A32" s="58">
        <f t="shared" si="6"/>
        <v>30</v>
      </c>
      <c r="C32" t="e">
        <f>VLOOKUP(Tableau23[[#This Row],[Pilote]],Tableau2[[Pilote]:[Voiture]],2,0)</f>
        <v>#N/A</v>
      </c>
      <c r="D32" s="35"/>
      <c r="E32" s="34" t="str">
        <f>IF(ISNA(VLOOKUP(Tableau23[[#This Row],[Pos.          Sprint]],Tableau12221[],2,0)),"",VLOOKUP(Tableau23[[#This Row],[Pos.          Sprint]],Tableau12221[],2,0))</f>
        <v/>
      </c>
      <c r="F32" s="35"/>
      <c r="G32" s="32" t="str">
        <f>IF(ISNA(VLOOKUP(Tableau23[[#This Row],[Pos.        Enduro]],Tableau12221[],3,0)),"",VLOOKUP(Tableau23[[#This Row],[Pos.        Enduro]],Tableau12221[],3,0))</f>
        <v/>
      </c>
      <c r="H32" s="42">
        <f t="shared" si="0"/>
        <v>0</v>
      </c>
      <c r="J32" s="15" t="s">
        <v>170</v>
      </c>
      <c r="K32" s="6">
        <f t="shared" si="7"/>
        <v>-4</v>
      </c>
      <c r="L32" s="6">
        <f t="shared" si="8"/>
        <v>0</v>
      </c>
      <c r="M32" s="6">
        <f t="shared" si="9"/>
        <v>0</v>
      </c>
      <c r="P32" s="7"/>
      <c r="Q32" s="8"/>
      <c r="R32" s="8"/>
      <c r="S32" s="8"/>
      <c r="T32" s="8"/>
      <c r="U32" s="7"/>
      <c r="V32" s="8"/>
      <c r="W32" s="8"/>
      <c r="X32" s="8"/>
    </row>
    <row r="33" spans="1:24" x14ac:dyDescent="0.25">
      <c r="A33" s="58">
        <f t="shared" si="6"/>
        <v>31</v>
      </c>
      <c r="C33" t="e">
        <f>VLOOKUP(Tableau23[[#This Row],[Pilote]],Tableau2[[Pilote]:[Voiture]],2,0)</f>
        <v>#N/A</v>
      </c>
      <c r="D33" s="35"/>
      <c r="E33" s="34" t="str">
        <f>IF(ISNA(VLOOKUP(Tableau23[[#This Row],[Pos.          Sprint]],Tableau12221[],2,0)),"",VLOOKUP(Tableau23[[#This Row],[Pos.          Sprint]],Tableau12221[],2,0))</f>
        <v/>
      </c>
      <c r="F33" s="35"/>
      <c r="G33" s="32" t="str">
        <f>IF(ISNA(VLOOKUP(Tableau23[[#This Row],[Pos.        Enduro]],Tableau12221[],3,0)),"",VLOOKUP(Tableau23[[#This Row],[Pos.        Enduro]],Tableau12221[],3,0))</f>
        <v/>
      </c>
      <c r="H33" s="42">
        <f t="shared" si="0"/>
        <v>0</v>
      </c>
      <c r="J33" s="15" t="s">
        <v>171</v>
      </c>
      <c r="K33" s="6">
        <f t="shared" si="7"/>
        <v>-5</v>
      </c>
      <c r="L33" s="6">
        <f t="shared" si="8"/>
        <v>0</v>
      </c>
      <c r="M33" s="6">
        <f t="shared" si="9"/>
        <v>0</v>
      </c>
      <c r="P33" s="7"/>
      <c r="Q33" s="8"/>
      <c r="R33" s="8"/>
      <c r="S33" s="8"/>
      <c r="T33" s="8"/>
      <c r="U33" s="7"/>
      <c r="V33" s="8"/>
      <c r="W33" s="8"/>
      <c r="X33" s="8"/>
    </row>
    <row r="34" spans="1:24" x14ac:dyDescent="0.25">
      <c r="A34" s="58">
        <f t="shared" si="6"/>
        <v>32</v>
      </c>
      <c r="C34" t="e">
        <f>VLOOKUP(Tableau23[[#This Row],[Pilote]],Tableau2[[Pilote]:[Voiture]],2,0)</f>
        <v>#N/A</v>
      </c>
      <c r="D34" s="36"/>
      <c r="E34" s="121" t="str">
        <f>IF(ISNA(VLOOKUP(Tableau23[[#This Row],[Pos.          Sprint]],Tableau12221[],2,0)),"",VLOOKUP(Tableau23[[#This Row],[Pos.          Sprint]],Tableau12221[],2,0))</f>
        <v/>
      </c>
      <c r="F34" s="36"/>
      <c r="G34" s="122" t="str">
        <f>IF(ISNA(VLOOKUP(Tableau23[[#This Row],[Pos.        Enduro]],Tableau12221[],3,0)),"",VLOOKUP(Tableau23[[#This Row],[Pos.        Enduro]],Tableau12221[],3,0))</f>
        <v/>
      </c>
      <c r="H34" s="43">
        <f t="shared" si="0"/>
        <v>0</v>
      </c>
      <c r="J34" s="15" t="s">
        <v>172</v>
      </c>
      <c r="K34" s="6">
        <f t="shared" si="7"/>
        <v>-6</v>
      </c>
      <c r="L34" s="6">
        <f t="shared" si="8"/>
        <v>0</v>
      </c>
      <c r="M34" s="6">
        <f t="shared" si="9"/>
        <v>0</v>
      </c>
      <c r="P34" s="7"/>
      <c r="Q34" s="8"/>
      <c r="R34" s="8"/>
      <c r="S34" s="8"/>
      <c r="T34" s="8"/>
      <c r="U34" s="7"/>
      <c r="V34" s="8"/>
      <c r="W34" s="8"/>
      <c r="X34" s="8"/>
    </row>
    <row r="35" spans="1:24" x14ac:dyDescent="0.25"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25"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25"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25">
      <c r="P38" s="8"/>
      <c r="Q38" s="8"/>
      <c r="R38" s="8"/>
      <c r="S38" s="8"/>
      <c r="T38" s="8"/>
      <c r="U38" s="8"/>
      <c r="V38" s="8"/>
      <c r="W38" s="8"/>
      <c r="X38" s="8"/>
    </row>
  </sheetData>
  <mergeCells count="10">
    <mergeCell ref="O23:R23"/>
    <mergeCell ref="O21:P21"/>
    <mergeCell ref="Q21:R21"/>
    <mergeCell ref="J1:M1"/>
    <mergeCell ref="O1:R1"/>
    <mergeCell ref="D1:E1"/>
    <mergeCell ref="F1:G1"/>
    <mergeCell ref="O20:P20"/>
    <mergeCell ref="Q20:R20"/>
    <mergeCell ref="O22:R22"/>
  </mergeCells>
  <dataValidations count="2"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  <dataValidation errorStyle="information" operator="greaterThan" allowBlank="1" errorTitle="Non inscrit" error="Cet emplacement excède le nombre d'inscrits." sqref="K19:M34"/>
  </dataValidations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E3" sqref="E3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9"/>
      <c r="C1" s="29"/>
      <c r="D1" s="251" t="s">
        <v>32</v>
      </c>
      <c r="E1" s="251"/>
      <c r="F1" s="14"/>
      <c r="G1" s="14"/>
      <c r="H1" s="14"/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16" t="s">
        <v>44</v>
      </c>
      <c r="F2" s="19"/>
      <c r="G2" s="19"/>
      <c r="H2" s="19"/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/>
      <c r="C3" s="1" t="e">
        <f>VLOOKUP(Tableau2427[[#This Row],[Pilote]],Tableau2[[Pilote]:[Voiture]],2,0)</f>
        <v>#N/A</v>
      </c>
      <c r="D3" s="41"/>
      <c r="E3" s="46" t="str">
        <f>IF(ISNA(VLOOKUP(D3,Tableau1226[[Pos.]:[Spéciale]],4,0)),"",VLOOKUP(D3,Tableau1226[[Pos.]:[Spéciale]],4,0))</f>
        <v/>
      </c>
      <c r="F3" s="18"/>
      <c r="G3" s="19"/>
      <c r="H3" s="45"/>
      <c r="J3" s="2">
        <v>1</v>
      </c>
      <c r="K3">
        <v>20</v>
      </c>
      <c r="L3">
        <v>24</v>
      </c>
      <c r="M3">
        <f>2*Tableau1226[[#This Row],[Enduro]]</f>
        <v>48</v>
      </c>
    </row>
    <row r="4" spans="1:13" x14ac:dyDescent="0.25">
      <c r="A4" s="56">
        <f>A3+1</f>
        <v>2</v>
      </c>
      <c r="B4" s="1"/>
      <c r="C4" s="1" t="e">
        <f>VLOOKUP(Tableau2427[[#This Row],[Pilote]],Tableau2[[Pilote]:[Voiture]],2,0)</f>
        <v>#N/A</v>
      </c>
      <c r="D4" s="41"/>
      <c r="E4" s="46" t="str">
        <f>IF(ISNA(VLOOKUP(D4,Tableau1226[[Pos.]:[Spéciale]],4,0)),"",VLOOKUP(D4,Tableau1226[[Pos.]:[Spéciale]],4,0))</f>
        <v/>
      </c>
      <c r="F4" s="18"/>
      <c r="G4" s="19"/>
      <c r="H4" s="45"/>
      <c r="J4" s="3">
        <f t="shared" ref="J4:J18" si="0">J3+1</f>
        <v>2</v>
      </c>
      <c r="K4">
        <v>17</v>
      </c>
      <c r="L4">
        <f t="shared" ref="L4:L18" si="1">K3</f>
        <v>20</v>
      </c>
      <c r="M4">
        <f>2*Tableau1226[[#This Row],[Enduro]]</f>
        <v>40</v>
      </c>
    </row>
    <row r="5" spans="1:13" x14ac:dyDescent="0.25">
      <c r="A5" s="57">
        <f>A4+1</f>
        <v>3</v>
      </c>
      <c r="B5" s="1"/>
      <c r="C5" s="1" t="e">
        <f>VLOOKUP(Tableau2427[[#This Row],[Pilote]],Tableau2[[Pilote]:[Voiture]],2,0)</f>
        <v>#N/A</v>
      </c>
      <c r="D5" s="41"/>
      <c r="E5" s="46" t="str">
        <f>IF(ISNA(VLOOKUP(D5,Tableau1226[[Pos.]:[Spéciale]],4,0)),"",VLOOKUP(D5,Tableau1226[[Pos.]:[Spéciale]],4,0))</f>
        <v/>
      </c>
      <c r="F5" s="18"/>
      <c r="G5" s="19"/>
      <c r="H5" s="45"/>
      <c r="J5" s="4">
        <f t="shared" si="0"/>
        <v>3</v>
      </c>
      <c r="K5">
        <v>15</v>
      </c>
      <c r="L5">
        <f t="shared" si="1"/>
        <v>17</v>
      </c>
      <c r="M5">
        <f>2*Tableau1226[[#This Row],[Enduro]]</f>
        <v>34</v>
      </c>
    </row>
    <row r="6" spans="1:13" x14ac:dyDescent="0.25">
      <c r="A6" s="52">
        <f t="shared" ref="A6:A18" si="2">A5+1</f>
        <v>4</v>
      </c>
      <c r="B6" s="1"/>
      <c r="C6" s="1" t="e">
        <f>VLOOKUP(Tableau2427[[#This Row],[Pilote]],Tableau2[[Pilote]:[Voiture]],2,0)</f>
        <v>#N/A</v>
      </c>
      <c r="D6" s="41"/>
      <c r="E6" s="46" t="str">
        <f>IF(ISNA(VLOOKUP(D6,Tableau1226[[Pos.]:[Spéciale]],4,0)),"",VLOOKUP(D6,Tableau1226[[Pos.]:[Spéciale]],4,0))</f>
        <v/>
      </c>
      <c r="F6" s="18"/>
      <c r="G6" s="19"/>
      <c r="H6" s="45"/>
      <c r="J6" s="5">
        <f t="shared" si="0"/>
        <v>4</v>
      </c>
      <c r="K6">
        <v>13</v>
      </c>
      <c r="L6">
        <f t="shared" si="1"/>
        <v>15</v>
      </c>
      <c r="M6">
        <f>2*Tableau1226[[#This Row],[Enduro]]</f>
        <v>30</v>
      </c>
    </row>
    <row r="7" spans="1:13" x14ac:dyDescent="0.25">
      <c r="A7" s="52">
        <f t="shared" si="2"/>
        <v>5</v>
      </c>
      <c r="B7" s="1"/>
      <c r="C7" s="1" t="e">
        <f>VLOOKUP(Tableau2427[[#This Row],[Pilote]],Tableau2[[Pilote]:[Voiture]],2,0)</f>
        <v>#N/A</v>
      </c>
      <c r="D7" s="41"/>
      <c r="E7" s="46" t="str">
        <f>IF(ISNA(VLOOKUP(D7,Tableau1226[[Pos.]:[Spéciale]],4,0)),"",VLOOKUP(D7,Tableau1226[[Pos.]:[Spéciale]],4,0))</f>
        <v/>
      </c>
      <c r="F7" s="18"/>
      <c r="G7" s="19"/>
      <c r="H7" s="45"/>
      <c r="J7" s="5">
        <f t="shared" si="0"/>
        <v>5</v>
      </c>
      <c r="K7">
        <v>12</v>
      </c>
      <c r="L7">
        <f t="shared" si="1"/>
        <v>13</v>
      </c>
      <c r="M7">
        <f>2*Tableau1226[[#This Row],[Enduro]]</f>
        <v>26</v>
      </c>
    </row>
    <row r="8" spans="1:13" x14ac:dyDescent="0.25">
      <c r="A8" s="52">
        <f t="shared" si="2"/>
        <v>6</v>
      </c>
      <c r="B8" s="1"/>
      <c r="C8" s="1" t="e">
        <f>VLOOKUP(Tableau2427[[#This Row],[Pilote]],Tableau2[[Pilote]:[Voiture]],2,0)</f>
        <v>#N/A</v>
      </c>
      <c r="D8" s="41"/>
      <c r="E8" s="46" t="str">
        <f>IF(ISNA(VLOOKUP(D8,Tableau1226[[Pos.]:[Spéciale]],4,0)),"",VLOOKUP(D8,Tableau1226[[Pos.]:[Spéciale]],4,0))</f>
        <v/>
      </c>
      <c r="F8" s="18"/>
      <c r="G8" s="19"/>
      <c r="H8" s="45"/>
      <c r="J8" s="5">
        <f t="shared" si="0"/>
        <v>6</v>
      </c>
      <c r="K8">
        <v>11</v>
      </c>
      <c r="L8">
        <f t="shared" si="1"/>
        <v>12</v>
      </c>
      <c r="M8">
        <f>2*Tableau1226[[#This Row],[Enduro]]</f>
        <v>24</v>
      </c>
    </row>
    <row r="9" spans="1:13" x14ac:dyDescent="0.25">
      <c r="A9" s="52">
        <f t="shared" si="2"/>
        <v>7</v>
      </c>
      <c r="B9" s="1"/>
      <c r="C9" s="1" t="e">
        <f>VLOOKUP(Tableau2427[[#This Row],[Pilote]],Tableau2[[Pilote]:[Voiture]],2,0)</f>
        <v>#N/A</v>
      </c>
      <c r="D9" s="41"/>
      <c r="E9" s="46" t="str">
        <f>IF(ISNA(VLOOKUP(D9,Tableau1226[[Pos.]:[Spéciale]],4,0)),"",VLOOKUP(D9,Tableau1226[[Pos.]:[Spéciale]],4,0))</f>
        <v/>
      </c>
      <c r="F9" s="18"/>
      <c r="G9" s="19"/>
      <c r="H9" s="45"/>
      <c r="J9" s="5">
        <f t="shared" si="0"/>
        <v>7</v>
      </c>
      <c r="K9">
        <v>10</v>
      </c>
      <c r="L9">
        <f t="shared" si="1"/>
        <v>11</v>
      </c>
      <c r="M9">
        <f>2*Tableau1226[[#This Row],[Enduro]]</f>
        <v>22</v>
      </c>
    </row>
    <row r="10" spans="1:13" x14ac:dyDescent="0.25">
      <c r="A10" s="52">
        <f t="shared" si="2"/>
        <v>8</v>
      </c>
      <c r="B10" s="1"/>
      <c r="C10" s="1" t="e">
        <f>VLOOKUP(Tableau2427[[#This Row],[Pilote]],Tableau2[[Pilote]:[Voiture]],2,0)</f>
        <v>#N/A</v>
      </c>
      <c r="D10" s="41"/>
      <c r="E10" s="46" t="str">
        <f>IF(ISNA(VLOOKUP(D10,Tableau1226[[Pos.]:[Spéciale]],4,0)),"",VLOOKUP(D10,Tableau1226[[Pos.]:[Spéciale]],4,0))</f>
        <v/>
      </c>
      <c r="F10" s="18"/>
      <c r="G10" s="19"/>
      <c r="H10" s="45"/>
      <c r="J10" s="5">
        <f t="shared" si="0"/>
        <v>8</v>
      </c>
      <c r="K10">
        <v>9</v>
      </c>
      <c r="L10">
        <f t="shared" si="1"/>
        <v>10</v>
      </c>
      <c r="M10">
        <f>2*Tableau1226[[#This Row],[Enduro]]</f>
        <v>20</v>
      </c>
    </row>
    <row r="11" spans="1:13" x14ac:dyDescent="0.25">
      <c r="A11" s="52">
        <f t="shared" si="2"/>
        <v>9</v>
      </c>
      <c r="B11" s="1"/>
      <c r="C11" s="1" t="e">
        <f>VLOOKUP(Tableau2427[[#This Row],[Pilote]],Tableau2[[Pilote]:[Voiture]],2,0)</f>
        <v>#N/A</v>
      </c>
      <c r="D11" s="41"/>
      <c r="E11" s="46" t="str">
        <f>IF(ISNA(VLOOKUP(D11,Tableau1226[[Pos.]:[Spéciale]],4,0)),"",VLOOKUP(D11,Tableau1226[[Pos.]:[Spéciale]],4,0))</f>
        <v/>
      </c>
      <c r="F11" s="18"/>
      <c r="G11" s="19"/>
      <c r="H11" s="45"/>
      <c r="J11" s="5">
        <f t="shared" si="0"/>
        <v>9</v>
      </c>
      <c r="K11">
        <v>8</v>
      </c>
      <c r="L11">
        <f t="shared" si="1"/>
        <v>9</v>
      </c>
      <c r="M11">
        <f>2*Tableau1226[[#This Row],[Enduro]]</f>
        <v>18</v>
      </c>
    </row>
    <row r="12" spans="1:13" x14ac:dyDescent="0.25">
      <c r="A12" s="52">
        <f t="shared" si="2"/>
        <v>10</v>
      </c>
      <c r="B12" s="1"/>
      <c r="C12" s="1" t="e">
        <f>VLOOKUP(Tableau2427[[#This Row],[Pilote]],Tableau2[[Pilote]:[Voiture]],2,0)</f>
        <v>#N/A</v>
      </c>
      <c r="D12" s="41"/>
      <c r="E12" s="46" t="str">
        <f>IF(ISNA(VLOOKUP(D12,Tableau1226[[Pos.]:[Spéciale]],4,0)),"",VLOOKUP(D12,Tableau1226[[Pos.]:[Spéciale]],4,0))</f>
        <v/>
      </c>
      <c r="F12" s="18"/>
      <c r="G12" s="19"/>
      <c r="H12" s="45"/>
      <c r="J12" s="5">
        <f t="shared" si="0"/>
        <v>10</v>
      </c>
      <c r="K12">
        <v>7</v>
      </c>
      <c r="L12">
        <f t="shared" si="1"/>
        <v>8</v>
      </c>
      <c r="M12">
        <f>2*Tableau1226[[#This Row],[Enduro]]</f>
        <v>16</v>
      </c>
    </row>
    <row r="13" spans="1:13" x14ac:dyDescent="0.25">
      <c r="A13" s="52">
        <f t="shared" si="2"/>
        <v>11</v>
      </c>
      <c r="B13" s="1"/>
      <c r="C13" s="1" t="e">
        <f>VLOOKUP(Tableau2427[[#This Row],[Pilote]],Tableau2[[Pilote]:[Voiture]],2,0)</f>
        <v>#N/A</v>
      </c>
      <c r="D13" s="41"/>
      <c r="E13" s="46" t="str">
        <f>IF(ISNA(VLOOKUP(D13,Tableau1226[[Pos.]:[Spéciale]],4,0)),"",VLOOKUP(D13,Tableau1226[[Pos.]:[Spéciale]],4,0))</f>
        <v/>
      </c>
      <c r="F13" s="18"/>
      <c r="G13" s="19"/>
      <c r="H13" s="45"/>
      <c r="J13" s="5">
        <f t="shared" si="0"/>
        <v>11</v>
      </c>
      <c r="K13">
        <v>6</v>
      </c>
      <c r="L13">
        <f t="shared" si="1"/>
        <v>7</v>
      </c>
      <c r="M13">
        <f>2*Tableau1226[[#This Row],[Enduro]]</f>
        <v>14</v>
      </c>
    </row>
    <row r="14" spans="1:13" x14ac:dyDescent="0.25">
      <c r="A14" s="52">
        <f t="shared" si="2"/>
        <v>12</v>
      </c>
      <c r="B14" s="1"/>
      <c r="C14" s="1" t="e">
        <f>VLOOKUP(Tableau2427[[#This Row],[Pilote]],Tableau2[[Pilote]:[Voiture]],2,0)</f>
        <v>#N/A</v>
      </c>
      <c r="D14" s="41"/>
      <c r="E14" s="46" t="str">
        <f>IF(ISNA(VLOOKUP(D14,Tableau1226[[Pos.]:[Spéciale]],4,0)),"",VLOOKUP(D14,Tableau1226[[Pos.]:[Spéciale]],4,0))</f>
        <v/>
      </c>
      <c r="F14" s="18"/>
      <c r="G14" s="19"/>
      <c r="H14" s="45"/>
      <c r="J14" s="5">
        <f t="shared" si="0"/>
        <v>12</v>
      </c>
      <c r="K14">
        <v>5</v>
      </c>
      <c r="L14">
        <f t="shared" si="1"/>
        <v>6</v>
      </c>
      <c r="M14">
        <f>2*Tableau1226[[#This Row],[Enduro]]</f>
        <v>12</v>
      </c>
    </row>
    <row r="15" spans="1:13" x14ac:dyDescent="0.25">
      <c r="A15" s="52">
        <f t="shared" si="2"/>
        <v>13</v>
      </c>
      <c r="B15" s="1"/>
      <c r="C15" s="1" t="e">
        <f>VLOOKUP(Tableau2427[[#This Row],[Pilote]],Tableau2[[Pilote]:[Voiture]],2,0)</f>
        <v>#N/A</v>
      </c>
      <c r="D15" s="41"/>
      <c r="E15" s="46" t="str">
        <f>IF(ISNA(VLOOKUP(D15,Tableau1226[[Pos.]:[Spéciale]],4,0)),"",VLOOKUP(D15,Tableau1226[[Pos.]:[Spéciale]],4,0))</f>
        <v/>
      </c>
      <c r="F15" s="18"/>
      <c r="G15" s="19"/>
      <c r="H15" s="45"/>
      <c r="J15" s="5">
        <f t="shared" si="0"/>
        <v>13</v>
      </c>
      <c r="K15">
        <v>4</v>
      </c>
      <c r="L15">
        <f t="shared" si="1"/>
        <v>5</v>
      </c>
      <c r="M15">
        <f>2*Tableau1226[[#This Row],[Enduro]]</f>
        <v>10</v>
      </c>
    </row>
    <row r="16" spans="1:13" x14ac:dyDescent="0.25">
      <c r="A16" s="52">
        <f t="shared" si="2"/>
        <v>14</v>
      </c>
      <c r="B16" s="1"/>
      <c r="C16" s="1" t="e">
        <f>VLOOKUP(Tableau2427[[#This Row],[Pilote]],Tableau2[[Pilote]:[Voiture]],2,0)</f>
        <v>#N/A</v>
      </c>
      <c r="D16" s="41"/>
      <c r="E16" s="46" t="str">
        <f>IF(ISNA(VLOOKUP(D16,Tableau1226[[Pos.]:[Spéciale]],4,0)),"",VLOOKUP(D16,Tableau1226[[Pos.]:[Spéciale]],4,0))</f>
        <v/>
      </c>
      <c r="F16" s="18"/>
      <c r="G16" s="19"/>
      <c r="H16" s="45"/>
      <c r="J16" s="5">
        <f t="shared" si="0"/>
        <v>14</v>
      </c>
      <c r="K16">
        <v>3</v>
      </c>
      <c r="L16">
        <f t="shared" si="1"/>
        <v>4</v>
      </c>
      <c r="M16">
        <f>2*Tableau1226[[#This Row],[Enduro]]</f>
        <v>8</v>
      </c>
    </row>
    <row r="17" spans="1:16" x14ac:dyDescent="0.25">
      <c r="A17" s="52">
        <f t="shared" si="2"/>
        <v>15</v>
      </c>
      <c r="B17" s="1"/>
      <c r="C17" s="1" t="e">
        <f>VLOOKUP(Tableau2427[[#This Row],[Pilote]],Tableau2[[Pilote]:[Voiture]],2,0)</f>
        <v>#N/A</v>
      </c>
      <c r="D17" s="41"/>
      <c r="E17" s="46" t="str">
        <f>IF(ISNA(VLOOKUP(D17,Tableau1226[[Pos.]:[Spéciale]],4,0)),"",VLOOKUP(D17,Tableau1226[[Pos.]:[Spéciale]],4,0))</f>
        <v/>
      </c>
      <c r="F17" s="18"/>
      <c r="G17" s="19"/>
      <c r="H17" s="45"/>
      <c r="J17" s="5">
        <f t="shared" si="0"/>
        <v>15</v>
      </c>
      <c r="K17">
        <v>2</v>
      </c>
      <c r="L17">
        <f t="shared" si="1"/>
        <v>3</v>
      </c>
      <c r="M17">
        <f>2*Tableau1226[[#This Row],[Enduro]]</f>
        <v>6</v>
      </c>
    </row>
    <row r="18" spans="1:16" x14ac:dyDescent="0.25">
      <c r="A18" s="53">
        <f t="shared" si="2"/>
        <v>16</v>
      </c>
      <c r="B18" s="1"/>
      <c r="C18" s="1" t="e">
        <f>VLOOKUP(Tableau2427[[#This Row],[Pilote]],Tableau2[[Pilote]:[Voiture]],2,0)</f>
        <v>#N/A</v>
      </c>
      <c r="D18" s="41"/>
      <c r="E18" s="46" t="str">
        <f>IF(ISNA(VLOOKUP(D18,Tableau1226[[Pos.]:[Spéciale]],4,0)),"",VLOOKUP(D18,Tableau1226[[Pos.]:[Spéciale]],4,0))</f>
        <v/>
      </c>
      <c r="F18" s="18"/>
      <c r="G18" s="19"/>
      <c r="H18" s="45"/>
      <c r="J18" s="5">
        <f t="shared" si="0"/>
        <v>16</v>
      </c>
      <c r="K18">
        <v>1</v>
      </c>
      <c r="L18">
        <f t="shared" si="1"/>
        <v>2</v>
      </c>
      <c r="M18">
        <f>2*Tableau1226[[#This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15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2">
        <f>SUM(Tableau2427[Pts. Sprint])/O21</f>
        <v>0</v>
      </c>
      <c r="P23" s="273"/>
    </row>
    <row r="24" spans="1:16" ht="15.75" thickTop="1" x14ac:dyDescent="0.25"/>
  </sheetData>
  <mergeCells count="6">
    <mergeCell ref="O23:P23"/>
    <mergeCell ref="D1:E1"/>
    <mergeCell ref="J1:M1"/>
    <mergeCell ref="O20:P20"/>
    <mergeCell ref="O22:P22"/>
    <mergeCell ref="O21:P21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G8" sqref="G8"/>
    </sheetView>
  </sheetViews>
  <sheetFormatPr baseColWidth="10" defaultRowHeight="15" x14ac:dyDescent="0.25"/>
  <cols>
    <col min="1" max="1" width="6.140625" customWidth="1"/>
    <col min="2" max="2" width="11.7109375" customWidth="1"/>
    <col min="3" max="3" width="10.85546875" customWidth="1"/>
    <col min="4" max="4" width="6.85546875" customWidth="1"/>
    <col min="5" max="7" width="6.28515625" customWidth="1"/>
    <col min="8" max="8" width="6.7109375" customWidth="1"/>
    <col min="9" max="9" width="10.140625" customWidth="1"/>
    <col min="10" max="10" width="6.42578125" customWidth="1"/>
    <col min="11" max="11" width="8.7109375" customWidth="1"/>
    <col min="12" max="12" width="9.7109375" customWidth="1"/>
    <col min="13" max="13" width="10" customWidth="1"/>
    <col min="14" max="14" width="0.85546875" customWidth="1"/>
    <col min="15" max="15" width="6.42578125" customWidth="1"/>
    <col min="16" max="16" width="8.28515625" customWidth="1"/>
    <col min="17" max="17" width="9.28515625" customWidth="1"/>
    <col min="18" max="18" width="10.28515625" customWidth="1"/>
    <col min="19" max="19" width="1" customWidth="1"/>
    <col min="20" max="20" width="6.5703125" customWidth="1"/>
    <col min="21" max="21" width="8.140625" customWidth="1"/>
    <col min="22" max="22" width="10.140625" customWidth="1"/>
    <col min="23" max="23" width="10" customWidth="1"/>
  </cols>
  <sheetData>
    <row r="1" spans="1:24" x14ac:dyDescent="0.25">
      <c r="A1" s="29"/>
      <c r="B1" s="29"/>
      <c r="C1" s="29"/>
      <c r="D1" s="259" t="s">
        <v>32</v>
      </c>
      <c r="E1" s="278"/>
      <c r="F1" s="14"/>
      <c r="G1" s="14"/>
      <c r="H1" s="14"/>
      <c r="I1" s="14"/>
      <c r="J1" s="261" t="s">
        <v>41</v>
      </c>
      <c r="K1" s="261"/>
      <c r="L1" s="261"/>
      <c r="M1" s="262"/>
      <c r="N1" s="18"/>
      <c r="O1" s="265" t="s">
        <v>35</v>
      </c>
      <c r="P1" s="265"/>
      <c r="Q1" s="265"/>
      <c r="R1" s="265"/>
      <c r="S1" s="13"/>
      <c r="X1" s="13"/>
    </row>
    <row r="2" spans="1:24" x14ac:dyDescent="0.25">
      <c r="A2" s="54" t="s">
        <v>3</v>
      </c>
      <c r="B2" t="s">
        <v>5</v>
      </c>
      <c r="C2" t="s">
        <v>6</v>
      </c>
      <c r="D2" s="31" t="s">
        <v>37</v>
      </c>
      <c r="E2" s="16" t="s">
        <v>38</v>
      </c>
      <c r="F2" s="19"/>
      <c r="G2" s="19"/>
      <c r="H2" s="47"/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  <c r="X2" s="8"/>
    </row>
    <row r="3" spans="1:24" x14ac:dyDescent="0.25">
      <c r="A3" s="55">
        <v>1</v>
      </c>
      <c r="B3" s="1"/>
      <c r="C3" s="1" t="e">
        <f>VLOOKUP(Tableau2330[[#This Row],[Pilote]],Tableau2[[Pilote]:[Voiture]],2,0)</f>
        <v>#N/A</v>
      </c>
      <c r="D3" s="33"/>
      <c r="E3" s="50" t="str">
        <f>IF(ISNA(VLOOKUP(D3,Tableau1222129[[Pos.]:[Spéciale]],4,0)),"",VLOOKUP(D3,Tableau1222129[[Pos.]:[Spéciale]],4,0))</f>
        <v/>
      </c>
      <c r="F3" s="48"/>
      <c r="G3" s="19"/>
      <c r="H3" s="49"/>
      <c r="J3" s="21" t="s">
        <v>141</v>
      </c>
      <c r="K3" s="17">
        <f t="shared" ref="K3:K18" si="0">IF((P3+K$19-(VLOOKUP((ROUNDUP($Q$21,0)),$O$3:$R$18,2)-1))&gt;K$19,P3+K$19-(VLOOKUP((ROUNDUP($Q$21,0)),$O$3:$R$18,2)-1),)</f>
        <v>26</v>
      </c>
      <c r="L3" s="17">
        <f t="shared" ref="L3:L18" si="1">IF((Q3+L$19-(VLOOKUP((ROUNDUP($Q$21,0)),$O$3:$R$18,3)-1))&gt;L$19,Q3+L$19-(VLOOKUP((ROUNDUP($Q$21,0)),$O$3:$R$18,3)-1),)</f>
        <v>33</v>
      </c>
      <c r="M3" s="17">
        <f t="shared" ref="M3:M18" si="2">IF((R3+M$19-(VLOOKUP((ROUNDUP($Q$21,0)),$O$3:$R$18,4)-1))&gt;M$19,R3+M$19-(VLOOKUP((ROUNDUP($Q$21,0)),$O$3:$R$18,4)-1),)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2*Tableau122028[[#This Row],[Enduro]]</f>
        <v>48</v>
      </c>
      <c r="X3" s="8"/>
    </row>
    <row r="4" spans="1:24" x14ac:dyDescent="0.25">
      <c r="A4" s="56">
        <f>A3+1</f>
        <v>2</v>
      </c>
      <c r="B4" s="1"/>
      <c r="C4" s="1" t="e">
        <f>VLOOKUP(Tableau2330[[#This Row],[Pilote]],Tableau2[[Pilote]:[Voiture]],2,0)</f>
        <v>#N/A</v>
      </c>
      <c r="D4" s="33"/>
      <c r="E4" s="50" t="str">
        <f>IF(ISNA(VLOOKUP(D4,Tableau1222129[[Pos.]:[Spéciale]],4,0)),"",VLOOKUP(D4,Tableau1222129[[Pos.]:[Spéciale]],4,0))</f>
        <v/>
      </c>
      <c r="F4" s="48"/>
      <c r="G4" s="19"/>
      <c r="H4" s="49"/>
      <c r="J4" s="22" t="s">
        <v>142</v>
      </c>
      <c r="K4" s="17">
        <f t="shared" si="0"/>
        <v>23</v>
      </c>
      <c r="L4" s="17">
        <f t="shared" si="1"/>
        <v>29</v>
      </c>
      <c r="M4" s="17">
        <f t="shared" si="2"/>
        <v>57</v>
      </c>
      <c r="N4" s="19"/>
      <c r="O4" s="10">
        <f t="shared" ref="O4:O18" si="3">O3+1</f>
        <v>2</v>
      </c>
      <c r="P4">
        <v>17</v>
      </c>
      <c r="Q4">
        <f t="shared" ref="Q4:Q18" si="4">P3</f>
        <v>20</v>
      </c>
      <c r="R4">
        <f>2*Tableau122028[[#This Row],[Enduro]]</f>
        <v>40</v>
      </c>
      <c r="X4" s="8"/>
    </row>
    <row r="5" spans="1:24" x14ac:dyDescent="0.25">
      <c r="A5" s="57">
        <f>A4+1</f>
        <v>3</v>
      </c>
      <c r="B5" s="1"/>
      <c r="C5" s="1" t="e">
        <f>VLOOKUP(Tableau2330[[#This Row],[Pilote]],Tableau2[[Pilote]:[Voiture]],2,0)</f>
        <v>#N/A</v>
      </c>
      <c r="D5" s="33"/>
      <c r="E5" s="50" t="str">
        <f>IF(ISNA(VLOOKUP(D5,Tableau1222129[[Pos.]:[Spéciale]],4,0)),"",VLOOKUP(D5,Tableau1222129[[Pos.]:[Spéciale]],4,0))</f>
        <v/>
      </c>
      <c r="F5" s="48"/>
      <c r="G5" s="19"/>
      <c r="H5" s="49"/>
      <c r="J5" s="23" t="s">
        <v>143</v>
      </c>
      <c r="K5" s="17">
        <f t="shared" si="0"/>
        <v>21</v>
      </c>
      <c r="L5" s="17">
        <f t="shared" si="1"/>
        <v>26</v>
      </c>
      <c r="M5" s="17">
        <f t="shared" si="2"/>
        <v>51</v>
      </c>
      <c r="N5" s="19"/>
      <c r="O5" s="11">
        <f t="shared" si="3"/>
        <v>3</v>
      </c>
      <c r="P5">
        <v>15</v>
      </c>
      <c r="Q5">
        <f t="shared" si="4"/>
        <v>17</v>
      </c>
      <c r="R5">
        <f>2*Tableau122028[[#This Row],[Enduro]]</f>
        <v>34</v>
      </c>
      <c r="X5" s="8"/>
    </row>
    <row r="6" spans="1:24" x14ac:dyDescent="0.25">
      <c r="A6" s="58">
        <f t="shared" ref="A6:A34" si="5">A5+1</f>
        <v>4</v>
      </c>
      <c r="B6" s="1"/>
      <c r="C6" s="1" t="e">
        <f>VLOOKUP(Tableau2330[[#This Row],[Pilote]],Tableau2[[Pilote]:[Voiture]],2,0)</f>
        <v>#N/A</v>
      </c>
      <c r="D6" s="33"/>
      <c r="E6" s="50" t="str">
        <f>IF(ISNA(VLOOKUP(D6,Tableau1222129[[Pos.]:[Spéciale]],4,0)),"",VLOOKUP(D6,Tableau1222129[[Pos.]:[Spéciale]],4,0))</f>
        <v/>
      </c>
      <c r="F6" s="48"/>
      <c r="G6" s="19"/>
      <c r="H6" s="49"/>
      <c r="J6" s="24" t="s">
        <v>144</v>
      </c>
      <c r="K6" s="17">
        <f t="shared" si="0"/>
        <v>19</v>
      </c>
      <c r="L6" s="17">
        <f t="shared" si="1"/>
        <v>24</v>
      </c>
      <c r="M6" s="17">
        <f t="shared" si="2"/>
        <v>47</v>
      </c>
      <c r="N6" s="19"/>
      <c r="O6" s="12">
        <f t="shared" si="3"/>
        <v>4</v>
      </c>
      <c r="P6">
        <v>13</v>
      </c>
      <c r="Q6">
        <f t="shared" si="4"/>
        <v>15</v>
      </c>
      <c r="R6">
        <f>2*Tableau122028[[#This Row],[Enduro]]</f>
        <v>30</v>
      </c>
      <c r="X6" s="8"/>
    </row>
    <row r="7" spans="1:24" x14ac:dyDescent="0.25">
      <c r="A7" s="58">
        <f t="shared" si="5"/>
        <v>5</v>
      </c>
      <c r="B7" s="1"/>
      <c r="C7" s="1" t="e">
        <f>VLOOKUP(Tableau2330[[#This Row],[Pilote]],Tableau2[[Pilote]:[Voiture]],2,0)</f>
        <v>#N/A</v>
      </c>
      <c r="D7" s="33"/>
      <c r="E7" s="50" t="str">
        <f>IF(ISNA(VLOOKUP(D7,Tableau1222129[[Pos.]:[Spéciale]],4,0)),"",VLOOKUP(D7,Tableau1222129[[Pos.]:[Spéciale]],4,0))</f>
        <v/>
      </c>
      <c r="F7" s="48"/>
      <c r="G7" s="19"/>
      <c r="H7" s="49"/>
      <c r="J7" s="24" t="s">
        <v>145</v>
      </c>
      <c r="K7" s="17">
        <f t="shared" si="0"/>
        <v>18</v>
      </c>
      <c r="L7" s="17">
        <f t="shared" si="1"/>
        <v>22</v>
      </c>
      <c r="M7" s="17">
        <f t="shared" si="2"/>
        <v>43</v>
      </c>
      <c r="N7" s="19"/>
      <c r="O7" s="12">
        <f t="shared" si="3"/>
        <v>5</v>
      </c>
      <c r="P7">
        <v>12</v>
      </c>
      <c r="Q7">
        <f t="shared" si="4"/>
        <v>13</v>
      </c>
      <c r="R7">
        <f>2*Tableau122028[[#This Row],[Enduro]]</f>
        <v>26</v>
      </c>
      <c r="X7" s="8"/>
    </row>
    <row r="8" spans="1:24" x14ac:dyDescent="0.25">
      <c r="A8" s="58">
        <f t="shared" si="5"/>
        <v>6</v>
      </c>
      <c r="B8" s="1"/>
      <c r="C8" s="1" t="e">
        <f>VLOOKUP(Tableau2330[[#This Row],[Pilote]],Tableau2[[Pilote]:[Voiture]],2,0)</f>
        <v>#N/A</v>
      </c>
      <c r="D8" s="33"/>
      <c r="E8" s="50" t="str">
        <f>IF(ISNA(VLOOKUP(D8,Tableau1222129[[Pos.]:[Spéciale]],4,0)),"",VLOOKUP(D8,Tableau1222129[[Pos.]:[Spéciale]],4,0))</f>
        <v/>
      </c>
      <c r="F8" s="48"/>
      <c r="G8" s="19"/>
      <c r="H8" s="49"/>
      <c r="J8" s="24" t="s">
        <v>146</v>
      </c>
      <c r="K8" s="17">
        <f t="shared" si="0"/>
        <v>17</v>
      </c>
      <c r="L8" s="17">
        <f t="shared" si="1"/>
        <v>21</v>
      </c>
      <c r="M8" s="17">
        <f t="shared" si="2"/>
        <v>41</v>
      </c>
      <c r="N8" s="19"/>
      <c r="O8" s="12">
        <f t="shared" si="3"/>
        <v>6</v>
      </c>
      <c r="P8">
        <v>11</v>
      </c>
      <c r="Q8">
        <f t="shared" si="4"/>
        <v>12</v>
      </c>
      <c r="R8">
        <f>2*Tableau122028[[#This Row],[Enduro]]</f>
        <v>24</v>
      </c>
      <c r="X8" s="8"/>
    </row>
    <row r="9" spans="1:24" x14ac:dyDescent="0.25">
      <c r="A9" s="58">
        <f t="shared" si="5"/>
        <v>7</v>
      </c>
      <c r="B9" s="1"/>
      <c r="C9" s="1" t="e">
        <f>VLOOKUP(Tableau2330[[#This Row],[Pilote]],Tableau2[[Pilote]:[Voiture]],2,0)</f>
        <v>#N/A</v>
      </c>
      <c r="D9" s="33"/>
      <c r="E9" s="50" t="str">
        <f>IF(ISNA(VLOOKUP(D9,Tableau1222129[[Pos.]:[Spéciale]],4,0)),"",VLOOKUP(D9,Tableau1222129[[Pos.]:[Spéciale]],4,0))</f>
        <v/>
      </c>
      <c r="F9" s="48"/>
      <c r="G9" s="19"/>
      <c r="H9" s="49"/>
      <c r="J9" s="24" t="s">
        <v>147</v>
      </c>
      <c r="K9" s="17">
        <f t="shared" si="0"/>
        <v>16</v>
      </c>
      <c r="L9" s="17">
        <f t="shared" si="1"/>
        <v>20</v>
      </c>
      <c r="M9" s="17">
        <f t="shared" si="2"/>
        <v>39</v>
      </c>
      <c r="N9" s="19"/>
      <c r="O9" s="12">
        <f t="shared" si="3"/>
        <v>7</v>
      </c>
      <c r="P9">
        <v>10</v>
      </c>
      <c r="Q9">
        <f t="shared" si="4"/>
        <v>11</v>
      </c>
      <c r="R9">
        <f>2*Tableau122028[[#This Row],[Enduro]]</f>
        <v>22</v>
      </c>
      <c r="X9" s="8"/>
    </row>
    <row r="10" spans="1:24" x14ac:dyDescent="0.25">
      <c r="A10" s="58">
        <f t="shared" si="5"/>
        <v>8</v>
      </c>
      <c r="B10" s="1"/>
      <c r="C10" s="1" t="e">
        <f>VLOOKUP(Tableau2330[[#This Row],[Pilote]],Tableau2[[Pilote]:[Voiture]],2,0)</f>
        <v>#N/A</v>
      </c>
      <c r="D10" s="33"/>
      <c r="E10" s="50" t="str">
        <f>IF(ISNA(VLOOKUP(D10,Tableau1222129[[Pos.]:[Spéciale]],4,0)),"",VLOOKUP(D10,Tableau1222129[[Pos.]:[Spéciale]],4,0))</f>
        <v/>
      </c>
      <c r="F10" s="48"/>
      <c r="G10" s="19"/>
      <c r="H10" s="49"/>
      <c r="J10" s="24" t="s">
        <v>148</v>
      </c>
      <c r="K10" s="17">
        <f t="shared" si="0"/>
        <v>15</v>
      </c>
      <c r="L10" s="17">
        <f t="shared" si="1"/>
        <v>19</v>
      </c>
      <c r="M10" s="17">
        <f t="shared" si="2"/>
        <v>37</v>
      </c>
      <c r="N10" s="19"/>
      <c r="O10" s="12">
        <f t="shared" si="3"/>
        <v>8</v>
      </c>
      <c r="P10">
        <v>9</v>
      </c>
      <c r="Q10">
        <f t="shared" si="4"/>
        <v>10</v>
      </c>
      <c r="R10">
        <f>2*Tableau122028[[#This Row],[Enduro]]</f>
        <v>20</v>
      </c>
      <c r="X10" s="8"/>
    </row>
    <row r="11" spans="1:24" x14ac:dyDescent="0.25">
      <c r="A11" s="58">
        <f t="shared" si="5"/>
        <v>9</v>
      </c>
      <c r="B11" s="1"/>
      <c r="C11" s="1" t="e">
        <f>VLOOKUP(Tableau2330[[#This Row],[Pilote]],Tableau2[[Pilote]:[Voiture]],2,0)</f>
        <v>#N/A</v>
      </c>
      <c r="D11" s="33"/>
      <c r="E11" s="50" t="str">
        <f>IF(ISNA(VLOOKUP(D11,Tableau1222129[[Pos.]:[Spéciale]],4,0)),"",VLOOKUP(D11,Tableau1222129[[Pos.]:[Spéciale]],4,0))</f>
        <v/>
      </c>
      <c r="F11" s="48"/>
      <c r="G11" s="19"/>
      <c r="H11" s="49"/>
      <c r="J11" s="24" t="s">
        <v>149</v>
      </c>
      <c r="K11" s="17">
        <f t="shared" si="0"/>
        <v>14</v>
      </c>
      <c r="L11" s="17">
        <f t="shared" si="1"/>
        <v>18</v>
      </c>
      <c r="M11" s="17">
        <f t="shared" si="2"/>
        <v>35</v>
      </c>
      <c r="N11" s="19"/>
      <c r="O11" s="12">
        <f t="shared" si="3"/>
        <v>9</v>
      </c>
      <c r="P11">
        <v>8</v>
      </c>
      <c r="Q11">
        <f t="shared" si="4"/>
        <v>9</v>
      </c>
      <c r="R11">
        <f>2*Tableau122028[[#This Row],[Enduro]]</f>
        <v>18</v>
      </c>
      <c r="X11" s="8"/>
    </row>
    <row r="12" spans="1:24" x14ac:dyDescent="0.25">
      <c r="A12" s="58">
        <f t="shared" si="5"/>
        <v>10</v>
      </c>
      <c r="B12" s="1"/>
      <c r="C12" s="1" t="e">
        <f>VLOOKUP(Tableau2330[[#This Row],[Pilote]],Tableau2[[Pilote]:[Voiture]],2,0)</f>
        <v>#N/A</v>
      </c>
      <c r="D12" s="33"/>
      <c r="E12" s="50" t="str">
        <f>IF(ISNA(VLOOKUP(D12,Tableau1222129[[Pos.]:[Spéciale]],4,0)),"",VLOOKUP(D12,Tableau1222129[[Pos.]:[Spéciale]],4,0))</f>
        <v/>
      </c>
      <c r="F12" s="48"/>
      <c r="G12" s="19"/>
      <c r="H12" s="49"/>
      <c r="J12" s="24" t="s">
        <v>150</v>
      </c>
      <c r="K12" s="17">
        <f t="shared" si="0"/>
        <v>0</v>
      </c>
      <c r="L12" s="17">
        <f t="shared" si="1"/>
        <v>0</v>
      </c>
      <c r="M12" s="17">
        <f t="shared" si="2"/>
        <v>0</v>
      </c>
      <c r="N12" s="19"/>
      <c r="O12" s="12">
        <f t="shared" si="3"/>
        <v>10</v>
      </c>
      <c r="P12">
        <v>7</v>
      </c>
      <c r="Q12">
        <f t="shared" si="4"/>
        <v>8</v>
      </c>
      <c r="R12">
        <f>2*Tableau122028[[#This Row],[Enduro]]</f>
        <v>16</v>
      </c>
      <c r="X12" s="8"/>
    </row>
    <row r="13" spans="1:24" x14ac:dyDescent="0.25">
      <c r="A13" s="58">
        <f t="shared" si="5"/>
        <v>11</v>
      </c>
      <c r="B13" s="1"/>
      <c r="C13" s="1" t="e">
        <f>VLOOKUP(Tableau2330[[#This Row],[Pilote]],Tableau2[[Pilote]:[Voiture]],2,0)</f>
        <v>#N/A</v>
      </c>
      <c r="D13" s="33"/>
      <c r="E13" s="50" t="str">
        <f>IF(ISNA(VLOOKUP(D13,Tableau1222129[[Pos.]:[Spéciale]],4,0)),"",VLOOKUP(D13,Tableau1222129[[Pos.]:[Spéciale]],4,0))</f>
        <v/>
      </c>
      <c r="F13" s="48"/>
      <c r="G13" s="19"/>
      <c r="H13" s="49"/>
      <c r="J13" s="24" t="s">
        <v>151</v>
      </c>
      <c r="K13" s="17">
        <f t="shared" si="0"/>
        <v>0</v>
      </c>
      <c r="L13" s="17">
        <f t="shared" si="1"/>
        <v>0</v>
      </c>
      <c r="M13" s="17">
        <f t="shared" si="2"/>
        <v>0</v>
      </c>
      <c r="N13" s="19"/>
      <c r="O13" s="12">
        <f t="shared" si="3"/>
        <v>11</v>
      </c>
      <c r="P13">
        <v>6</v>
      </c>
      <c r="Q13">
        <f t="shared" si="4"/>
        <v>7</v>
      </c>
      <c r="R13">
        <f>2*Tableau122028[[#This Row],[Enduro]]</f>
        <v>14</v>
      </c>
      <c r="X13" s="8"/>
    </row>
    <row r="14" spans="1:24" x14ac:dyDescent="0.25">
      <c r="A14" s="58">
        <f t="shared" si="5"/>
        <v>12</v>
      </c>
      <c r="B14" s="1"/>
      <c r="C14" s="1" t="e">
        <f>VLOOKUP(Tableau2330[[#This Row],[Pilote]],Tableau2[[Pilote]:[Voiture]],2,0)</f>
        <v>#N/A</v>
      </c>
      <c r="D14" s="33"/>
      <c r="E14" s="50" t="str">
        <f>IF(ISNA(VLOOKUP(D14,Tableau1222129[[Pos.]:[Spéciale]],4,0)),"",VLOOKUP(D14,Tableau1222129[[Pos.]:[Spéciale]],4,0))</f>
        <v/>
      </c>
      <c r="F14" s="48"/>
      <c r="G14" s="19"/>
      <c r="H14" s="49"/>
      <c r="J14" s="24" t="s">
        <v>152</v>
      </c>
      <c r="K14" s="17">
        <f t="shared" si="0"/>
        <v>0</v>
      </c>
      <c r="L14" s="17">
        <f t="shared" si="1"/>
        <v>0</v>
      </c>
      <c r="M14" s="17">
        <f t="shared" si="2"/>
        <v>0</v>
      </c>
      <c r="N14" s="19"/>
      <c r="O14" s="12">
        <f t="shared" si="3"/>
        <v>12</v>
      </c>
      <c r="P14">
        <v>5</v>
      </c>
      <c r="Q14">
        <f t="shared" si="4"/>
        <v>6</v>
      </c>
      <c r="R14">
        <f>2*Tableau122028[[#This Row],[Enduro]]</f>
        <v>12</v>
      </c>
      <c r="X14" s="8"/>
    </row>
    <row r="15" spans="1:24" x14ac:dyDescent="0.25">
      <c r="A15" s="58">
        <f t="shared" si="5"/>
        <v>13</v>
      </c>
      <c r="B15" s="1"/>
      <c r="C15" s="1" t="e">
        <f>VLOOKUP(Tableau2330[[#This Row],[Pilote]],Tableau2[[Pilote]:[Voiture]],2,0)</f>
        <v>#N/A</v>
      </c>
      <c r="D15" s="33"/>
      <c r="E15" s="50" t="str">
        <f>IF(ISNA(VLOOKUP(D15,Tableau1222129[[Pos.]:[Spéciale]],4,0)),"",VLOOKUP(D15,Tableau1222129[[Pos.]:[Spéciale]],4,0))</f>
        <v/>
      </c>
      <c r="F15" s="48"/>
      <c r="G15" s="19"/>
      <c r="H15" s="49"/>
      <c r="J15" s="24" t="s">
        <v>153</v>
      </c>
      <c r="K15" s="17">
        <f t="shared" si="0"/>
        <v>0</v>
      </c>
      <c r="L15" s="17">
        <f t="shared" si="1"/>
        <v>0</v>
      </c>
      <c r="M15" s="17">
        <f t="shared" si="2"/>
        <v>0</v>
      </c>
      <c r="N15" s="19"/>
      <c r="O15" s="12">
        <f t="shared" si="3"/>
        <v>13</v>
      </c>
      <c r="P15">
        <v>4</v>
      </c>
      <c r="Q15">
        <f t="shared" si="4"/>
        <v>5</v>
      </c>
      <c r="R15">
        <f>2*Tableau122028[[#This Row],[Enduro]]</f>
        <v>10</v>
      </c>
      <c r="X15" s="8"/>
    </row>
    <row r="16" spans="1:24" x14ac:dyDescent="0.25">
      <c r="A16" s="58">
        <f t="shared" si="5"/>
        <v>14</v>
      </c>
      <c r="B16" s="1"/>
      <c r="C16" s="1" t="e">
        <f>VLOOKUP(Tableau2330[[#This Row],[Pilote]],Tableau2[[Pilote]:[Voiture]],2,0)</f>
        <v>#N/A</v>
      </c>
      <c r="D16" s="33"/>
      <c r="E16" s="50" t="str">
        <f>IF(ISNA(VLOOKUP(D16,Tableau1222129[[Pos.]:[Spéciale]],4,0)),"",VLOOKUP(D16,Tableau1222129[[Pos.]:[Spéciale]],4,0))</f>
        <v/>
      </c>
      <c r="F16" s="48"/>
      <c r="G16" s="19"/>
      <c r="H16" s="49"/>
      <c r="J16" s="24" t="s">
        <v>154</v>
      </c>
      <c r="K16" s="17">
        <f t="shared" si="0"/>
        <v>0</v>
      </c>
      <c r="L16" s="17">
        <f t="shared" si="1"/>
        <v>0</v>
      </c>
      <c r="M16" s="17">
        <f t="shared" si="2"/>
        <v>0</v>
      </c>
      <c r="N16" s="19"/>
      <c r="O16" s="12">
        <f t="shared" si="3"/>
        <v>14</v>
      </c>
      <c r="P16">
        <v>3</v>
      </c>
      <c r="Q16">
        <f t="shared" si="4"/>
        <v>4</v>
      </c>
      <c r="R16">
        <f>2*Tableau122028[[#This Row],[Enduro]]</f>
        <v>8</v>
      </c>
      <c r="X16" s="8"/>
    </row>
    <row r="17" spans="1:24" x14ac:dyDescent="0.25">
      <c r="A17" s="58">
        <f t="shared" si="5"/>
        <v>15</v>
      </c>
      <c r="B17" s="1"/>
      <c r="C17" s="1" t="e">
        <f>VLOOKUP(Tableau2330[[#This Row],[Pilote]],Tableau2[[Pilote]:[Voiture]],2,0)</f>
        <v>#N/A</v>
      </c>
      <c r="D17" s="33"/>
      <c r="E17" s="50" t="str">
        <f>IF(ISNA(VLOOKUP(D17,Tableau1222129[[Pos.]:[Spéciale]],4,0)),"",VLOOKUP(D17,Tableau1222129[[Pos.]:[Spéciale]],4,0))</f>
        <v/>
      </c>
      <c r="F17" s="48"/>
      <c r="G17" s="19"/>
      <c r="H17" s="49"/>
      <c r="J17" s="24" t="s">
        <v>155</v>
      </c>
      <c r="K17" s="17">
        <f t="shared" si="0"/>
        <v>0</v>
      </c>
      <c r="L17" s="17">
        <f t="shared" si="1"/>
        <v>0</v>
      </c>
      <c r="M17" s="17">
        <f t="shared" si="2"/>
        <v>0</v>
      </c>
      <c r="N17" s="19"/>
      <c r="O17" s="12">
        <f t="shared" si="3"/>
        <v>15</v>
      </c>
      <c r="P17">
        <v>2</v>
      </c>
      <c r="Q17">
        <f t="shared" si="4"/>
        <v>3</v>
      </c>
      <c r="R17">
        <f>2*Tableau122028[[#This Row],[Enduro]]</f>
        <v>6</v>
      </c>
      <c r="X17" s="8"/>
    </row>
    <row r="18" spans="1:24" x14ac:dyDescent="0.25">
      <c r="A18" s="58">
        <f t="shared" si="5"/>
        <v>16</v>
      </c>
      <c r="B18" s="1"/>
      <c r="C18" s="1" t="e">
        <f>VLOOKUP(Tableau2330[[#This Row],[Pilote]],Tableau2[[Pilote]:[Voiture]],2,0)</f>
        <v>#N/A</v>
      </c>
      <c r="D18" s="33"/>
      <c r="E18" s="50" t="str">
        <f>IF(ISNA(VLOOKUP(D18,Tableau1222129[[Pos.]:[Spéciale]],4,0)),"",VLOOKUP(D18,Tableau1222129[[Pos.]:[Spéciale]],4,0))</f>
        <v/>
      </c>
      <c r="F18" s="48"/>
      <c r="G18" s="19"/>
      <c r="H18" s="49"/>
      <c r="J18" s="24" t="s">
        <v>156</v>
      </c>
      <c r="K18" s="17">
        <f t="shared" si="0"/>
        <v>0</v>
      </c>
      <c r="L18" s="17">
        <f t="shared" si="1"/>
        <v>0</v>
      </c>
      <c r="M18" s="17">
        <f t="shared" si="2"/>
        <v>0</v>
      </c>
      <c r="N18" s="19"/>
      <c r="O18" s="12">
        <f t="shared" si="3"/>
        <v>16</v>
      </c>
      <c r="P18">
        <v>1</v>
      </c>
      <c r="Q18">
        <f t="shared" si="4"/>
        <v>2</v>
      </c>
      <c r="R18">
        <f>2*Tableau122028[[#This Row],[Enduro]]</f>
        <v>4</v>
      </c>
      <c r="X18" s="8"/>
    </row>
    <row r="19" spans="1:24" ht="15.75" thickBot="1" x14ac:dyDescent="0.3">
      <c r="A19" s="58">
        <f t="shared" si="5"/>
        <v>17</v>
      </c>
      <c r="B19" s="1"/>
      <c r="C19" s="1" t="e">
        <f>VLOOKUP(Tableau2330[[#This Row],[Pilote]],Tableau2[[Pilote]:[Voiture]],2,0)</f>
        <v>#N/A</v>
      </c>
      <c r="D19" s="33"/>
      <c r="E19" s="50" t="str">
        <f>IF(ISNA(VLOOKUP(D19,Tableau1222129[[Pos.]:[Spéciale]],4,0)),"",VLOOKUP(D19,Tableau1222129[[Pos.]:[Spéciale]],4,0))</f>
        <v/>
      </c>
      <c r="F19" s="48"/>
      <c r="G19" s="19"/>
      <c r="H19" s="49"/>
      <c r="J19" s="25" t="s">
        <v>157</v>
      </c>
      <c r="K19" s="6">
        <f t="shared" ref="K19:K34" si="6">P3-(VLOOKUP((ROUNDDOWN($Q$21,0)),$O$3:$R$18,2)-1)</f>
        <v>13</v>
      </c>
      <c r="L19" s="6">
        <f t="shared" ref="L19:L34" si="7">IF(Q3-(VLOOKUP((ROUNDDOWN($Q$21,0)),$O$3:$R$18,3)-2)&gt;1,Q3-(VLOOKUP((ROUNDDOWN($Q$21,0)),$O$3:$R$18,3)-2),)</f>
        <v>17</v>
      </c>
      <c r="M19" s="6">
        <f t="shared" ref="M19:M34" si="8">IF(R3-(VLOOKUP((ROUNDDOWN($Q$21,0)),$O$3:$R$18,4)-4)&gt;3,R3-(VLOOKUP((ROUNDDOWN($Q$21,0)),$O$3:$R$18,4)-4),)</f>
        <v>34</v>
      </c>
      <c r="X19" s="8"/>
    </row>
    <row r="20" spans="1:24" ht="15.75" thickTop="1" x14ac:dyDescent="0.25">
      <c r="A20" s="58">
        <f t="shared" si="5"/>
        <v>18</v>
      </c>
      <c r="B20" s="1"/>
      <c r="C20" s="1" t="e">
        <f>VLOOKUP(Tableau2330[[#This Row],[Pilote]],Tableau2[[Pilote]:[Voiture]],2,0)</f>
        <v>#N/A</v>
      </c>
      <c r="D20" s="33"/>
      <c r="E20" s="50" t="str">
        <f>IF(ISNA(VLOOKUP(D20,Tableau1222129[[Pos.]:[Spéciale]],4,0)),"",VLOOKUP(D20,Tableau1222129[[Pos.]:[Spéciale]],4,0))</f>
        <v/>
      </c>
      <c r="F20" s="48"/>
      <c r="G20" s="19"/>
      <c r="H20" s="49"/>
      <c r="J20" s="26" t="s">
        <v>158</v>
      </c>
      <c r="K20" s="6">
        <f t="shared" si="6"/>
        <v>10</v>
      </c>
      <c r="L20" s="6">
        <f t="shared" si="7"/>
        <v>13</v>
      </c>
      <c r="M20" s="6">
        <f t="shared" si="8"/>
        <v>26</v>
      </c>
      <c r="O20" s="248" t="s">
        <v>36</v>
      </c>
      <c r="P20" s="250"/>
      <c r="Q20" s="266" t="s">
        <v>34</v>
      </c>
      <c r="R20" s="267"/>
      <c r="S20" s="8"/>
      <c r="X20" s="8"/>
    </row>
    <row r="21" spans="1:24" ht="15.75" thickBot="1" x14ac:dyDescent="0.3">
      <c r="A21" s="58">
        <f t="shared" si="5"/>
        <v>19</v>
      </c>
      <c r="C21" t="e">
        <f>VLOOKUP(Tableau2330[[#This Row],[Pilote]],Tableau2[[Pilote]:[Voiture]],2,0)</f>
        <v>#N/A</v>
      </c>
      <c r="D21" s="35"/>
      <c r="E21" s="46" t="str">
        <f>IF(ISNA(VLOOKUP(D21,Tableau1222129[[Pos.]:[Spéciale]],4,0)),"",VLOOKUP(D21,Tableau1222129[[Pos.]:[Spéciale]],4,0))</f>
        <v/>
      </c>
      <c r="F21" s="18"/>
      <c r="G21" s="19"/>
      <c r="H21" s="49"/>
      <c r="J21" s="27" t="s">
        <v>159</v>
      </c>
      <c r="K21" s="6">
        <f t="shared" si="6"/>
        <v>8</v>
      </c>
      <c r="L21" s="6">
        <f t="shared" si="7"/>
        <v>10</v>
      </c>
      <c r="M21" s="6">
        <f t="shared" si="8"/>
        <v>20</v>
      </c>
      <c r="O21" s="263">
        <v>18</v>
      </c>
      <c r="P21" s="264"/>
      <c r="Q21" s="268">
        <f>O21/2</f>
        <v>9</v>
      </c>
      <c r="R21" s="269"/>
      <c r="S21" s="8"/>
      <c r="X21" s="8"/>
    </row>
    <row r="22" spans="1:24" ht="15.75" thickTop="1" x14ac:dyDescent="0.25">
      <c r="A22" s="58">
        <f t="shared" si="5"/>
        <v>20</v>
      </c>
      <c r="C22" t="e">
        <f>VLOOKUP(Tableau2330[[#This Row],[Pilote]],Tableau2[[Pilote]:[Voiture]],2,0)</f>
        <v>#N/A</v>
      </c>
      <c r="D22" s="35"/>
      <c r="E22" s="46" t="str">
        <f>IF(ISNA(VLOOKUP(D22,Tableau1222129[[Pos.]:[Spéciale]],4,0)),"",VLOOKUP(D22,Tableau1222129[[Pos.]:[Spéciale]],4,0))</f>
        <v/>
      </c>
      <c r="F22" s="18"/>
      <c r="G22" s="19"/>
      <c r="H22" s="49"/>
      <c r="J22" s="15" t="s">
        <v>160</v>
      </c>
      <c r="K22" s="6">
        <f t="shared" si="6"/>
        <v>6</v>
      </c>
      <c r="L22" s="6">
        <f t="shared" si="7"/>
        <v>8</v>
      </c>
      <c r="M22" s="6">
        <f t="shared" si="8"/>
        <v>16</v>
      </c>
      <c r="O22" s="275" t="s">
        <v>42</v>
      </c>
      <c r="P22" s="276"/>
      <c r="Q22" s="276"/>
      <c r="R22" s="277"/>
      <c r="S22" s="8"/>
      <c r="X22" s="8"/>
    </row>
    <row r="23" spans="1:24" ht="15.75" thickBot="1" x14ac:dyDescent="0.3">
      <c r="A23" s="58">
        <f t="shared" si="5"/>
        <v>21</v>
      </c>
      <c r="C23" t="e">
        <f>VLOOKUP(Tableau2330[[#This Row],[Pilote]],Tableau2[[Pilote]:[Voiture]],2,0)</f>
        <v>#N/A</v>
      </c>
      <c r="D23" s="35"/>
      <c r="E23" s="46" t="str">
        <f>IF(ISNA(VLOOKUP(D23,Tableau1222129[[Pos.]:[Spéciale]],4,0)),"",VLOOKUP(D23,Tableau1222129[[Pos.]:[Spéciale]],4,0))</f>
        <v/>
      </c>
      <c r="F23" s="18"/>
      <c r="G23" s="19"/>
      <c r="H23" s="49"/>
      <c r="J23" s="15" t="s">
        <v>161</v>
      </c>
      <c r="K23" s="6">
        <f t="shared" si="6"/>
        <v>5</v>
      </c>
      <c r="L23" s="6">
        <f t="shared" si="7"/>
        <v>6</v>
      </c>
      <c r="M23" s="6">
        <f t="shared" si="8"/>
        <v>12</v>
      </c>
      <c r="O23" s="255">
        <f>SUM(Tableau2330[Pts.        Sprint])/O21</f>
        <v>0</v>
      </c>
      <c r="P23" s="256"/>
      <c r="Q23" s="256"/>
      <c r="R23" s="257"/>
      <c r="S23" s="8"/>
      <c r="T23" s="8"/>
      <c r="U23" s="7"/>
      <c r="V23" s="8"/>
      <c r="W23" s="8"/>
      <c r="X23" s="8"/>
    </row>
    <row r="24" spans="1:24" ht="15.75" thickTop="1" x14ac:dyDescent="0.25">
      <c r="A24" s="58">
        <f t="shared" si="5"/>
        <v>22</v>
      </c>
      <c r="C24" t="e">
        <f>VLOOKUP(Tableau2330[[#This Row],[Pilote]],Tableau2[[Pilote]:[Voiture]],2,0)</f>
        <v>#N/A</v>
      </c>
      <c r="D24" s="35"/>
      <c r="E24" s="46" t="str">
        <f>IF(ISNA(VLOOKUP(D24,Tableau1222129[[Pos.]:[Spéciale]],4,0)),"",VLOOKUP(D24,Tableau1222129[[Pos.]:[Spéciale]],4,0))</f>
        <v/>
      </c>
      <c r="F24" s="18"/>
      <c r="G24" s="19"/>
      <c r="H24" s="49"/>
      <c r="J24" s="15" t="s">
        <v>162</v>
      </c>
      <c r="K24" s="6">
        <f t="shared" si="6"/>
        <v>4</v>
      </c>
      <c r="L24" s="6">
        <f t="shared" si="7"/>
        <v>5</v>
      </c>
      <c r="M24" s="6">
        <f t="shared" si="8"/>
        <v>10</v>
      </c>
      <c r="Q24" s="8"/>
      <c r="R24" s="8"/>
      <c r="S24" s="8"/>
      <c r="T24" s="8"/>
      <c r="U24" s="7"/>
      <c r="V24" s="8"/>
      <c r="W24" s="8"/>
      <c r="X24" s="8"/>
    </row>
    <row r="25" spans="1:24" x14ac:dyDescent="0.25">
      <c r="A25" s="58">
        <f t="shared" si="5"/>
        <v>23</v>
      </c>
      <c r="C25" t="e">
        <f>VLOOKUP(Tableau2330[[#This Row],[Pilote]],Tableau2[[Pilote]:[Voiture]],2,0)</f>
        <v>#N/A</v>
      </c>
      <c r="D25" s="35"/>
      <c r="E25" s="46" t="str">
        <f>IF(ISNA(VLOOKUP(D25,Tableau1222129[[Pos.]:[Spéciale]],4,0)),"",VLOOKUP(D25,Tableau1222129[[Pos.]:[Spéciale]],4,0))</f>
        <v/>
      </c>
      <c r="F25" s="18"/>
      <c r="G25" s="19"/>
      <c r="H25" s="49"/>
      <c r="J25" s="15" t="s">
        <v>163</v>
      </c>
      <c r="K25" s="6">
        <f t="shared" si="6"/>
        <v>3</v>
      </c>
      <c r="L25" s="6">
        <f t="shared" si="7"/>
        <v>4</v>
      </c>
      <c r="M25" s="6">
        <f t="shared" si="8"/>
        <v>8</v>
      </c>
      <c r="Q25" s="8"/>
      <c r="R25" s="8"/>
      <c r="S25" s="8"/>
      <c r="T25" s="8"/>
      <c r="U25" s="7"/>
      <c r="V25" s="8"/>
      <c r="W25" s="8"/>
      <c r="X25" s="8"/>
    </row>
    <row r="26" spans="1:24" x14ac:dyDescent="0.25">
      <c r="A26" s="58">
        <f t="shared" si="5"/>
        <v>24</v>
      </c>
      <c r="C26" t="e">
        <f>VLOOKUP(Tableau2330[[#This Row],[Pilote]],Tableau2[[Pilote]:[Voiture]],2,0)</f>
        <v>#N/A</v>
      </c>
      <c r="D26" s="35"/>
      <c r="E26" s="46" t="str">
        <f>IF(ISNA(VLOOKUP(D26,Tableau1222129[[Pos.]:[Spéciale]],4,0)),"",VLOOKUP(D26,Tableau1222129[[Pos.]:[Spéciale]],4,0))</f>
        <v/>
      </c>
      <c r="F26" s="18"/>
      <c r="G26" s="19"/>
      <c r="H26" s="49"/>
      <c r="J26" s="15" t="s">
        <v>164</v>
      </c>
      <c r="K26" s="6">
        <f t="shared" si="6"/>
        <v>2</v>
      </c>
      <c r="L26" s="6">
        <f t="shared" si="7"/>
        <v>3</v>
      </c>
      <c r="M26" s="6">
        <f t="shared" si="8"/>
        <v>6</v>
      </c>
      <c r="Q26" s="8"/>
      <c r="R26" s="8"/>
      <c r="S26" s="8"/>
      <c r="T26" s="8"/>
      <c r="U26" s="7"/>
      <c r="V26" s="8"/>
      <c r="W26" s="8"/>
      <c r="X26" s="8"/>
    </row>
    <row r="27" spans="1:24" x14ac:dyDescent="0.25">
      <c r="A27" s="58">
        <f t="shared" si="5"/>
        <v>25</v>
      </c>
      <c r="C27" t="e">
        <f>VLOOKUP(Tableau2330[[#This Row],[Pilote]],Tableau2[[Pilote]:[Voiture]],2,0)</f>
        <v>#N/A</v>
      </c>
      <c r="D27" s="35"/>
      <c r="E27" s="46" t="str">
        <f>IF(ISNA(VLOOKUP(D27,Tableau1222129[[Pos.]:[Spéciale]],4,0)),"",VLOOKUP(D27,Tableau1222129[[Pos.]:[Spéciale]],4,0))</f>
        <v/>
      </c>
      <c r="F27" s="18"/>
      <c r="G27" s="19"/>
      <c r="H27" s="49"/>
      <c r="J27" s="15" t="s">
        <v>165</v>
      </c>
      <c r="K27" s="6">
        <f t="shared" si="6"/>
        <v>1</v>
      </c>
      <c r="L27" s="6">
        <f t="shared" si="7"/>
        <v>2</v>
      </c>
      <c r="M27" s="6">
        <f t="shared" si="8"/>
        <v>4</v>
      </c>
      <c r="Q27" s="8"/>
      <c r="R27" s="8"/>
      <c r="S27" s="8"/>
      <c r="T27" s="8"/>
      <c r="U27" s="7"/>
      <c r="V27" s="8"/>
      <c r="W27" s="8"/>
      <c r="X27" s="8"/>
    </row>
    <row r="28" spans="1:24" x14ac:dyDescent="0.25">
      <c r="A28" s="58">
        <f t="shared" si="5"/>
        <v>26</v>
      </c>
      <c r="C28" t="e">
        <f>VLOOKUP(Tableau2330[[#This Row],[Pilote]],Tableau2[[Pilote]:[Voiture]],2,0)</f>
        <v>#N/A</v>
      </c>
      <c r="D28" s="35"/>
      <c r="E28" s="46" t="str">
        <f>IF(ISNA(VLOOKUP(D28,Tableau1222129[[Pos.]:[Spéciale]],4,0)),"",VLOOKUP(D28,Tableau1222129[[Pos.]:[Spéciale]],4,0))</f>
        <v/>
      </c>
      <c r="F28" s="18"/>
      <c r="G28" s="19"/>
      <c r="H28" s="49"/>
      <c r="J28" s="15" t="s">
        <v>166</v>
      </c>
      <c r="K28" s="6">
        <f t="shared" si="6"/>
        <v>0</v>
      </c>
      <c r="L28" s="6">
        <f t="shared" si="7"/>
        <v>0</v>
      </c>
      <c r="M28" s="6">
        <f t="shared" si="8"/>
        <v>0</v>
      </c>
      <c r="Q28" s="8"/>
      <c r="R28" s="8"/>
      <c r="S28" s="8"/>
      <c r="T28" s="8"/>
      <c r="U28" s="7"/>
      <c r="V28" s="8"/>
      <c r="W28" s="8"/>
      <c r="X28" s="8"/>
    </row>
    <row r="29" spans="1:24" x14ac:dyDescent="0.25">
      <c r="A29" s="58">
        <f t="shared" si="5"/>
        <v>27</v>
      </c>
      <c r="C29" t="e">
        <f>VLOOKUP(Tableau2330[[#This Row],[Pilote]],Tableau2[[Pilote]:[Voiture]],2,0)</f>
        <v>#N/A</v>
      </c>
      <c r="D29" s="35"/>
      <c r="E29" s="46" t="str">
        <f>IF(ISNA(VLOOKUP(D29,Tableau1222129[[Pos.]:[Spéciale]],4,0)),"",VLOOKUP(D29,Tableau1222129[[Pos.]:[Spéciale]],4,0))</f>
        <v/>
      </c>
      <c r="F29" s="18"/>
      <c r="G29" s="19"/>
      <c r="H29" s="49"/>
      <c r="J29" s="15" t="s">
        <v>167</v>
      </c>
      <c r="K29" s="6">
        <f t="shared" si="6"/>
        <v>-1</v>
      </c>
      <c r="L29" s="6">
        <f t="shared" si="7"/>
        <v>0</v>
      </c>
      <c r="M29" s="6">
        <f t="shared" si="8"/>
        <v>0</v>
      </c>
      <c r="P29" s="7"/>
      <c r="Q29" s="8"/>
      <c r="R29" s="8"/>
      <c r="S29" s="8"/>
      <c r="T29" s="8"/>
      <c r="U29" s="7"/>
      <c r="V29" s="8"/>
      <c r="W29" s="8"/>
      <c r="X29" s="8"/>
    </row>
    <row r="30" spans="1:24" x14ac:dyDescent="0.25">
      <c r="A30" s="58">
        <f t="shared" si="5"/>
        <v>28</v>
      </c>
      <c r="C30" t="e">
        <f>VLOOKUP(Tableau2330[[#This Row],[Pilote]],Tableau2[[Pilote]:[Voiture]],2,0)</f>
        <v>#N/A</v>
      </c>
      <c r="D30" s="35"/>
      <c r="E30" s="46" t="str">
        <f>IF(ISNA(VLOOKUP(D30,Tableau1222129[[Pos.]:[Spéciale]],4,0)),"",VLOOKUP(D30,Tableau1222129[[Pos.]:[Spéciale]],4,0))</f>
        <v/>
      </c>
      <c r="F30" s="18"/>
      <c r="G30" s="19"/>
      <c r="H30" s="49"/>
      <c r="J30" s="15" t="s">
        <v>168</v>
      </c>
      <c r="K30" s="6">
        <f t="shared" si="6"/>
        <v>-2</v>
      </c>
      <c r="L30" s="6">
        <f t="shared" si="7"/>
        <v>0</v>
      </c>
      <c r="M30" s="6">
        <f t="shared" si="8"/>
        <v>0</v>
      </c>
      <c r="P30" s="7"/>
      <c r="Q30" s="8"/>
      <c r="R30" s="8"/>
      <c r="S30" s="8"/>
      <c r="T30" s="8"/>
      <c r="U30" s="7"/>
      <c r="V30" s="8"/>
      <c r="W30" s="8"/>
      <c r="X30" s="8"/>
    </row>
    <row r="31" spans="1:24" x14ac:dyDescent="0.25">
      <c r="A31" s="58">
        <f t="shared" si="5"/>
        <v>29</v>
      </c>
      <c r="C31" t="e">
        <f>VLOOKUP(Tableau2330[[#This Row],[Pilote]],Tableau2[[Pilote]:[Voiture]],2,0)</f>
        <v>#N/A</v>
      </c>
      <c r="D31" s="35"/>
      <c r="E31" s="46" t="str">
        <f>IF(ISNA(VLOOKUP(D31,Tableau1222129[[Pos.]:[Spéciale]],4,0)),"",VLOOKUP(D31,Tableau1222129[[Pos.]:[Spéciale]],4,0))</f>
        <v/>
      </c>
      <c r="F31" s="18"/>
      <c r="G31" s="19"/>
      <c r="H31" s="49"/>
      <c r="J31" s="15" t="s">
        <v>169</v>
      </c>
      <c r="K31" s="6">
        <f t="shared" si="6"/>
        <v>-3</v>
      </c>
      <c r="L31" s="6">
        <f t="shared" si="7"/>
        <v>0</v>
      </c>
      <c r="M31" s="6">
        <f t="shared" si="8"/>
        <v>0</v>
      </c>
      <c r="P31" s="7"/>
      <c r="Q31" s="8"/>
      <c r="R31" s="8"/>
      <c r="S31" s="8"/>
      <c r="T31" s="8"/>
      <c r="U31" s="7"/>
      <c r="V31" s="8"/>
      <c r="W31" s="8"/>
      <c r="X31" s="8"/>
    </row>
    <row r="32" spans="1:24" x14ac:dyDescent="0.25">
      <c r="A32" s="58">
        <f t="shared" si="5"/>
        <v>30</v>
      </c>
      <c r="C32" t="e">
        <f>VLOOKUP(Tableau2330[[#This Row],[Pilote]],Tableau2[[Pilote]:[Voiture]],2,0)</f>
        <v>#N/A</v>
      </c>
      <c r="D32" s="35"/>
      <c r="E32" s="46" t="str">
        <f>IF(ISNA(VLOOKUP(D32,Tableau1222129[[Pos.]:[Spéciale]],4,0)),"",VLOOKUP(D32,Tableau1222129[[Pos.]:[Spéciale]],4,0))</f>
        <v/>
      </c>
      <c r="F32" s="18"/>
      <c r="G32" s="19"/>
      <c r="H32" s="49"/>
      <c r="J32" s="15" t="s">
        <v>170</v>
      </c>
      <c r="K32" s="6">
        <f t="shared" si="6"/>
        <v>-4</v>
      </c>
      <c r="L32" s="6">
        <f t="shared" si="7"/>
        <v>0</v>
      </c>
      <c r="M32" s="6">
        <f t="shared" si="8"/>
        <v>0</v>
      </c>
      <c r="P32" s="7"/>
      <c r="Q32" s="8"/>
      <c r="R32" s="8"/>
      <c r="S32" s="8"/>
      <c r="T32" s="8"/>
      <c r="U32" s="7"/>
      <c r="V32" s="8"/>
      <c r="W32" s="8"/>
      <c r="X32" s="8"/>
    </row>
    <row r="33" spans="1:24" x14ac:dyDescent="0.25">
      <c r="A33" s="58">
        <f t="shared" si="5"/>
        <v>31</v>
      </c>
      <c r="C33" t="e">
        <f>VLOOKUP(Tableau2330[[#This Row],[Pilote]],Tableau2[[Pilote]:[Voiture]],2,0)</f>
        <v>#N/A</v>
      </c>
      <c r="D33" s="35"/>
      <c r="E33" s="46" t="str">
        <f>IF(ISNA(VLOOKUP(D33,Tableau1222129[[Pos.]:[Spéciale]],4,0)),"",VLOOKUP(D33,Tableau1222129[[Pos.]:[Spéciale]],4,0))</f>
        <v/>
      </c>
      <c r="F33" s="18"/>
      <c r="G33" s="19"/>
      <c r="H33" s="49"/>
      <c r="J33" s="15" t="s">
        <v>171</v>
      </c>
      <c r="K33" s="6">
        <f t="shared" si="6"/>
        <v>-5</v>
      </c>
      <c r="L33" s="6">
        <f t="shared" si="7"/>
        <v>0</v>
      </c>
      <c r="M33" s="6">
        <f t="shared" si="8"/>
        <v>0</v>
      </c>
      <c r="P33" s="7"/>
      <c r="Q33" s="8"/>
      <c r="R33" s="8"/>
      <c r="S33" s="8"/>
      <c r="T33" s="8"/>
      <c r="U33" s="7"/>
      <c r="V33" s="8"/>
      <c r="W33" s="8"/>
      <c r="X33" s="8"/>
    </row>
    <row r="34" spans="1:24" x14ac:dyDescent="0.25">
      <c r="A34" s="58">
        <f t="shared" si="5"/>
        <v>32</v>
      </c>
      <c r="C34" t="e">
        <f>VLOOKUP(Tableau2330[[#This Row],[Pilote]],Tableau2[[Pilote]:[Voiture]],2,0)</f>
        <v>#N/A</v>
      </c>
      <c r="D34" s="35"/>
      <c r="E34" s="46" t="str">
        <f>IF(ISNA(VLOOKUP(D34,Tableau1222129[[Pos.]:[Spéciale]],4,0)),"",VLOOKUP(D34,Tableau1222129[[Pos.]:[Spéciale]],4,0))</f>
        <v/>
      </c>
      <c r="F34" s="18"/>
      <c r="G34" s="19"/>
      <c r="H34" s="49"/>
      <c r="J34" s="15" t="s">
        <v>172</v>
      </c>
      <c r="K34" s="6">
        <f t="shared" si="6"/>
        <v>-6</v>
      </c>
      <c r="L34" s="6">
        <f t="shared" si="7"/>
        <v>0</v>
      </c>
      <c r="M34" s="6">
        <f t="shared" si="8"/>
        <v>0</v>
      </c>
      <c r="P34" s="7"/>
      <c r="Q34" s="8"/>
      <c r="R34" s="8"/>
      <c r="S34" s="8"/>
      <c r="T34" s="8"/>
      <c r="U34" s="7"/>
      <c r="V34" s="8"/>
      <c r="W34" s="8"/>
      <c r="X34" s="8"/>
    </row>
    <row r="35" spans="1:24" x14ac:dyDescent="0.25"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25"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25"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25">
      <c r="P38" s="8"/>
      <c r="Q38" s="8"/>
      <c r="R38" s="8"/>
      <c r="S38" s="8"/>
      <c r="T38" s="8"/>
      <c r="U38" s="8"/>
      <c r="V38" s="8"/>
      <c r="W38" s="8"/>
      <c r="X38" s="8"/>
    </row>
  </sheetData>
  <mergeCells count="9">
    <mergeCell ref="O21:P21"/>
    <mergeCell ref="Q21:R21"/>
    <mergeCell ref="O22:R22"/>
    <mergeCell ref="O23:R23"/>
    <mergeCell ref="D1:E1"/>
    <mergeCell ref="J1:M1"/>
    <mergeCell ref="O1:R1"/>
    <mergeCell ref="O20:P20"/>
    <mergeCell ref="Q20:R20"/>
  </mergeCells>
  <dataValidations count="2">
    <dataValidation errorStyle="information" operator="greaterThan" allowBlank="1" errorTitle="Non inscrit" error="Cet emplacement excède le nombre d'inscrits." sqref="K19:M34"/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</dataValidations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I3" sqref="I3"/>
    </sheetView>
  </sheetViews>
  <sheetFormatPr baseColWidth="10" defaultRowHeight="15" x14ac:dyDescent="0.25"/>
  <cols>
    <col min="1" max="1" width="4.140625" customWidth="1"/>
    <col min="2" max="2" width="18.28515625" customWidth="1"/>
    <col min="3" max="3" width="12.7109375" customWidth="1"/>
    <col min="5" max="5" width="16.140625" customWidth="1"/>
    <col min="6" max="6" width="10.28515625" customWidth="1"/>
    <col min="7" max="7" width="15.28515625" customWidth="1"/>
    <col min="8" max="8" width="22.7109375" customWidth="1"/>
    <col min="9" max="9" width="20.42578125" customWidth="1"/>
    <col min="10" max="10" width="11.7109375" customWidth="1"/>
  </cols>
  <sheetData>
    <row r="1" spans="1:10" x14ac:dyDescent="0.25">
      <c r="A1" s="106" t="s">
        <v>121</v>
      </c>
      <c r="B1" s="107" t="s">
        <v>6</v>
      </c>
      <c r="C1" s="107" t="s">
        <v>122</v>
      </c>
      <c r="D1" s="107" t="s">
        <v>123</v>
      </c>
      <c r="E1" s="107" t="s">
        <v>124</v>
      </c>
      <c r="F1" s="107" t="s">
        <v>125</v>
      </c>
      <c r="G1" s="107" t="s">
        <v>126</v>
      </c>
      <c r="H1" s="107" t="s">
        <v>127</v>
      </c>
      <c r="I1" s="108" t="s">
        <v>128</v>
      </c>
    </row>
    <row r="2" spans="1:10" x14ac:dyDescent="0.25">
      <c r="A2" s="109">
        <v>1</v>
      </c>
      <c r="B2" s="110" t="s">
        <v>129</v>
      </c>
      <c r="C2" s="111">
        <f t="shared" ref="C2:C9" si="0">F2+G2+H2</f>
        <v>3.2656134259259261E-3</v>
      </c>
      <c r="D2" s="112">
        <f t="shared" ref="D2:D9" si="1">C2-$C$2</f>
        <v>0</v>
      </c>
      <c r="E2" s="113" t="e">
        <f t="shared" ref="E2:E9" si="2">C2-C1</f>
        <v>#VALUE!</v>
      </c>
      <c r="F2" s="114">
        <v>7.0642361111111112E-4</v>
      </c>
      <c r="G2" s="114">
        <v>1.0868171296296296E-3</v>
      </c>
      <c r="H2" s="115">
        <v>1.4723726851851853E-3</v>
      </c>
      <c r="I2" s="116">
        <v>4</v>
      </c>
    </row>
    <row r="3" spans="1:10" x14ac:dyDescent="0.25">
      <c r="A3" s="117">
        <f>A2+1</f>
        <v>2</v>
      </c>
      <c r="B3" s="110" t="s">
        <v>130</v>
      </c>
      <c r="C3" s="111">
        <f t="shared" si="0"/>
        <v>3.2660416666666667E-3</v>
      </c>
      <c r="D3" s="112">
        <f t="shared" si="1"/>
        <v>4.2824074074051047E-7</v>
      </c>
      <c r="E3" s="113">
        <f t="shared" si="2"/>
        <v>4.2824074074051047E-7</v>
      </c>
      <c r="F3" s="114">
        <v>7.0498842592592586E-4</v>
      </c>
      <c r="G3" s="114">
        <v>1.0890740740740741E-3</v>
      </c>
      <c r="H3" s="115">
        <v>1.4719791666666666E-3</v>
      </c>
      <c r="I3" s="116">
        <v>4.75</v>
      </c>
    </row>
    <row r="4" spans="1:10" x14ac:dyDescent="0.25">
      <c r="A4" s="118">
        <f t="shared" ref="A4:A9" si="3">A3+1</f>
        <v>3</v>
      </c>
      <c r="B4" s="110" t="s">
        <v>131</v>
      </c>
      <c r="C4" s="111">
        <f t="shared" si="0"/>
        <v>3.2712615740740744E-3</v>
      </c>
      <c r="D4" s="112">
        <f t="shared" si="1"/>
        <v>5.6481481481482874E-6</v>
      </c>
      <c r="E4" s="113">
        <f t="shared" si="2"/>
        <v>5.219907407407777E-6</v>
      </c>
      <c r="F4" s="114">
        <v>7.1001157407407417E-4</v>
      </c>
      <c r="G4" s="114">
        <v>1.0881828703703704E-3</v>
      </c>
      <c r="H4" s="115">
        <v>1.4730671296296297E-3</v>
      </c>
      <c r="I4" s="116">
        <v>3.6</v>
      </c>
    </row>
    <row r="5" spans="1:10" x14ac:dyDescent="0.25">
      <c r="A5" s="106">
        <f t="shared" si="3"/>
        <v>4</v>
      </c>
      <c r="B5" s="110" t="s">
        <v>132</v>
      </c>
      <c r="C5" s="111">
        <f t="shared" si="0"/>
        <v>3.277465277777778E-3</v>
      </c>
      <c r="D5" s="112">
        <f t="shared" si="1"/>
        <v>1.1851851851851867E-5</v>
      </c>
      <c r="E5" s="113">
        <f t="shared" si="2"/>
        <v>6.2037037037035794E-6</v>
      </c>
      <c r="F5" s="114">
        <v>7.0688657407407408E-4</v>
      </c>
      <c r="G5" s="114">
        <v>1.0910185185185187E-3</v>
      </c>
      <c r="H5" s="115">
        <v>1.4795601851851853E-3</v>
      </c>
      <c r="I5" s="116">
        <v>4.0999999999999996</v>
      </c>
    </row>
    <row r="6" spans="1:10" x14ac:dyDescent="0.25">
      <c r="A6" s="106">
        <f t="shared" si="3"/>
        <v>5</v>
      </c>
      <c r="B6" s="110" t="s">
        <v>133</v>
      </c>
      <c r="C6" s="111">
        <f t="shared" si="0"/>
        <v>3.2775810185185191E-3</v>
      </c>
      <c r="D6" s="112">
        <f t="shared" si="1"/>
        <v>1.1967592592592932E-5</v>
      </c>
      <c r="E6" s="113">
        <f t="shared" si="2"/>
        <v>1.157407407410653E-7</v>
      </c>
      <c r="F6" s="114">
        <v>7.0958333333333333E-4</v>
      </c>
      <c r="G6" s="114">
        <v>1.0890393518518519E-3</v>
      </c>
      <c r="H6" s="115">
        <v>1.4789583333333336E-3</v>
      </c>
      <c r="I6" s="116">
        <v>4.4000000000000004</v>
      </c>
    </row>
    <row r="7" spans="1:10" x14ac:dyDescent="0.25">
      <c r="A7" s="106">
        <f t="shared" si="3"/>
        <v>6</v>
      </c>
      <c r="B7" s="110" t="s">
        <v>134</v>
      </c>
      <c r="C7" s="111">
        <f t="shared" si="0"/>
        <v>3.2782754629629629E-3</v>
      </c>
      <c r="D7" s="112">
        <f t="shared" si="1"/>
        <v>1.2662037037036722E-5</v>
      </c>
      <c r="E7" s="113">
        <f t="shared" si="2"/>
        <v>6.9444444444378972E-7</v>
      </c>
      <c r="F7" s="114">
        <v>7.1100694444444434E-4</v>
      </c>
      <c r="G7" s="114">
        <v>1.0887268518518518E-3</v>
      </c>
      <c r="H7" s="115">
        <v>1.4785416666666668E-3</v>
      </c>
      <c r="I7" s="116">
        <v>3.9</v>
      </c>
    </row>
    <row r="8" spans="1:10" x14ac:dyDescent="0.25">
      <c r="A8" s="106">
        <f t="shared" si="3"/>
        <v>7</v>
      </c>
      <c r="B8" s="110" t="s">
        <v>135</v>
      </c>
      <c r="C8" s="111">
        <f t="shared" si="0"/>
        <v>3.2809259259259258E-3</v>
      </c>
      <c r="D8" s="112">
        <f t="shared" si="1"/>
        <v>1.5312499999999701E-5</v>
      </c>
      <c r="E8" s="113">
        <f t="shared" si="2"/>
        <v>2.6504629629629795E-6</v>
      </c>
      <c r="F8" s="114">
        <v>7.092824074074075E-4</v>
      </c>
      <c r="G8" s="114">
        <v>1.0956134259259259E-3</v>
      </c>
      <c r="H8" s="115">
        <v>1.4760300925925928E-3</v>
      </c>
      <c r="I8" s="116">
        <v>3.75</v>
      </c>
    </row>
    <row r="9" spans="1:10" x14ac:dyDescent="0.25">
      <c r="A9" s="106">
        <f t="shared" si="3"/>
        <v>8</v>
      </c>
      <c r="B9" s="110" t="s">
        <v>136</v>
      </c>
      <c r="C9" s="111">
        <f t="shared" si="0"/>
        <v>3.2842592592592593E-3</v>
      </c>
      <c r="D9" s="112">
        <f t="shared" si="1"/>
        <v>1.8645833333333188E-5</v>
      </c>
      <c r="E9" s="113">
        <f t="shared" si="2"/>
        <v>3.3333333333334866E-6</v>
      </c>
      <c r="F9" s="114">
        <v>7.0918981481481484E-4</v>
      </c>
      <c r="G9" s="114">
        <v>1.0944560185185185E-3</v>
      </c>
      <c r="H9" s="115">
        <v>1.4806134259259258E-3</v>
      </c>
      <c r="I9" s="116">
        <v>3.5</v>
      </c>
      <c r="J9" s="119"/>
    </row>
    <row r="10" spans="1:10" x14ac:dyDescent="0.25">
      <c r="A10" s="240" t="s">
        <v>137</v>
      </c>
      <c r="B10" s="240"/>
      <c r="C10" s="240"/>
      <c r="D10" s="240"/>
      <c r="E10" s="240"/>
      <c r="F10" s="240"/>
      <c r="G10" s="240"/>
      <c r="H10" s="240"/>
      <c r="I10" s="240"/>
    </row>
    <row r="11" spans="1:10" x14ac:dyDescent="0.25">
      <c r="A11" s="240" t="s">
        <v>138</v>
      </c>
      <c r="B11" s="240"/>
      <c r="C11" s="240"/>
      <c r="D11" s="240"/>
      <c r="E11" s="240"/>
      <c r="F11" s="240"/>
      <c r="G11" s="240"/>
      <c r="H11" s="240"/>
      <c r="I11" s="240"/>
    </row>
    <row r="12" spans="1:10" x14ac:dyDescent="0.25">
      <c r="A12" s="120"/>
      <c r="B12" s="120"/>
      <c r="C12" s="120"/>
      <c r="D12" s="120"/>
      <c r="E12" s="120"/>
      <c r="F12" s="120"/>
      <c r="G12" s="120"/>
      <c r="H12" s="120"/>
      <c r="I12" s="120"/>
    </row>
    <row r="13" spans="1:10" x14ac:dyDescent="0.25">
      <c r="A13" s="240" t="s">
        <v>139</v>
      </c>
      <c r="B13" s="240"/>
      <c r="C13" s="240"/>
      <c r="D13" s="240"/>
      <c r="E13" s="240"/>
      <c r="F13" s="240"/>
      <c r="G13" s="240"/>
      <c r="H13" s="240"/>
      <c r="I13" s="240"/>
    </row>
    <row r="14" spans="1:10" x14ac:dyDescent="0.25">
      <c r="A14" s="240" t="s">
        <v>140</v>
      </c>
      <c r="B14" s="240"/>
      <c r="C14" s="240"/>
      <c r="D14" s="240"/>
      <c r="E14" s="240"/>
      <c r="F14" s="240"/>
      <c r="G14" s="240"/>
      <c r="H14" s="240"/>
      <c r="I14" s="240"/>
    </row>
    <row r="15" spans="1:10" x14ac:dyDescent="0.25">
      <c r="A15" s="106" t="s">
        <v>121</v>
      </c>
      <c r="B15" s="107" t="s">
        <v>6</v>
      </c>
      <c r="C15" s="107" t="s">
        <v>122</v>
      </c>
      <c r="D15" s="107" t="s">
        <v>123</v>
      </c>
      <c r="E15" s="107" t="s">
        <v>124</v>
      </c>
      <c r="F15" s="107" t="s">
        <v>125</v>
      </c>
      <c r="G15" s="107" t="s">
        <v>126</v>
      </c>
      <c r="H15" s="107" t="s">
        <v>127</v>
      </c>
      <c r="I15" s="108" t="s">
        <v>128</v>
      </c>
    </row>
    <row r="16" spans="1:10" x14ac:dyDescent="0.25">
      <c r="A16" s="109">
        <v>1</v>
      </c>
      <c r="B16" s="110" t="s">
        <v>130</v>
      </c>
      <c r="C16" s="111">
        <f t="shared" ref="C16:C23" si="4">1.5*F16+G16+0.75*H16</f>
        <v>3.2505410879629629E-3</v>
      </c>
      <c r="D16" s="112">
        <f>C16-$C$16</f>
        <v>0</v>
      </c>
      <c r="E16" s="113" t="e">
        <f t="shared" ref="E16:E23" si="5">C16-C15</f>
        <v>#VALUE!</v>
      </c>
      <c r="F16" s="114">
        <v>7.0498842592592586E-4</v>
      </c>
      <c r="G16" s="114">
        <v>1.0890740740740741E-3</v>
      </c>
      <c r="H16" s="115">
        <v>1.4719791666666666E-3</v>
      </c>
      <c r="I16" s="116">
        <v>4.75</v>
      </c>
    </row>
    <row r="17" spans="1:9" x14ac:dyDescent="0.25">
      <c r="A17" s="117">
        <f>A16+1</f>
        <v>2</v>
      </c>
      <c r="B17" s="110" t="s">
        <v>129</v>
      </c>
      <c r="C17" s="111">
        <f t="shared" si="4"/>
        <v>3.2507320601851855E-3</v>
      </c>
      <c r="D17" s="112">
        <f t="shared" ref="D17:D23" si="6">C17-$C$16</f>
        <v>1.9097222222260596E-7</v>
      </c>
      <c r="E17" s="113">
        <f t="shared" si="5"/>
        <v>1.9097222222260596E-7</v>
      </c>
      <c r="F17" s="114">
        <v>7.0642361111111112E-4</v>
      </c>
      <c r="G17" s="114">
        <v>1.0868171296296296E-3</v>
      </c>
      <c r="H17" s="115">
        <v>1.4723726851851853E-3</v>
      </c>
      <c r="I17" s="116">
        <v>4</v>
      </c>
    </row>
    <row r="18" spans="1:9" x14ac:dyDescent="0.25">
      <c r="A18" s="118">
        <f t="shared" ref="A18:A23" si="7">A17+1</f>
        <v>3</v>
      </c>
      <c r="B18" s="110" t="s">
        <v>131</v>
      </c>
      <c r="C18" s="111">
        <f t="shared" si="4"/>
        <v>3.2580005787037039E-3</v>
      </c>
      <c r="D18" s="112">
        <f t="shared" si="6"/>
        <v>7.4594907407410371E-6</v>
      </c>
      <c r="E18" s="113">
        <f t="shared" si="5"/>
        <v>7.2685185185184312E-6</v>
      </c>
      <c r="F18" s="114">
        <v>7.1001157407407417E-4</v>
      </c>
      <c r="G18" s="114">
        <v>1.0881828703703704E-3</v>
      </c>
      <c r="H18" s="115">
        <v>1.4730671296296297E-3</v>
      </c>
      <c r="I18" s="116">
        <v>3.6</v>
      </c>
    </row>
    <row r="19" spans="1:9" x14ac:dyDescent="0.25">
      <c r="A19" s="106">
        <f t="shared" si="7"/>
        <v>4</v>
      </c>
      <c r="B19" s="110" t="s">
        <v>132</v>
      </c>
      <c r="C19" s="111">
        <f t="shared" si="4"/>
        <v>3.261018518518519E-3</v>
      </c>
      <c r="D19" s="112">
        <f t="shared" si="6"/>
        <v>1.0477430555556107E-5</v>
      </c>
      <c r="E19" s="113">
        <f t="shared" si="5"/>
        <v>3.0179398148150703E-6</v>
      </c>
      <c r="F19" s="114">
        <v>7.0688657407407408E-4</v>
      </c>
      <c r="G19" s="114">
        <v>1.0910185185185187E-3</v>
      </c>
      <c r="H19" s="115">
        <v>1.4795601851851853E-3</v>
      </c>
      <c r="I19" s="116">
        <v>4.0999999999999996</v>
      </c>
    </row>
    <row r="20" spans="1:9" x14ac:dyDescent="0.25">
      <c r="A20" s="106">
        <f t="shared" si="7"/>
        <v>5</v>
      </c>
      <c r="B20" s="110" t="s">
        <v>133</v>
      </c>
      <c r="C20" s="111">
        <f t="shared" si="4"/>
        <v>3.2626331018518516E-3</v>
      </c>
      <c r="D20" s="112">
        <f t="shared" si="6"/>
        <v>1.2092013888888743E-5</v>
      </c>
      <c r="E20" s="113">
        <f t="shared" si="5"/>
        <v>1.6145833333326351E-6</v>
      </c>
      <c r="F20" s="114">
        <v>7.0958333333333333E-4</v>
      </c>
      <c r="G20" s="114">
        <v>1.0890393518518519E-3</v>
      </c>
      <c r="H20" s="115">
        <v>1.4789583333333336E-3</v>
      </c>
      <c r="I20" s="116">
        <v>4.4000000000000004</v>
      </c>
    </row>
    <row r="21" spans="1:9" x14ac:dyDescent="0.25">
      <c r="A21" s="106">
        <f t="shared" si="7"/>
        <v>6</v>
      </c>
      <c r="B21" s="110" t="s">
        <v>134</v>
      </c>
      <c r="C21" s="111">
        <f t="shared" si="4"/>
        <v>3.2641435185185182E-3</v>
      </c>
      <c r="D21" s="112">
        <f t="shared" si="6"/>
        <v>1.360243055555533E-5</v>
      </c>
      <c r="E21" s="113">
        <f t="shared" si="5"/>
        <v>1.5104166666665871E-6</v>
      </c>
      <c r="F21" s="114">
        <v>7.1100694444444434E-4</v>
      </c>
      <c r="G21" s="114">
        <v>1.0887268518518518E-3</v>
      </c>
      <c r="H21" s="115">
        <v>1.4785416666666668E-3</v>
      </c>
      <c r="I21" s="116">
        <v>3.9</v>
      </c>
    </row>
    <row r="22" spans="1:9" x14ac:dyDescent="0.25">
      <c r="A22" s="106">
        <f t="shared" si="7"/>
        <v>7</v>
      </c>
      <c r="B22" s="110" t="s">
        <v>135</v>
      </c>
      <c r="C22" s="111">
        <f t="shared" si="4"/>
        <v>3.2665596064814818E-3</v>
      </c>
      <c r="D22" s="112">
        <f t="shared" si="6"/>
        <v>1.6018518518518942E-5</v>
      </c>
      <c r="E22" s="113">
        <f t="shared" si="5"/>
        <v>2.4160879629636124E-6</v>
      </c>
      <c r="F22" s="114">
        <v>7.092824074074075E-4</v>
      </c>
      <c r="G22" s="114">
        <v>1.0956134259259259E-3</v>
      </c>
      <c r="H22" s="115">
        <v>1.4760300925925928E-3</v>
      </c>
      <c r="I22" s="116">
        <v>3.75</v>
      </c>
    </row>
    <row r="23" spans="1:9" x14ac:dyDescent="0.25">
      <c r="A23" s="106">
        <f t="shared" si="7"/>
        <v>8</v>
      </c>
      <c r="B23" s="110" t="s">
        <v>136</v>
      </c>
      <c r="C23" s="111">
        <f t="shared" si="4"/>
        <v>3.2687008101851853E-3</v>
      </c>
      <c r="D23" s="112">
        <f t="shared" si="6"/>
        <v>1.8159722222222362E-5</v>
      </c>
      <c r="E23" s="113">
        <f t="shared" si="5"/>
        <v>2.1412037037034197E-6</v>
      </c>
      <c r="F23" s="114">
        <v>7.0918981481481484E-4</v>
      </c>
      <c r="G23" s="114">
        <v>1.0944560185185185E-3</v>
      </c>
      <c r="H23" s="115">
        <v>1.4806134259259258E-3</v>
      </c>
      <c r="I23" s="116">
        <v>3.5</v>
      </c>
    </row>
  </sheetData>
  <mergeCells count="4">
    <mergeCell ref="A10:I10"/>
    <mergeCell ref="A11:I11"/>
    <mergeCell ref="A13:I13"/>
    <mergeCell ref="A14:I14"/>
  </mergeCell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L23" sqref="L23"/>
    </sheetView>
  </sheetViews>
  <sheetFormatPr baseColWidth="10" defaultRowHeight="15" x14ac:dyDescent="0.25"/>
  <cols>
    <col min="1" max="1" width="7.5703125" customWidth="1"/>
    <col min="2" max="2" width="7" customWidth="1"/>
    <col min="3" max="3" width="18.5703125" customWidth="1"/>
    <col min="5" max="5" width="15.5703125" customWidth="1"/>
    <col min="6" max="6" width="58.140625" customWidth="1"/>
  </cols>
  <sheetData>
    <row r="1" spans="1:10" x14ac:dyDescent="0.25">
      <c r="A1" s="28" t="s">
        <v>66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J1" s="69"/>
    </row>
    <row r="2" spans="1:10" x14ac:dyDescent="0.25">
      <c r="A2" s="70" t="s">
        <v>72</v>
      </c>
      <c r="B2" s="71" t="s">
        <v>73</v>
      </c>
      <c r="C2" s="72" t="s">
        <v>74</v>
      </c>
      <c r="D2" s="73">
        <v>5425</v>
      </c>
      <c r="E2" s="71" t="s">
        <v>75</v>
      </c>
      <c r="F2" s="74" t="s">
        <v>76</v>
      </c>
      <c r="J2" s="69"/>
    </row>
    <row r="3" spans="1:10" x14ac:dyDescent="0.25">
      <c r="A3" s="75">
        <v>1</v>
      </c>
      <c r="B3" s="76" t="s">
        <v>77</v>
      </c>
      <c r="C3" s="77" t="s">
        <v>78</v>
      </c>
      <c r="D3" s="78">
        <v>2998</v>
      </c>
      <c r="E3" s="76" t="s">
        <v>79</v>
      </c>
      <c r="F3" s="79"/>
      <c r="J3" s="69"/>
    </row>
    <row r="4" spans="1:10" x14ac:dyDescent="0.25">
      <c r="A4" s="80">
        <v>2</v>
      </c>
      <c r="B4" s="76" t="s">
        <v>80</v>
      </c>
      <c r="C4" s="77" t="s">
        <v>81</v>
      </c>
      <c r="D4" s="81">
        <v>3787.2</v>
      </c>
      <c r="E4" s="76" t="s">
        <v>79</v>
      </c>
      <c r="F4" s="79" t="s">
        <v>82</v>
      </c>
      <c r="J4" s="69"/>
    </row>
    <row r="5" spans="1:10" x14ac:dyDescent="0.25">
      <c r="A5" s="75">
        <v>3</v>
      </c>
      <c r="B5" s="76" t="s">
        <v>83</v>
      </c>
      <c r="C5" s="77" t="s">
        <v>85</v>
      </c>
      <c r="D5" s="78">
        <v>2950</v>
      </c>
      <c r="E5" s="76" t="s">
        <v>75</v>
      </c>
      <c r="F5" s="79" t="s">
        <v>86</v>
      </c>
      <c r="J5" s="69"/>
    </row>
    <row r="6" spans="1:10" x14ac:dyDescent="0.25">
      <c r="A6" s="80">
        <v>4</v>
      </c>
      <c r="B6" s="76" t="s">
        <v>84</v>
      </c>
      <c r="C6" s="77" t="s">
        <v>125</v>
      </c>
      <c r="D6" s="78" t="s">
        <v>199</v>
      </c>
      <c r="E6" s="76" t="s">
        <v>199</v>
      </c>
      <c r="F6" s="79" t="s">
        <v>199</v>
      </c>
      <c r="J6" s="69"/>
    </row>
    <row r="7" spans="1:10" x14ac:dyDescent="0.25">
      <c r="A7" s="75">
        <v>5</v>
      </c>
      <c r="B7" s="76" t="s">
        <v>87</v>
      </c>
      <c r="C7" s="77" t="s">
        <v>88</v>
      </c>
      <c r="D7" s="78">
        <v>24433</v>
      </c>
      <c r="E7" s="76" t="s">
        <v>75</v>
      </c>
      <c r="F7" s="79" t="s">
        <v>89</v>
      </c>
      <c r="J7" s="69"/>
    </row>
    <row r="8" spans="1:10" x14ac:dyDescent="0.25">
      <c r="A8" s="80">
        <v>6</v>
      </c>
      <c r="B8" s="76" t="s">
        <v>90</v>
      </c>
      <c r="C8" s="77" t="s">
        <v>91</v>
      </c>
      <c r="D8" s="78">
        <v>3387.5</v>
      </c>
      <c r="E8" s="76" t="s">
        <v>79</v>
      </c>
      <c r="F8" s="79"/>
      <c r="J8" s="69"/>
    </row>
    <row r="9" spans="1:10" x14ac:dyDescent="0.25">
      <c r="A9" s="75">
        <v>7</v>
      </c>
      <c r="B9" s="76" t="s">
        <v>92</v>
      </c>
      <c r="C9" s="77" t="s">
        <v>93</v>
      </c>
      <c r="D9" s="78">
        <v>3601</v>
      </c>
      <c r="E9" s="76" t="s">
        <v>79</v>
      </c>
      <c r="F9" s="79"/>
      <c r="J9" s="69"/>
    </row>
    <row r="10" spans="1:10" x14ac:dyDescent="0.25">
      <c r="A10" s="80">
        <v>8</v>
      </c>
      <c r="B10" s="76" t="s">
        <v>94</v>
      </c>
      <c r="C10" s="77" t="s">
        <v>95</v>
      </c>
      <c r="D10" s="78">
        <v>5807</v>
      </c>
      <c r="E10" s="76" t="s">
        <v>75</v>
      </c>
      <c r="F10" s="79" t="s">
        <v>96</v>
      </c>
      <c r="J10" s="69"/>
    </row>
    <row r="11" spans="1:10" x14ac:dyDescent="0.25">
      <c r="A11" s="75">
        <v>9</v>
      </c>
      <c r="B11" s="76" t="s">
        <v>97</v>
      </c>
      <c r="C11" s="77" t="s">
        <v>98</v>
      </c>
      <c r="D11" s="78">
        <v>3562</v>
      </c>
      <c r="E11" s="76" t="s">
        <v>75</v>
      </c>
      <c r="F11" s="79" t="s">
        <v>99</v>
      </c>
    </row>
    <row r="12" spans="1:10" x14ac:dyDescent="0.25">
      <c r="A12" s="80">
        <v>10</v>
      </c>
      <c r="B12" s="76" t="s">
        <v>73</v>
      </c>
      <c r="C12" s="77" t="s">
        <v>100</v>
      </c>
      <c r="D12" s="78">
        <v>3351</v>
      </c>
      <c r="E12" s="76" t="s">
        <v>79</v>
      </c>
      <c r="F12" s="7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>
      <selection activeCell="AC38" sqref="AC38"/>
    </sheetView>
  </sheetViews>
  <sheetFormatPr baseColWidth="10" defaultRowHeight="15" x14ac:dyDescent="0.25"/>
  <cols>
    <col min="1" max="1" width="4.42578125" customWidth="1"/>
    <col min="2" max="2" width="13.42578125" customWidth="1"/>
    <col min="5" max="5" width="2.28515625" customWidth="1"/>
    <col min="6" max="6" width="4.5703125" customWidth="1"/>
    <col min="7" max="7" width="14.5703125" customWidth="1"/>
    <col min="8" max="8" width="6.42578125" customWidth="1"/>
    <col min="9" max="9" width="2.28515625" customWidth="1"/>
    <col min="10" max="10" width="8" style="1" customWidth="1"/>
    <col min="11" max="11" width="7.5703125" style="1" customWidth="1"/>
    <col min="12" max="12" width="10.42578125" style="1" customWidth="1"/>
    <col min="13" max="13" width="13.5703125" style="1" customWidth="1"/>
    <col min="14" max="14" width="4.42578125" style="1" customWidth="1"/>
    <col min="15" max="15" width="12.7109375" style="1" customWidth="1"/>
    <col min="16" max="20" width="2.28515625" style="1" customWidth="1"/>
    <col min="21" max="21" width="2.28515625" customWidth="1"/>
    <col min="22" max="24" width="2.42578125" customWidth="1"/>
    <col min="25" max="25" width="2.5703125" customWidth="1"/>
    <col min="28" max="28" width="15.85546875" customWidth="1"/>
    <col min="29" max="29" width="17" customWidth="1"/>
  </cols>
  <sheetData>
    <row r="1" spans="1:29" x14ac:dyDescent="0.25">
      <c r="A1" s="246" t="s">
        <v>48</v>
      </c>
      <c r="B1" s="246"/>
      <c r="C1" s="59">
        <v>10</v>
      </c>
      <c r="D1" s="28" t="s">
        <v>49</v>
      </c>
      <c r="F1" s="247" t="s">
        <v>50</v>
      </c>
      <c r="G1" s="247"/>
      <c r="H1" s="247"/>
      <c r="J1" s="245" t="s">
        <v>120</v>
      </c>
      <c r="K1" s="245"/>
      <c r="L1" s="245"/>
      <c r="M1" s="245"/>
      <c r="O1" s="244" t="s">
        <v>119</v>
      </c>
      <c r="P1" s="244"/>
      <c r="Q1" s="244"/>
      <c r="R1" s="244"/>
      <c r="S1" s="244"/>
      <c r="T1" s="244"/>
      <c r="U1" s="244"/>
      <c r="V1" s="244"/>
      <c r="W1" s="244"/>
      <c r="X1" s="244"/>
      <c r="Y1" s="244"/>
    </row>
    <row r="2" spans="1:29" ht="15.75" thickBot="1" x14ac:dyDescent="0.3">
      <c r="A2" s="51" t="s">
        <v>3</v>
      </c>
      <c r="B2" t="s">
        <v>5</v>
      </c>
      <c r="C2" t="s">
        <v>6</v>
      </c>
      <c r="D2" t="s">
        <v>4</v>
      </c>
      <c r="F2" s="60" t="s">
        <v>3</v>
      </c>
      <c r="G2" t="s">
        <v>51</v>
      </c>
      <c r="H2" t="s">
        <v>4</v>
      </c>
      <c r="J2" s="103" t="s">
        <v>101</v>
      </c>
      <c r="K2" s="104" t="s">
        <v>102</v>
      </c>
      <c r="L2" s="104" t="s">
        <v>6</v>
      </c>
      <c r="M2" s="105" t="s">
        <v>5</v>
      </c>
      <c r="O2" s="68" t="s">
        <v>5</v>
      </c>
      <c r="P2" s="68" t="s">
        <v>56</v>
      </c>
      <c r="Q2" s="68" t="s">
        <v>57</v>
      </c>
      <c r="R2" s="68" t="s">
        <v>58</v>
      </c>
      <c r="S2" s="68" t="s">
        <v>59</v>
      </c>
      <c r="T2" s="68" t="s">
        <v>60</v>
      </c>
      <c r="U2" s="68" t="s">
        <v>61</v>
      </c>
      <c r="V2" s="68" t="s">
        <v>62</v>
      </c>
      <c r="W2" s="68" t="s">
        <v>63</v>
      </c>
      <c r="X2" s="68" t="s">
        <v>64</v>
      </c>
      <c r="Y2" s="68" t="s">
        <v>65</v>
      </c>
      <c r="AB2" t="s">
        <v>5</v>
      </c>
      <c r="AC2" t="s">
        <v>214</v>
      </c>
    </row>
    <row r="3" spans="1:29" x14ac:dyDescent="0.25">
      <c r="A3" s="55">
        <v>1</v>
      </c>
      <c r="B3" s="279" t="s">
        <v>7</v>
      </c>
      <c r="C3" s="279" t="s">
        <v>8</v>
      </c>
      <c r="D3" s="28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351</v>
      </c>
      <c r="F3" s="61">
        <v>1</v>
      </c>
      <c r="G3" t="s">
        <v>8</v>
      </c>
      <c r="H3">
        <f>SUMIF(Tableau2[Voiture],Tableau3[[#This Row],[Constructeur]],(Tableau2[Pts.]))</f>
        <v>714</v>
      </c>
      <c r="J3" s="82" t="s">
        <v>103</v>
      </c>
      <c r="K3" s="83">
        <v>1</v>
      </c>
      <c r="L3" s="83" t="s">
        <v>8</v>
      </c>
      <c r="M3" s="84" t="s">
        <v>7</v>
      </c>
      <c r="O3" s="1" t="s">
        <v>7</v>
      </c>
      <c r="P3" s="1">
        <f>IF(ISNA(VLOOKUP(Tableau35[[#This Row],[Pilote]],Tableau2346[],7,0)),0,VLOOKUP(Tableau35[[#This Row],[Pilote]],Tableau2346[],7,0))</f>
        <v>59</v>
      </c>
      <c r="Q3" s="1">
        <f>IF(ISNA(VLOOKUP(Tableau35[[#This Row],[Pilote]],Tableau2468[],7,0)),0,VLOOKUP(Tableau35[[#This Row],[Pilote]],Tableau2468[],7,0))</f>
        <v>52</v>
      </c>
      <c r="R3" s="1">
        <f>IF(ISNA(VLOOKUP(Tableau35[[#This Row],[Pilote]],Tableau246810[],7,0)),0,VLOOKUP(Tableau35[[#This Row],[Pilote]],Tableau246810[],7,0))</f>
        <v>32</v>
      </c>
      <c r="S3" s="1">
        <f>IF(ISNA(VLOOKUP(Tableau35[[#This Row],[Pilote]],Tableau24681012[],7,0)),0,VLOOKUP(Tableau35[[#This Row],[Pilote]],Tableau24681012[],7,0))</f>
        <v>17</v>
      </c>
      <c r="T3" s="1">
        <f>IF(ISNA(VLOOKUP(Tableau35[[#This Row],[Pilote]],Tableau2468101214[],4,0)),0,VLOOKUP(Tableau35[[#This Row],[Pilote]],Tableau2468101214[],4,0))</f>
        <v>48</v>
      </c>
      <c r="U3" s="1">
        <f>IF(ISNA(VLOOKUP(Tableau35[[#This Row],[Pilote]],Tableau246810121416[],7,0)),0,VLOOKUP(Tableau35[[#This Row],[Pilote]],Tableau246810121416[],7,0))</f>
        <v>25</v>
      </c>
      <c r="V3" s="1">
        <f>IF(ISNA(VLOOKUP(Tableau35[[#This Row],[Pilote]],Tableau24681012141618[],7,0)),0,VLOOKUP(Tableau35[[#This Row],[Pilote]],Tableau24681012141618[],7,0))</f>
        <v>29</v>
      </c>
      <c r="W3" s="1">
        <f>IF(ISNA(VLOOKUP(Tableau35[[#This Row],[Pilote]],Tableau2468101214161822[],7,0)),0,VLOOKUP(Tableau35[[#This Row],[Pilote]],Tableau2468101214161822[],7,0))</f>
        <v>23</v>
      </c>
      <c r="X3" s="1">
        <f>IF(ISNA(VLOOKUP(Tableau35[[#This Row],[Pilote]],Tableau246810121416182231[],7,0)),0,VLOOKUP(Tableau35[[#This Row],[Pilote]],Tableau246810121416182231[],7,0))</f>
        <v>37</v>
      </c>
      <c r="Y3" s="1">
        <f>IF(ISNA(VLOOKUP(Tableau35[[#This Row],[Pilote]],Tableau24681012141618223133[],7,0)),0,VLOOKUP(Tableau35[[#This Row],[Pilote]],Tableau24681012141618223133[],7,0))</f>
        <v>29</v>
      </c>
      <c r="AB3" s="217" t="s">
        <v>7</v>
      </c>
      <c r="AC3">
        <v>35.1</v>
      </c>
    </row>
    <row r="4" spans="1:29" x14ac:dyDescent="0.25">
      <c r="A4" s="56">
        <f>A3+1</f>
        <v>2</v>
      </c>
      <c r="B4" s="281" t="s">
        <v>24</v>
      </c>
      <c r="C4" s="281" t="s">
        <v>8</v>
      </c>
      <c r="D4" s="282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338</v>
      </c>
      <c r="F4" s="62">
        <f>F3+1</f>
        <v>2</v>
      </c>
      <c r="G4" t="s">
        <v>22</v>
      </c>
      <c r="H4">
        <f>SUMIF(Tableau2[Voiture],Tableau3[[#This Row],[Constructeur]],(Tableau2[Pts.]))</f>
        <v>598</v>
      </c>
      <c r="J4" s="85" t="s">
        <v>104</v>
      </c>
      <c r="K4" s="86">
        <f t="shared" ref="K4:K34" si="0">1+K3</f>
        <v>2</v>
      </c>
      <c r="L4" s="86" t="s">
        <v>10</v>
      </c>
      <c r="M4" s="87" t="s">
        <v>9</v>
      </c>
      <c r="O4" s="1" t="s">
        <v>11</v>
      </c>
      <c r="P4" s="1">
        <f>IF(ISNA(VLOOKUP(Tableau35[[#This Row],[Pilote]],Tableau2346[],7,0)),0,VLOOKUP(Tableau35[[#This Row],[Pilote]],Tableau2346[],7,0))</f>
        <v>21</v>
      </c>
      <c r="Q4" s="1">
        <f>IF(ISNA(VLOOKUP(Tableau35[[#This Row],[Pilote]],Tableau2468[],7,0)),0,VLOOKUP(Tableau35[[#This Row],[Pilote]],Tableau2468[],7,0))</f>
        <v>32</v>
      </c>
      <c r="R4" s="1">
        <f>IF(ISNA(VLOOKUP(Tableau35[[#This Row],[Pilote]],Tableau246810[],7,0)),0,VLOOKUP(Tableau35[[#This Row],[Pilote]],Tableau246810[],7,0))</f>
        <v>35</v>
      </c>
      <c r="S4" s="1">
        <f>IF(ISNA(VLOOKUP(Tableau35[[#This Row],[Pilote]],Tableau24681012[],7,0)),0,VLOOKUP(Tableau35[[#This Row],[Pilote]],Tableau24681012[],7,0))</f>
        <v>25</v>
      </c>
      <c r="T4" s="1">
        <f>IF(ISNA(VLOOKUP(Tableau35[[#This Row],[Pilote]],Tableau2468101214[],4,0)),0,VLOOKUP(Tableau35[[#This Row],[Pilote]],Tableau2468101214[],4,0))</f>
        <v>24</v>
      </c>
      <c r="U4" s="1">
        <f>IF(ISNA(VLOOKUP(Tableau35[[#This Row],[Pilote]],Tableau246810121416[],7,0)),0,VLOOKUP(Tableau35[[#This Row],[Pilote]],Tableau246810121416[],7,0))</f>
        <v>20</v>
      </c>
      <c r="V4" s="1">
        <f>IF(ISNA(VLOOKUP(Tableau35[[#This Row],[Pilote]],Tableau24681012141618[],7,0)),0,VLOOKUP(Tableau35[[#This Row],[Pilote]],Tableau24681012141618[],7,0))</f>
        <v>28</v>
      </c>
      <c r="W4" s="1">
        <f>IF(ISNA(VLOOKUP(Tableau35[[#This Row],[Pilote]],Tableau2468101214161822[],7,0)),0,VLOOKUP(Tableau35[[#This Row],[Pilote]],Tableau2468101214161822[],7,0))</f>
        <v>25</v>
      </c>
      <c r="X4" s="1">
        <f>IF(ISNA(VLOOKUP(Tableau35[[#This Row],[Pilote]],Tableau246810121416182231[],7,0)),0,VLOOKUP(Tableau35[[#This Row],[Pilote]],Tableau246810121416182231[],7,0))</f>
        <v>16</v>
      </c>
      <c r="Y4" s="1">
        <f>IF(ISNA(VLOOKUP(Tableau35[[#This Row],[Pilote]],Tableau24681012141618223133[],7,0)),0,VLOOKUP(Tableau35[[#This Row],[Pilote]],Tableau24681012141618223133[],7,0))</f>
        <v>31</v>
      </c>
      <c r="AB4" s="217" t="s">
        <v>177</v>
      </c>
      <c r="AC4">
        <v>34</v>
      </c>
    </row>
    <row r="5" spans="1:29" x14ac:dyDescent="0.25">
      <c r="A5" s="57">
        <f>A4+1</f>
        <v>3</v>
      </c>
      <c r="B5" s="283" t="s">
        <v>174</v>
      </c>
      <c r="C5" s="283" t="s">
        <v>22</v>
      </c>
      <c r="D5" s="28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319</v>
      </c>
      <c r="F5" s="63">
        <f>F4+1</f>
        <v>3</v>
      </c>
      <c r="G5" t="s">
        <v>16</v>
      </c>
      <c r="H5">
        <f>SUMIF(Tableau2[Voiture],Tableau3[[#This Row],[Constructeur]],(Tableau2[Pts.]))</f>
        <v>562</v>
      </c>
      <c r="J5" s="88" t="s">
        <v>105</v>
      </c>
      <c r="K5" s="89">
        <f t="shared" si="0"/>
        <v>3</v>
      </c>
      <c r="L5" s="89" t="s">
        <v>12</v>
      </c>
      <c r="M5" s="90" t="s">
        <v>11</v>
      </c>
      <c r="O5" s="1" t="s">
        <v>9</v>
      </c>
      <c r="P5" s="1">
        <f>IF(ISNA(VLOOKUP(Tableau35[[#This Row],[Pilote]],Tableau2346[],7,0)),0,VLOOKUP(Tableau35[[#This Row],[Pilote]],Tableau2346[],7,0))</f>
        <v>34</v>
      </c>
      <c r="Q5" s="1">
        <f>IF(ISNA(VLOOKUP(Tableau35[[#This Row],[Pilote]],Tableau2468[],7,0)),0,VLOOKUP(Tableau35[[#This Row],[Pilote]],Tableau2468[],7,0))</f>
        <v>34</v>
      </c>
      <c r="R5" s="1">
        <f>IF(ISNA(VLOOKUP(Tableau35[[#This Row],[Pilote]],Tableau246810[],7,0)),0,VLOOKUP(Tableau35[[#This Row],[Pilote]],Tableau246810[],7,0))</f>
        <v>0</v>
      </c>
      <c r="S5" s="1">
        <f>IF(ISNA(VLOOKUP(Tableau35[[#This Row],[Pilote]],Tableau24681012[],7,0)),0,VLOOKUP(Tableau35[[#This Row],[Pilote]],Tableau24681012[],7,0))</f>
        <v>12</v>
      </c>
      <c r="T5" s="1">
        <f>IF(ISNA(VLOOKUP(Tableau35[[#This Row],[Pilote]],Tableau2468101214[],4,0)),0,VLOOKUP(Tableau35[[#This Row],[Pilote]],Tableau2468101214[],4,0))</f>
        <v>16</v>
      </c>
      <c r="U5" s="1">
        <f>IF(ISNA(VLOOKUP(Tableau35[[#This Row],[Pilote]],Tableau246810121416[],7,0)),0,VLOOKUP(Tableau35[[#This Row],[Pilote]],Tableau246810121416[],7,0))</f>
        <v>21</v>
      </c>
      <c r="V5" s="1">
        <f>IF(ISNA(VLOOKUP(Tableau35[[#This Row],[Pilote]],Tableau24681012141618[],7,0)),0,VLOOKUP(Tableau35[[#This Row],[Pilote]],Tableau24681012141618[],7,0))</f>
        <v>11</v>
      </c>
      <c r="W5" s="1">
        <f>IF(ISNA(VLOOKUP(Tableau35[[#This Row],[Pilote]],Tableau2468101214161822[],7,0)),0,VLOOKUP(Tableau35[[#This Row],[Pilote]],Tableau2468101214161822[],7,0))</f>
        <v>10</v>
      </c>
      <c r="X5" s="1">
        <f>IF(ISNA(VLOOKUP(Tableau35[[#This Row],[Pilote]],Tableau246810121416182231[],7,0)),0,VLOOKUP(Tableau35[[#This Row],[Pilote]],Tableau246810121416182231[],7,0))</f>
        <v>0</v>
      </c>
      <c r="Y5" s="1">
        <f>IF(ISNA(VLOOKUP(Tableau35[[#This Row],[Pilote]],Tableau24681012141618223133[],7,0)),0,VLOOKUP(Tableau35[[#This Row],[Pilote]],Tableau24681012141618223133[],7,0))</f>
        <v>0</v>
      </c>
      <c r="AB5" s="217" t="s">
        <v>24</v>
      </c>
      <c r="AC5">
        <v>33.799999999999997</v>
      </c>
    </row>
    <row r="6" spans="1:29" x14ac:dyDescent="0.25">
      <c r="A6" s="52">
        <f t="shared" ref="A6:A34" si="1">A5+1</f>
        <v>4</v>
      </c>
      <c r="B6" t="s">
        <v>21</v>
      </c>
      <c r="C6" t="s">
        <v>22</v>
      </c>
      <c r="D6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263</v>
      </c>
      <c r="F6" s="64">
        <v>4</v>
      </c>
      <c r="G6" t="s">
        <v>10</v>
      </c>
      <c r="H6">
        <f>SUMIF(Tableau2[Voiture],Tableau3[[#This Row],[Constructeur]],(Tableau2[Pts.]))</f>
        <v>448</v>
      </c>
      <c r="J6" s="85" t="s">
        <v>106</v>
      </c>
      <c r="K6" s="86">
        <f t="shared" si="0"/>
        <v>4</v>
      </c>
      <c r="L6" s="86" t="s">
        <v>14</v>
      </c>
      <c r="M6" s="87" t="s">
        <v>13</v>
      </c>
      <c r="O6" s="1" t="s">
        <v>13</v>
      </c>
      <c r="P6" s="1">
        <f>IF(ISNA(VLOOKUP(Tableau35[[#This Row],[Pilote]],Tableau2346[],7,0)),0,VLOOKUP(Tableau35[[#This Row],[Pilote]],Tableau2346[],7,0))</f>
        <v>4</v>
      </c>
      <c r="Q6" s="1">
        <f>IF(ISNA(VLOOKUP(Tableau35[[#This Row],[Pilote]],Tableau2468[],7,0)),0,VLOOKUP(Tableau35[[#This Row],[Pilote]],Tableau2468[],7,0))</f>
        <v>7</v>
      </c>
      <c r="R6" s="1">
        <f>IF(ISNA(VLOOKUP(Tableau35[[#This Row],[Pilote]],Tableau246810[],7,0)),0,VLOOKUP(Tableau35[[#This Row],[Pilote]],Tableau246810[],7,0))</f>
        <v>10</v>
      </c>
      <c r="S6" s="1">
        <f>IF(ISNA(VLOOKUP(Tableau35[[#This Row],[Pilote]],Tableau24681012[],7,0)),0,VLOOKUP(Tableau35[[#This Row],[Pilote]],Tableau24681012[],7,0))</f>
        <v>5</v>
      </c>
      <c r="T6" s="1">
        <f>IF(ISNA(VLOOKUP(Tableau35[[#This Row],[Pilote]],Tableau2468101214[],4,0)),0,VLOOKUP(Tableau35[[#This Row],[Pilote]],Tableau2468101214[],4,0))</f>
        <v>0</v>
      </c>
      <c r="U6" s="1">
        <f>IF(ISNA(VLOOKUP(Tableau35[[#This Row],[Pilote]],Tableau246810121416[],7,0)),0,VLOOKUP(Tableau35[[#This Row],[Pilote]],Tableau246810121416[],7,0))</f>
        <v>0</v>
      </c>
      <c r="V6" s="1">
        <f>IF(ISNA(VLOOKUP(Tableau35[[#This Row],[Pilote]],Tableau24681012141618[],7,0)),0,VLOOKUP(Tableau35[[#This Row],[Pilote]],Tableau24681012141618[],7,0))</f>
        <v>0</v>
      </c>
      <c r="W6" s="1">
        <f>IF(ISNA(VLOOKUP(Tableau35[[#This Row],[Pilote]],Tableau2468101214161822[],7,0)),0,VLOOKUP(Tableau35[[#This Row],[Pilote]],Tableau2468101214161822[],7,0))</f>
        <v>0</v>
      </c>
      <c r="X6" s="1">
        <f>IF(ISNA(VLOOKUP(Tableau35[[#This Row],[Pilote]],Tableau246810121416182231[],7,0)),0,VLOOKUP(Tableau35[[#This Row],[Pilote]],Tableau246810121416182231[],7,0))</f>
        <v>0</v>
      </c>
      <c r="Y6" s="1">
        <f>IF(ISNA(VLOOKUP(Tableau35[[#This Row],[Pilote]],Tableau24681012141618223133[],7,0)),0,VLOOKUP(Tableau35[[#This Row],[Pilote]],Tableau24681012141618223133[],7,0))</f>
        <v>0</v>
      </c>
      <c r="AB6" s="217" t="s">
        <v>174</v>
      </c>
      <c r="AC6">
        <v>31.9</v>
      </c>
    </row>
    <row r="7" spans="1:29" x14ac:dyDescent="0.25">
      <c r="A7" s="52">
        <f t="shared" si="1"/>
        <v>5</v>
      </c>
      <c r="B7" t="s">
        <v>25</v>
      </c>
      <c r="C7" t="s">
        <v>10</v>
      </c>
      <c r="D7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260</v>
      </c>
      <c r="F7" s="64">
        <v>5</v>
      </c>
      <c r="G7" t="s">
        <v>12</v>
      </c>
      <c r="H7">
        <f>SUMIF(Tableau2[Voiture],Tableau3[[#This Row],[Constructeur]],(Tableau2[Pts.]))</f>
        <v>359</v>
      </c>
      <c r="J7" s="88" t="s">
        <v>107</v>
      </c>
      <c r="K7" s="89">
        <f t="shared" si="0"/>
        <v>5</v>
      </c>
      <c r="L7" s="89" t="s">
        <v>16</v>
      </c>
      <c r="M7" s="90" t="s">
        <v>15</v>
      </c>
      <c r="O7" s="1" t="s">
        <v>15</v>
      </c>
      <c r="P7" s="1">
        <f>IF(ISNA(VLOOKUP(Tableau35[[#This Row],[Pilote]],Tableau2346[],7,0)),0,VLOOKUP(Tableau35[[#This Row],[Pilote]],Tableau2346[],7,0))</f>
        <v>46</v>
      </c>
      <c r="Q7" s="1">
        <f>IF(ISNA(VLOOKUP(Tableau35[[#This Row],[Pilote]],Tableau2468[],7,0)),0,VLOOKUP(Tableau35[[#This Row],[Pilote]],Tableau2468[],7,0))</f>
        <v>47</v>
      </c>
      <c r="R7" s="1">
        <f>IF(ISNA(VLOOKUP(Tableau35[[#This Row],[Pilote]],Tableau246810[],7,0)),0,VLOOKUP(Tableau35[[#This Row],[Pilote]],Tableau246810[],7,0))</f>
        <v>0</v>
      </c>
      <c r="S7" s="1">
        <f>IF(ISNA(VLOOKUP(Tableau35[[#This Row],[Pilote]],Tableau24681012[],7,0)),0,VLOOKUP(Tableau35[[#This Row],[Pilote]],Tableau24681012[],7,0))</f>
        <v>15</v>
      </c>
      <c r="T7" s="1">
        <f>IF(ISNA(VLOOKUP(Tableau35[[#This Row],[Pilote]],Tableau2468101214[],4,0)),0,VLOOKUP(Tableau35[[#This Row],[Pilote]],Tableau2468101214[],4,0))</f>
        <v>6</v>
      </c>
      <c r="U7" s="1">
        <f>IF(ISNA(VLOOKUP(Tableau35[[#This Row],[Pilote]],Tableau246810121416[],7,0)),0,VLOOKUP(Tableau35[[#This Row],[Pilote]],Tableau246810121416[],7,0))</f>
        <v>0</v>
      </c>
      <c r="V7" s="1">
        <f>IF(ISNA(VLOOKUP(Tableau35[[#This Row],[Pilote]],Tableau24681012141618[],7,0)),0,VLOOKUP(Tableau35[[#This Row],[Pilote]],Tableau24681012141618[],7,0))</f>
        <v>27</v>
      </c>
      <c r="W7" s="1">
        <f>IF(ISNA(VLOOKUP(Tableau35[[#This Row],[Pilote]],Tableau2468101214161822[],7,0)),0,VLOOKUP(Tableau35[[#This Row],[Pilote]],Tableau2468101214161822[],7,0))</f>
        <v>0</v>
      </c>
      <c r="X7" s="1">
        <f>IF(ISNA(VLOOKUP(Tableau35[[#This Row],[Pilote]],Tableau246810121416182231[],7,0)),0,VLOOKUP(Tableau35[[#This Row],[Pilote]],Tableau246810121416182231[],7,0))</f>
        <v>18</v>
      </c>
      <c r="Y7" s="1">
        <f>IF(ISNA(VLOOKUP(Tableau35[[#This Row],[Pilote]],Tableau24681012141618223133[],7,0)),0,VLOOKUP(Tableau35[[#This Row],[Pilote]],Tableau24681012141618223133[],7,0))</f>
        <v>23</v>
      </c>
      <c r="AB7" s="217" t="s">
        <v>31</v>
      </c>
      <c r="AC7">
        <v>28</v>
      </c>
    </row>
    <row r="8" spans="1:29" x14ac:dyDescent="0.25">
      <c r="A8" s="52">
        <f t="shared" si="1"/>
        <v>6</v>
      </c>
      <c r="B8" t="s">
        <v>11</v>
      </c>
      <c r="C8" t="s">
        <v>12</v>
      </c>
      <c r="D8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257</v>
      </c>
      <c r="F8" s="64">
        <v>6</v>
      </c>
      <c r="G8" t="s">
        <v>20</v>
      </c>
      <c r="H8">
        <f>SUMIF(Tableau2[Voiture],Tableau3[[#This Row],[Constructeur]],(Tableau2[Pts.]))</f>
        <v>337</v>
      </c>
      <c r="J8" s="85" t="s">
        <v>108</v>
      </c>
      <c r="K8" s="86">
        <f t="shared" si="0"/>
        <v>6</v>
      </c>
      <c r="L8" s="86" t="s">
        <v>18</v>
      </c>
      <c r="M8" s="87" t="s">
        <v>17</v>
      </c>
      <c r="O8" s="1" t="s">
        <v>17</v>
      </c>
      <c r="P8" s="1">
        <f>IF(ISNA(VLOOKUP(Tableau35[[#This Row],[Pilote]],Tableau2346[],7,0)),0,VLOOKUP(Tableau35[[#This Row],[Pilote]],Tableau2346[],7,0))</f>
        <v>8</v>
      </c>
      <c r="Q8" s="1">
        <f>IF(ISNA(VLOOKUP(Tableau35[[#This Row],[Pilote]],Tableau2468[],7,0)),0,VLOOKUP(Tableau35[[#This Row],[Pilote]],Tableau2468[],7,0))</f>
        <v>20</v>
      </c>
      <c r="R8" s="1">
        <f>IF(ISNA(VLOOKUP(Tableau35[[#This Row],[Pilote]],Tableau246810[],7,0)),0,VLOOKUP(Tableau35[[#This Row],[Pilote]],Tableau246810[],7,0))</f>
        <v>0</v>
      </c>
      <c r="S8" s="1">
        <f>IF(ISNA(VLOOKUP(Tableau35[[#This Row],[Pilote]],Tableau24681012[],7,0)),0,VLOOKUP(Tableau35[[#This Row],[Pilote]],Tableau24681012[],7,0))</f>
        <v>0</v>
      </c>
      <c r="T8" s="1">
        <f>IF(ISNA(VLOOKUP(Tableau35[[#This Row],[Pilote]],Tableau2468101214[],4,0)),0,VLOOKUP(Tableau35[[#This Row],[Pilote]],Tableau2468101214[],4,0))</f>
        <v>0</v>
      </c>
      <c r="U8" s="1">
        <f>IF(ISNA(VLOOKUP(Tableau35[[#This Row],[Pilote]],Tableau246810121416[],7,0)),0,VLOOKUP(Tableau35[[#This Row],[Pilote]],Tableau246810121416[],7,0))</f>
        <v>0</v>
      </c>
      <c r="V8" s="1">
        <f>IF(ISNA(VLOOKUP(Tableau35[[#This Row],[Pilote]],Tableau24681012141618[],7,0)),0,VLOOKUP(Tableau35[[#This Row],[Pilote]],Tableau24681012141618[],7,0))</f>
        <v>0</v>
      </c>
      <c r="W8" s="1">
        <f>IF(ISNA(VLOOKUP(Tableau35[[#This Row],[Pilote]],Tableau2468101214161822[],7,0)),0,VLOOKUP(Tableau35[[#This Row],[Pilote]],Tableau2468101214161822[],7,0))</f>
        <v>0</v>
      </c>
      <c r="X8" s="1">
        <f>IF(ISNA(VLOOKUP(Tableau35[[#This Row],[Pilote]],Tableau246810121416182231[],7,0)),0,VLOOKUP(Tableau35[[#This Row],[Pilote]],Tableau246810121416182231[],7,0))</f>
        <v>0</v>
      </c>
      <c r="Y8" s="1">
        <f>IF(ISNA(VLOOKUP(Tableau35[[#This Row],[Pilote]],Tableau24681012141618223133[],7,0)),0,VLOOKUP(Tableau35[[#This Row],[Pilote]],Tableau24681012141618223133[],7,0))</f>
        <v>0</v>
      </c>
      <c r="AB8" s="217" t="s">
        <v>21</v>
      </c>
      <c r="AC8">
        <v>26.3</v>
      </c>
    </row>
    <row r="9" spans="1:29" x14ac:dyDescent="0.25">
      <c r="A9" s="52">
        <f t="shared" si="1"/>
        <v>7</v>
      </c>
      <c r="B9" t="s">
        <v>177</v>
      </c>
      <c r="C9" t="s">
        <v>16</v>
      </c>
      <c r="D9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204</v>
      </c>
      <c r="F9" s="64">
        <v>7</v>
      </c>
      <c r="G9" t="s">
        <v>18</v>
      </c>
      <c r="H9">
        <f>SUMIF(Tableau2[Voiture],Tableau3[[#This Row],[Constructeur]],(Tableau2[Pts.]))</f>
        <v>202</v>
      </c>
      <c r="J9" s="88" t="s">
        <v>109</v>
      </c>
      <c r="K9" s="89">
        <f t="shared" si="0"/>
        <v>7</v>
      </c>
      <c r="L9" s="89" t="s">
        <v>20</v>
      </c>
      <c r="M9" s="90" t="s">
        <v>19</v>
      </c>
      <c r="O9" s="1" t="s">
        <v>19</v>
      </c>
      <c r="P9" s="1">
        <f>IF(ISNA(VLOOKUP(Tableau35[[#This Row],[Pilote]],Tableau2346[],7,0)),0,VLOOKUP(Tableau35[[#This Row],[Pilote]],Tableau2346[],7,0))</f>
        <v>43</v>
      </c>
      <c r="Q9" s="1">
        <f>IF(ISNA(VLOOKUP(Tableau35[[#This Row],[Pilote]],Tableau2468[],7,0)),0,VLOOKUP(Tableau35[[#This Row],[Pilote]],Tableau2468[],7,0))</f>
        <v>3</v>
      </c>
      <c r="R9" s="1">
        <f>IF(ISNA(VLOOKUP(Tableau35[[#This Row],[Pilote]],Tableau246810[],7,0)),0,VLOOKUP(Tableau35[[#This Row],[Pilote]],Tableau246810[],7,0))</f>
        <v>24</v>
      </c>
      <c r="S9" s="1">
        <f>IF(ISNA(VLOOKUP(Tableau35[[#This Row],[Pilote]],Tableau24681012[],7,0)),0,VLOOKUP(Tableau35[[#This Row],[Pilote]],Tableau24681012[],7,0))</f>
        <v>20</v>
      </c>
      <c r="T9" s="1">
        <f>IF(ISNA(VLOOKUP(Tableau35[[#This Row],[Pilote]],Tableau2468101214[],4,0)),0,VLOOKUP(Tableau35[[#This Row],[Pilote]],Tableau2468101214[],4,0))</f>
        <v>0</v>
      </c>
      <c r="U9" s="1">
        <f>IF(ISNA(VLOOKUP(Tableau35[[#This Row],[Pilote]],Tableau246810121416[],7,0)),0,VLOOKUP(Tableau35[[#This Row],[Pilote]],Tableau246810121416[],7,0))</f>
        <v>0</v>
      </c>
      <c r="V9" s="1">
        <f>IF(ISNA(VLOOKUP(Tableau35[[#This Row],[Pilote]],Tableau24681012141618[],7,0)),0,VLOOKUP(Tableau35[[#This Row],[Pilote]],Tableau24681012141618[],7,0))</f>
        <v>21</v>
      </c>
      <c r="W9" s="1">
        <f>IF(ISNA(VLOOKUP(Tableau35[[#This Row],[Pilote]],Tableau2468101214161822[],7,0)),0,VLOOKUP(Tableau35[[#This Row],[Pilote]],Tableau2468101214161822[],7,0))</f>
        <v>0</v>
      </c>
      <c r="X9" s="1">
        <f>IF(ISNA(VLOOKUP(Tableau35[[#This Row],[Pilote]],Tableau246810121416182231[],7,0)),0,VLOOKUP(Tableau35[[#This Row],[Pilote]],Tableau246810121416182231[],7,0))</f>
        <v>27</v>
      </c>
      <c r="Y9" s="1">
        <f>IF(ISNA(VLOOKUP(Tableau35[[#This Row],[Pilote]],Tableau24681012141618223133[],7,0)),0,VLOOKUP(Tableau35[[#This Row],[Pilote]],Tableau24681012141618223133[],7,0))</f>
        <v>16</v>
      </c>
      <c r="AB9" s="217" t="s">
        <v>15</v>
      </c>
      <c r="AC9">
        <v>26</v>
      </c>
    </row>
    <row r="10" spans="1:29" x14ac:dyDescent="0.25">
      <c r="A10" s="52">
        <f t="shared" si="1"/>
        <v>8</v>
      </c>
      <c r="B10" t="s">
        <v>15</v>
      </c>
      <c r="C10" t="s">
        <v>16</v>
      </c>
      <c r="D10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182</v>
      </c>
      <c r="F10" s="64">
        <v>8</v>
      </c>
      <c r="G10" t="s">
        <v>14</v>
      </c>
      <c r="H10">
        <f>SUMIF(Tableau2[Voiture],Tableau3[[#This Row],[Constructeur]],(Tableau2[Pts.]))</f>
        <v>129</v>
      </c>
      <c r="J10" s="85" t="s">
        <v>110</v>
      </c>
      <c r="K10" s="86">
        <f t="shared" si="0"/>
        <v>8</v>
      </c>
      <c r="L10" s="86" t="s">
        <v>22</v>
      </c>
      <c r="M10" s="87" t="s">
        <v>21</v>
      </c>
      <c r="O10" s="1" t="s">
        <v>21</v>
      </c>
      <c r="P10" s="1">
        <f>IF(ISNA(VLOOKUP(Tableau35[[#This Row],[Pilote]],Tableau2346[],7,0)),0,VLOOKUP(Tableau35[[#This Row],[Pilote]],Tableau2346[],7,0))</f>
        <v>16</v>
      </c>
      <c r="Q10" s="1">
        <f>IF(ISNA(VLOOKUP(Tableau35[[#This Row],[Pilote]],Tableau2468[],7,0)),0,VLOOKUP(Tableau35[[#This Row],[Pilote]],Tableau2468[],7,0))</f>
        <v>12</v>
      </c>
      <c r="R10" s="1">
        <f>IF(ISNA(VLOOKUP(Tableau35[[#This Row],[Pilote]],Tableau246810[],7,0)),0,VLOOKUP(Tableau35[[#This Row],[Pilote]],Tableau246810[],7,0))</f>
        <v>22</v>
      </c>
      <c r="S10" s="1">
        <f>IF(ISNA(VLOOKUP(Tableau35[[#This Row],[Pilote]],Tableau24681012[],7,0)),0,VLOOKUP(Tableau35[[#This Row],[Pilote]],Tableau24681012[],7,0))</f>
        <v>34</v>
      </c>
      <c r="T10" s="1">
        <f>IF(ISNA(VLOOKUP(Tableau35[[#This Row],[Pilote]],Tableau2468101214[],4,0)),0,VLOOKUP(Tableau35[[#This Row],[Pilote]],Tableau2468101214[],4,0))</f>
        <v>20</v>
      </c>
      <c r="U10" s="1">
        <f>IF(ISNA(VLOOKUP(Tableau35[[#This Row],[Pilote]],Tableau246810121416[],7,0)),0,VLOOKUP(Tableau35[[#This Row],[Pilote]],Tableau246810121416[],7,0))</f>
        <v>37</v>
      </c>
      <c r="V10" s="1">
        <f>IF(ISNA(VLOOKUP(Tableau35[[#This Row],[Pilote]],Tableau24681012141618[],7,0)),0,VLOOKUP(Tableau35[[#This Row],[Pilote]],Tableau24681012141618[],7,0))</f>
        <v>24</v>
      </c>
      <c r="W10" s="1">
        <f>IF(ISNA(VLOOKUP(Tableau35[[#This Row],[Pilote]],Tableau2468101214161822[],7,0)),0,VLOOKUP(Tableau35[[#This Row],[Pilote]],Tableau2468101214161822[],7,0))</f>
        <v>30</v>
      </c>
      <c r="X10" s="1">
        <f>IF(ISNA(VLOOKUP(Tableau35[[#This Row],[Pilote]],Tableau246810121416182231[],7,0)),0,VLOOKUP(Tableau35[[#This Row],[Pilote]],Tableau246810121416182231[],7,0))</f>
        <v>35</v>
      </c>
      <c r="Y10" s="1">
        <f>IF(ISNA(VLOOKUP(Tableau35[[#This Row],[Pilote]],Tableau24681012141618223133[],7,0)),0,VLOOKUP(Tableau35[[#This Row],[Pilote]],Tableau24681012141618223133[],7,0))</f>
        <v>33</v>
      </c>
      <c r="AB10" s="217" t="s">
        <v>25</v>
      </c>
      <c r="AC10">
        <v>26</v>
      </c>
    </row>
    <row r="11" spans="1:29" ht="15.75" thickBot="1" x14ac:dyDescent="0.3">
      <c r="A11" s="52">
        <f t="shared" si="1"/>
        <v>9</v>
      </c>
      <c r="B11" t="s">
        <v>28</v>
      </c>
      <c r="C11" t="s">
        <v>16</v>
      </c>
      <c r="D11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176</v>
      </c>
      <c r="J11" s="91" t="s">
        <v>111</v>
      </c>
      <c r="K11" s="92">
        <f t="shared" si="0"/>
        <v>9</v>
      </c>
      <c r="L11" s="92" t="s">
        <v>22</v>
      </c>
      <c r="M11" s="93" t="s">
        <v>174</v>
      </c>
      <c r="O11" s="1" t="s">
        <v>174</v>
      </c>
      <c r="P11" s="1">
        <f>IF(ISNA(VLOOKUP(Tableau35[[#This Row],[Pilote]],Tableau2346[],7,0)),0,VLOOKUP(Tableau35[[#This Row],[Pilote]],Tableau2346[],7,0))</f>
        <v>36</v>
      </c>
      <c r="Q11" s="1">
        <f>IF(ISNA(VLOOKUP(Tableau35[[#This Row],[Pilote]],Tableau2468[],7,0)),0,VLOOKUP(Tableau35[[#This Row],[Pilote]],Tableau2468[],7,0))</f>
        <v>39</v>
      </c>
      <c r="R11" s="1">
        <f>IF(ISNA(VLOOKUP(Tableau35[[#This Row],[Pilote]],Tableau246810[],7,0)),0,VLOOKUP(Tableau35[[#This Row],[Pilote]],Tableau246810[],7,0))</f>
        <v>28</v>
      </c>
      <c r="S11" s="1">
        <f>IF(ISNA(VLOOKUP(Tableau35[[#This Row],[Pilote]],Tableau24681012[],7,0)),0,VLOOKUP(Tableau35[[#This Row],[Pilote]],Tableau24681012[],7,0))</f>
        <v>40</v>
      </c>
      <c r="T11" s="1">
        <f>IF(ISNA(VLOOKUP(Tableau35[[#This Row],[Pilote]],Tableau2468101214[],4,0)),0,VLOOKUP(Tableau35[[#This Row],[Pilote]],Tableau2468101214[],4,0))</f>
        <v>34</v>
      </c>
      <c r="U11" s="1">
        <f>IF(ISNA(VLOOKUP(Tableau35[[#This Row],[Pilote]],Tableau246810121416[],7,0)),0,VLOOKUP(Tableau35[[#This Row],[Pilote]],Tableau246810121416[],7,0))</f>
        <v>20</v>
      </c>
      <c r="V11" s="1">
        <f>IF(ISNA(VLOOKUP(Tableau35[[#This Row],[Pilote]],Tableau24681012141618[],7,0)),0,VLOOKUP(Tableau35[[#This Row],[Pilote]],Tableau24681012141618[],7,0))</f>
        <v>41</v>
      </c>
      <c r="W11" s="1">
        <f>IF(ISNA(VLOOKUP(Tableau35[[#This Row],[Pilote]],Tableau2468101214161822[],7,0)),0,VLOOKUP(Tableau35[[#This Row],[Pilote]],Tableau2468101214161822[],7,0))</f>
        <v>17</v>
      </c>
      <c r="X11" s="1">
        <f>IF(ISNA(VLOOKUP(Tableau35[[#This Row],[Pilote]],Tableau246810121416182231[],7,0)),0,VLOOKUP(Tableau35[[#This Row],[Pilote]],Tableau246810121416182231[],7,0))</f>
        <v>37</v>
      </c>
      <c r="Y11" s="1">
        <f>IF(ISNA(VLOOKUP(Tableau35[[#This Row],[Pilote]],Tableau24681012141618223133[],7,0)),0,VLOOKUP(Tableau35[[#This Row],[Pilote]],Tableau24681012141618223133[],7,0))</f>
        <v>27</v>
      </c>
      <c r="AB11" s="217" t="s">
        <v>11</v>
      </c>
      <c r="AC11">
        <v>25.7</v>
      </c>
    </row>
    <row r="12" spans="1:29" ht="15.75" thickTop="1" x14ac:dyDescent="0.25">
      <c r="A12" s="52">
        <f t="shared" si="1"/>
        <v>10</v>
      </c>
      <c r="B12" t="s">
        <v>19</v>
      </c>
      <c r="C12" t="s">
        <v>20</v>
      </c>
      <c r="D12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154</v>
      </c>
      <c r="F12" s="248" t="s">
        <v>42</v>
      </c>
      <c r="G12" s="249"/>
      <c r="H12" s="250"/>
      <c r="J12" s="85" t="s">
        <v>112</v>
      </c>
      <c r="K12" s="86">
        <f t="shared" si="0"/>
        <v>10</v>
      </c>
      <c r="L12" s="86" t="s">
        <v>8</v>
      </c>
      <c r="M12" s="87" t="s">
        <v>24</v>
      </c>
      <c r="O12" s="1" t="s">
        <v>24</v>
      </c>
      <c r="P12" s="1">
        <f>IF(ISNA(VLOOKUP(Tableau35[[#This Row],[Pilote]],Tableau2346[],7,0)),0,VLOOKUP(Tableau35[[#This Row],[Pilote]],Tableau2346[],7,0))</f>
        <v>41</v>
      </c>
      <c r="Q12" s="1">
        <f>IF(ISNA(VLOOKUP(Tableau35[[#This Row],[Pilote]],Tableau2468[],7,0)),0,VLOOKUP(Tableau35[[#This Row],[Pilote]],Tableau2468[],7,0))</f>
        <v>59</v>
      </c>
      <c r="R12" s="1">
        <f>IF(ISNA(VLOOKUP(Tableau35[[#This Row],[Pilote]],Tableau246810[],7,0)),0,VLOOKUP(Tableau35[[#This Row],[Pilote]],Tableau246810[],7,0))</f>
        <v>37</v>
      </c>
      <c r="S12" s="1">
        <f>IF(ISNA(VLOOKUP(Tableau35[[#This Row],[Pilote]],Tableau24681012[],7,0)),0,VLOOKUP(Tableau35[[#This Row],[Pilote]],Tableau24681012[],7,0))</f>
        <v>23</v>
      </c>
      <c r="T12" s="1">
        <f>IF(ISNA(VLOOKUP(Tableau35[[#This Row],[Pilote]],Tableau2468101214[],4,0)),0,VLOOKUP(Tableau35[[#This Row],[Pilote]],Tableau2468101214[],4,0))</f>
        <v>40</v>
      </c>
      <c r="U12" s="1">
        <f>IF(ISNA(VLOOKUP(Tableau35[[#This Row],[Pilote]],Tableau246810121416[],7,0)),0,VLOOKUP(Tableau35[[#This Row],[Pilote]],Tableau246810121416[],7,0))</f>
        <v>39</v>
      </c>
      <c r="V12" s="1">
        <f>IF(ISNA(VLOOKUP(Tableau35[[#This Row],[Pilote]],Tableau24681012141618[],7,0)),0,VLOOKUP(Tableau35[[#This Row],[Pilote]],Tableau24681012141618[],7,0))</f>
        <v>15</v>
      </c>
      <c r="W12" s="1">
        <f>IF(ISNA(VLOOKUP(Tableau35[[#This Row],[Pilote]],Tableau2468101214161822[],7,0)),0,VLOOKUP(Tableau35[[#This Row],[Pilote]],Tableau2468101214161822[],7,0))</f>
        <v>31</v>
      </c>
      <c r="X12" s="1">
        <f>IF(ISNA(VLOOKUP(Tableau35[[#This Row],[Pilote]],Tableau246810121416182231[],7,0)),0,VLOOKUP(Tableau35[[#This Row],[Pilote]],Tableau246810121416182231[],7,0))</f>
        <v>25</v>
      </c>
      <c r="Y12" s="1">
        <f>IF(ISNA(VLOOKUP(Tableau35[[#This Row],[Pilote]],Tableau24681012141618223133[],7,0)),0,VLOOKUP(Tableau35[[#This Row],[Pilote]],Tableau24681012141618223133[],7,0))</f>
        <v>28</v>
      </c>
      <c r="AB12" s="217" t="s">
        <v>207</v>
      </c>
      <c r="AC12">
        <v>25</v>
      </c>
    </row>
    <row r="13" spans="1:29" ht="15.75" thickBot="1" x14ac:dyDescent="0.3">
      <c r="A13" s="52">
        <f t="shared" si="1"/>
        <v>11</v>
      </c>
      <c r="B13" t="s">
        <v>9</v>
      </c>
      <c r="C13" t="s">
        <v>10</v>
      </c>
      <c r="D13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138</v>
      </c>
      <c r="F13" s="241">
        <f>ROUND('Manche 1'!O23+'Manche 2'!O23+'Manche 3'!O23+'Manche 4'!O23+'Manche 5'!O23+'Manche 6'!O23+'Manche 7'!O23+'Manche 8'!O23+'Manche 9'!O23+'Manche 10'!O23,0)</f>
        <v>238</v>
      </c>
      <c r="G13" s="242"/>
      <c r="H13" s="243"/>
      <c r="J13" s="91" t="s">
        <v>113</v>
      </c>
      <c r="K13" s="92">
        <f t="shared" si="0"/>
        <v>11</v>
      </c>
      <c r="L13" s="92" t="s">
        <v>10</v>
      </c>
      <c r="M13" s="93" t="s">
        <v>25</v>
      </c>
      <c r="O13" s="1" t="s">
        <v>25</v>
      </c>
      <c r="P13" s="1">
        <f>IF(ISNA(VLOOKUP(Tableau35[[#This Row],[Pilote]],Tableau2346[],7,0)),0,VLOOKUP(Tableau35[[#This Row],[Pilote]],Tableau2346[],7,0))</f>
        <v>21</v>
      </c>
      <c r="Q13" s="1">
        <f>IF(ISNA(VLOOKUP(Tableau35[[#This Row],[Pilote]],Tableau2468[],7,0)),0,VLOOKUP(Tableau35[[#This Row],[Pilote]],Tableau2468[],7,0))</f>
        <v>30</v>
      </c>
      <c r="R13" s="1">
        <f>IF(ISNA(VLOOKUP(Tableau35[[#This Row],[Pilote]],Tableau246810[],7,0)),0,VLOOKUP(Tableau35[[#This Row],[Pilote]],Tableau246810[],7,0))</f>
        <v>23</v>
      </c>
      <c r="S13" s="1">
        <f>IF(ISNA(VLOOKUP(Tableau35[[#This Row],[Pilote]],Tableau24681012[],7,0)),0,VLOOKUP(Tableau35[[#This Row],[Pilote]],Tableau24681012[],7,0))</f>
        <v>17</v>
      </c>
      <c r="T13" s="1">
        <f>IF(ISNA(VLOOKUP(Tableau35[[#This Row],[Pilote]],Tableau2468101214[],4,0)),0,VLOOKUP(Tableau35[[#This Row],[Pilote]],Tableau2468101214[],4,0))</f>
        <v>26</v>
      </c>
      <c r="U13" s="1">
        <f>IF(ISNA(VLOOKUP(Tableau35[[#This Row],[Pilote]],Tableau246810121416[],7,0)),0,VLOOKUP(Tableau35[[#This Row],[Pilote]],Tableau246810121416[],7,0))</f>
        <v>35</v>
      </c>
      <c r="V13" s="1">
        <f>IF(ISNA(VLOOKUP(Tableau35[[#This Row],[Pilote]],Tableau24681012141618[],7,0)),0,VLOOKUP(Tableau35[[#This Row],[Pilote]],Tableau24681012141618[],7,0))</f>
        <v>21</v>
      </c>
      <c r="W13" s="1">
        <f>IF(ISNA(VLOOKUP(Tableau35[[#This Row],[Pilote]],Tableau2468101214161822[],7,0)),0,VLOOKUP(Tableau35[[#This Row],[Pilote]],Tableau2468101214161822[],7,0))</f>
        <v>40</v>
      </c>
      <c r="X13" s="1">
        <f>IF(ISNA(VLOOKUP(Tableau35[[#This Row],[Pilote]],Tableau246810121416182231[],7,0)),0,VLOOKUP(Tableau35[[#This Row],[Pilote]],Tableau246810121416182231[],7,0))</f>
        <v>27</v>
      </c>
      <c r="Y13" s="1">
        <f>IF(ISNA(VLOOKUP(Tableau35[[#This Row],[Pilote]],Tableau24681012141618223133[],7,0)),0,VLOOKUP(Tableau35[[#This Row],[Pilote]],Tableau24681012141618223133[],7,0))</f>
        <v>20</v>
      </c>
      <c r="AB13" s="217" t="s">
        <v>175</v>
      </c>
      <c r="AC13">
        <v>22.2</v>
      </c>
    </row>
    <row r="14" spans="1:29" ht="15.75" thickTop="1" x14ac:dyDescent="0.25">
      <c r="A14" s="52">
        <f t="shared" si="1"/>
        <v>12</v>
      </c>
      <c r="B14" t="s">
        <v>175</v>
      </c>
      <c r="C14" t="s">
        <v>18</v>
      </c>
      <c r="D14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111</v>
      </c>
      <c r="J14" s="85" t="s">
        <v>114</v>
      </c>
      <c r="K14" s="86">
        <f t="shared" si="0"/>
        <v>12</v>
      </c>
      <c r="L14" s="86" t="s">
        <v>20</v>
      </c>
      <c r="M14" s="87" t="s">
        <v>26</v>
      </c>
      <c r="O14" s="1" t="s">
        <v>26</v>
      </c>
      <c r="P14" s="1">
        <f>IF(ISNA(VLOOKUP(Tableau35[[#This Row],[Pilote]],Tableau2346[],7,0)),0,VLOOKUP(Tableau35[[#This Row],[Pilote]],Tableau2346[],7,0))</f>
        <v>4</v>
      </c>
      <c r="Q14" s="1">
        <f>IF(ISNA(VLOOKUP(Tableau35[[#This Row],[Pilote]],Tableau2468[],7,0)),0,VLOOKUP(Tableau35[[#This Row],[Pilote]],Tableau2468[],7,0))</f>
        <v>6</v>
      </c>
      <c r="R14" s="1">
        <f>IF(ISNA(VLOOKUP(Tableau35[[#This Row],[Pilote]],Tableau246810[],7,0)),0,VLOOKUP(Tableau35[[#This Row],[Pilote]],Tableau246810[],7,0))</f>
        <v>14</v>
      </c>
      <c r="S14" s="1">
        <f>IF(ISNA(VLOOKUP(Tableau35[[#This Row],[Pilote]],Tableau24681012[],7,0)),0,VLOOKUP(Tableau35[[#This Row],[Pilote]],Tableau24681012[],7,0))</f>
        <v>9</v>
      </c>
      <c r="T14" s="1">
        <f>IF(ISNA(VLOOKUP(Tableau35[[#This Row],[Pilote]],Tableau2468101214[],4,0)),0,VLOOKUP(Tableau35[[#This Row],[Pilote]],Tableau2468101214[],4,0))</f>
        <v>10</v>
      </c>
      <c r="U14" s="1">
        <f>IF(ISNA(VLOOKUP(Tableau35[[#This Row],[Pilote]],Tableau246810121416[],7,0)),0,VLOOKUP(Tableau35[[#This Row],[Pilote]],Tableau246810121416[],7,0))</f>
        <v>16</v>
      </c>
      <c r="V14" s="1">
        <f>IF(ISNA(VLOOKUP(Tableau35[[#This Row],[Pilote]],Tableau24681012141618[],7,0)),0,VLOOKUP(Tableau35[[#This Row],[Pilote]],Tableau24681012141618[],7,0))</f>
        <v>11</v>
      </c>
      <c r="W14" s="1">
        <f>IF(ISNA(VLOOKUP(Tableau35[[#This Row],[Pilote]],Tableau2468101214161822[],7,0)),0,VLOOKUP(Tableau35[[#This Row],[Pilote]],Tableau2468101214161822[],7,0))</f>
        <v>14</v>
      </c>
      <c r="X14" s="1">
        <f>IF(ISNA(VLOOKUP(Tableau35[[#This Row],[Pilote]],Tableau246810121416182231[],7,0)),0,VLOOKUP(Tableau35[[#This Row],[Pilote]],Tableau246810121416182231[],7,0))</f>
        <v>0</v>
      </c>
      <c r="Y14" s="1">
        <f>IF(ISNA(VLOOKUP(Tableau35[[#This Row],[Pilote]],Tableau24681012141618223133[],7,0)),0,VLOOKUP(Tableau35[[#This Row],[Pilote]],Tableau24681012141618223133[],7,0))</f>
        <v>15</v>
      </c>
      <c r="AB14" s="217" t="s">
        <v>19</v>
      </c>
      <c r="AC14">
        <v>22</v>
      </c>
    </row>
    <row r="15" spans="1:29" x14ac:dyDescent="0.25">
      <c r="A15" s="52">
        <f t="shared" si="1"/>
        <v>13</v>
      </c>
      <c r="B15" t="s">
        <v>173</v>
      </c>
      <c r="C15" t="s">
        <v>12</v>
      </c>
      <c r="D15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102</v>
      </c>
      <c r="J15" s="91" t="s">
        <v>115</v>
      </c>
      <c r="K15" s="92">
        <f t="shared" si="0"/>
        <v>13</v>
      </c>
      <c r="L15" s="92" t="s">
        <v>18</v>
      </c>
      <c r="M15" s="93" t="s">
        <v>27</v>
      </c>
      <c r="O15" s="1" t="s">
        <v>175</v>
      </c>
      <c r="P15" s="1">
        <f>IF(ISNA(VLOOKUP(Tableau35[[#This Row],[Pilote]],Tableau2346[],7,0)),0,VLOOKUP(Tableau35[[#This Row],[Pilote]],Tableau2346[],7,0))</f>
        <v>42</v>
      </c>
      <c r="Q15" s="1">
        <f>IF(ISNA(VLOOKUP(Tableau35[[#This Row],[Pilote]],Tableau2468[],7,0)),0,VLOOKUP(Tableau35[[#This Row],[Pilote]],Tableau2468[],7,0))</f>
        <v>41</v>
      </c>
      <c r="R15" s="1">
        <f>IF(ISNA(VLOOKUP(Tableau35[[#This Row],[Pilote]],Tableau246810[],7,0)),0,VLOOKUP(Tableau35[[#This Row],[Pilote]],Tableau246810[],7,0))</f>
        <v>11</v>
      </c>
      <c r="S15" s="1">
        <f>IF(ISNA(VLOOKUP(Tableau35[[#This Row],[Pilote]],Tableau24681012[],7,0)),0,VLOOKUP(Tableau35[[#This Row],[Pilote]],Tableau24681012[],7,0))</f>
        <v>9</v>
      </c>
      <c r="T15" s="1">
        <f>IF(ISNA(VLOOKUP(Tableau35[[#This Row],[Pilote]],Tableau2468101214[],4,0)),0,VLOOKUP(Tableau35[[#This Row],[Pilote]],Tableau2468101214[],4,0))</f>
        <v>8</v>
      </c>
      <c r="U15" s="1">
        <f>IF(ISNA(VLOOKUP(Tableau35[[#This Row],[Pilote]],Tableau246810121416[],7,0)),0,VLOOKUP(Tableau35[[#This Row],[Pilote]],Tableau246810121416[],7,0))</f>
        <v>0</v>
      </c>
      <c r="V15" s="1">
        <f>IF(ISNA(VLOOKUP(Tableau35[[#This Row],[Pilote]],Tableau24681012141618[],7,0)),0,VLOOKUP(Tableau35[[#This Row],[Pilote]],Tableau24681012141618[],7,0))</f>
        <v>0</v>
      </c>
      <c r="W15" s="1">
        <f>IF(ISNA(VLOOKUP(Tableau35[[#This Row],[Pilote]],Tableau2468101214161822[],7,0)),0,VLOOKUP(Tableau35[[#This Row],[Pilote]],Tableau2468101214161822[],7,0))</f>
        <v>0</v>
      </c>
      <c r="X15" s="1">
        <f>IF(ISNA(VLOOKUP(Tableau35[[#This Row],[Pilote]],Tableau246810121416182231[],7,0)),0,VLOOKUP(Tableau35[[#This Row],[Pilote]],Tableau246810121416182231[],7,0))</f>
        <v>0</v>
      </c>
      <c r="Y15" s="1">
        <f>IF(ISNA(VLOOKUP(Tableau35[[#This Row],[Pilote]],Tableau24681012141618223133[],7,0)),0,VLOOKUP(Tableau35[[#This Row],[Pilote]],Tableau24681012141618223133[],7,0))</f>
        <v>0</v>
      </c>
      <c r="AB15" s="217" t="s">
        <v>198</v>
      </c>
      <c r="AC15">
        <v>21</v>
      </c>
    </row>
    <row r="16" spans="1:29" x14ac:dyDescent="0.25">
      <c r="A16" s="52">
        <f t="shared" si="1"/>
        <v>14</v>
      </c>
      <c r="B16" t="s">
        <v>26</v>
      </c>
      <c r="C16" t="s">
        <v>20</v>
      </c>
      <c r="D16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99</v>
      </c>
      <c r="J16" s="85" t="s">
        <v>116</v>
      </c>
      <c r="K16" s="86">
        <f t="shared" si="0"/>
        <v>14</v>
      </c>
      <c r="L16" s="86" t="s">
        <v>16</v>
      </c>
      <c r="M16" s="87" t="s">
        <v>28</v>
      </c>
      <c r="O16" s="1" t="s">
        <v>28</v>
      </c>
      <c r="P16" s="1">
        <f>IF(ISNA(VLOOKUP(Tableau35[[#This Row],[Pilote]],Tableau2346[],7,0)),0,VLOOKUP(Tableau35[[#This Row],[Pilote]],Tableau2346[],7,0))</f>
        <v>21</v>
      </c>
      <c r="Q16" s="1">
        <f>IF(ISNA(VLOOKUP(Tableau35[[#This Row],[Pilote]],Tableau2468[],7,0)),0,VLOOKUP(Tableau35[[#This Row],[Pilote]],Tableau2468[],7,0))</f>
        <v>11</v>
      </c>
      <c r="R16" s="1">
        <f>IF(ISNA(VLOOKUP(Tableau35[[#This Row],[Pilote]],Tableau246810[],7,0)),0,VLOOKUP(Tableau35[[#This Row],[Pilote]],Tableau246810[],7,0))</f>
        <v>22</v>
      </c>
      <c r="S16" s="1">
        <f>IF(ISNA(VLOOKUP(Tableau35[[#This Row],[Pilote]],Tableau24681012[],7,0)),0,VLOOKUP(Tableau35[[#This Row],[Pilote]],Tableau24681012[],7,0))</f>
        <v>0</v>
      </c>
      <c r="T16" s="1">
        <f>IF(ISNA(VLOOKUP(Tableau35[[#This Row],[Pilote]],Tableau2468101214[],4,0)),0,VLOOKUP(Tableau35[[#This Row],[Pilote]],Tableau2468101214[],4,0))</f>
        <v>18</v>
      </c>
      <c r="U16" s="1">
        <f>IF(ISNA(VLOOKUP(Tableau35[[#This Row],[Pilote]],Tableau246810121416[],7,0)),0,VLOOKUP(Tableau35[[#This Row],[Pilote]],Tableau246810121416[],7,0))</f>
        <v>27</v>
      </c>
      <c r="V16" s="1">
        <f>IF(ISNA(VLOOKUP(Tableau35[[#This Row],[Pilote]],Tableau24681012141618[],7,0)),0,VLOOKUP(Tableau35[[#This Row],[Pilote]],Tableau24681012141618[],7,0))</f>
        <v>14</v>
      </c>
      <c r="W16" s="1">
        <f>IF(ISNA(VLOOKUP(Tableau35[[#This Row],[Pilote]],Tableau2468101214161822[],7,0)),0,VLOOKUP(Tableau35[[#This Row],[Pilote]],Tableau2468101214161822[],7,0))</f>
        <v>26</v>
      </c>
      <c r="X16" s="1">
        <f>IF(ISNA(VLOOKUP(Tableau35[[#This Row],[Pilote]],Tableau246810121416182231[],7,0)),0,VLOOKUP(Tableau35[[#This Row],[Pilote]],Tableau246810121416182231[],7,0))</f>
        <v>20</v>
      </c>
      <c r="Y16" s="1">
        <f>IF(ISNA(VLOOKUP(Tableau35[[#This Row],[Pilote]],Tableau24681012141618223133[],7,0)),0,VLOOKUP(Tableau35[[#This Row],[Pilote]],Tableau24681012141618223133[],7,0))</f>
        <v>17</v>
      </c>
      <c r="AB16" s="217" t="s">
        <v>9</v>
      </c>
      <c r="AC16">
        <v>19.7</v>
      </c>
    </row>
    <row r="17" spans="1:29" x14ac:dyDescent="0.25">
      <c r="A17" s="52">
        <f t="shared" si="1"/>
        <v>15</v>
      </c>
      <c r="B17" t="s">
        <v>31</v>
      </c>
      <c r="C17" t="s">
        <v>20</v>
      </c>
      <c r="D17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84</v>
      </c>
      <c r="J17" s="91" t="s">
        <v>117</v>
      </c>
      <c r="K17" s="92">
        <f t="shared" si="0"/>
        <v>15</v>
      </c>
      <c r="L17" s="92" t="s">
        <v>14</v>
      </c>
      <c r="M17" s="93" t="s">
        <v>29</v>
      </c>
      <c r="O17" s="1" t="s">
        <v>29</v>
      </c>
      <c r="P17" s="1">
        <f>IF(ISNA(VLOOKUP(Tableau35[[#This Row],[Pilote]],Tableau2346[],7,0)),0,VLOOKUP(Tableau35[[#This Row],[Pilote]],Tableau2346[],7,0))</f>
        <v>11</v>
      </c>
      <c r="Q17" s="1">
        <f>IF(ISNA(VLOOKUP(Tableau35[[#This Row],[Pilote]],Tableau2468[],7,0)),0,VLOOKUP(Tableau35[[#This Row],[Pilote]],Tableau2468[],7,0))</f>
        <v>21</v>
      </c>
      <c r="R17" s="1">
        <f>IF(ISNA(VLOOKUP(Tableau35[[#This Row],[Pilote]],Tableau246810[],7,0)),0,VLOOKUP(Tableau35[[#This Row],[Pilote]],Tableau246810[],7,0))</f>
        <v>13</v>
      </c>
      <c r="S17" s="1">
        <f>IF(ISNA(VLOOKUP(Tableau35[[#This Row],[Pilote]],Tableau24681012[],7,0)),0,VLOOKUP(Tableau35[[#This Row],[Pilote]],Tableau24681012[],7,0))</f>
        <v>0</v>
      </c>
      <c r="T17" s="1">
        <f>IF(ISNA(VLOOKUP(Tableau35[[#This Row],[Pilote]],Tableau2468101214[],4,0)),0,VLOOKUP(Tableau35[[#This Row],[Pilote]],Tableau2468101214[],4,0))</f>
        <v>0</v>
      </c>
      <c r="U17" s="1">
        <f>IF(ISNA(VLOOKUP(Tableau35[[#This Row],[Pilote]],Tableau246810121416[],7,0)),0,VLOOKUP(Tableau35[[#This Row],[Pilote]],Tableau246810121416[],7,0))</f>
        <v>0</v>
      </c>
      <c r="V17" s="1">
        <f>IF(ISNA(VLOOKUP(Tableau35[[#This Row],[Pilote]],Tableau24681012141618[],7,0)),0,VLOOKUP(Tableau35[[#This Row],[Pilote]],Tableau24681012141618[],7,0))</f>
        <v>0</v>
      </c>
      <c r="W17" s="1">
        <f>IF(ISNA(VLOOKUP(Tableau35[[#This Row],[Pilote]],Tableau2468101214161822[],7,0)),0,VLOOKUP(Tableau35[[#This Row],[Pilote]],Tableau2468101214161822[],7,0))</f>
        <v>0</v>
      </c>
      <c r="X17" s="1">
        <f>IF(ISNA(VLOOKUP(Tableau35[[#This Row],[Pilote]],Tableau246810121416182231[],7,0)),0,VLOOKUP(Tableau35[[#This Row],[Pilote]],Tableau246810121416182231[],7,0))</f>
        <v>0</v>
      </c>
      <c r="Y17" s="1">
        <f>IF(ISNA(VLOOKUP(Tableau35[[#This Row],[Pilote]],Tableau24681012141618223133[],7,0)),0,VLOOKUP(Tableau35[[#This Row],[Pilote]],Tableau24681012141618223133[],7,0))</f>
        <v>0</v>
      </c>
      <c r="AB17" s="217" t="s">
        <v>28</v>
      </c>
      <c r="AC17">
        <v>19.600000000000001</v>
      </c>
    </row>
    <row r="18" spans="1:29" x14ac:dyDescent="0.25">
      <c r="A18" s="52">
        <f t="shared" si="1"/>
        <v>16</v>
      </c>
      <c r="B18" t="s">
        <v>198</v>
      </c>
      <c r="C18" t="s">
        <v>18</v>
      </c>
      <c r="D18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63</v>
      </c>
      <c r="J18" s="94" t="s">
        <v>118</v>
      </c>
      <c r="K18" s="95">
        <f t="shared" si="0"/>
        <v>16</v>
      </c>
      <c r="L18" s="95" t="s">
        <v>12</v>
      </c>
      <c r="M18" s="96" t="s">
        <v>30</v>
      </c>
      <c r="O18" s="1" t="s">
        <v>30</v>
      </c>
      <c r="P18" s="1">
        <f>IF(ISNA(VLOOKUP(Tableau35[[#This Row],[Pilote]],Tableau2346[],7,0)),0,VLOOKUP(Tableau35[[#This Row],[Pilote]],Tableau2346[],7,0))</f>
        <v>0</v>
      </c>
      <c r="Q18" s="1">
        <f>IF(ISNA(VLOOKUP(Tableau35[[#This Row],[Pilote]],Tableau2468[],7,0)),0,VLOOKUP(Tableau35[[#This Row],[Pilote]],Tableau2468[],7,0))</f>
        <v>0</v>
      </c>
      <c r="R18" s="1">
        <f>IF(ISNA(VLOOKUP(Tableau35[[#This Row],[Pilote]],Tableau246810[],7,0)),0,VLOOKUP(Tableau35[[#This Row],[Pilote]],Tableau246810[],7,0))</f>
        <v>0</v>
      </c>
      <c r="S18" s="1">
        <f>IF(ISNA(VLOOKUP(Tableau35[[#This Row],[Pilote]],Tableau24681012[],7,0)),0,VLOOKUP(Tableau35[[#This Row],[Pilote]],Tableau24681012[],7,0))</f>
        <v>0</v>
      </c>
      <c r="T18" s="1">
        <f>IF(ISNA(VLOOKUP(Tableau35[[#This Row],[Pilote]],Tableau2468101214[],4,0)),0,VLOOKUP(Tableau35[[#This Row],[Pilote]],Tableau2468101214[],4,0))</f>
        <v>0</v>
      </c>
      <c r="U18" s="1">
        <f>IF(ISNA(VLOOKUP(Tableau35[[#This Row],[Pilote]],Tableau246810121416[],7,0)),0,VLOOKUP(Tableau35[[#This Row],[Pilote]],Tableau246810121416[],7,0))</f>
        <v>0</v>
      </c>
      <c r="V18" s="1">
        <f>IF(ISNA(VLOOKUP(Tableau35[[#This Row],[Pilote]],Tableau24681012141618[],7,0)),0,VLOOKUP(Tableau35[[#This Row],[Pilote]],Tableau24681012141618[],7,0))</f>
        <v>0</v>
      </c>
      <c r="W18" s="1">
        <f>IF(ISNA(VLOOKUP(Tableau35[[#This Row],[Pilote]],Tableau2468101214161822[],7,0)),0,VLOOKUP(Tableau35[[#This Row],[Pilote]],Tableau2468101214161822[],7,0))</f>
        <v>0</v>
      </c>
      <c r="X18" s="1">
        <f>IF(ISNA(VLOOKUP(Tableau35[[#This Row],[Pilote]],Tableau246810121416182231[],7,0)),0,VLOOKUP(Tableau35[[#This Row],[Pilote]],Tableau246810121416182231[],7,0))</f>
        <v>0</v>
      </c>
      <c r="Y18" s="1">
        <f>IF(ISNA(VLOOKUP(Tableau35[[#This Row],[Pilote]],Tableau24681012141618223133[],7,0)),0,VLOOKUP(Tableau35[[#This Row],[Pilote]],Tableau24681012141618223133[],7,0))</f>
        <v>0</v>
      </c>
      <c r="AB18" s="217" t="s">
        <v>173</v>
      </c>
      <c r="AC18">
        <v>17</v>
      </c>
    </row>
    <row r="19" spans="1:29" x14ac:dyDescent="0.25">
      <c r="A19" s="52">
        <f t="shared" si="1"/>
        <v>17</v>
      </c>
      <c r="B19" t="s">
        <v>207</v>
      </c>
      <c r="C19" t="s">
        <v>10</v>
      </c>
      <c r="D19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50</v>
      </c>
      <c r="J19" s="97" t="s">
        <v>105</v>
      </c>
      <c r="K19" s="98">
        <f t="shared" si="0"/>
        <v>17</v>
      </c>
      <c r="L19" s="98" t="s">
        <v>12</v>
      </c>
      <c r="M19" s="99" t="s">
        <v>173</v>
      </c>
      <c r="O19" s="1" t="s">
        <v>173</v>
      </c>
      <c r="P19" s="1">
        <f>IF(ISNA(VLOOKUP(Tableau35[[#This Row],[Pilote]],Tableau2346[],7,0)),0,VLOOKUP(Tableau35[[#This Row],[Pilote]],Tableau2346[],7,0))</f>
        <v>14</v>
      </c>
      <c r="Q19" s="1">
        <f>IF(ISNA(VLOOKUP(Tableau35[[#This Row],[Pilote]],Tableau2468[],7,0)),0,VLOOKUP(Tableau35[[#This Row],[Pilote]],Tableau2468[],7,0))</f>
        <v>10</v>
      </c>
      <c r="R19" s="1">
        <f>IF(ISNA(VLOOKUP(Tableau35[[#This Row],[Pilote]],Tableau246810[],7,0)),0,VLOOKUP(Tableau35[[#This Row],[Pilote]],Tableau246810[],7,0))</f>
        <v>23</v>
      </c>
      <c r="S19" s="1">
        <f>IF(ISNA(VLOOKUP(Tableau35[[#This Row],[Pilote]],Tableau24681012[],7,0)),0,VLOOKUP(Tableau35[[#This Row],[Pilote]],Tableau24681012[],7,0))</f>
        <v>21</v>
      </c>
      <c r="T19" s="1">
        <f>IF(ISNA(VLOOKUP(Tableau35[[#This Row],[Pilote]],Tableau2468101214[],4,0)),0,VLOOKUP(Tableau35[[#This Row],[Pilote]],Tableau2468101214[],4,0))</f>
        <v>14</v>
      </c>
      <c r="U19" s="1">
        <f>IF(ISNA(VLOOKUP(Tableau35[[#This Row],[Pilote]],Tableau246810121416[],7,0)),0,VLOOKUP(Tableau35[[#This Row],[Pilote]],Tableau246810121416[],7,0))</f>
        <v>0</v>
      </c>
      <c r="V19" s="1">
        <f>IF(ISNA(VLOOKUP(Tableau35[[#This Row],[Pilote]],Tableau24681012141618[],7,0)),0,VLOOKUP(Tableau35[[#This Row],[Pilote]],Tableau24681012141618[],7,0))</f>
        <v>0</v>
      </c>
      <c r="W19" s="1">
        <f>IF(ISNA(VLOOKUP(Tableau35[[#This Row],[Pilote]],Tableau2468101214161822[],7,0)),0,VLOOKUP(Tableau35[[#This Row],[Pilote]],Tableau2468101214161822[],7,0))</f>
        <v>20</v>
      </c>
      <c r="X19" s="1">
        <f>IF(ISNA(VLOOKUP(Tableau35[[#This Row],[Pilote]],Tableau246810121416182231[],7,0)),0,VLOOKUP(Tableau35[[#This Row],[Pilote]],Tableau246810121416182231[],7,0))</f>
        <v>0</v>
      </c>
      <c r="Y19" s="1">
        <f>IF(ISNA(VLOOKUP(Tableau35[[#This Row],[Pilote]],Tableau24681012141618223133[],7,0)),0,VLOOKUP(Tableau35[[#This Row],[Pilote]],Tableau24681012141618223133[],7,0))</f>
        <v>0</v>
      </c>
      <c r="AB19" s="217" t="s">
        <v>208</v>
      </c>
      <c r="AC19">
        <v>16</v>
      </c>
    </row>
    <row r="20" spans="1:29" x14ac:dyDescent="0.25">
      <c r="A20" s="52">
        <f t="shared" si="1"/>
        <v>18</v>
      </c>
      <c r="B20" t="s">
        <v>29</v>
      </c>
      <c r="C20" t="s">
        <v>14</v>
      </c>
      <c r="D20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45</v>
      </c>
      <c r="J20" s="85" t="s">
        <v>109</v>
      </c>
      <c r="K20" s="86">
        <f t="shared" si="0"/>
        <v>18</v>
      </c>
      <c r="L20" s="86" t="s">
        <v>20</v>
      </c>
      <c r="M20" s="87" t="s">
        <v>31</v>
      </c>
      <c r="O20" s="1" t="s">
        <v>31</v>
      </c>
      <c r="P20" s="1">
        <f>IF(ISNA(VLOOKUP(Tableau35[[#This Row],[Pilote]],Tableau2346[],7,0)),0,VLOOKUP(Tableau35[[#This Row],[Pilote]],Tableau2346[],7,0))</f>
        <v>40</v>
      </c>
      <c r="Q20" s="1">
        <f>IF(ISNA(VLOOKUP(Tableau35[[#This Row],[Pilote]],Tableau2468[],7,0)),0,VLOOKUP(Tableau35[[#This Row],[Pilote]],Tableau2468[],7,0))</f>
        <v>37</v>
      </c>
      <c r="R20" s="1">
        <f>IF(ISNA(VLOOKUP(Tableau35[[#This Row],[Pilote]],Tableau246810[],7,0)),0,VLOOKUP(Tableau35[[#This Row],[Pilote]],Tableau246810[],7,0))</f>
        <v>7</v>
      </c>
      <c r="S20" s="1">
        <f>IF(ISNA(VLOOKUP(Tableau35[[#This Row],[Pilote]],Tableau24681012[],7,0)),0,VLOOKUP(Tableau35[[#This Row],[Pilote]],Tableau24681012[],7,0))</f>
        <v>0</v>
      </c>
      <c r="T20" s="1">
        <f>IF(ISNA(VLOOKUP(Tableau35[[#This Row],[Pilote]],Tableau2468101214[],4,0)),0,VLOOKUP(Tableau35[[#This Row],[Pilote]],Tableau2468101214[],4,0))</f>
        <v>0</v>
      </c>
      <c r="U20" s="1">
        <f>IF(ISNA(VLOOKUP(Tableau35[[#This Row],[Pilote]],Tableau246810121416[],7,0)),0,VLOOKUP(Tableau35[[#This Row],[Pilote]],Tableau246810121416[],7,0))</f>
        <v>0</v>
      </c>
      <c r="V20" s="1">
        <f>IF(ISNA(VLOOKUP(Tableau35[[#This Row],[Pilote]],Tableau24681012141618[],7,0)),0,VLOOKUP(Tableau35[[#This Row],[Pilote]],Tableau24681012141618[],7,0))</f>
        <v>0</v>
      </c>
      <c r="W20" s="1">
        <f>IF(ISNA(VLOOKUP(Tableau35[[#This Row],[Pilote]],Tableau2468101214161822[],7,0)),0,VLOOKUP(Tableau35[[#This Row],[Pilote]],Tableau2468101214161822[],7,0))</f>
        <v>0</v>
      </c>
      <c r="X20" s="1">
        <f>IF(ISNA(VLOOKUP(Tableau35[[#This Row],[Pilote]],Tableau246810121416182231[],7,0)),0,VLOOKUP(Tableau35[[#This Row],[Pilote]],Tableau246810121416182231[],7,0))</f>
        <v>0</v>
      </c>
      <c r="Y20" s="1">
        <f>IF(ISNA(VLOOKUP(Tableau35[[#This Row],[Pilote]],Tableau24681012141618223133[],7,0)),0,VLOOKUP(Tableau35[[#This Row],[Pilote]],Tableau24681012141618223133[],7,0))</f>
        <v>0</v>
      </c>
      <c r="AB20" s="217" t="s">
        <v>29</v>
      </c>
      <c r="AC20">
        <v>15</v>
      </c>
    </row>
    <row r="21" spans="1:29" x14ac:dyDescent="0.25">
      <c r="A21" s="52">
        <f t="shared" si="1"/>
        <v>19</v>
      </c>
      <c r="B21" t="s">
        <v>200</v>
      </c>
      <c r="C21" t="s">
        <v>14</v>
      </c>
      <c r="D21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43</v>
      </c>
      <c r="J21" s="97" t="s">
        <v>107</v>
      </c>
      <c r="K21" s="98">
        <f t="shared" si="0"/>
        <v>19</v>
      </c>
      <c r="L21" s="98" t="s">
        <v>16</v>
      </c>
      <c r="M21" s="99" t="s">
        <v>177</v>
      </c>
      <c r="O21" s="1" t="s">
        <v>177</v>
      </c>
      <c r="P21" s="1">
        <f>IF(ISNA(VLOOKUP(Tableau35[[#This Row],[Pilote]],Tableau2346[],7,0)),0,VLOOKUP(Tableau35[[#This Row],[Pilote]],Tableau2346[],7,0))</f>
        <v>40</v>
      </c>
      <c r="Q21" s="1">
        <f>IF(ISNA(VLOOKUP(Tableau35[[#This Row],[Pilote]],Tableau2468[],7,0)),0,VLOOKUP(Tableau35[[#This Row],[Pilote]],Tableau2468[],7,0))</f>
        <v>40</v>
      </c>
      <c r="R21" s="1">
        <f>IF(ISNA(VLOOKUP(Tableau35[[#This Row],[Pilote]],Tableau246810[],7,0)),0,VLOOKUP(Tableau35[[#This Row],[Pilote]],Tableau246810[],7,0))</f>
        <v>0</v>
      </c>
      <c r="S21" s="1">
        <f>IF(ISNA(VLOOKUP(Tableau35[[#This Row],[Pilote]],Tableau24681012[],7,0)),0,VLOOKUP(Tableau35[[#This Row],[Pilote]],Tableau24681012[],7,0))</f>
        <v>39</v>
      </c>
      <c r="T21" s="1">
        <f>IF(ISNA(VLOOKUP(Tableau35[[#This Row],[Pilote]],Tableau2468101214[],4,0)),0,VLOOKUP(Tableau35[[#This Row],[Pilote]],Tableau2468101214[],4,0))</f>
        <v>30</v>
      </c>
      <c r="U21" s="1">
        <f>IF(ISNA(VLOOKUP(Tableau35[[#This Row],[Pilote]],Tableau246810121416[],7,0)),0,VLOOKUP(Tableau35[[#This Row],[Pilote]],Tableau246810121416[],7,0))</f>
        <v>0</v>
      </c>
      <c r="V21" s="1">
        <f>IF(ISNA(VLOOKUP(Tableau35[[#This Row],[Pilote]],Tableau24681012141618[],7,0)),0,VLOOKUP(Tableau35[[#This Row],[Pilote]],Tableau24681012141618[],7,0))</f>
        <v>0</v>
      </c>
      <c r="W21" s="1">
        <f>IF(ISNA(VLOOKUP(Tableau35[[#This Row],[Pilote]],Tableau2468101214161822[],7,0)),0,VLOOKUP(Tableau35[[#This Row],[Pilote]],Tableau2468101214161822[],7,0))</f>
        <v>20</v>
      </c>
      <c r="X21" s="1">
        <f>IF(ISNA(VLOOKUP(Tableau35[[#This Row],[Pilote]],Tableau246810121416182231[],7,0)),0,VLOOKUP(Tableau35[[#This Row],[Pilote]],Tableau246810121416182231[],7,0))</f>
        <v>0</v>
      </c>
      <c r="Y21" s="1">
        <f>IF(ISNA(VLOOKUP(Tableau35[[#This Row],[Pilote]],Tableau24681012141618223133[],7,0)),0,VLOOKUP(Tableau35[[#This Row],[Pilote]],Tableau24681012141618223133[],7,0))</f>
        <v>35</v>
      </c>
      <c r="AB21" s="239" t="s">
        <v>213</v>
      </c>
      <c r="AC21">
        <v>15</v>
      </c>
    </row>
    <row r="22" spans="1:29" x14ac:dyDescent="0.25">
      <c r="A22" s="52">
        <f t="shared" si="1"/>
        <v>20</v>
      </c>
      <c r="B22" t="s">
        <v>17</v>
      </c>
      <c r="C22" t="s">
        <v>18</v>
      </c>
      <c r="D22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28</v>
      </c>
      <c r="J22" s="85" t="s">
        <v>110</v>
      </c>
      <c r="K22" s="86">
        <f t="shared" si="0"/>
        <v>20</v>
      </c>
      <c r="L22" s="86" t="s">
        <v>18</v>
      </c>
      <c r="M22" s="87" t="s">
        <v>198</v>
      </c>
      <c r="O22" s="1" t="s">
        <v>198</v>
      </c>
      <c r="P22" s="1">
        <f>IF(ISNA(VLOOKUP(Tableau35[[#This Row],[Pilote]],Tableau2346[],7,0)),0,VLOOKUP(Tableau35[[#This Row],[Pilote]],Tableau2346[],7,0))</f>
        <v>0</v>
      </c>
      <c r="Q22" s="1">
        <f>IF(ISNA(VLOOKUP(Tableau35[[#This Row],[Pilote]],Tableau2468[],7,0)),0,VLOOKUP(Tableau35[[#This Row],[Pilote]],Tableau2468[],7,0))</f>
        <v>0</v>
      </c>
      <c r="R22" s="1">
        <f>IF(ISNA(VLOOKUP(Tableau35[[#This Row],[Pilote]],Tableau246810[],7,0)),0,VLOOKUP(Tableau35[[#This Row],[Pilote]],Tableau246810[],7,0))</f>
        <v>0</v>
      </c>
      <c r="S22" s="1">
        <f>IF(ISNA(VLOOKUP(Tableau35[[#This Row],[Pilote]],Tableau24681012[],7,0)),0,VLOOKUP(Tableau35[[#This Row],[Pilote]],Tableau24681012[],7,0))</f>
        <v>20</v>
      </c>
      <c r="T22" s="1">
        <f>IF(ISNA(VLOOKUP(Tableau35[[#This Row],[Pilote]],Tableau2468101214[],4,0)),0,VLOOKUP(Tableau35[[#This Row],[Pilote]],Tableau2468101214[],4,0))</f>
        <v>22</v>
      </c>
      <c r="U22" s="1">
        <f>IF(ISNA(VLOOKUP(Tableau35[[#This Row],[Pilote]],Tableau246810121416[],7,0)),0,VLOOKUP(Tableau35[[#This Row],[Pilote]],Tableau246810121416[],7,0))</f>
        <v>21</v>
      </c>
      <c r="V22" s="1">
        <f>IF(ISNA(VLOOKUP(Tableau35[[#This Row],[Pilote]],Tableau24681012141618[],7,0)),0,VLOOKUP(Tableau35[[#This Row],[Pilote]],Tableau24681012141618[],7,0))</f>
        <v>0</v>
      </c>
      <c r="W22" s="1">
        <f>IF(ISNA(VLOOKUP(Tableau35[[#This Row],[Pilote]],Tableau2468101214161822[],7,0)),0,VLOOKUP(Tableau35[[#This Row],[Pilote]],Tableau2468101214161822[],7,0))</f>
        <v>0</v>
      </c>
      <c r="X22" s="1">
        <f>IF(ISNA(VLOOKUP(Tableau35[[#This Row],[Pilote]],Tableau246810121416182231[],7,0)),0,VLOOKUP(Tableau35[[#This Row],[Pilote]],Tableau246810121416182231[],7,0))</f>
        <v>0</v>
      </c>
      <c r="Y22" s="1">
        <f>IF(ISNA(VLOOKUP(Tableau35[[#This Row],[Pilote]],Tableau24681012141618223133[],7,0)),0,VLOOKUP(Tableau35[[#This Row],[Pilote]],Tableau24681012141618223133[],7,0))</f>
        <v>0</v>
      </c>
      <c r="AB22" s="217" t="s">
        <v>200</v>
      </c>
      <c r="AC22">
        <v>14.3</v>
      </c>
    </row>
    <row r="23" spans="1:29" x14ac:dyDescent="0.25">
      <c r="A23" s="52">
        <f t="shared" si="1"/>
        <v>21</v>
      </c>
      <c r="B23" t="s">
        <v>13</v>
      </c>
      <c r="C23" t="s">
        <v>14</v>
      </c>
      <c r="D23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26</v>
      </c>
      <c r="J23" s="97" t="s">
        <v>104</v>
      </c>
      <c r="K23" s="98">
        <f t="shared" si="0"/>
        <v>21</v>
      </c>
      <c r="L23" s="98" t="s">
        <v>14</v>
      </c>
      <c r="M23" s="99" t="s">
        <v>200</v>
      </c>
      <c r="O23" s="1" t="s">
        <v>200</v>
      </c>
      <c r="P23" s="1">
        <f>IF(ISNA(VLOOKUP(Tableau35[[#This Row],[Pilote]],Tableau2346[],7,0)),0,VLOOKUP(Tableau35[[#This Row],[Pilote]],Tableau2346[],7,0))</f>
        <v>0</v>
      </c>
      <c r="Q23" s="1">
        <f>IF(ISNA(VLOOKUP(Tableau35[[#This Row],[Pilote]],Tableau2468[],7,0)),0,VLOOKUP(Tableau35[[#This Row],[Pilote]],Tableau2468[],7,0))</f>
        <v>0</v>
      </c>
      <c r="R23" s="1">
        <f>IF(ISNA(VLOOKUP(Tableau35[[#This Row],[Pilote]],Tableau246810[],7,0)),0,VLOOKUP(Tableau35[[#This Row],[Pilote]],Tableau246810[],7,0))</f>
        <v>0</v>
      </c>
      <c r="S23" s="1">
        <f>IF(ISNA(VLOOKUP(Tableau35[[#This Row],[Pilote]],Tableau24681012[],7,0)),0,VLOOKUP(Tableau35[[#This Row],[Pilote]],Tableau24681012[],7,0))</f>
        <v>0</v>
      </c>
      <c r="T23" s="1">
        <f>IF(ISNA(VLOOKUP(Tableau35[[#This Row],[Pilote]],Tableau2468101214[],4,0)),0,VLOOKUP(Tableau35[[#This Row],[Pilote]],Tableau2468101214[],4,0))</f>
        <v>12</v>
      </c>
      <c r="U23" s="1">
        <f>IF(ISNA(VLOOKUP(Tableau35[[#This Row],[Pilote]],Tableau246810121416[],7,0)),0,VLOOKUP(Tableau35[[#This Row],[Pilote]],Tableau246810121416[],7,0))</f>
        <v>13</v>
      </c>
      <c r="V23" s="1">
        <f>IF(ISNA(VLOOKUP(Tableau35[[#This Row],[Pilote]],Tableau24681012141618[],7,0)),0,VLOOKUP(Tableau35[[#This Row],[Pilote]],Tableau24681012141618[],7,0))</f>
        <v>18</v>
      </c>
      <c r="W23" s="1">
        <f>IF(ISNA(VLOOKUP(Tableau35[[#This Row],[Pilote]],Tableau2468101214161822[],7,0)),0,VLOOKUP(Tableau35[[#This Row],[Pilote]],Tableau2468101214161822[],7,0))</f>
        <v>0</v>
      </c>
      <c r="X23" s="1">
        <f>IF(ISNA(VLOOKUP(Tableau35[[#This Row],[Pilote]],Tableau246810121416182231[],7,0)),0,VLOOKUP(Tableau35[[#This Row],[Pilote]],Tableau246810121416182231[],7,0))</f>
        <v>0</v>
      </c>
      <c r="Y23" s="1">
        <f>IF(ISNA(VLOOKUP(Tableau35[[#This Row],[Pilote]],Tableau24681012141618223133[],7,0)),0,VLOOKUP(Tableau35[[#This Row],[Pilote]],Tableau24681012141618223133[],7,0))</f>
        <v>0</v>
      </c>
      <c r="AB23" s="217" t="s">
        <v>17</v>
      </c>
      <c r="AC23">
        <v>14</v>
      </c>
    </row>
    <row r="24" spans="1:29" x14ac:dyDescent="0.25">
      <c r="A24" s="52">
        <f t="shared" si="1"/>
        <v>22</v>
      </c>
      <c r="B24" t="s">
        <v>209</v>
      </c>
      <c r="C24" t="s">
        <v>8</v>
      </c>
      <c r="D24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25</v>
      </c>
      <c r="J24" s="85" t="s">
        <v>106</v>
      </c>
      <c r="K24" s="86">
        <f t="shared" si="0"/>
        <v>22</v>
      </c>
      <c r="L24" s="86" t="s">
        <v>10</v>
      </c>
      <c r="M24" s="87" t="s">
        <v>207</v>
      </c>
      <c r="O24" s="1" t="s">
        <v>207</v>
      </c>
      <c r="P24" s="1">
        <f>IF(ISNA(VLOOKUP(Tableau35[[#This Row],[Pilote]],Tableau2346[],7,0)),0,VLOOKUP(Tableau35[[#This Row],[Pilote]],Tableau2346[],7,0))</f>
        <v>0</v>
      </c>
      <c r="Q24" s="1">
        <f>IF(ISNA(VLOOKUP(Tableau35[[#This Row],[Pilote]],Tableau2468[],7,0)),0,VLOOKUP(Tableau35[[#This Row],[Pilote]],Tableau2468[],7,0))</f>
        <v>0</v>
      </c>
      <c r="R24" s="1">
        <f>IF(ISNA(VLOOKUP(Tableau35[[#This Row],[Pilote]],Tableau246810[],7,0)),0,VLOOKUP(Tableau35[[#This Row],[Pilote]],Tableau246810[],7,0))</f>
        <v>0</v>
      </c>
      <c r="S24" s="1">
        <f>IF(ISNA(VLOOKUP(Tableau35[[#This Row],[Pilote]],Tableau24681012[],7,0)),0,VLOOKUP(Tableau35[[#This Row],[Pilote]],Tableau24681012[],7,0))</f>
        <v>0</v>
      </c>
      <c r="T24" s="1">
        <f>IF(ISNA(VLOOKUP(Tableau35[[#This Row],[Pilote]],Tableau2468101214[],4,0)),0,VLOOKUP(Tableau35[[#This Row],[Pilote]],Tableau2468101214[],4,0))</f>
        <v>0</v>
      </c>
      <c r="U24" s="1">
        <f>IF(ISNA(VLOOKUP(Tableau35[[#This Row],[Pilote]],Tableau246810121416[],7,0)),0,VLOOKUP(Tableau35[[#This Row],[Pilote]],Tableau246810121416[],7,0))</f>
        <v>0</v>
      </c>
      <c r="V24" s="1">
        <f>IF(ISNA(VLOOKUP(Tableau35[[#This Row],[Pilote]],Tableau24681012141618[],7,0)),0,VLOOKUP(Tableau35[[#This Row],[Pilote]],Tableau24681012141618[],7,0))</f>
        <v>33</v>
      </c>
      <c r="W24" s="1">
        <f>IF(ISNA(VLOOKUP(Tableau35[[#This Row],[Pilote]],Tableau2468101214161822[],7,0)),0,VLOOKUP(Tableau35[[#This Row],[Pilote]],Tableau2468101214161822[],7,0))</f>
        <v>17</v>
      </c>
      <c r="X24" s="1">
        <f>IF(ISNA(VLOOKUP(Tableau35[[#This Row],[Pilote]],Tableau246810121416182231[],7,0)),0,VLOOKUP(Tableau35[[#This Row],[Pilote]],Tableau246810121416182231[],7,0))</f>
        <v>0</v>
      </c>
      <c r="Y24" s="1">
        <f>IF(ISNA(VLOOKUP(Tableau35[[#This Row],[Pilote]],Tableau24681012141618223133[],7,0)),0,VLOOKUP(Tableau35[[#This Row],[Pilote]],Tableau24681012141618223133[],7,0))</f>
        <v>0</v>
      </c>
      <c r="AB24" s="217" t="s">
        <v>209</v>
      </c>
      <c r="AC24">
        <v>12.5</v>
      </c>
    </row>
    <row r="25" spans="1:29" x14ac:dyDescent="0.25">
      <c r="A25" s="52">
        <f t="shared" si="1"/>
        <v>23</v>
      </c>
      <c r="B25" t="s">
        <v>208</v>
      </c>
      <c r="C25" t="s">
        <v>22</v>
      </c>
      <c r="D25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16</v>
      </c>
      <c r="J25" s="97" t="s">
        <v>103</v>
      </c>
      <c r="K25" s="98">
        <f t="shared" si="0"/>
        <v>23</v>
      </c>
      <c r="L25" s="98" t="s">
        <v>22</v>
      </c>
      <c r="M25" s="99" t="s">
        <v>208</v>
      </c>
      <c r="O25" s="1" t="s">
        <v>208</v>
      </c>
      <c r="P25" s="1">
        <f>IF(ISNA(VLOOKUP(Tableau35[[#This Row],[Pilote]],Tableau2346[],7,0)),0,VLOOKUP(Tableau35[[#This Row],[Pilote]],Tableau2346[],7,0))</f>
        <v>0</v>
      </c>
      <c r="Q25" s="1">
        <f>IF(ISNA(VLOOKUP(Tableau35[[#This Row],[Pilote]],Tableau2468[],7,0)),0,VLOOKUP(Tableau35[[#This Row],[Pilote]],Tableau2468[],7,0))</f>
        <v>0</v>
      </c>
      <c r="R25" s="1">
        <f>IF(ISNA(VLOOKUP(Tableau35[[#This Row],[Pilote]],Tableau246810[],7,0)),0,VLOOKUP(Tableau35[[#This Row],[Pilote]],Tableau246810[],7,0))</f>
        <v>0</v>
      </c>
      <c r="S25" s="1">
        <f>IF(ISNA(VLOOKUP(Tableau35[[#This Row],[Pilote]],Tableau24681012[],7,0)),0,VLOOKUP(Tableau35[[#This Row],[Pilote]],Tableau24681012[],7,0))</f>
        <v>0</v>
      </c>
      <c r="T25" s="1">
        <f>IF(ISNA(VLOOKUP(Tableau35[[#This Row],[Pilote]],Tableau2468101214[],4,0)),0,VLOOKUP(Tableau35[[#This Row],[Pilote]],Tableau2468101214[],4,0))</f>
        <v>0</v>
      </c>
      <c r="U25" s="1">
        <f>IF(ISNA(VLOOKUP(Tableau35[[#This Row],[Pilote]],Tableau246810121416[],7,0)),0,VLOOKUP(Tableau35[[#This Row],[Pilote]],Tableau246810121416[],7,0))</f>
        <v>0</v>
      </c>
      <c r="V25" s="1">
        <f>IF(ISNA(VLOOKUP(Tableau35[[#This Row],[Pilote]],Tableau24681012141618[],7,0)),0,VLOOKUP(Tableau35[[#This Row],[Pilote]],Tableau24681012141618[],7,0))</f>
        <v>0</v>
      </c>
      <c r="W25" s="1">
        <f>IF(ISNA(VLOOKUP(Tableau35[[#This Row],[Pilote]],Tableau2468101214161822[],7,0)),0,VLOOKUP(Tableau35[[#This Row],[Pilote]],Tableau2468101214161822[],7,0))</f>
        <v>16</v>
      </c>
      <c r="X25" s="1">
        <f>IF(ISNA(VLOOKUP(Tableau35[[#This Row],[Pilote]],Tableau246810121416182231[],7,0)),0,VLOOKUP(Tableau35[[#This Row],[Pilote]],Tableau246810121416182231[],7,0))</f>
        <v>0</v>
      </c>
      <c r="Y25" s="1">
        <f>IF(ISNA(VLOOKUP(Tableau35[[#This Row],[Pilote]],Tableau24681012141618223133[],7,0)),0,VLOOKUP(Tableau35[[#This Row],[Pilote]],Tableau24681012141618223133[],7,0))</f>
        <v>0</v>
      </c>
      <c r="AB25" s="217" t="s">
        <v>26</v>
      </c>
      <c r="AC25">
        <v>11</v>
      </c>
    </row>
    <row r="26" spans="1:29" x14ac:dyDescent="0.25">
      <c r="A26" s="52">
        <f t="shared" si="1"/>
        <v>24</v>
      </c>
      <c r="B26" s="237" t="s">
        <v>213</v>
      </c>
      <c r="C26" t="s">
        <v>14</v>
      </c>
      <c r="D26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15</v>
      </c>
      <c r="J26" s="85" t="s">
        <v>108</v>
      </c>
      <c r="K26" s="86">
        <f t="shared" si="0"/>
        <v>24</v>
      </c>
      <c r="L26" s="86" t="s">
        <v>8</v>
      </c>
      <c r="M26" s="87" t="s">
        <v>209</v>
      </c>
      <c r="O26" s="1" t="s">
        <v>209</v>
      </c>
      <c r="P26" s="1">
        <f>IF(ISNA(VLOOKUP(Tableau35[[#This Row],[Pilote]],Tableau2346[],7,0)),0,VLOOKUP(Tableau35[[#This Row],[Pilote]],Tableau2346[],7,0))</f>
        <v>0</v>
      </c>
      <c r="Q26" s="1">
        <f>IF(ISNA(VLOOKUP(Tableau35[[#This Row],[Pilote]],Tableau2468[],7,0)),0,VLOOKUP(Tableau35[[#This Row],[Pilote]],Tableau2468[],7,0))</f>
        <v>0</v>
      </c>
      <c r="R26" s="1">
        <f>IF(ISNA(VLOOKUP(Tableau35[[#This Row],[Pilote]],Tableau246810[],7,0)),0,VLOOKUP(Tableau35[[#This Row],[Pilote]],Tableau246810[],7,0))</f>
        <v>0</v>
      </c>
      <c r="S26" s="1">
        <f>IF(ISNA(VLOOKUP(Tableau35[[#This Row],[Pilote]],Tableau24681012[],7,0)),0,VLOOKUP(Tableau35[[#This Row],[Pilote]],Tableau24681012[],7,0))</f>
        <v>0</v>
      </c>
      <c r="T26" s="1">
        <f>IF(ISNA(VLOOKUP(Tableau35[[#This Row],[Pilote]],Tableau2468101214[],4,0)),0,VLOOKUP(Tableau35[[#This Row],[Pilote]],Tableau2468101214[],4,0))</f>
        <v>0</v>
      </c>
      <c r="U26" s="1">
        <f>IF(ISNA(VLOOKUP(Tableau35[[#This Row],[Pilote]],Tableau246810121416[],7,0)),0,VLOOKUP(Tableau35[[#This Row],[Pilote]],Tableau246810121416[],7,0))</f>
        <v>0</v>
      </c>
      <c r="V26" s="1">
        <f>IF(ISNA(VLOOKUP(Tableau35[[#This Row],[Pilote]],Tableau24681012141618[],7,0)),0,VLOOKUP(Tableau35[[#This Row],[Pilote]],Tableau24681012141618[],7,0))</f>
        <v>8</v>
      </c>
      <c r="W26" s="1">
        <f>IF(ISNA(VLOOKUP(Tableau35[[#This Row],[Pilote]],Tableau2468101214161822[],7,0)),0,VLOOKUP(Tableau35[[#This Row],[Pilote]],Tableau2468101214161822[],7,0))</f>
        <v>0</v>
      </c>
      <c r="X26" s="1">
        <f>IF(ISNA(VLOOKUP(Tableau35[[#This Row],[Pilote]],Tableau246810121416182231[],7,0)),0,VLOOKUP(Tableau35[[#This Row],[Pilote]],Tableau246810121416182231[],7,0))</f>
        <v>17</v>
      </c>
      <c r="Y26" s="1">
        <f>IF(ISNA(VLOOKUP(Tableau35[[#This Row],[Pilote]],Tableau24681012141618223133[],7,0)),0,VLOOKUP(Tableau35[[#This Row],[Pilote]],Tableau24681012141618223133[],7,0))</f>
        <v>0</v>
      </c>
      <c r="AB26" s="217" t="s">
        <v>13</v>
      </c>
      <c r="AC26">
        <v>6.5</v>
      </c>
    </row>
    <row r="27" spans="1:29" x14ac:dyDescent="0.25">
      <c r="A27" s="52">
        <f t="shared" si="1"/>
        <v>25</v>
      </c>
      <c r="B27" t="s">
        <v>30</v>
      </c>
      <c r="C27" t="s">
        <v>12</v>
      </c>
      <c r="D27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27" s="100" t="s">
        <v>117</v>
      </c>
      <c r="K27" s="101">
        <f t="shared" si="0"/>
        <v>25</v>
      </c>
      <c r="L27" s="101" t="s">
        <v>14</v>
      </c>
      <c r="M27" s="102" t="s">
        <v>212</v>
      </c>
      <c r="O27" s="237" t="s">
        <v>213</v>
      </c>
      <c r="P27" s="1">
        <f>IF(ISNA(VLOOKUP(Tableau35[[#This Row],[Pilote]],Tableau2346[],7,0)),0,VLOOKUP(Tableau35[[#This Row],[Pilote]],Tableau2346[],7,0))</f>
        <v>0</v>
      </c>
      <c r="Q27" s="1">
        <f>IF(ISNA(VLOOKUP(Tableau35[[#This Row],[Pilote]],Tableau2468[],7,0)),0,VLOOKUP(Tableau35[[#This Row],[Pilote]],Tableau2468[],7,0))</f>
        <v>0</v>
      </c>
      <c r="R27" s="1">
        <f>IF(ISNA(VLOOKUP(Tableau35[[#This Row],[Pilote]],Tableau246810[],7,0)),0,VLOOKUP(Tableau35[[#This Row],[Pilote]],Tableau246810[],7,0))</f>
        <v>0</v>
      </c>
      <c r="S27" s="1">
        <f>IF(ISNA(VLOOKUP(Tableau35[[#This Row],[Pilote]],Tableau24681012[],7,0)),0,VLOOKUP(Tableau35[[#This Row],[Pilote]],Tableau24681012[],7,0))</f>
        <v>0</v>
      </c>
      <c r="T27" s="1">
        <f>IF(ISNA(VLOOKUP(Tableau35[[#This Row],[Pilote]],Tableau2468101214[],4,0)),0,VLOOKUP(Tableau35[[#This Row],[Pilote]],Tableau2468101214[],4,0))</f>
        <v>0</v>
      </c>
      <c r="U27" s="1">
        <f>IF(ISNA(VLOOKUP(Tableau35[[#This Row],[Pilote]],Tableau246810121416[],7,0)),0,VLOOKUP(Tableau35[[#This Row],[Pilote]],Tableau246810121416[],7,0))</f>
        <v>0</v>
      </c>
      <c r="V27" s="1">
        <f>IF(ISNA(VLOOKUP(Tableau35[[#This Row],[Pilote]],Tableau24681012141618[],7,0)),0,VLOOKUP(Tableau35[[#This Row],[Pilote]],Tableau24681012141618[],7,0))</f>
        <v>0</v>
      </c>
      <c r="W27" s="1">
        <f>IF(ISNA(VLOOKUP(Tableau35[[#This Row],[Pilote]],Tableau2468101214161822[],7,0)),0,VLOOKUP(Tableau35[[#This Row],[Pilote]],Tableau2468101214161822[],7,0))</f>
        <v>0</v>
      </c>
      <c r="X27" s="1">
        <f>IF(ISNA(VLOOKUP(Tableau35[[#This Row],[Pilote]],Tableau246810121416182231[],7,0)),0,VLOOKUP(Tableau35[[#This Row],[Pilote]],Tableau246810121416182231[],7,0))</f>
        <v>15</v>
      </c>
      <c r="Y27" s="1">
        <f>IF(ISNA(VLOOKUP(Tableau35[[#This Row],[Pilote]],Tableau24681012141618223133[],7,0)),0,VLOOKUP(Tableau35[[#This Row],[Pilote]],Tableau24681012141618223133[],7,0))</f>
        <v>0</v>
      </c>
      <c r="AB27" s="217" t="s">
        <v>30</v>
      </c>
      <c r="AC27">
        <v>0</v>
      </c>
    </row>
    <row r="28" spans="1:29" x14ac:dyDescent="0.25">
      <c r="A28" s="52">
        <f t="shared" si="1"/>
        <v>26</v>
      </c>
      <c r="D28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28" s="85" t="s">
        <v>111</v>
      </c>
      <c r="K28" s="86">
        <f t="shared" si="0"/>
        <v>26</v>
      </c>
      <c r="L28" s="86" t="s">
        <v>22</v>
      </c>
      <c r="M28" s="87"/>
      <c r="P28" s="1">
        <f>IF(ISNA(VLOOKUP(Tableau35[[#This Row],[Pilote]],Tableau2346[],7,0)),0,VLOOKUP(Tableau35[[#This Row],[Pilote]],Tableau2346[],7,0))</f>
        <v>0</v>
      </c>
      <c r="Q28" s="1">
        <f>IF(ISNA(VLOOKUP(Tableau35[[#This Row],[Pilote]],Tableau2468[],7,0)),0,VLOOKUP(Tableau35[[#This Row],[Pilote]],Tableau2468[],7,0))</f>
        <v>0</v>
      </c>
      <c r="R28" s="1">
        <f>IF(ISNA(VLOOKUP(Tableau35[[#This Row],[Pilote]],Tableau246810[],7,0)),0,VLOOKUP(Tableau35[[#This Row],[Pilote]],Tableau246810[],7,0))</f>
        <v>0</v>
      </c>
      <c r="S28" s="1">
        <f>IF(ISNA(VLOOKUP(Tableau35[[#This Row],[Pilote]],Tableau24681012[],7,0)),0,VLOOKUP(Tableau35[[#This Row],[Pilote]],Tableau24681012[],7,0))</f>
        <v>0</v>
      </c>
      <c r="T28" s="1">
        <f>IF(ISNA(VLOOKUP(Tableau35[[#This Row],[Pilote]],Tableau2468101214[],4,0)),0,VLOOKUP(Tableau35[[#This Row],[Pilote]],Tableau2468101214[],4,0))</f>
        <v>0</v>
      </c>
      <c r="U28" s="1">
        <f>IF(ISNA(VLOOKUP(Tableau35[[#This Row],[Pilote]],Tableau246810121416[],7,0)),0,VLOOKUP(Tableau35[[#This Row],[Pilote]],Tableau246810121416[],7,0))</f>
        <v>0</v>
      </c>
      <c r="V28" s="1">
        <f>IF(ISNA(VLOOKUP(Tableau35[[#This Row],[Pilote]],Tableau24681012141618[],7,0)),0,VLOOKUP(Tableau35[[#This Row],[Pilote]],Tableau24681012141618[],7,0))</f>
        <v>0</v>
      </c>
      <c r="W28" s="1">
        <f>IF(ISNA(VLOOKUP(Tableau35[[#This Row],[Pilote]],Tableau2468101214161822[],7,0)),0,VLOOKUP(Tableau35[[#This Row],[Pilote]],Tableau2468101214161822[],7,0))</f>
        <v>0</v>
      </c>
      <c r="X28" s="1">
        <f>IF(ISNA(VLOOKUP(Tableau35[[#This Row],[Pilote]],Tableau246810121416182231[],7,0)),0,VLOOKUP(Tableau35[[#This Row],[Pilote]],Tableau246810121416182231[],7,0))</f>
        <v>0</v>
      </c>
      <c r="Y28" s="1">
        <f>IF(ISNA(VLOOKUP(Tableau35[[#This Row],[Pilote]],Tableau24681012141618223133[],7,0)),0,VLOOKUP(Tableau35[[#This Row],[Pilote]],Tableau24681012141618223133[],7,0))</f>
        <v>0</v>
      </c>
    </row>
    <row r="29" spans="1:29" x14ac:dyDescent="0.25">
      <c r="A29" s="52">
        <f t="shared" si="1"/>
        <v>27</v>
      </c>
      <c r="D29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29" s="100" t="s">
        <v>114</v>
      </c>
      <c r="K29" s="101">
        <f t="shared" si="0"/>
        <v>27</v>
      </c>
      <c r="L29" s="101" t="s">
        <v>20</v>
      </c>
      <c r="M29" s="102"/>
      <c r="P29" s="1">
        <f>IF(ISNA(VLOOKUP(Tableau35[[#This Row],[Pilote]],Tableau2346[],7,0)),0,VLOOKUP(Tableau35[[#This Row],[Pilote]],Tableau2346[],7,0))</f>
        <v>0</v>
      </c>
      <c r="Q29" s="1">
        <f>IF(ISNA(VLOOKUP(Tableau35[[#This Row],[Pilote]],Tableau2468[],7,0)),0,VLOOKUP(Tableau35[[#This Row],[Pilote]],Tableau2468[],7,0))</f>
        <v>0</v>
      </c>
      <c r="R29" s="1">
        <f>IF(ISNA(VLOOKUP(Tableau35[[#This Row],[Pilote]],Tableau246810[],7,0)),0,VLOOKUP(Tableau35[[#This Row],[Pilote]],Tableau246810[],7,0))</f>
        <v>0</v>
      </c>
      <c r="S29" s="1">
        <f>IF(ISNA(VLOOKUP(Tableau35[[#This Row],[Pilote]],Tableau24681012[],7,0)),0,VLOOKUP(Tableau35[[#This Row],[Pilote]],Tableau24681012[],7,0))</f>
        <v>0</v>
      </c>
      <c r="T29" s="1">
        <f>IF(ISNA(VLOOKUP(Tableau35[[#This Row],[Pilote]],Tableau2468101214[],4,0)),0,VLOOKUP(Tableau35[[#This Row],[Pilote]],Tableau2468101214[],4,0))</f>
        <v>0</v>
      </c>
      <c r="U29" s="1">
        <f>IF(ISNA(VLOOKUP(Tableau35[[#This Row],[Pilote]],Tableau246810121416[],7,0)),0,VLOOKUP(Tableau35[[#This Row],[Pilote]],Tableau246810121416[],7,0))</f>
        <v>0</v>
      </c>
      <c r="V29" s="1">
        <f>IF(ISNA(VLOOKUP(Tableau35[[#This Row],[Pilote]],Tableau24681012141618[],7,0)),0,VLOOKUP(Tableau35[[#This Row],[Pilote]],Tableau24681012141618[],7,0))</f>
        <v>0</v>
      </c>
      <c r="W29" s="1">
        <f>IF(ISNA(VLOOKUP(Tableau35[[#This Row],[Pilote]],Tableau2468101214161822[],7,0)),0,VLOOKUP(Tableau35[[#This Row],[Pilote]],Tableau2468101214161822[],7,0))</f>
        <v>0</v>
      </c>
      <c r="X29" s="1">
        <f>IF(ISNA(VLOOKUP(Tableau35[[#This Row],[Pilote]],Tableau246810121416182231[],7,0)),0,VLOOKUP(Tableau35[[#This Row],[Pilote]],Tableau246810121416182231[],7,0))</f>
        <v>0</v>
      </c>
      <c r="Y29" s="1">
        <f>IF(ISNA(VLOOKUP(Tableau35[[#This Row],[Pilote]],Tableau24681012141618223133[],7,0)),0,VLOOKUP(Tableau35[[#This Row],[Pilote]],Tableau24681012141618223133[],7,0))</f>
        <v>0</v>
      </c>
    </row>
    <row r="30" spans="1:29" x14ac:dyDescent="0.25">
      <c r="A30" s="52">
        <f t="shared" si="1"/>
        <v>28</v>
      </c>
      <c r="D30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0" s="85" t="s">
        <v>112</v>
      </c>
      <c r="K30" s="86">
        <f t="shared" si="0"/>
        <v>28</v>
      </c>
      <c r="L30" s="86" t="s">
        <v>8</v>
      </c>
      <c r="M30" s="87"/>
      <c r="P30" s="1">
        <f>IF(ISNA(VLOOKUP(Tableau35[[#This Row],[Pilote]],Tableau2346[],7,0)),0,VLOOKUP(Tableau35[[#This Row],[Pilote]],Tableau2346[],7,0))</f>
        <v>0</v>
      </c>
      <c r="Q30" s="1">
        <f>IF(ISNA(VLOOKUP(Tableau35[[#This Row],[Pilote]],Tableau2468[],7,0)),0,VLOOKUP(Tableau35[[#This Row],[Pilote]],Tableau2468[],7,0))</f>
        <v>0</v>
      </c>
      <c r="R30" s="1">
        <f>IF(ISNA(VLOOKUP(Tableau35[[#This Row],[Pilote]],Tableau246810[],7,0)),0,VLOOKUP(Tableau35[[#This Row],[Pilote]],Tableau246810[],7,0))</f>
        <v>0</v>
      </c>
      <c r="S30" s="1">
        <f>IF(ISNA(VLOOKUP(Tableau35[[#This Row],[Pilote]],Tableau24681012[],7,0)),0,VLOOKUP(Tableau35[[#This Row],[Pilote]],Tableau24681012[],7,0))</f>
        <v>0</v>
      </c>
      <c r="T30" s="1">
        <f>IF(ISNA(VLOOKUP(Tableau35[[#This Row],[Pilote]],Tableau2468101214[],4,0)),0,VLOOKUP(Tableau35[[#This Row],[Pilote]],Tableau2468101214[],4,0))</f>
        <v>0</v>
      </c>
      <c r="U30" s="1">
        <f>IF(ISNA(VLOOKUP(Tableau35[[#This Row],[Pilote]],Tableau246810121416[],7,0)),0,VLOOKUP(Tableau35[[#This Row],[Pilote]],Tableau246810121416[],7,0))</f>
        <v>0</v>
      </c>
      <c r="V30" s="1">
        <f>IF(ISNA(VLOOKUP(Tableau35[[#This Row],[Pilote]],Tableau24681012141618[],7,0)),0,VLOOKUP(Tableau35[[#This Row],[Pilote]],Tableau24681012141618[],7,0))</f>
        <v>0</v>
      </c>
      <c r="W30" s="1">
        <f>IF(ISNA(VLOOKUP(Tableau35[[#This Row],[Pilote]],Tableau2468101214161822[],7,0)),0,VLOOKUP(Tableau35[[#This Row],[Pilote]],Tableau2468101214161822[],7,0))</f>
        <v>0</v>
      </c>
      <c r="X30" s="1">
        <f>IF(ISNA(VLOOKUP(Tableau35[[#This Row],[Pilote]],Tableau246810121416182231[],7,0)),0,VLOOKUP(Tableau35[[#This Row],[Pilote]],Tableau246810121416182231[],7,0))</f>
        <v>0</v>
      </c>
      <c r="Y30" s="1">
        <f>IF(ISNA(VLOOKUP(Tableau35[[#This Row],[Pilote]],Tableau24681012141618223133[],7,0)),0,VLOOKUP(Tableau35[[#This Row],[Pilote]],Tableau24681012141618223133[],7,0))</f>
        <v>0</v>
      </c>
    </row>
    <row r="31" spans="1:29" x14ac:dyDescent="0.25">
      <c r="A31" s="52">
        <f t="shared" si="1"/>
        <v>29</v>
      </c>
      <c r="D31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1" s="100" t="s">
        <v>113</v>
      </c>
      <c r="K31" s="101">
        <f t="shared" si="0"/>
        <v>29</v>
      </c>
      <c r="L31" s="101" t="s">
        <v>10</v>
      </c>
      <c r="M31" s="102"/>
      <c r="P31" s="1">
        <f>IF(ISNA(VLOOKUP(Tableau35[[#This Row],[Pilote]],Tableau2346[],7,0)),0,VLOOKUP(Tableau35[[#This Row],[Pilote]],Tableau2346[],7,0))</f>
        <v>0</v>
      </c>
      <c r="Q31" s="1">
        <f>IF(ISNA(VLOOKUP(Tableau35[[#This Row],[Pilote]],Tableau2468[],7,0)),0,VLOOKUP(Tableau35[[#This Row],[Pilote]],Tableau2468[],7,0))</f>
        <v>0</v>
      </c>
      <c r="R31" s="1">
        <f>IF(ISNA(VLOOKUP(Tableau35[[#This Row],[Pilote]],Tableau246810[],7,0)),0,VLOOKUP(Tableau35[[#This Row],[Pilote]],Tableau246810[],7,0))</f>
        <v>0</v>
      </c>
      <c r="S31" s="1">
        <f>IF(ISNA(VLOOKUP(Tableau35[[#This Row],[Pilote]],Tableau24681012[],7,0)),0,VLOOKUP(Tableau35[[#This Row],[Pilote]],Tableau24681012[],7,0))</f>
        <v>0</v>
      </c>
      <c r="T31" s="1">
        <f>IF(ISNA(VLOOKUP(Tableau35[[#This Row],[Pilote]],Tableau2468101214[],4,0)),0,VLOOKUP(Tableau35[[#This Row],[Pilote]],Tableau2468101214[],4,0))</f>
        <v>0</v>
      </c>
      <c r="U31" s="1">
        <f>IF(ISNA(VLOOKUP(Tableau35[[#This Row],[Pilote]],Tableau246810121416[],7,0)),0,VLOOKUP(Tableau35[[#This Row],[Pilote]],Tableau246810121416[],7,0))</f>
        <v>0</v>
      </c>
      <c r="V31" s="1">
        <f>IF(ISNA(VLOOKUP(Tableau35[[#This Row],[Pilote]],Tableau24681012141618[],7,0)),0,VLOOKUP(Tableau35[[#This Row],[Pilote]],Tableau24681012141618[],7,0))</f>
        <v>0</v>
      </c>
      <c r="W31" s="1">
        <f>IF(ISNA(VLOOKUP(Tableau35[[#This Row],[Pilote]],Tableau2468101214161822[],7,0)),0,VLOOKUP(Tableau35[[#This Row],[Pilote]],Tableau2468101214161822[],7,0))</f>
        <v>0</v>
      </c>
      <c r="X31" s="1">
        <f>IF(ISNA(VLOOKUP(Tableau35[[#This Row],[Pilote]],Tableau246810121416182231[],7,0)),0,VLOOKUP(Tableau35[[#This Row],[Pilote]],Tableau246810121416182231[],7,0))</f>
        <v>0</v>
      </c>
      <c r="Y31" s="1">
        <f>IF(ISNA(VLOOKUP(Tableau35[[#This Row],[Pilote]],Tableau24681012141618223133[],7,0)),0,VLOOKUP(Tableau35[[#This Row],[Pilote]],Tableau24681012141618223133[],7,0))</f>
        <v>0</v>
      </c>
    </row>
    <row r="32" spans="1:29" x14ac:dyDescent="0.25">
      <c r="A32" s="52">
        <f t="shared" si="1"/>
        <v>30</v>
      </c>
      <c r="D32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2" s="85" t="s">
        <v>115</v>
      </c>
      <c r="K32" s="86">
        <f t="shared" si="0"/>
        <v>30</v>
      </c>
      <c r="L32" s="86" t="s">
        <v>18</v>
      </c>
      <c r="M32" s="87"/>
      <c r="P32" s="1">
        <f>IF(ISNA(VLOOKUP(Tableau35[[#This Row],[Pilote]],Tableau2346[],7,0)),0,VLOOKUP(Tableau35[[#This Row],[Pilote]],Tableau2346[],7,0))</f>
        <v>0</v>
      </c>
      <c r="Q32" s="1">
        <f>IF(ISNA(VLOOKUP(Tableau35[[#This Row],[Pilote]],Tableau2468[],7,0)),0,VLOOKUP(Tableau35[[#This Row],[Pilote]],Tableau2468[],7,0))</f>
        <v>0</v>
      </c>
      <c r="R32" s="1">
        <f>IF(ISNA(VLOOKUP(Tableau35[[#This Row],[Pilote]],Tableau246810[],7,0)),0,VLOOKUP(Tableau35[[#This Row],[Pilote]],Tableau246810[],7,0))</f>
        <v>0</v>
      </c>
      <c r="S32" s="1">
        <f>IF(ISNA(VLOOKUP(Tableau35[[#This Row],[Pilote]],Tableau24681012[],7,0)),0,VLOOKUP(Tableau35[[#This Row],[Pilote]],Tableau24681012[],7,0))</f>
        <v>0</v>
      </c>
      <c r="T32" s="1">
        <f>IF(ISNA(VLOOKUP(Tableau35[[#This Row],[Pilote]],Tableau2468101214[],4,0)),0,VLOOKUP(Tableau35[[#This Row],[Pilote]],Tableau2468101214[],4,0))</f>
        <v>0</v>
      </c>
      <c r="U32" s="1">
        <f>IF(ISNA(VLOOKUP(Tableau35[[#This Row],[Pilote]],Tableau246810121416[],7,0)),0,VLOOKUP(Tableau35[[#This Row],[Pilote]],Tableau246810121416[],7,0))</f>
        <v>0</v>
      </c>
      <c r="V32" s="1">
        <f>IF(ISNA(VLOOKUP(Tableau35[[#This Row],[Pilote]],Tableau24681012141618[],7,0)),0,VLOOKUP(Tableau35[[#This Row],[Pilote]],Tableau24681012141618[],7,0))</f>
        <v>0</v>
      </c>
      <c r="W32" s="1">
        <f>IF(ISNA(VLOOKUP(Tableau35[[#This Row],[Pilote]],Tableau2468101214161822[],7,0)),0,VLOOKUP(Tableau35[[#This Row],[Pilote]],Tableau2468101214161822[],7,0))</f>
        <v>0</v>
      </c>
      <c r="X32" s="1">
        <f>IF(ISNA(VLOOKUP(Tableau35[[#This Row],[Pilote]],Tableau246810121416182231[],7,0)),0,VLOOKUP(Tableau35[[#This Row],[Pilote]],Tableau246810121416182231[],7,0))</f>
        <v>0</v>
      </c>
      <c r="Y32" s="1">
        <f>IF(ISNA(VLOOKUP(Tableau35[[#This Row],[Pilote]],Tableau24681012141618223133[],7,0)),0,VLOOKUP(Tableau35[[#This Row],[Pilote]],Tableau24681012141618223133[],7,0))</f>
        <v>0</v>
      </c>
    </row>
    <row r="33" spans="1:25" x14ac:dyDescent="0.25">
      <c r="A33" s="52">
        <f t="shared" si="1"/>
        <v>31</v>
      </c>
      <c r="D33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3" s="100" t="s">
        <v>118</v>
      </c>
      <c r="K33" s="101">
        <f t="shared" si="0"/>
        <v>31</v>
      </c>
      <c r="L33" s="101" t="s">
        <v>12</v>
      </c>
      <c r="M33" s="102"/>
      <c r="P33" s="1">
        <f>IF(ISNA(VLOOKUP(Tableau35[[#This Row],[Pilote]],Tableau2346[],7,0)),0,VLOOKUP(Tableau35[[#This Row],[Pilote]],Tableau2346[],7,0))</f>
        <v>0</v>
      </c>
      <c r="Q33" s="1">
        <f>IF(ISNA(VLOOKUP(Tableau35[[#This Row],[Pilote]],Tableau2468[],7,0)),0,VLOOKUP(Tableau35[[#This Row],[Pilote]],Tableau2468[],7,0))</f>
        <v>0</v>
      </c>
      <c r="R33" s="1">
        <f>IF(ISNA(VLOOKUP(Tableau35[[#This Row],[Pilote]],Tableau246810[],7,0)),0,VLOOKUP(Tableau35[[#This Row],[Pilote]],Tableau246810[],7,0))</f>
        <v>0</v>
      </c>
      <c r="S33" s="1">
        <f>IF(ISNA(VLOOKUP(Tableau35[[#This Row],[Pilote]],Tableau24681012[],7,0)),0,VLOOKUP(Tableau35[[#This Row],[Pilote]],Tableau24681012[],7,0))</f>
        <v>0</v>
      </c>
      <c r="T33" s="1">
        <f>IF(ISNA(VLOOKUP(Tableau35[[#This Row],[Pilote]],Tableau2468101214[],4,0)),0,VLOOKUP(Tableau35[[#This Row],[Pilote]],Tableau2468101214[],4,0))</f>
        <v>0</v>
      </c>
      <c r="U33" s="1">
        <f>IF(ISNA(VLOOKUP(Tableau35[[#This Row],[Pilote]],Tableau246810121416[],7,0)),0,VLOOKUP(Tableau35[[#This Row],[Pilote]],Tableau246810121416[],7,0))</f>
        <v>0</v>
      </c>
      <c r="V33" s="1">
        <f>IF(ISNA(VLOOKUP(Tableau35[[#This Row],[Pilote]],Tableau24681012141618[],7,0)),0,VLOOKUP(Tableau35[[#This Row],[Pilote]],Tableau24681012141618[],7,0))</f>
        <v>0</v>
      </c>
      <c r="W33" s="1">
        <f>IF(ISNA(VLOOKUP(Tableau35[[#This Row],[Pilote]],Tableau2468101214161822[],7,0)),0,VLOOKUP(Tableau35[[#This Row],[Pilote]],Tableau2468101214161822[],7,0))</f>
        <v>0</v>
      </c>
      <c r="X33" s="1">
        <f>IF(ISNA(VLOOKUP(Tableau35[[#This Row],[Pilote]],Tableau246810121416182231[],7,0)),0,VLOOKUP(Tableau35[[#This Row],[Pilote]],Tableau246810121416182231[],7,0))</f>
        <v>0</v>
      </c>
      <c r="Y33" s="1">
        <f>IF(ISNA(VLOOKUP(Tableau35[[#This Row],[Pilote]],Tableau24681012141618223133[],7,0)),0,VLOOKUP(Tableau35[[#This Row],[Pilote]],Tableau24681012141618223133[],7,0))</f>
        <v>0</v>
      </c>
    </row>
    <row r="34" spans="1:25" x14ac:dyDescent="0.25">
      <c r="A34" s="53">
        <f t="shared" si="1"/>
        <v>32</v>
      </c>
      <c r="D34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4" s="94" t="s">
        <v>116</v>
      </c>
      <c r="K34" s="95">
        <f t="shared" si="0"/>
        <v>32</v>
      </c>
      <c r="L34" s="95" t="s">
        <v>16</v>
      </c>
      <c r="M34" s="96"/>
      <c r="P34" s="1">
        <f>IF(ISNA(VLOOKUP(Tableau35[[#This Row],[Pilote]],Tableau2346[],7,0)),0,VLOOKUP(Tableau35[[#This Row],[Pilote]],Tableau2346[],7,0))</f>
        <v>0</v>
      </c>
      <c r="Q34" s="1">
        <f>IF(ISNA(VLOOKUP(Tableau35[[#This Row],[Pilote]],Tableau2468[],7,0)),0,VLOOKUP(Tableau35[[#This Row],[Pilote]],Tableau2468[],7,0))</f>
        <v>0</v>
      </c>
      <c r="R34" s="1">
        <f>IF(ISNA(VLOOKUP(Tableau35[[#This Row],[Pilote]],Tableau246810[],7,0)),0,VLOOKUP(Tableau35[[#This Row],[Pilote]],Tableau246810[],7,0))</f>
        <v>0</v>
      </c>
      <c r="S34" s="1">
        <f>IF(ISNA(VLOOKUP(Tableau35[[#This Row],[Pilote]],Tableau24681012[],7,0)),0,VLOOKUP(Tableau35[[#This Row],[Pilote]],Tableau24681012[],7,0))</f>
        <v>0</v>
      </c>
      <c r="T34" s="1">
        <f>IF(ISNA(VLOOKUP(Tableau35[[#This Row],[Pilote]],Tableau2468101214[],4,0)),0,VLOOKUP(Tableau35[[#This Row],[Pilote]],Tableau2468101214[],4,0))</f>
        <v>0</v>
      </c>
      <c r="U34" s="1">
        <f>IF(ISNA(VLOOKUP(Tableau35[[#This Row],[Pilote]],Tableau246810121416[],7,0)),0,VLOOKUP(Tableau35[[#This Row],[Pilote]],Tableau246810121416[],7,0))</f>
        <v>0</v>
      </c>
      <c r="V34" s="1">
        <f>IF(ISNA(VLOOKUP(Tableau35[[#This Row],[Pilote]],Tableau24681012141618[],7,0)),0,VLOOKUP(Tableau35[[#This Row],[Pilote]],Tableau24681012141618[],7,0))</f>
        <v>0</v>
      </c>
      <c r="W34" s="1">
        <f>IF(ISNA(VLOOKUP(Tableau35[[#This Row],[Pilote]],Tableau2468101214161822[],7,0)),0,VLOOKUP(Tableau35[[#This Row],[Pilote]],Tableau2468101214161822[],7,0))</f>
        <v>0</v>
      </c>
      <c r="X34" s="1">
        <f>IF(ISNA(VLOOKUP(Tableau35[[#This Row],[Pilote]],Tableau246810121416182231[],7,0)),0,VLOOKUP(Tableau35[[#This Row],[Pilote]],Tableau246810121416182231[],7,0))</f>
        <v>0</v>
      </c>
      <c r="Y34" s="1">
        <f>IF(ISNA(VLOOKUP(Tableau35[[#This Row],[Pilote]],Tableau24681012141618223133[],7,0)),0,VLOOKUP(Tableau35[[#This Row],[Pilote]],Tableau24681012141618223133[],7,0))</f>
        <v>0</v>
      </c>
    </row>
  </sheetData>
  <mergeCells count="6">
    <mergeCell ref="F13:H13"/>
    <mergeCell ref="O1:Y1"/>
    <mergeCell ref="J1:M1"/>
    <mergeCell ref="A1:B1"/>
    <mergeCell ref="F1:H1"/>
    <mergeCell ref="F12:H12"/>
  </mergeCells>
  <pageMargins left="0.7" right="0.7" top="0.75" bottom="0.75" header="0.3" footer="0.3"/>
  <pageSetup paperSize="9" orientation="portrait" horizontalDpi="0" verticalDpi="0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F8" sqref="F8"/>
    </sheetView>
  </sheetViews>
  <sheetFormatPr baseColWidth="10" defaultRowHeight="15" x14ac:dyDescent="0.25"/>
  <cols>
    <col min="1" max="1" width="4.28515625" customWidth="1"/>
    <col min="2" max="2" width="13.42578125" customWidth="1"/>
    <col min="3" max="3" width="10.7109375" customWidth="1"/>
    <col min="4" max="4" width="6.7109375" customWidth="1"/>
    <col min="5" max="5" width="12.5703125" customWidth="1"/>
    <col min="6" max="6" width="16.42578125" customWidth="1"/>
    <col min="7" max="7" width="5.7109375" customWidth="1"/>
    <col min="10" max="10" width="14.28515625" customWidth="1"/>
    <col min="11" max="11" width="16.5703125" customWidth="1"/>
  </cols>
  <sheetData>
    <row r="1" spans="1:11" x14ac:dyDescent="0.25">
      <c r="A1" s="54" t="s">
        <v>3</v>
      </c>
      <c r="B1" t="s">
        <v>5</v>
      </c>
      <c r="C1" t="s">
        <v>6</v>
      </c>
      <c r="D1" t="s">
        <v>53</v>
      </c>
      <c r="E1" t="s">
        <v>54</v>
      </c>
      <c r="F1" t="s">
        <v>52</v>
      </c>
      <c r="G1" s="124" t="s">
        <v>4</v>
      </c>
      <c r="I1" t="s">
        <v>6</v>
      </c>
      <c r="J1" t="s">
        <v>55</v>
      </c>
      <c r="K1" t="s">
        <v>176</v>
      </c>
    </row>
    <row r="2" spans="1:11" x14ac:dyDescent="0.25">
      <c r="A2" s="55">
        <v>1</v>
      </c>
      <c r="B2" s="1" t="s">
        <v>7</v>
      </c>
      <c r="C2" s="1" t="str">
        <f>VLOOKUP(Tableau33[[#This Row],[Pilote]],Tableau2[[Pilote]:[Voiture]],2,0)</f>
        <v>Suzuki</v>
      </c>
      <c r="D2" s="184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113</v>
      </c>
      <c r="E2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1013</v>
      </c>
      <c r="F2" s="67"/>
      <c r="G2" s="123">
        <f>IF(ISNA(VLOOKUP(Tableau33[[#This Row],[Pilote]],Tableau2[],3,0)),0,VLOOKUP(Tableau33[[#This Row],[Pilote]],Tableau2[],3,0))</f>
        <v>351</v>
      </c>
      <c r="I2" s="1" t="s">
        <v>8</v>
      </c>
      <c r="J2" s="66">
        <v>900</v>
      </c>
      <c r="K2" s="66">
        <f>Tableau34[[#This Row],[Poids de base]]+260</f>
        <v>1160</v>
      </c>
    </row>
    <row r="3" spans="1:11" x14ac:dyDescent="0.25">
      <c r="A3" s="56">
        <f>A2+1</f>
        <v>2</v>
      </c>
      <c r="B3" s="1" t="s">
        <v>24</v>
      </c>
      <c r="C3" s="1" t="str">
        <f>VLOOKUP(Tableau33[[#This Row],[Pilote]],Tableau2[[Pilote]:[Voiture]],2,0)</f>
        <v>Suzuki</v>
      </c>
      <c r="D3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100</v>
      </c>
      <c r="E3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1000</v>
      </c>
      <c r="F3" s="67"/>
      <c r="G3" s="123">
        <f>IF(ISNA(VLOOKUP(Tableau33[[#This Row],[Pilote]],Tableau2[],3,0)),0,VLOOKUP(Tableau33[[#This Row],[Pilote]],Tableau2[],3,0))</f>
        <v>338</v>
      </c>
      <c r="I3" s="1" t="s">
        <v>12</v>
      </c>
      <c r="J3" s="66">
        <v>900</v>
      </c>
      <c r="K3" s="66">
        <f>Tableau34[[#This Row],[Poids de base]]+260</f>
        <v>1160</v>
      </c>
    </row>
    <row r="4" spans="1:11" x14ac:dyDescent="0.25">
      <c r="A4" s="57">
        <f>A3+1</f>
        <v>3</v>
      </c>
      <c r="B4" s="1" t="s">
        <v>23</v>
      </c>
      <c r="C4" s="1" t="str">
        <f>VLOOKUP(Tableau33[[#This Row],[Pilote]],Tableau2[[Pilote]:[Voiture]],2,0)</f>
        <v>Mini</v>
      </c>
      <c r="D4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81</v>
      </c>
      <c r="E4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1041</v>
      </c>
      <c r="F4" s="67"/>
      <c r="G4" s="123">
        <f>IF(ISNA(VLOOKUP(Tableau33[[#This Row],[Pilote]],Tableau2[],3,0)),0,VLOOKUP(Tableau33[[#This Row],[Pilote]],Tableau2[],3,0))</f>
        <v>319</v>
      </c>
      <c r="I4" s="1" t="s">
        <v>10</v>
      </c>
      <c r="J4" s="66">
        <v>900</v>
      </c>
      <c r="K4" s="66">
        <f>Tableau34[[#This Row],[Poids de base]]+260</f>
        <v>1160</v>
      </c>
    </row>
    <row r="5" spans="1:11" x14ac:dyDescent="0.25">
      <c r="A5" s="58">
        <f t="shared" ref="A5:A33" si="0">A4+1</f>
        <v>4</v>
      </c>
      <c r="B5" s="1" t="s">
        <v>21</v>
      </c>
      <c r="C5" s="1" t="str">
        <f>VLOOKUP(Tableau33[[#This Row],[Pilote]],Tableau2[[Pilote]:[Voiture]],2,0)</f>
        <v>Mini</v>
      </c>
      <c r="D5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65</v>
      </c>
      <c r="E5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1025</v>
      </c>
      <c r="F5" s="67">
        <v>40</v>
      </c>
      <c r="G5" s="123">
        <f>IF(ISNA(VLOOKUP(Tableau33[[#This Row],[Pilote]],Tableau2[],3,0)),0,VLOOKUP(Tableau33[[#This Row],[Pilote]],Tableau2[],3,0))</f>
        <v>263</v>
      </c>
      <c r="I5" s="1" t="s">
        <v>14</v>
      </c>
      <c r="J5" s="66">
        <v>900</v>
      </c>
      <c r="K5" s="66">
        <f>Tableau34[[#This Row],[Poids de base]]+260</f>
        <v>1160</v>
      </c>
    </row>
    <row r="6" spans="1:11" x14ac:dyDescent="0.25">
      <c r="A6" s="58">
        <f t="shared" si="0"/>
        <v>5</v>
      </c>
      <c r="B6" s="1" t="s">
        <v>25</v>
      </c>
      <c r="C6" s="1" t="str">
        <f>VLOOKUP(Tableau33[[#This Row],[Pilote]],Tableau2[[Pilote]:[Voiture]],2,0)</f>
        <v>Mazda</v>
      </c>
      <c r="D6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22</v>
      </c>
      <c r="E6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922</v>
      </c>
      <c r="F6" s="67"/>
      <c r="G6" s="123">
        <f>IF(ISNA(VLOOKUP(Tableau33[[#This Row],[Pilote]],Tableau2[],3,0)),0,VLOOKUP(Tableau33[[#This Row],[Pilote]],Tableau2[],3,0))</f>
        <v>260</v>
      </c>
      <c r="I6" s="1" t="s">
        <v>16</v>
      </c>
      <c r="J6" s="66">
        <v>900</v>
      </c>
      <c r="K6" s="66">
        <f>Tableau34[[#This Row],[Poids de base]]+260</f>
        <v>1160</v>
      </c>
    </row>
    <row r="7" spans="1:11" x14ac:dyDescent="0.25">
      <c r="A7" s="58">
        <f t="shared" si="0"/>
        <v>6</v>
      </c>
      <c r="B7" s="1" t="s">
        <v>11</v>
      </c>
      <c r="C7" s="1" t="str">
        <f>VLOOKUP(Tableau33[[#This Row],[Pilote]],Tableau2[[Pilote]:[Voiture]],2,0)</f>
        <v>Nissan</v>
      </c>
      <c r="D7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29</v>
      </c>
      <c r="E7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929</v>
      </c>
      <c r="F7" s="67">
        <v>10</v>
      </c>
      <c r="G7" s="123">
        <f>IF(ISNA(VLOOKUP(Tableau33[[#This Row],[Pilote]],Tableau2[],3,0)),0,VLOOKUP(Tableau33[[#This Row],[Pilote]],Tableau2[],3,0))</f>
        <v>257</v>
      </c>
      <c r="I7" s="1" t="s">
        <v>18</v>
      </c>
      <c r="J7" s="66">
        <v>900</v>
      </c>
      <c r="K7" s="66">
        <f>Tableau34[[#This Row],[Poids de base]]+260</f>
        <v>1160</v>
      </c>
    </row>
    <row r="8" spans="1:11" x14ac:dyDescent="0.25">
      <c r="A8" s="58">
        <f t="shared" si="0"/>
        <v>7</v>
      </c>
      <c r="B8" t="s">
        <v>177</v>
      </c>
      <c r="C8" s="1" t="str">
        <f>VLOOKUP(Tableau33[[#This Row],[Pilote]],Tableau2[[Pilote]:[Voiture]],2,0)</f>
        <v>Honda</v>
      </c>
      <c r="D8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30</v>
      </c>
      <c r="E8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930</v>
      </c>
      <c r="F8" s="67">
        <v>30</v>
      </c>
      <c r="G8" s="123">
        <f>IF(ISNA(VLOOKUP(Tableau33[[#This Row],[Pilote]],Tableau2[],3,0)),0,VLOOKUP(Tableau33[[#This Row],[Pilote]],Tableau2[],3,0))</f>
        <v>204</v>
      </c>
      <c r="I8" s="1" t="s">
        <v>20</v>
      </c>
      <c r="J8" s="66">
        <v>960</v>
      </c>
      <c r="K8" s="66">
        <f>Tableau34[[#This Row],[Poids de base]]+260</f>
        <v>1220</v>
      </c>
    </row>
    <row r="9" spans="1:11" x14ac:dyDescent="0.25">
      <c r="A9" s="58">
        <f t="shared" si="0"/>
        <v>8</v>
      </c>
      <c r="B9" s="1" t="s">
        <v>15</v>
      </c>
      <c r="C9" s="1" t="str">
        <f>VLOOKUP(Tableau33[[#This Row],[Pilote]],Tableau2[[Pilote]:[Voiture]],2,0)</f>
        <v>Honda</v>
      </c>
      <c r="D9" s="184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9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9" s="67"/>
      <c r="G9" s="123">
        <f>IF(ISNA(VLOOKUP(Tableau33[[#This Row],[Pilote]],Tableau2[],3,0)),0,VLOOKUP(Tableau33[[#This Row],[Pilote]],Tableau2[],3,0))</f>
        <v>182</v>
      </c>
      <c r="I9" s="1" t="s">
        <v>22</v>
      </c>
      <c r="J9" s="66">
        <v>960</v>
      </c>
      <c r="K9" s="66">
        <f>Tableau34[[#This Row],[Poids de base]]+260</f>
        <v>1220</v>
      </c>
    </row>
    <row r="10" spans="1:11" x14ac:dyDescent="0.25">
      <c r="A10" s="58">
        <f t="shared" si="0"/>
        <v>9</v>
      </c>
      <c r="B10" s="1" t="s">
        <v>28</v>
      </c>
      <c r="C10" s="1" t="str">
        <f>VLOOKUP(Tableau33[[#This Row],[Pilote]],Tableau2[[Pilote]:[Voiture]],2,0)</f>
        <v>Honda</v>
      </c>
      <c r="D10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0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0" s="67"/>
      <c r="G10" s="123">
        <f>IF(ISNA(VLOOKUP(Tableau33[[#This Row],[Pilote]],Tableau2[],3,0)),0,VLOOKUP(Tableau33[[#This Row],[Pilote]],Tableau2[],3,0))</f>
        <v>176</v>
      </c>
    </row>
    <row r="11" spans="1:11" x14ac:dyDescent="0.25">
      <c r="A11" s="58">
        <f t="shared" si="0"/>
        <v>10</v>
      </c>
      <c r="B11" s="1" t="s">
        <v>19</v>
      </c>
      <c r="C11" s="1" t="str">
        <f>VLOOKUP(Tableau33[[#This Row],[Pilote]],Tableau2[[Pilote]:[Voiture]],2,0)</f>
        <v>Alfa Romeo</v>
      </c>
      <c r="D11" s="184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1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11" s="67"/>
      <c r="G11" s="123">
        <f>IF(ISNA(VLOOKUP(Tableau33[[#This Row],[Pilote]],Tableau2[],3,0)),0,VLOOKUP(Tableau33[[#This Row],[Pilote]],Tableau2[],3,0))</f>
        <v>154</v>
      </c>
    </row>
    <row r="12" spans="1:11" x14ac:dyDescent="0.25">
      <c r="A12" s="58">
        <f t="shared" si="0"/>
        <v>11</v>
      </c>
      <c r="B12" s="1" t="s">
        <v>9</v>
      </c>
      <c r="C12" s="1" t="str">
        <f>VLOOKUP(Tableau33[[#This Row],[Pilote]],Tableau2[[Pilote]:[Voiture]],2,0)</f>
        <v>Mazda</v>
      </c>
      <c r="D12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2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2" s="67"/>
      <c r="G12" s="123">
        <f>IF(ISNA(VLOOKUP(Tableau33[[#This Row],[Pilote]],Tableau2[],3,0)),0,VLOOKUP(Tableau33[[#This Row],[Pilote]],Tableau2[],3,0))</f>
        <v>138</v>
      </c>
    </row>
    <row r="13" spans="1:11" x14ac:dyDescent="0.25">
      <c r="A13" s="58">
        <f t="shared" si="0"/>
        <v>12</v>
      </c>
      <c r="B13" s="1" t="s">
        <v>175</v>
      </c>
      <c r="C13" s="1" t="str">
        <f>VLOOKUP(Tableau33[[#This Row],[Pilote]],Tableau2[[Pilote]:[Voiture]],2,0)</f>
        <v>Toyota</v>
      </c>
      <c r="D13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3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3" s="67"/>
      <c r="G13" s="123">
        <f>IF(ISNA(VLOOKUP(Tableau33[[#This Row],[Pilote]],Tableau2[],3,0)),0,VLOOKUP(Tableau33[[#This Row],[Pilote]],Tableau2[],3,0))</f>
        <v>111</v>
      </c>
    </row>
    <row r="14" spans="1:11" x14ac:dyDescent="0.25">
      <c r="A14" s="58">
        <f t="shared" si="0"/>
        <v>13</v>
      </c>
      <c r="B14" s="1" t="s">
        <v>173</v>
      </c>
      <c r="C14" s="1" t="str">
        <f>VLOOKUP(Tableau33[[#This Row],[Pilote]],Tableau2[[Pilote]:[Voiture]],2,0)</f>
        <v>Nissan</v>
      </c>
      <c r="D14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4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4" s="67"/>
      <c r="G14" s="123">
        <f>IF(ISNA(VLOOKUP(Tableau33[[#This Row],[Pilote]],Tableau2[],3,0)),0,VLOOKUP(Tableau33[[#This Row],[Pilote]],Tableau2[],3,0))</f>
        <v>102</v>
      </c>
    </row>
    <row r="15" spans="1:11" x14ac:dyDescent="0.25">
      <c r="A15" s="58">
        <f t="shared" si="0"/>
        <v>14</v>
      </c>
      <c r="B15" s="1" t="s">
        <v>26</v>
      </c>
      <c r="C15" s="1" t="str">
        <f>VLOOKUP(Tableau33[[#This Row],[Pilote]],Tableau2[[Pilote]:[Voiture]],2,0)</f>
        <v>Alfa Romeo</v>
      </c>
      <c r="D15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5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15" s="67"/>
      <c r="G15" s="123">
        <f>IF(ISNA(VLOOKUP(Tableau33[[#This Row],[Pilote]],Tableau2[],3,0)),0,VLOOKUP(Tableau33[[#This Row],[Pilote]],Tableau2[],3,0))</f>
        <v>99</v>
      </c>
    </row>
    <row r="16" spans="1:11" x14ac:dyDescent="0.25">
      <c r="A16" s="58">
        <f t="shared" si="0"/>
        <v>15</v>
      </c>
      <c r="B16" t="s">
        <v>31</v>
      </c>
      <c r="C16" s="1" t="str">
        <f>VLOOKUP(Tableau33[[#This Row],[Pilote]],Tableau2[[Pilote]:[Voiture]],2,0)</f>
        <v>Alfa Romeo</v>
      </c>
      <c r="D16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6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16" s="67"/>
      <c r="G16" s="123">
        <f>IF(ISNA(VLOOKUP(Tableau33[[#This Row],[Pilote]],Tableau2[],3,0)),0,VLOOKUP(Tableau33[[#This Row],[Pilote]],Tableau2[],3,0))</f>
        <v>84</v>
      </c>
    </row>
    <row r="17" spans="1:12" x14ac:dyDescent="0.25">
      <c r="A17" s="58">
        <f t="shared" si="0"/>
        <v>16</v>
      </c>
      <c r="B17" t="s">
        <v>198</v>
      </c>
      <c r="C17" s="1" t="str">
        <f>VLOOKUP(Tableau33[[#This Row],[Pilote]],Tableau2[[Pilote]:[Voiture]],2,0)</f>
        <v>Toyota</v>
      </c>
      <c r="D17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7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7" s="67"/>
      <c r="G17" s="123">
        <f>IF(ISNA(VLOOKUP(Tableau33[[#This Row],[Pilote]],Tableau2[],3,0)),0,VLOOKUP(Tableau33[[#This Row],[Pilote]],Tableau2[],3,0))</f>
        <v>63</v>
      </c>
      <c r="L17" s="232"/>
    </row>
    <row r="18" spans="1:12" x14ac:dyDescent="0.25">
      <c r="A18" s="58">
        <f t="shared" si="0"/>
        <v>17</v>
      </c>
      <c r="B18" t="s">
        <v>207</v>
      </c>
      <c r="C18" s="1" t="str">
        <f>VLOOKUP(Tableau33[[#This Row],[Pilote]],Tableau2[[Pilote]:[Voiture]],2,0)</f>
        <v>Mazda</v>
      </c>
      <c r="D18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8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8" s="67"/>
      <c r="G18" s="123">
        <f>IF(ISNA(VLOOKUP(Tableau33[[#This Row],[Pilote]],Tableau2[],3,0)),0,VLOOKUP(Tableau33[[#This Row],[Pilote]],Tableau2[],3,0))</f>
        <v>50</v>
      </c>
    </row>
    <row r="19" spans="1:12" x14ac:dyDescent="0.25">
      <c r="A19" s="58">
        <f t="shared" si="0"/>
        <v>18</v>
      </c>
      <c r="B19" s="1" t="s">
        <v>29</v>
      </c>
      <c r="C19" s="1" t="str">
        <f>VLOOKUP(Tableau33[[#This Row],[Pilote]],Tableau2[[Pilote]:[Voiture]],2,0)</f>
        <v>Abarth</v>
      </c>
      <c r="D19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9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9" s="67"/>
      <c r="G19" s="123">
        <f>IF(ISNA(VLOOKUP(Tableau33[[#This Row],[Pilote]],Tableau2[],3,0)),0,VLOOKUP(Tableau33[[#This Row],[Pilote]],Tableau2[],3,0))</f>
        <v>45</v>
      </c>
    </row>
    <row r="20" spans="1:12" x14ac:dyDescent="0.25">
      <c r="A20" s="58">
        <f t="shared" si="0"/>
        <v>19</v>
      </c>
      <c r="B20" t="s">
        <v>200</v>
      </c>
      <c r="C20" s="1" t="str">
        <f>VLOOKUP(Tableau33[[#This Row],[Pilote]],Tableau2[[Pilote]:[Voiture]],2,0)</f>
        <v>Abarth</v>
      </c>
      <c r="D20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0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0" s="67"/>
      <c r="G20" s="123">
        <f>IF(ISNA(VLOOKUP(Tableau33[[#This Row],[Pilote]],Tableau2[],3,0)),0,VLOOKUP(Tableau33[[#This Row],[Pilote]],Tableau2[],3,0))</f>
        <v>43</v>
      </c>
    </row>
    <row r="21" spans="1:12" x14ac:dyDescent="0.25">
      <c r="A21" s="58">
        <f t="shared" si="0"/>
        <v>20</v>
      </c>
      <c r="B21" s="1" t="s">
        <v>17</v>
      </c>
      <c r="C21" s="1" t="str">
        <f>VLOOKUP(Tableau33[[#This Row],[Pilote]],Tableau2[[Pilote]:[Voiture]],2,0)</f>
        <v>Toyota</v>
      </c>
      <c r="D21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1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1" s="67"/>
      <c r="G21" s="123">
        <f>IF(ISNA(VLOOKUP(Tableau33[[#This Row],[Pilote]],Tableau2[],3,0)),0,VLOOKUP(Tableau33[[#This Row],[Pilote]],Tableau2[],3,0))</f>
        <v>28</v>
      </c>
    </row>
    <row r="22" spans="1:12" x14ac:dyDescent="0.25">
      <c r="A22" s="58">
        <f t="shared" si="0"/>
        <v>21</v>
      </c>
      <c r="B22" s="1" t="s">
        <v>13</v>
      </c>
      <c r="C22" s="1" t="str">
        <f>VLOOKUP(Tableau33[[#This Row],[Pilote]],Tableau2[[Pilote]:[Voiture]],2,0)</f>
        <v>Abarth</v>
      </c>
      <c r="D22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2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2" s="67"/>
      <c r="G22" s="123">
        <f>IF(ISNA(VLOOKUP(Tableau33[[#This Row],[Pilote]],Tableau2[],3,0)),0,VLOOKUP(Tableau33[[#This Row],[Pilote]],Tableau2[],3,0))</f>
        <v>26</v>
      </c>
    </row>
    <row r="23" spans="1:12" x14ac:dyDescent="0.25">
      <c r="A23" s="58">
        <f t="shared" si="0"/>
        <v>22</v>
      </c>
      <c r="B23" t="s">
        <v>209</v>
      </c>
      <c r="C23" s="1" t="str">
        <f>VLOOKUP(Tableau33[[#This Row],[Pilote]],Tableau2[[Pilote]:[Voiture]],2,0)</f>
        <v>Suzuki</v>
      </c>
      <c r="D23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3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3" s="67"/>
      <c r="G23" s="123">
        <f>IF(ISNA(VLOOKUP(Tableau33[[#This Row],[Pilote]],Tableau2[],3,0)),0,VLOOKUP(Tableau33[[#This Row],[Pilote]],Tableau2[],3,0))</f>
        <v>25</v>
      </c>
    </row>
    <row r="24" spans="1:12" x14ac:dyDescent="0.25">
      <c r="A24" s="58">
        <f t="shared" si="0"/>
        <v>23</v>
      </c>
      <c r="B24" t="s">
        <v>208</v>
      </c>
      <c r="C24" s="1" t="str">
        <f>VLOOKUP(Tableau33[[#This Row],[Pilote]],Tableau2[[Pilote]:[Voiture]],2,0)</f>
        <v>Mini</v>
      </c>
      <c r="D24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4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24" s="67"/>
      <c r="G24" s="123">
        <f>IF(ISNA(VLOOKUP(Tableau33[[#This Row],[Pilote]],Tableau2[],3,0)),0,VLOOKUP(Tableau33[[#This Row],[Pilote]],Tableau2[],3,0))</f>
        <v>16</v>
      </c>
    </row>
    <row r="25" spans="1:12" x14ac:dyDescent="0.25">
      <c r="A25" s="58">
        <f t="shared" si="0"/>
        <v>24</v>
      </c>
      <c r="B25" s="237" t="s">
        <v>213</v>
      </c>
      <c r="C25" s="1" t="str">
        <f>VLOOKUP(Tableau33[[#This Row],[Pilote]],Tableau2[[Pilote]:[Voiture]],2,0)</f>
        <v>Abarth</v>
      </c>
      <c r="D25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5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5" s="67"/>
      <c r="G25" s="123">
        <f>IF(ISNA(VLOOKUP(Tableau33[[#This Row],[Pilote]],Tableau2[],3,0)),0,VLOOKUP(Tableau33[[#This Row],[Pilote]],Tableau2[],3,0))</f>
        <v>15</v>
      </c>
    </row>
    <row r="26" spans="1:12" x14ac:dyDescent="0.25">
      <c r="A26" s="58">
        <f t="shared" si="0"/>
        <v>25</v>
      </c>
      <c r="B26" s="1" t="s">
        <v>30</v>
      </c>
      <c r="C26" s="1" t="str">
        <f>VLOOKUP(Tableau33[[#This Row],[Pilote]],Tableau2[[Pilote]:[Voiture]],2,0)</f>
        <v>Nissan</v>
      </c>
      <c r="D26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6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6" s="67"/>
      <c r="G26" s="123">
        <f>IF(ISNA(VLOOKUP(Tableau33[[#This Row],[Pilote]],Tableau2[],3,0)),0,VLOOKUP(Tableau33[[#This Row],[Pilote]],Tableau2[],3,0))</f>
        <v>0</v>
      </c>
    </row>
    <row r="27" spans="1:12" x14ac:dyDescent="0.25">
      <c r="A27" s="58">
        <f t="shared" si="0"/>
        <v>26</v>
      </c>
      <c r="C27" s="1" t="e">
        <f>VLOOKUP(Tableau33[[#This Row],[Pilote]],Tableau2[[Pilote]:[Voiture]],2,0)</f>
        <v>#N/A</v>
      </c>
      <c r="D27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7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7" s="67"/>
      <c r="G27" s="123">
        <f>IF(ISNA(VLOOKUP(Tableau33[[#This Row],[Pilote]],Tableau2[],3,0)),0,VLOOKUP(Tableau33[[#This Row],[Pilote]],Tableau2[],3,0))</f>
        <v>0</v>
      </c>
    </row>
    <row r="28" spans="1:12" x14ac:dyDescent="0.25">
      <c r="A28" s="58">
        <f t="shared" si="0"/>
        <v>27</v>
      </c>
      <c r="C28" s="1" t="e">
        <f>VLOOKUP(Tableau33[[#This Row],[Pilote]],Tableau2[[Pilote]:[Voiture]],2,0)</f>
        <v>#N/A</v>
      </c>
      <c r="D28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8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8" s="67"/>
      <c r="G28" s="123">
        <f>IF(ISNA(VLOOKUP(Tableau33[[#This Row],[Pilote]],Tableau2[],3,0)),0,VLOOKUP(Tableau33[[#This Row],[Pilote]],Tableau2[],3,0))</f>
        <v>0</v>
      </c>
    </row>
    <row r="29" spans="1:12" x14ac:dyDescent="0.25">
      <c r="A29" s="58">
        <f t="shared" si="0"/>
        <v>28</v>
      </c>
      <c r="C29" s="1" t="e">
        <f>VLOOKUP(Tableau33[[#This Row],[Pilote]],Tableau2[[Pilote]:[Voiture]],2,0)</f>
        <v>#N/A</v>
      </c>
      <c r="D29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9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9" s="67"/>
      <c r="G29" s="123">
        <f>IF(ISNA(VLOOKUP(Tableau33[[#This Row],[Pilote]],Tableau2[],3,0)),0,VLOOKUP(Tableau33[[#This Row],[Pilote]],Tableau2[],3,0))</f>
        <v>0</v>
      </c>
    </row>
    <row r="30" spans="1:12" x14ac:dyDescent="0.25">
      <c r="A30" s="58">
        <f t="shared" si="0"/>
        <v>29</v>
      </c>
      <c r="C30" s="1" t="e">
        <f>VLOOKUP(Tableau33[[#This Row],[Pilote]],Tableau2[[Pilote]:[Voiture]],2,0)</f>
        <v>#N/A</v>
      </c>
      <c r="D30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0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0" s="67"/>
      <c r="G30" s="123">
        <f>IF(ISNA(VLOOKUP(Tableau33[[#This Row],[Pilote]],Tableau2[],3,0)),0,VLOOKUP(Tableau33[[#This Row],[Pilote]],Tableau2[],3,0))</f>
        <v>0</v>
      </c>
    </row>
    <row r="31" spans="1:12" x14ac:dyDescent="0.25">
      <c r="A31" s="58">
        <f t="shared" si="0"/>
        <v>30</v>
      </c>
      <c r="C31" s="1" t="e">
        <f>VLOOKUP(Tableau33[[#This Row],[Pilote]],Tableau2[[Pilote]:[Voiture]],2,0)</f>
        <v>#N/A</v>
      </c>
      <c r="D31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1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1" s="67"/>
      <c r="G31" s="123">
        <f>IF(ISNA(VLOOKUP(Tableau33[[#This Row],[Pilote]],Tableau2[],3,0)),0,VLOOKUP(Tableau33[[#This Row],[Pilote]],Tableau2[],3,0))</f>
        <v>0</v>
      </c>
    </row>
    <row r="32" spans="1:12" x14ac:dyDescent="0.25">
      <c r="A32" s="58">
        <f t="shared" si="0"/>
        <v>31</v>
      </c>
      <c r="C32" s="1" t="e">
        <f>VLOOKUP(Tableau33[[#This Row],[Pilote]],Tableau2[[Pilote]:[Voiture]],2,0)</f>
        <v>#N/A</v>
      </c>
      <c r="D32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2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2" s="67"/>
      <c r="G32" s="123">
        <f>IF(ISNA(VLOOKUP(Tableau33[[#This Row],[Pilote]],Tableau2[],3,0)),0,VLOOKUP(Tableau33[[#This Row],[Pilote]],Tableau2[],3,0))</f>
        <v>0</v>
      </c>
    </row>
    <row r="33" spans="1:7" x14ac:dyDescent="0.25">
      <c r="A33" s="58">
        <f t="shared" si="0"/>
        <v>32</v>
      </c>
      <c r="C33" s="1" t="e">
        <f>VLOOKUP(Tableau33[[#This Row],[Pilote]],Tableau2[[Pilote]:[Voiture]],2,0)</f>
        <v>#N/A</v>
      </c>
      <c r="D33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3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3" s="67"/>
      <c r="G33" s="123">
        <f>IF(ISNA(VLOOKUP(Tableau33[[#This Row],[Pilote]],Tableau2[],3,0)),0,VLOOKUP(Tableau33[[#This Row],[Pilote]],Tableau2[],3,0))</f>
        <v>0</v>
      </c>
    </row>
    <row r="37" spans="1:7" x14ac:dyDescent="0.25">
      <c r="B37" t="s">
        <v>5</v>
      </c>
      <c r="C37" t="s">
        <v>6</v>
      </c>
      <c r="D37" t="s">
        <v>189</v>
      </c>
      <c r="E37" t="s">
        <v>54</v>
      </c>
      <c r="F37" t="s">
        <v>190</v>
      </c>
    </row>
    <row r="38" spans="1:7" x14ac:dyDescent="0.25">
      <c r="B38" s="217" t="s">
        <v>7</v>
      </c>
      <c r="C38" t="str">
        <f>VLOOKUP(Tableau41[[#This Row],[Pilote]],Tableau2[[Pilote]:[Voiture]],2,0)</f>
        <v>Suzuki</v>
      </c>
      <c r="D38" s="66">
        <f>VLOOKUP(Tableau41[[#This Row],[Pilote]],Tableau33[[Pilote]:[Lest additionnel]],3,0)</f>
        <v>113</v>
      </c>
      <c r="E38" s="186">
        <f>VLOOKUP(Tableau41[[#This Row],[Pilote]],Tableau33[[Pilote]:[Lest additionnel]],4,0)</f>
        <v>1013</v>
      </c>
      <c r="F38" s="185"/>
    </row>
    <row r="39" spans="1:7" x14ac:dyDescent="0.25">
      <c r="B39" s="217" t="s">
        <v>24</v>
      </c>
      <c r="C39" t="str">
        <f>VLOOKUP(Tableau41[[#This Row],[Pilote]],Tableau2[[Pilote]:[Voiture]],2,0)</f>
        <v>Suzuki</v>
      </c>
      <c r="D39" s="66">
        <f>VLOOKUP(Tableau41[[#This Row],[Pilote]],Tableau33[[Pilote]:[Lest additionnel]],3,0)</f>
        <v>100</v>
      </c>
      <c r="E39" s="186">
        <f>VLOOKUP(Tableau41[[#This Row],[Pilote]],Tableau33[[Pilote]:[Lest additionnel]],4,0)</f>
        <v>1000</v>
      </c>
      <c r="F39" s="185"/>
    </row>
    <row r="40" spans="1:7" x14ac:dyDescent="0.25">
      <c r="B40" s="217" t="s">
        <v>23</v>
      </c>
      <c r="C40" t="str">
        <f>VLOOKUP(Tableau41[[#This Row],[Pilote]],Tableau2[[Pilote]:[Voiture]],2,0)</f>
        <v>Mini</v>
      </c>
      <c r="D40" s="66">
        <f>VLOOKUP(Tableau41[[#This Row],[Pilote]],Tableau33[[Pilote]:[Lest additionnel]],3,0)</f>
        <v>81</v>
      </c>
      <c r="E40" s="186">
        <f>VLOOKUP(Tableau41[[#This Row],[Pilote]],Tableau33[[Pilote]:[Lest additionnel]],4,0)</f>
        <v>1041</v>
      </c>
      <c r="F40" s="185"/>
    </row>
    <row r="41" spans="1:7" x14ac:dyDescent="0.25">
      <c r="B41" s="217" t="s">
        <v>21</v>
      </c>
      <c r="C41" t="str">
        <f>VLOOKUP(Tableau41[[#This Row],[Pilote]],Tableau2[[Pilote]:[Voiture]],2,0)</f>
        <v>Mini</v>
      </c>
      <c r="D41" s="66">
        <f>VLOOKUP(Tableau41[[#This Row],[Pilote]],Tableau33[[Pilote]:[Lest additionnel]],3,0)</f>
        <v>65</v>
      </c>
      <c r="E41" s="186">
        <f>VLOOKUP(Tableau41[[#This Row],[Pilote]],Tableau33[[Pilote]:[Lest additionnel]],4,0)</f>
        <v>1025</v>
      </c>
      <c r="F41" s="185"/>
    </row>
    <row r="42" spans="1:7" x14ac:dyDescent="0.25">
      <c r="B42" s="217" t="s">
        <v>177</v>
      </c>
      <c r="C42" t="str">
        <f>VLOOKUP(Tableau41[[#This Row],[Pilote]],Tableau2[[Pilote]:[Voiture]],2,0)</f>
        <v>Honda</v>
      </c>
      <c r="D42" s="66">
        <f>VLOOKUP(Tableau41[[#This Row],[Pilote]],Tableau33[[Pilote]:[Lest additionnel]],3,0)</f>
        <v>30</v>
      </c>
      <c r="E42" s="186">
        <f>VLOOKUP(Tableau41[[#This Row],[Pilote]],Tableau33[[Pilote]:[Lest additionnel]],4,0)</f>
        <v>930</v>
      </c>
      <c r="F42" s="185"/>
    </row>
    <row r="43" spans="1:7" x14ac:dyDescent="0.25">
      <c r="B43" s="217" t="s">
        <v>11</v>
      </c>
      <c r="C43" t="str">
        <f>VLOOKUP(Tableau41[[#This Row],[Pilote]],Tableau2[[Pilote]:[Voiture]],2,0)</f>
        <v>Nissan</v>
      </c>
      <c r="D43" s="66">
        <f>VLOOKUP(Tableau41[[#This Row],[Pilote]],Tableau33[[Pilote]:[Lest additionnel]],3,0)</f>
        <v>29</v>
      </c>
      <c r="E43" s="186">
        <f>VLOOKUP(Tableau41[[#This Row],[Pilote]],Tableau33[[Pilote]:[Lest additionnel]],4,0)</f>
        <v>929</v>
      </c>
      <c r="F43" s="185"/>
    </row>
    <row r="44" spans="1:7" x14ac:dyDescent="0.25">
      <c r="B44" s="217" t="s">
        <v>25</v>
      </c>
      <c r="C44" t="str">
        <f>VLOOKUP(Tableau41[[#This Row],[Pilote]],Tableau2[[Pilote]:[Voiture]],2,0)</f>
        <v>Mazda</v>
      </c>
      <c r="D44" s="66">
        <f>VLOOKUP(Tableau41[[#This Row],[Pilote]],Tableau33[[Pilote]:[Lest additionnel]],3,0)</f>
        <v>22</v>
      </c>
      <c r="E44" s="186">
        <f>VLOOKUP(Tableau41[[#This Row],[Pilote]],Tableau33[[Pilote]:[Lest additionnel]],4,0)</f>
        <v>922</v>
      </c>
      <c r="F44" s="185">
        <v>430</v>
      </c>
    </row>
    <row r="45" spans="1:7" x14ac:dyDescent="0.25">
      <c r="B45" s="217" t="s">
        <v>31</v>
      </c>
      <c r="C45" t="str">
        <f>VLOOKUP(Tableau41[[#This Row],[Pilote]],Tableau2[[Pilote]:[Voiture]],2,0)</f>
        <v>Alfa Romeo</v>
      </c>
      <c r="D45" s="66">
        <f>VLOOKUP(Tableau41[[#This Row],[Pilote]],Tableau33[[Pilote]:[Lest additionnel]],3,0)</f>
        <v>0</v>
      </c>
      <c r="E45" s="186">
        <f>VLOOKUP(Tableau41[[#This Row],[Pilote]],Tableau33[[Pilote]:[Lest additionnel]],4,0)</f>
        <v>960</v>
      </c>
      <c r="F45" s="185">
        <v>436</v>
      </c>
    </row>
    <row r="46" spans="1:7" x14ac:dyDescent="0.25">
      <c r="B46" s="217" t="s">
        <v>19</v>
      </c>
      <c r="C46" t="str">
        <f>VLOOKUP(Tableau41[[#This Row],[Pilote]],Tableau2[[Pilote]:[Voiture]],2,0)</f>
        <v>Alfa Romeo</v>
      </c>
      <c r="D46" s="66">
        <f>VLOOKUP(Tableau41[[#This Row],[Pilote]],Tableau33[[Pilote]:[Lest additionnel]],3,0)</f>
        <v>0</v>
      </c>
      <c r="E46" s="186">
        <f>VLOOKUP(Tableau41[[#This Row],[Pilote]],Tableau33[[Pilote]:[Lest additionnel]],4,0)</f>
        <v>960</v>
      </c>
      <c r="F46" s="185">
        <v>435</v>
      </c>
    </row>
    <row r="47" spans="1:7" x14ac:dyDescent="0.25">
      <c r="B47" s="217" t="s">
        <v>26</v>
      </c>
      <c r="C47" t="str">
        <f>VLOOKUP(Tableau41[[#This Row],[Pilote]],Tableau2[[Pilote]:[Voiture]],2,0)</f>
        <v>Alfa Romeo</v>
      </c>
      <c r="D47" s="66">
        <f>VLOOKUP(Tableau41[[#This Row],[Pilote]],Tableau33[[Pilote]:[Lest additionnel]],3,0)</f>
        <v>0</v>
      </c>
      <c r="E47" s="186">
        <f>VLOOKUP(Tableau41[[#This Row],[Pilote]],Tableau33[[Pilote]:[Lest additionnel]],4,0)</f>
        <v>960</v>
      </c>
      <c r="F47" s="185">
        <v>437</v>
      </c>
    </row>
    <row r="48" spans="1:7" x14ac:dyDescent="0.25">
      <c r="B48" s="230" t="s">
        <v>208</v>
      </c>
      <c r="C48" s="229" t="str">
        <f>VLOOKUP(Tableau41[[#This Row],[Pilote]],Tableau2[[Pilote]:[Voiture]],2,0)</f>
        <v>Mini</v>
      </c>
      <c r="D48" s="66">
        <f>VLOOKUP(Tableau41[[#This Row],[Pilote]],Tableau33[[Pilote]:[Lest additionnel]],3,0)</f>
        <v>0</v>
      </c>
      <c r="E48" s="186">
        <f>VLOOKUP(Tableau41[[#This Row],[Pilote]],Tableau33[[Pilote]:[Lest additionnel]],4,0)</f>
        <v>960</v>
      </c>
      <c r="F48" s="185"/>
    </row>
    <row r="49" spans="2:6" x14ac:dyDescent="0.25">
      <c r="B49" s="230" t="s">
        <v>207</v>
      </c>
      <c r="C49" s="229" t="str">
        <f>VLOOKUP(Tableau41[[#This Row],[Pilote]],Tableau2[[Pilote]:[Voiture]],2,0)</f>
        <v>Mazda</v>
      </c>
      <c r="D49" s="66">
        <f>VLOOKUP(Tableau41[[#This Row],[Pilote]],Tableau33[[Pilote]:[Lest additionnel]],3,0)</f>
        <v>0</v>
      </c>
      <c r="E49" s="186">
        <f>VLOOKUP(Tableau41[[#This Row],[Pilote]],Tableau33[[Pilote]:[Lest additionnel]],4,0)</f>
        <v>900</v>
      </c>
      <c r="F49" s="185"/>
    </row>
    <row r="50" spans="2:6" x14ac:dyDescent="0.25">
      <c r="B50" s="217" t="s">
        <v>15</v>
      </c>
      <c r="C50" t="str">
        <f>VLOOKUP(Tableau41[[#This Row],[Pilote]],Tableau2[[Pilote]:[Voiture]],2,0)</f>
        <v>Honda</v>
      </c>
      <c r="D50" s="66">
        <f>VLOOKUP(Tableau41[[#This Row],[Pilote]],Tableau33[[Pilote]:[Lest additionnel]],3,0)</f>
        <v>0</v>
      </c>
      <c r="E50" s="186">
        <f>VLOOKUP(Tableau41[[#This Row],[Pilote]],Tableau33[[Pilote]:[Lest additionnel]],4,0)</f>
        <v>900</v>
      </c>
      <c r="F50" s="185"/>
    </row>
    <row r="51" spans="2:6" x14ac:dyDescent="0.25">
      <c r="B51" s="217" t="s">
        <v>175</v>
      </c>
      <c r="C51" t="str">
        <f>VLOOKUP(Tableau41[[#This Row],[Pilote]],Tableau2[[Pilote]:[Voiture]],2,0)</f>
        <v>Toyota</v>
      </c>
      <c r="D51" s="66">
        <f>VLOOKUP(Tableau41[[#This Row],[Pilote]],Tableau33[[Pilote]:[Lest additionnel]],3,0)</f>
        <v>0</v>
      </c>
      <c r="E51" s="186">
        <f>VLOOKUP(Tableau41[[#This Row],[Pilote]],Tableau33[[Pilote]:[Lest additionnel]],4,0)</f>
        <v>900</v>
      </c>
      <c r="F51" s="185"/>
    </row>
    <row r="52" spans="2:6" x14ac:dyDescent="0.25">
      <c r="B52" s="217" t="s">
        <v>9</v>
      </c>
      <c r="C52" t="str">
        <f>VLOOKUP(Tableau41[[#This Row],[Pilote]],Tableau2[[Pilote]:[Voiture]],2,0)</f>
        <v>Mazda</v>
      </c>
      <c r="D52" s="66">
        <f>VLOOKUP(Tableau41[[#This Row],[Pilote]],Tableau33[[Pilote]:[Lest additionnel]],3,0)</f>
        <v>0</v>
      </c>
      <c r="E52" s="186">
        <f>VLOOKUP(Tableau41[[#This Row],[Pilote]],Tableau33[[Pilote]:[Lest additionnel]],4,0)</f>
        <v>900</v>
      </c>
      <c r="F52" s="185">
        <v>429</v>
      </c>
    </row>
    <row r="53" spans="2:6" x14ac:dyDescent="0.25">
      <c r="B53" s="217" t="s">
        <v>28</v>
      </c>
      <c r="C53" t="str">
        <f>VLOOKUP(Tableau41[[#This Row],[Pilote]],Tableau2[[Pilote]:[Voiture]],2,0)</f>
        <v>Honda</v>
      </c>
      <c r="D53" s="66">
        <f>VLOOKUP(Tableau41[[#This Row],[Pilote]],Tableau33[[Pilote]:[Lest additionnel]],3,0)</f>
        <v>0</v>
      </c>
      <c r="E53" s="186">
        <f>VLOOKUP(Tableau41[[#This Row],[Pilote]],Tableau33[[Pilote]:[Lest additionnel]],4,0)</f>
        <v>900</v>
      </c>
      <c r="F53" s="185">
        <v>429</v>
      </c>
    </row>
    <row r="54" spans="2:6" x14ac:dyDescent="0.25">
      <c r="B54" s="217" t="s">
        <v>173</v>
      </c>
      <c r="C54" t="str">
        <f>VLOOKUP(Tableau41[[#This Row],[Pilote]],Tableau2[[Pilote]:[Voiture]],2,0)</f>
        <v>Nissan</v>
      </c>
      <c r="D54" s="66">
        <f>VLOOKUP(Tableau41[[#This Row],[Pilote]],Tableau33[[Pilote]:[Lest additionnel]],3,0)</f>
        <v>0</v>
      </c>
      <c r="E54" s="186">
        <f>VLOOKUP(Tableau41[[#This Row],[Pilote]],Tableau33[[Pilote]:[Lest additionnel]],4,0)</f>
        <v>900</v>
      </c>
      <c r="F54" s="185">
        <v>425</v>
      </c>
    </row>
    <row r="55" spans="2:6" x14ac:dyDescent="0.25">
      <c r="B55" s="217" t="s">
        <v>29</v>
      </c>
      <c r="C55" t="str">
        <f>VLOOKUP(Tableau41[[#This Row],[Pilote]],Tableau2[[Pilote]:[Voiture]],2,0)</f>
        <v>Abarth</v>
      </c>
      <c r="D55" s="66">
        <f>VLOOKUP(Tableau41[[#This Row],[Pilote]],Tableau33[[Pilote]:[Lest additionnel]],3,0)</f>
        <v>0</v>
      </c>
      <c r="E55" s="186">
        <f>VLOOKUP(Tableau41[[#This Row],[Pilote]],Tableau33[[Pilote]:[Lest additionnel]],4,0)</f>
        <v>900</v>
      </c>
      <c r="F55" s="185">
        <v>433</v>
      </c>
    </row>
    <row r="56" spans="2:6" x14ac:dyDescent="0.25">
      <c r="B56" s="217" t="s">
        <v>17</v>
      </c>
      <c r="C56" t="str">
        <f>VLOOKUP(Tableau41[[#This Row],[Pilote]],Tableau2[[Pilote]:[Voiture]],2,0)</f>
        <v>Toyota</v>
      </c>
      <c r="D56" s="66">
        <f>VLOOKUP(Tableau41[[#This Row],[Pilote]],Tableau33[[Pilote]:[Lest additionnel]],3,0)</f>
        <v>0</v>
      </c>
      <c r="E56" s="186">
        <f>VLOOKUP(Tableau41[[#This Row],[Pilote]],Tableau33[[Pilote]:[Lest additionnel]],4,0)</f>
        <v>900</v>
      </c>
      <c r="F56" s="185">
        <v>436</v>
      </c>
    </row>
    <row r="57" spans="2:6" x14ac:dyDescent="0.25">
      <c r="B57" s="222" t="s">
        <v>13</v>
      </c>
      <c r="C57" t="str">
        <f>VLOOKUP(Tableau41[[#This Row],[Pilote]],Tableau2[[Pilote]:[Voiture]],2,0)</f>
        <v>Abarth</v>
      </c>
      <c r="D57" s="66">
        <f>VLOOKUP(Tableau41[[#This Row],[Pilote]],Tableau33[[Pilote]:[Lest additionnel]],3,0)</f>
        <v>0</v>
      </c>
      <c r="E57" s="186">
        <f>VLOOKUP(Tableau41[[#This Row],[Pilote]],Tableau33[[Pilote]:[Lest additionnel]],4,0)</f>
        <v>900</v>
      </c>
      <c r="F57" s="185">
        <v>433</v>
      </c>
    </row>
    <row r="58" spans="2:6" x14ac:dyDescent="0.25">
      <c r="B58" s="222" t="s">
        <v>30</v>
      </c>
      <c r="C58" t="str">
        <f>VLOOKUP(Tableau41[[#This Row],[Pilote]],Tableau2[[Pilote]:[Voiture]],2,0)</f>
        <v>Nissan</v>
      </c>
      <c r="D58" s="66">
        <f>VLOOKUP(Tableau41[[#This Row],[Pilote]],Tableau33[[Pilote]:[Lest additionnel]],3,0)</f>
        <v>0</v>
      </c>
      <c r="E58" s="186">
        <f>VLOOKUP(Tableau41[[#This Row],[Pilote]],Tableau33[[Pilote]:[Lest additionnel]],4,0)</f>
        <v>900</v>
      </c>
      <c r="F58" s="185">
        <v>425</v>
      </c>
    </row>
    <row r="59" spans="2:6" x14ac:dyDescent="0.25">
      <c r="B59" s="187" t="s">
        <v>198</v>
      </c>
      <c r="C59" s="213" t="str">
        <f>VLOOKUP(Tableau41[[#This Row],[Pilote]],Tableau2[[Pilote]:[Voiture]],2,0)</f>
        <v>Toyota</v>
      </c>
      <c r="D59" s="214">
        <f>VLOOKUP(Tableau41[[#This Row],[Pilote]],Tableau33[[Pilote]:[Lest additionnel]],3,0)</f>
        <v>0</v>
      </c>
      <c r="E59" s="215">
        <f>VLOOKUP(Tableau41[[#This Row],[Pilote]],Tableau33[[Pilote]:[Lest additionnel]],4,0)</f>
        <v>900</v>
      </c>
      <c r="F59" s="216">
        <v>437</v>
      </c>
    </row>
    <row r="60" spans="2:6" x14ac:dyDescent="0.25">
      <c r="B60" s="1" t="s">
        <v>200</v>
      </c>
      <c r="C60" s="213" t="str">
        <f>VLOOKUP(Tableau41[[#This Row],[Pilote]],Tableau2[[Pilote]:[Voiture]],2,0)</f>
        <v>Abarth</v>
      </c>
      <c r="D60" s="214">
        <f>VLOOKUP(Tableau41[[#This Row],[Pilote]],Tableau33[[Pilote]:[Lest additionnel]],3,0)</f>
        <v>0</v>
      </c>
      <c r="E60" s="215">
        <f>VLOOKUP(Tableau41[[#This Row],[Pilote]],Tableau33[[Pilote]:[Lest additionnel]],4,0)</f>
        <v>900</v>
      </c>
      <c r="F60" s="216"/>
    </row>
    <row r="61" spans="2:6" x14ac:dyDescent="0.25">
      <c r="B61" t="s">
        <v>209</v>
      </c>
      <c r="C61" s="213" t="str">
        <f>VLOOKUP(Tableau41[[#This Row],[Pilote]],Tableau2[[Pilote]:[Voiture]],2,0)</f>
        <v>Suzuki</v>
      </c>
      <c r="D61" s="214">
        <f>VLOOKUP(Tableau41[[#This Row],[Pilote]],Tableau33[[Pilote]:[Lest additionnel]],3,0)</f>
        <v>0</v>
      </c>
      <c r="E61" s="215">
        <f>VLOOKUP(Tableau41[[#This Row],[Pilote]],Tableau33[[Pilote]:[Lest additionnel]],4,0)</f>
        <v>900</v>
      </c>
      <c r="F61" s="216"/>
    </row>
    <row r="62" spans="2:6" x14ac:dyDescent="0.25">
      <c r="B62" s="237" t="s">
        <v>213</v>
      </c>
      <c r="C62" s="213" t="str">
        <f>VLOOKUP(Tableau41[[#This Row],[Pilote]],Tableau2[[Pilote]:[Voiture]],2,0)</f>
        <v>Abarth</v>
      </c>
      <c r="D62" s="214">
        <f>VLOOKUP(Tableau41[[#This Row],[Pilote]],Tableau33[[Pilote]:[Lest additionnel]],3,0)</f>
        <v>0</v>
      </c>
      <c r="E62" s="215">
        <f>VLOOKUP(Tableau41[[#This Row],[Pilote]],Tableau33[[Pilote]:[Lest additionnel]],4,0)</f>
        <v>900</v>
      </c>
      <c r="F62" s="216"/>
    </row>
  </sheetData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3" sqref="O23:R23"/>
    </sheetView>
  </sheetViews>
  <sheetFormatPr baseColWidth="10" defaultRowHeight="15" x14ac:dyDescent="0.25"/>
  <cols>
    <col min="1" max="1" width="4.7109375" customWidth="1"/>
    <col min="3" max="3" width="11.42578125" customWidth="1"/>
    <col min="4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8" x14ac:dyDescent="0.25">
      <c r="A1" s="258" t="s">
        <v>178</v>
      </c>
      <c r="B1" s="258"/>
      <c r="C1" s="127">
        <v>1</v>
      </c>
      <c r="D1" s="259" t="s">
        <v>0</v>
      </c>
      <c r="E1" s="260"/>
      <c r="F1" s="259" t="s">
        <v>1</v>
      </c>
      <c r="G1" s="260"/>
      <c r="H1" s="37" t="s">
        <v>2</v>
      </c>
      <c r="I1" s="14"/>
      <c r="J1" s="261" t="s">
        <v>41</v>
      </c>
      <c r="K1" s="261"/>
      <c r="L1" s="261"/>
      <c r="M1" s="262"/>
      <c r="N1" s="18"/>
      <c r="O1" s="265" t="s">
        <v>35</v>
      </c>
      <c r="P1" s="265"/>
      <c r="Q1" s="265"/>
      <c r="R1" s="265"/>
    </row>
    <row r="2" spans="1:18" x14ac:dyDescent="0.25">
      <c r="A2" s="54" t="s">
        <v>3</v>
      </c>
      <c r="B2" t="s">
        <v>5</v>
      </c>
      <c r="C2" t="s">
        <v>6</v>
      </c>
      <c r="D2" s="31" t="s">
        <v>37</v>
      </c>
      <c r="E2" s="32" t="s">
        <v>38</v>
      </c>
      <c r="F2" s="31" t="s">
        <v>39</v>
      </c>
      <c r="G2" s="32" t="s">
        <v>40</v>
      </c>
      <c r="H2" s="38" t="s">
        <v>4</v>
      </c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</row>
    <row r="3" spans="1:18" x14ac:dyDescent="0.25">
      <c r="A3" s="55">
        <v>1</v>
      </c>
      <c r="B3" s="1" t="s">
        <v>7</v>
      </c>
      <c r="C3" s="1" t="str">
        <f>VLOOKUP(Tableau2346[[#This Row],[Pilote]],Tableau2[[Pilote]:[Voiture]],2,0)</f>
        <v>Suzuki</v>
      </c>
      <c r="D3" s="166" t="s">
        <v>141</v>
      </c>
      <c r="E3" s="34">
        <f>IF(ISNA(VLOOKUP(Tableau2346[[#This Row],[Pos.          Sprint]],Tableau1222145[],2,0)),"",VLOOKUP(Tableau2346[[#This Row],[Pos.          Sprint]],Tableau1222145[],2,0))</f>
        <v>26</v>
      </c>
      <c r="F3" s="166" t="s">
        <v>141</v>
      </c>
      <c r="G3" s="32">
        <f>IF(ISNA(VLOOKUP(Tableau2346[[#This Row],[Pos.        Enduro]],Tableau1222145[],3,0)),"",VLOOKUP(Tableau2346[[#This Row],[Pos.        Enduro]],Tableau1222145[],3,0))</f>
        <v>33</v>
      </c>
      <c r="H3" s="42">
        <f t="shared" ref="H3:H20" si="0">IF(ISERROR(E3+G3),0,E3+G3)</f>
        <v>59</v>
      </c>
      <c r="J3" s="21" t="s">
        <v>141</v>
      </c>
      <c r="K3" s="17">
        <f t="shared" ref="K3:K11" si="1">IF((P3+K$12-(VLOOKUP((ROUNDUP($Q$21,0)),$O$3:$R$18,2)-1))&gt;K$12,P3+K$12-(VLOOKUP((ROUNDUP($Q$21,0)),$O$3:$R$18,2)-1),)</f>
        <v>26</v>
      </c>
      <c r="L3" s="17">
        <f t="shared" ref="L3:L11" si="2">IF((Q3+L$12-(VLOOKUP((ROUNDUP($Q$21,0)),$O$3:$R$18,3)-1))&gt;L$12,Q3+L$12-(VLOOKUP((ROUNDUP($Q$21,0)),$O$3:$R$18,3)-1),)</f>
        <v>33</v>
      </c>
      <c r="M3" s="17">
        <f t="shared" ref="M3:M11" si="3">IF((R3+M$12-(VLOOKUP((ROUNDUP($Q$21,0)),$O$3:$R$18,4)-1))&gt;M$12,R3+M$12-(VLOOKUP((ROUNDUP($Q$21,0)),$O$3:$R$18,4)-1),)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2*Tableau122044[[#This Row],[Enduro]]</f>
        <v>48</v>
      </c>
    </row>
    <row r="4" spans="1:18" x14ac:dyDescent="0.25">
      <c r="A4" s="56">
        <f t="shared" ref="A4:A20" si="4">A3+1</f>
        <v>2</v>
      </c>
      <c r="B4" s="1" t="s">
        <v>15</v>
      </c>
      <c r="C4" s="1" t="str">
        <f>VLOOKUP(Tableau2346[[#This Row],[Pilote]],Tableau2[[Pilote]:[Voiture]],2,0)</f>
        <v>Honda</v>
      </c>
      <c r="D4" s="33" t="s">
        <v>146</v>
      </c>
      <c r="E4" s="34">
        <f>IF(ISNA(VLOOKUP(Tableau2346[[#This Row],[Pos.          Sprint]],Tableau1222145[],2,0)),"",VLOOKUP(Tableau2346[[#This Row],[Pos.          Sprint]],Tableau1222145[],2,0))</f>
        <v>17</v>
      </c>
      <c r="F4" s="167" t="s">
        <v>142</v>
      </c>
      <c r="G4" s="32">
        <f>IF(ISNA(VLOOKUP(Tableau2346[[#This Row],[Pos.        Enduro]],Tableau1222145[],3,0)),"",VLOOKUP(Tableau2346[[#This Row],[Pos.        Enduro]],Tableau1222145[],3,0))</f>
        <v>29</v>
      </c>
      <c r="H4" s="42">
        <f t="shared" si="0"/>
        <v>46</v>
      </c>
      <c r="J4" s="22" t="s">
        <v>142</v>
      </c>
      <c r="K4" s="17">
        <f t="shared" si="1"/>
        <v>23</v>
      </c>
      <c r="L4" s="17">
        <f t="shared" si="2"/>
        <v>29</v>
      </c>
      <c r="M4" s="17">
        <f t="shared" si="3"/>
        <v>57</v>
      </c>
      <c r="N4" s="19"/>
      <c r="O4" s="10">
        <f t="shared" ref="O4:O18" si="5">O3+1</f>
        <v>2</v>
      </c>
      <c r="P4">
        <v>17</v>
      </c>
      <c r="Q4">
        <f t="shared" ref="Q4:Q18" si="6">P3</f>
        <v>20</v>
      </c>
      <c r="R4">
        <f>2*Tableau122044[[#This Row],[Enduro]]</f>
        <v>40</v>
      </c>
    </row>
    <row r="5" spans="1:18" x14ac:dyDescent="0.25">
      <c r="A5" s="57">
        <f t="shared" si="4"/>
        <v>3</v>
      </c>
      <c r="B5" s="1" t="s">
        <v>19</v>
      </c>
      <c r="C5" s="1" t="str">
        <f>VLOOKUP(Tableau2346[[#This Row],[Pilote]],Tableau2[[Pilote]:[Voiture]],2,0)</f>
        <v>Alfa Romeo</v>
      </c>
      <c r="D5" s="168" t="s">
        <v>143</v>
      </c>
      <c r="E5" s="34">
        <f>IF(ISNA(VLOOKUP(Tableau2346[[#This Row],[Pos.          Sprint]],Tableau1222145[],2,0)),"",VLOOKUP(Tableau2346[[#This Row],[Pos.          Sprint]],Tableau1222145[],2,0))</f>
        <v>21</v>
      </c>
      <c r="F5" s="33" t="s">
        <v>145</v>
      </c>
      <c r="G5" s="32">
        <f>IF(ISNA(VLOOKUP(Tableau2346[[#This Row],[Pos.        Enduro]],Tableau1222145[],3,0)),"",VLOOKUP(Tableau2346[[#This Row],[Pos.        Enduro]],Tableau1222145[],3,0))</f>
        <v>22</v>
      </c>
      <c r="H5" s="42">
        <f t="shared" si="0"/>
        <v>43</v>
      </c>
      <c r="J5" s="23" t="s">
        <v>143</v>
      </c>
      <c r="K5" s="17">
        <f t="shared" si="1"/>
        <v>21</v>
      </c>
      <c r="L5" s="17">
        <f t="shared" si="2"/>
        <v>26</v>
      </c>
      <c r="M5" s="17">
        <f t="shared" si="3"/>
        <v>51</v>
      </c>
      <c r="N5" s="19"/>
      <c r="O5" s="11">
        <f t="shared" si="5"/>
        <v>3</v>
      </c>
      <c r="P5">
        <v>15</v>
      </c>
      <c r="Q5">
        <f t="shared" si="6"/>
        <v>17</v>
      </c>
      <c r="R5">
        <f>2*Tableau122044[[#This Row],[Enduro]]</f>
        <v>34</v>
      </c>
    </row>
    <row r="6" spans="1:18" x14ac:dyDescent="0.25">
      <c r="A6" s="58">
        <f t="shared" si="4"/>
        <v>4</v>
      </c>
      <c r="B6" s="1" t="s">
        <v>175</v>
      </c>
      <c r="C6" s="1" t="str">
        <f>VLOOKUP(Tableau2346[[#This Row],[Pilote]],Tableau2[[Pilote]:[Voiture]],2,0)</f>
        <v>Toyota</v>
      </c>
      <c r="D6" s="33" t="s">
        <v>145</v>
      </c>
      <c r="E6" s="34">
        <f>IF(ISNA(VLOOKUP(Tableau2346[[#This Row],[Pos.          Sprint]],Tableau1222145[],2,0)),"",VLOOKUP(Tableau2346[[#This Row],[Pos.          Sprint]],Tableau1222145[],2,0))</f>
        <v>18</v>
      </c>
      <c r="F6" s="33" t="s">
        <v>144</v>
      </c>
      <c r="G6" s="32">
        <f>IF(ISNA(VLOOKUP(Tableau2346[[#This Row],[Pos.        Enduro]],Tableau1222145[],3,0)),"",VLOOKUP(Tableau2346[[#This Row],[Pos.        Enduro]],Tableau1222145[],3,0))</f>
        <v>24</v>
      </c>
      <c r="H6" s="42">
        <f t="shared" si="0"/>
        <v>42</v>
      </c>
      <c r="J6" s="24" t="s">
        <v>144</v>
      </c>
      <c r="K6" s="17">
        <f t="shared" si="1"/>
        <v>19</v>
      </c>
      <c r="L6" s="17">
        <f t="shared" si="2"/>
        <v>24</v>
      </c>
      <c r="M6" s="17">
        <f t="shared" si="3"/>
        <v>47</v>
      </c>
      <c r="N6" s="19"/>
      <c r="O6" s="12">
        <f t="shared" si="5"/>
        <v>4</v>
      </c>
      <c r="P6">
        <v>13</v>
      </c>
      <c r="Q6">
        <f t="shared" si="6"/>
        <v>15</v>
      </c>
      <c r="R6">
        <f>2*Tableau122044[[#This Row],[Enduro]]</f>
        <v>30</v>
      </c>
    </row>
    <row r="7" spans="1:18" x14ac:dyDescent="0.25">
      <c r="A7" s="58">
        <f t="shared" si="4"/>
        <v>5</v>
      </c>
      <c r="B7" s="1" t="s">
        <v>24</v>
      </c>
      <c r="C7" s="1" t="str">
        <f>VLOOKUP(Tableau2346[[#This Row],[Pilote]],Tableau2[[Pilote]:[Voiture]],2,0)</f>
        <v>Suzuki</v>
      </c>
      <c r="D7" s="167" t="s">
        <v>142</v>
      </c>
      <c r="E7" s="34">
        <f>IF(ISNA(VLOOKUP(Tableau2346[[#This Row],[Pos.          Sprint]],Tableau1222145[],2,0)),"",VLOOKUP(Tableau2346[[#This Row],[Pos.          Sprint]],Tableau1222145[],2,0))</f>
        <v>23</v>
      </c>
      <c r="F7" s="33" t="s">
        <v>149</v>
      </c>
      <c r="G7" s="32">
        <f>IF(ISNA(VLOOKUP(Tableau2346[[#This Row],[Pos.        Enduro]],Tableau1222145[],3,0)),"",VLOOKUP(Tableau2346[[#This Row],[Pos.        Enduro]],Tableau1222145[],3,0))</f>
        <v>18</v>
      </c>
      <c r="H7" s="42">
        <f t="shared" si="0"/>
        <v>41</v>
      </c>
      <c r="J7" s="24" t="s">
        <v>145</v>
      </c>
      <c r="K7" s="17">
        <f t="shared" si="1"/>
        <v>18</v>
      </c>
      <c r="L7" s="17">
        <f t="shared" si="2"/>
        <v>22</v>
      </c>
      <c r="M7" s="17">
        <f t="shared" si="3"/>
        <v>43</v>
      </c>
      <c r="N7" s="19"/>
      <c r="O7" s="12">
        <f t="shared" si="5"/>
        <v>5</v>
      </c>
      <c r="P7">
        <v>12</v>
      </c>
      <c r="Q7">
        <f t="shared" si="6"/>
        <v>13</v>
      </c>
      <c r="R7">
        <f>2*Tableau122044[[#This Row],[Enduro]]</f>
        <v>26</v>
      </c>
    </row>
    <row r="8" spans="1:18" x14ac:dyDescent="0.25">
      <c r="A8" s="58">
        <f t="shared" si="4"/>
        <v>6</v>
      </c>
      <c r="B8" s="1" t="s">
        <v>177</v>
      </c>
      <c r="C8" s="1" t="str">
        <f>VLOOKUP(Tableau2346[[#This Row],[Pilote]],Tableau2[[Pilote]:[Voiture]],2,0)</f>
        <v>Honda</v>
      </c>
      <c r="D8" s="33" t="s">
        <v>149</v>
      </c>
      <c r="E8" s="34">
        <f>IF(ISNA(VLOOKUP(Tableau2346[[#This Row],[Pos.          Sprint]],Tableau1222145[],2,0)),"",VLOOKUP(Tableau2346[[#This Row],[Pos.          Sprint]],Tableau1222145[],2,0))</f>
        <v>14</v>
      </c>
      <c r="F8" s="168" t="s">
        <v>143</v>
      </c>
      <c r="G8" s="32">
        <f>IF(ISNA(VLOOKUP(Tableau2346[[#This Row],[Pos.        Enduro]],Tableau1222145[],3,0)),"",VLOOKUP(Tableau2346[[#This Row],[Pos.        Enduro]],Tableau1222145[],3,0))</f>
        <v>26</v>
      </c>
      <c r="H8" s="42">
        <f t="shared" si="0"/>
        <v>40</v>
      </c>
      <c r="J8" s="24" t="s">
        <v>146</v>
      </c>
      <c r="K8" s="17">
        <f t="shared" si="1"/>
        <v>17</v>
      </c>
      <c r="L8" s="17">
        <f t="shared" si="2"/>
        <v>21</v>
      </c>
      <c r="M8" s="17">
        <f t="shared" si="3"/>
        <v>41</v>
      </c>
      <c r="N8" s="19"/>
      <c r="O8" s="12">
        <f t="shared" si="5"/>
        <v>6</v>
      </c>
      <c r="P8">
        <v>11</v>
      </c>
      <c r="Q8">
        <f t="shared" si="6"/>
        <v>12</v>
      </c>
      <c r="R8">
        <f>2*Tableau122044[[#This Row],[Enduro]]</f>
        <v>24</v>
      </c>
    </row>
    <row r="9" spans="1:18" x14ac:dyDescent="0.25">
      <c r="A9" s="58">
        <f t="shared" si="4"/>
        <v>7</v>
      </c>
      <c r="B9" s="1" t="s">
        <v>31</v>
      </c>
      <c r="C9" s="1" t="str">
        <f>VLOOKUP(Tableau2346[[#This Row],[Pilote]],Tableau2[[Pilote]:[Voiture]],2,0)</f>
        <v>Alfa Romeo</v>
      </c>
      <c r="D9" s="33" t="s">
        <v>144</v>
      </c>
      <c r="E9" s="34">
        <f>IF(ISNA(VLOOKUP(Tableau2346[[#This Row],[Pos.          Sprint]],Tableau1222145[],2,0)),"",VLOOKUP(Tableau2346[[#This Row],[Pos.          Sprint]],Tableau1222145[],2,0))</f>
        <v>19</v>
      </c>
      <c r="F9" s="33" t="s">
        <v>146</v>
      </c>
      <c r="G9" s="32">
        <f>IF(ISNA(VLOOKUP(Tableau2346[[#This Row],[Pos.        Enduro]],Tableau1222145[],3,0)),"",VLOOKUP(Tableau2346[[#This Row],[Pos.        Enduro]],Tableau1222145[],3,0))</f>
        <v>21</v>
      </c>
      <c r="H9" s="42">
        <f t="shared" si="0"/>
        <v>40</v>
      </c>
      <c r="J9" s="24" t="s">
        <v>147</v>
      </c>
      <c r="K9" s="17">
        <f t="shared" si="1"/>
        <v>16</v>
      </c>
      <c r="L9" s="17">
        <f t="shared" si="2"/>
        <v>20</v>
      </c>
      <c r="M9" s="17">
        <f t="shared" si="3"/>
        <v>39</v>
      </c>
      <c r="N9" s="19"/>
      <c r="O9" s="12">
        <f t="shared" si="5"/>
        <v>7</v>
      </c>
      <c r="P9">
        <v>10</v>
      </c>
      <c r="Q9">
        <f t="shared" si="6"/>
        <v>11</v>
      </c>
      <c r="R9">
        <f>2*Tableau122044[[#This Row],[Enduro]]</f>
        <v>22</v>
      </c>
    </row>
    <row r="10" spans="1:18" x14ac:dyDescent="0.25">
      <c r="A10" s="58">
        <f t="shared" si="4"/>
        <v>8</v>
      </c>
      <c r="B10" s="1" t="s">
        <v>174</v>
      </c>
      <c r="C10" s="1" t="str">
        <f>VLOOKUP(Tableau2346[[#This Row],[Pilote]],Tableau2[[Pilote]:[Voiture]],2,0)</f>
        <v>Mini</v>
      </c>
      <c r="D10" s="33" t="s">
        <v>147</v>
      </c>
      <c r="E10" s="34">
        <f>IF(ISNA(VLOOKUP(Tableau2346[[#This Row],[Pos.          Sprint]],Tableau1222145[],2,0)),"",VLOOKUP(Tableau2346[[#This Row],[Pos.          Sprint]],Tableau1222145[],2,0))</f>
        <v>16</v>
      </c>
      <c r="F10" s="33" t="s">
        <v>147</v>
      </c>
      <c r="G10" s="32">
        <f>IF(ISNA(VLOOKUP(Tableau2346[[#This Row],[Pos.        Enduro]],Tableau1222145[],3,0)),"",VLOOKUP(Tableau2346[[#This Row],[Pos.        Enduro]],Tableau1222145[],3,0))</f>
        <v>20</v>
      </c>
      <c r="H10" s="42">
        <f t="shared" si="0"/>
        <v>36</v>
      </c>
      <c r="J10" s="24" t="s">
        <v>148</v>
      </c>
      <c r="K10" s="17">
        <f t="shared" si="1"/>
        <v>15</v>
      </c>
      <c r="L10" s="17">
        <f t="shared" si="2"/>
        <v>19</v>
      </c>
      <c r="M10" s="17">
        <f t="shared" si="3"/>
        <v>37</v>
      </c>
      <c r="N10" s="19"/>
      <c r="O10" s="12">
        <f t="shared" si="5"/>
        <v>8</v>
      </c>
      <c r="P10">
        <v>9</v>
      </c>
      <c r="Q10">
        <f t="shared" si="6"/>
        <v>10</v>
      </c>
      <c r="R10">
        <f>2*Tableau122044[[#This Row],[Enduro]]</f>
        <v>20</v>
      </c>
    </row>
    <row r="11" spans="1:18" ht="15.75" thickBot="1" x14ac:dyDescent="0.3">
      <c r="A11" s="159">
        <f t="shared" si="4"/>
        <v>9</v>
      </c>
      <c r="B11" s="160" t="s">
        <v>9</v>
      </c>
      <c r="C11" s="161" t="str">
        <f>VLOOKUP(Tableau2346[[#This Row],[Pilote]],Tableau2[[Pilote]:[Voiture]],2,0)</f>
        <v>Mazda</v>
      </c>
      <c r="D11" s="162" t="s">
        <v>148</v>
      </c>
      <c r="E11" s="163">
        <f>IF(ISNA(VLOOKUP(Tableau2346[[#This Row],[Pos.          Sprint]],Tableau1222145[],2,0)),"",VLOOKUP(Tableau2346[[#This Row],[Pos.          Sprint]],Tableau1222145[],2,0))</f>
        <v>15</v>
      </c>
      <c r="F11" s="162" t="s">
        <v>148</v>
      </c>
      <c r="G11" s="164">
        <f>IF(ISNA(VLOOKUP(Tableau2346[[#This Row],[Pos.        Enduro]],Tableau1222145[],3,0)),"",VLOOKUP(Tableau2346[[#This Row],[Pos.        Enduro]],Tableau1222145[],3,0))</f>
        <v>19</v>
      </c>
      <c r="H11" s="165">
        <f t="shared" si="0"/>
        <v>34</v>
      </c>
      <c r="J11" s="24" t="s">
        <v>149</v>
      </c>
      <c r="K11" s="17">
        <f t="shared" si="1"/>
        <v>14</v>
      </c>
      <c r="L11" s="17">
        <f t="shared" si="2"/>
        <v>18</v>
      </c>
      <c r="M11" s="17">
        <f t="shared" si="3"/>
        <v>35</v>
      </c>
      <c r="N11" s="19"/>
      <c r="O11" s="12">
        <f t="shared" si="5"/>
        <v>9</v>
      </c>
      <c r="P11">
        <v>8</v>
      </c>
      <c r="Q11">
        <f t="shared" si="6"/>
        <v>9</v>
      </c>
      <c r="R11">
        <f>2*Tableau122044[[#This Row],[Enduro]]</f>
        <v>18</v>
      </c>
    </row>
    <row r="12" spans="1:18" x14ac:dyDescent="0.25">
      <c r="A12" s="157">
        <f t="shared" si="4"/>
        <v>10</v>
      </c>
      <c r="B12" s="1" t="s">
        <v>11</v>
      </c>
      <c r="C12" s="1" t="str">
        <f>VLOOKUP(Tableau2346[[#This Row],[Pilote]],Tableau2[[Pilote]:[Voiture]],2,0)</f>
        <v>Nissan</v>
      </c>
      <c r="D12" s="166" t="s">
        <v>157</v>
      </c>
      <c r="E12" s="34">
        <f>IF(ISNA(VLOOKUP(Tableau2346[[#This Row],[Pos.          Sprint]],Tableau1222145[],2,0)),"",VLOOKUP(Tableau2346[[#This Row],[Pos.          Sprint]],Tableau1222145[],2,0))</f>
        <v>13</v>
      </c>
      <c r="F12" s="33" t="s">
        <v>160</v>
      </c>
      <c r="G12" s="32">
        <f>IF(ISNA(VLOOKUP(Tableau2346[[#This Row],[Pos.        Enduro]],Tableau1222145[],3,0)),"",VLOOKUP(Tableau2346[[#This Row],[Pos.        Enduro]],Tableau1222145[],3,0))</f>
        <v>8</v>
      </c>
      <c r="H12" s="42">
        <f t="shared" si="0"/>
        <v>21</v>
      </c>
      <c r="J12" s="25" t="s">
        <v>157</v>
      </c>
      <c r="K12" s="6">
        <f t="shared" ref="K12:K20" si="7">P3-(VLOOKUP((ROUNDDOWN($Q$21,0)),$O$3:$R$18,2)-1)</f>
        <v>13</v>
      </c>
      <c r="L12" s="6">
        <f t="shared" ref="L12:L20" si="8">IF(Q3-(VLOOKUP((ROUNDDOWN($Q$21,0)),$O$3:$R$18,3)-2)&gt;1,Q3-(VLOOKUP((ROUNDDOWN($Q$21,0)),$O$3:$R$18,3)-2),)</f>
        <v>17</v>
      </c>
      <c r="M12" s="6">
        <f t="shared" ref="M12:M20" si="9">IF(R3-(VLOOKUP((ROUNDDOWN($Q$21,0)),$O$3:$R$18,4)-4)&gt;3,R3-(VLOOKUP((ROUNDDOWN($Q$21,0)),$O$3:$R$18,4)-4),)</f>
        <v>34</v>
      </c>
      <c r="N12" s="19"/>
      <c r="O12" s="12">
        <f t="shared" si="5"/>
        <v>10</v>
      </c>
      <c r="P12">
        <v>7</v>
      </c>
      <c r="Q12">
        <f t="shared" si="6"/>
        <v>8</v>
      </c>
      <c r="R12">
        <f>2*Tableau122044[[#This Row],[Enduro]]</f>
        <v>16</v>
      </c>
    </row>
    <row r="13" spans="1:18" x14ac:dyDescent="0.25">
      <c r="A13" s="58">
        <f t="shared" si="4"/>
        <v>11</v>
      </c>
      <c r="B13" s="1" t="s">
        <v>25</v>
      </c>
      <c r="C13" s="1" t="str">
        <f>VLOOKUP(Tableau2346[[#This Row],[Pilote]],Tableau2[[Pilote]:[Voiture]],2,0)</f>
        <v>Mazda</v>
      </c>
      <c r="D13" s="33" t="s">
        <v>162</v>
      </c>
      <c r="E13" s="34">
        <f>IF(ISNA(VLOOKUP(Tableau2346[[#This Row],[Pos.          Sprint]],Tableau1222145[],2,0)),"",VLOOKUP(Tableau2346[[#This Row],[Pos.          Sprint]],Tableau1222145[],2,0))</f>
        <v>4</v>
      </c>
      <c r="F13" s="166" t="s">
        <v>157</v>
      </c>
      <c r="G13" s="32">
        <f>IF(ISNA(VLOOKUP(Tableau2346[[#This Row],[Pos.        Enduro]],Tableau1222145[],3,0)),"",VLOOKUP(Tableau2346[[#This Row],[Pos.        Enduro]],Tableau1222145[],3,0))</f>
        <v>17</v>
      </c>
      <c r="H13" s="42">
        <f t="shared" si="0"/>
        <v>21</v>
      </c>
      <c r="J13" s="26" t="s">
        <v>158</v>
      </c>
      <c r="K13" s="6">
        <f t="shared" si="7"/>
        <v>10</v>
      </c>
      <c r="L13" s="6">
        <f t="shared" si="8"/>
        <v>13</v>
      </c>
      <c r="M13" s="6">
        <f t="shared" si="9"/>
        <v>26</v>
      </c>
      <c r="N13" s="19"/>
      <c r="O13" s="12">
        <f t="shared" si="5"/>
        <v>11</v>
      </c>
      <c r="P13">
        <v>6</v>
      </c>
      <c r="Q13">
        <f t="shared" si="6"/>
        <v>7</v>
      </c>
      <c r="R13">
        <f>2*Tableau122044[[#This Row],[Enduro]]</f>
        <v>14</v>
      </c>
    </row>
    <row r="14" spans="1:18" x14ac:dyDescent="0.25">
      <c r="A14" s="58">
        <f t="shared" si="4"/>
        <v>12</v>
      </c>
      <c r="B14" s="1" t="s">
        <v>28</v>
      </c>
      <c r="C14" s="1" t="str">
        <f>VLOOKUP(Tableau2346[[#This Row],[Pilote]],Tableau2[[Pilote]:[Voiture]],2,0)</f>
        <v>Honda</v>
      </c>
      <c r="D14" s="168" t="s">
        <v>159</v>
      </c>
      <c r="E14" s="34">
        <f>IF(ISNA(VLOOKUP(Tableau2346[[#This Row],[Pos.          Sprint]],Tableau1222145[],2,0)),"",VLOOKUP(Tableau2346[[#This Row],[Pos.          Sprint]],Tableau1222145[],2,0))</f>
        <v>8</v>
      </c>
      <c r="F14" s="167" t="s">
        <v>158</v>
      </c>
      <c r="G14" s="32">
        <f>IF(ISNA(VLOOKUP(Tableau2346[[#This Row],[Pos.        Enduro]],Tableau1222145[],3,0)),"",VLOOKUP(Tableau2346[[#This Row],[Pos.        Enduro]],Tableau1222145[],3,0))</f>
        <v>13</v>
      </c>
      <c r="H14" s="42">
        <f t="shared" si="0"/>
        <v>21</v>
      </c>
      <c r="J14" s="27" t="s">
        <v>159</v>
      </c>
      <c r="K14" s="6">
        <f t="shared" si="7"/>
        <v>8</v>
      </c>
      <c r="L14" s="6">
        <f t="shared" si="8"/>
        <v>10</v>
      </c>
      <c r="M14" s="6">
        <f t="shared" si="9"/>
        <v>20</v>
      </c>
      <c r="N14" s="19"/>
      <c r="O14" s="12">
        <f t="shared" si="5"/>
        <v>12</v>
      </c>
      <c r="P14">
        <v>5</v>
      </c>
      <c r="Q14">
        <f t="shared" si="6"/>
        <v>6</v>
      </c>
      <c r="R14">
        <f>2*Tableau122044[[#This Row],[Enduro]]</f>
        <v>12</v>
      </c>
    </row>
    <row r="15" spans="1:18" x14ac:dyDescent="0.25">
      <c r="A15" s="58">
        <f t="shared" si="4"/>
        <v>13</v>
      </c>
      <c r="B15" s="1" t="s">
        <v>21</v>
      </c>
      <c r="C15" s="1" t="str">
        <f>VLOOKUP(Tableau2346[[#This Row],[Pilote]],Tableau2[[Pilote]:[Voiture]],2,0)</f>
        <v>Mini</v>
      </c>
      <c r="D15" s="33" t="s">
        <v>160</v>
      </c>
      <c r="E15" s="34">
        <f>IF(ISNA(VLOOKUP(Tableau2346[[#This Row],[Pos.          Sprint]],Tableau1222145[],2,0)),"",VLOOKUP(Tableau2346[[#This Row],[Pos.          Sprint]],Tableau1222145[],2,0))</f>
        <v>6</v>
      </c>
      <c r="F15" s="168" t="s">
        <v>159</v>
      </c>
      <c r="G15" s="32">
        <f>IF(ISNA(VLOOKUP(Tableau2346[[#This Row],[Pos.        Enduro]],Tableau1222145[],3,0)),"",VLOOKUP(Tableau2346[[#This Row],[Pos.        Enduro]],Tableau1222145[],3,0))</f>
        <v>10</v>
      </c>
      <c r="H15" s="42">
        <f t="shared" si="0"/>
        <v>16</v>
      </c>
      <c r="J15" s="15" t="s">
        <v>160</v>
      </c>
      <c r="K15" s="6">
        <f t="shared" si="7"/>
        <v>6</v>
      </c>
      <c r="L15" s="6">
        <f t="shared" si="8"/>
        <v>8</v>
      </c>
      <c r="M15" s="6">
        <f t="shared" si="9"/>
        <v>16</v>
      </c>
      <c r="N15" s="19"/>
      <c r="O15" s="12">
        <f t="shared" si="5"/>
        <v>13</v>
      </c>
      <c r="P15">
        <v>4</v>
      </c>
      <c r="Q15">
        <f t="shared" si="6"/>
        <v>5</v>
      </c>
      <c r="R15">
        <f>2*Tableau122044[[#This Row],[Enduro]]</f>
        <v>10</v>
      </c>
    </row>
    <row r="16" spans="1:18" x14ac:dyDescent="0.25">
      <c r="A16" s="58">
        <f t="shared" si="4"/>
        <v>14</v>
      </c>
      <c r="B16" s="1" t="s">
        <v>173</v>
      </c>
      <c r="C16" s="1" t="str">
        <f>VLOOKUP(Tableau2346[[#This Row],[Pilote]],Tableau2[[Pilote]:[Voiture]],2,0)</f>
        <v>Nissan</v>
      </c>
      <c r="D16" s="167" t="s">
        <v>158</v>
      </c>
      <c r="E16" s="34">
        <f>IF(ISNA(VLOOKUP(Tableau2346[[#This Row],[Pos.          Sprint]],Tableau1222145[],2,0)),"",VLOOKUP(Tableau2346[[#This Row],[Pos.          Sprint]],Tableau1222145[],2,0))</f>
        <v>10</v>
      </c>
      <c r="F16" s="33" t="s">
        <v>163</v>
      </c>
      <c r="G16" s="32">
        <f>IF(ISNA(VLOOKUP(Tableau2346[[#This Row],[Pos.        Enduro]],Tableau1222145[],3,0)),"",VLOOKUP(Tableau2346[[#This Row],[Pos.        Enduro]],Tableau1222145[],3,0))</f>
        <v>4</v>
      </c>
      <c r="H16" s="42">
        <f t="shared" si="0"/>
        <v>14</v>
      </c>
      <c r="J16" s="15" t="s">
        <v>161</v>
      </c>
      <c r="K16" s="6">
        <f t="shared" si="7"/>
        <v>5</v>
      </c>
      <c r="L16" s="6">
        <f t="shared" si="8"/>
        <v>6</v>
      </c>
      <c r="M16" s="6">
        <f t="shared" si="9"/>
        <v>12</v>
      </c>
      <c r="N16" s="19"/>
      <c r="O16" s="12">
        <f t="shared" si="5"/>
        <v>14</v>
      </c>
      <c r="P16">
        <v>3</v>
      </c>
      <c r="Q16">
        <f t="shared" si="6"/>
        <v>4</v>
      </c>
      <c r="R16">
        <f>2*Tableau122044[[#This Row],[Enduro]]</f>
        <v>8</v>
      </c>
    </row>
    <row r="17" spans="1:18" x14ac:dyDescent="0.25">
      <c r="A17" s="58">
        <f t="shared" si="4"/>
        <v>15</v>
      </c>
      <c r="B17" s="1" t="s">
        <v>29</v>
      </c>
      <c r="C17" s="1" t="str">
        <f>VLOOKUP(Tableau2346[[#This Row],[Pilote]],Tableau2[[Pilote]:[Voiture]],2,0)</f>
        <v>Abarth</v>
      </c>
      <c r="D17" s="33" t="s">
        <v>161</v>
      </c>
      <c r="E17" s="34">
        <f>IF(ISNA(VLOOKUP(Tableau2346[[#This Row],[Pos.          Sprint]],Tableau1222145[],2,0)),"",VLOOKUP(Tableau2346[[#This Row],[Pos.          Sprint]],Tableau1222145[],2,0))</f>
        <v>5</v>
      </c>
      <c r="F17" s="33" t="s">
        <v>161</v>
      </c>
      <c r="G17" s="32">
        <f>IF(ISNA(VLOOKUP(Tableau2346[[#This Row],[Pos.        Enduro]],Tableau1222145[],3,0)),"",VLOOKUP(Tableau2346[[#This Row],[Pos.        Enduro]],Tableau1222145[],3,0))</f>
        <v>6</v>
      </c>
      <c r="H17" s="42">
        <f t="shared" si="0"/>
        <v>11</v>
      </c>
      <c r="J17" s="15" t="s">
        <v>162</v>
      </c>
      <c r="K17" s="6">
        <f t="shared" si="7"/>
        <v>4</v>
      </c>
      <c r="L17" s="6">
        <f t="shared" si="8"/>
        <v>5</v>
      </c>
      <c r="M17" s="6">
        <f t="shared" si="9"/>
        <v>10</v>
      </c>
      <c r="N17" s="19"/>
      <c r="O17" s="12">
        <f t="shared" si="5"/>
        <v>15</v>
      </c>
      <c r="P17">
        <v>2</v>
      </c>
      <c r="Q17">
        <f t="shared" si="6"/>
        <v>3</v>
      </c>
      <c r="R17">
        <f>2*Tableau122044[[#This Row],[Enduro]]</f>
        <v>6</v>
      </c>
    </row>
    <row r="18" spans="1:18" x14ac:dyDescent="0.25">
      <c r="A18" s="58">
        <f t="shared" si="4"/>
        <v>16</v>
      </c>
      <c r="B18" s="1" t="s">
        <v>17</v>
      </c>
      <c r="C18" s="1" t="str">
        <f>VLOOKUP(Tableau2346[[#This Row],[Pilote]],Tableau2[[Pilote]:[Voiture]],2,0)</f>
        <v>Toyota</v>
      </c>
      <c r="D18" s="33" t="s">
        <v>163</v>
      </c>
      <c r="E18" s="34">
        <f>IF(ISNA(VLOOKUP(Tableau2346[[#This Row],[Pos.          Sprint]],Tableau1222145[],2,0)),"",VLOOKUP(Tableau2346[[#This Row],[Pos.          Sprint]],Tableau1222145[],2,0))</f>
        <v>3</v>
      </c>
      <c r="F18" s="33" t="s">
        <v>162</v>
      </c>
      <c r="G18" s="32">
        <f>IF(ISNA(VLOOKUP(Tableau2346[[#This Row],[Pos.        Enduro]],Tableau1222145[],3,0)),"",VLOOKUP(Tableau2346[[#This Row],[Pos.        Enduro]],Tableau1222145[],3,0))</f>
        <v>5</v>
      </c>
      <c r="H18" s="42">
        <f t="shared" si="0"/>
        <v>8</v>
      </c>
      <c r="J18" s="15" t="s">
        <v>163</v>
      </c>
      <c r="K18" s="6">
        <f t="shared" si="7"/>
        <v>3</v>
      </c>
      <c r="L18" s="6">
        <f t="shared" si="8"/>
        <v>4</v>
      </c>
      <c r="M18" s="6">
        <f t="shared" si="9"/>
        <v>8</v>
      </c>
      <c r="N18" s="19"/>
      <c r="O18" s="12">
        <f t="shared" si="5"/>
        <v>16</v>
      </c>
      <c r="P18">
        <v>1</v>
      </c>
      <c r="Q18">
        <f t="shared" si="6"/>
        <v>2</v>
      </c>
      <c r="R18">
        <f>2*Tableau122044[[#This Row],[Enduro]]</f>
        <v>4</v>
      </c>
    </row>
    <row r="19" spans="1:18" ht="15.75" thickBot="1" x14ac:dyDescent="0.3">
      <c r="A19" s="58">
        <f t="shared" si="4"/>
        <v>17</v>
      </c>
      <c r="B19" s="1" t="s">
        <v>26</v>
      </c>
      <c r="C19" s="1" t="str">
        <f>VLOOKUP(Tableau2346[[#This Row],[Pilote]],Tableau2[[Pilote]:[Voiture]],2,0)</f>
        <v>Alfa Romeo</v>
      </c>
      <c r="D19" s="33" t="s">
        <v>164</v>
      </c>
      <c r="E19" s="34">
        <f>IF(ISNA(VLOOKUP(Tableau2346[[#This Row],[Pos.          Sprint]],Tableau1222145[],2,0)),"",VLOOKUP(Tableau2346[[#This Row],[Pos.          Sprint]],Tableau1222145[],2,0))</f>
        <v>2</v>
      </c>
      <c r="F19" s="33" t="s">
        <v>165</v>
      </c>
      <c r="G19" s="32">
        <f>IF(ISNA(VLOOKUP(Tableau2346[[#This Row],[Pos.        Enduro]],Tableau1222145[],3,0)),"",VLOOKUP(Tableau2346[[#This Row],[Pos.        Enduro]],Tableau1222145[],3,0))</f>
        <v>2</v>
      </c>
      <c r="H19" s="42">
        <f t="shared" si="0"/>
        <v>4</v>
      </c>
      <c r="J19" s="15" t="s">
        <v>164</v>
      </c>
      <c r="K19" s="6">
        <f t="shared" si="7"/>
        <v>2</v>
      </c>
      <c r="L19" s="6">
        <f t="shared" si="8"/>
        <v>3</v>
      </c>
      <c r="M19" s="6">
        <f t="shared" si="9"/>
        <v>6</v>
      </c>
    </row>
    <row r="20" spans="1:18" ht="15.75" thickTop="1" x14ac:dyDescent="0.25">
      <c r="A20" s="135">
        <f t="shared" si="4"/>
        <v>18</v>
      </c>
      <c r="B20" s="1" t="s">
        <v>13</v>
      </c>
      <c r="C20" s="1" t="str">
        <f>VLOOKUP(Tableau2346[[#This Row],[Pilote]],Tableau2[[Pilote]:[Voiture]],2,0)</f>
        <v>Abarth</v>
      </c>
      <c r="D20" s="33" t="s">
        <v>165</v>
      </c>
      <c r="E20" s="34">
        <f>IF(ISNA(VLOOKUP(Tableau2346[[#This Row],[Pos.          Sprint]],Tableau1222145[],2,0)),"",VLOOKUP(Tableau2346[[#This Row],[Pos.          Sprint]],Tableau1222145[],2,0))</f>
        <v>1</v>
      </c>
      <c r="F20" s="33" t="s">
        <v>164</v>
      </c>
      <c r="G20" s="32">
        <f>IF(ISNA(VLOOKUP(Tableau2346[[#This Row],[Pos.        Enduro]],Tableau1222145[],3,0)),"",VLOOKUP(Tableau2346[[#This Row],[Pos.        Enduro]],Tableau1222145[],3,0))</f>
        <v>3</v>
      </c>
      <c r="H20" s="42">
        <f t="shared" si="0"/>
        <v>4</v>
      </c>
      <c r="J20" s="15" t="s">
        <v>165</v>
      </c>
      <c r="K20" s="6">
        <f t="shared" si="7"/>
        <v>1</v>
      </c>
      <c r="L20" s="6">
        <f t="shared" si="8"/>
        <v>2</v>
      </c>
      <c r="M20" s="6">
        <f t="shared" si="9"/>
        <v>4</v>
      </c>
      <c r="O20" s="248" t="s">
        <v>36</v>
      </c>
      <c r="P20" s="250"/>
      <c r="Q20" s="266" t="s">
        <v>34</v>
      </c>
      <c r="R20" s="267"/>
    </row>
    <row r="21" spans="1:18" ht="15.75" thickBot="1" x14ac:dyDescent="0.3">
      <c r="A21" s="126"/>
      <c r="B21" s="19"/>
      <c r="C21" s="19"/>
      <c r="D21" s="18"/>
      <c r="E21" s="136"/>
      <c r="F21" s="18"/>
      <c r="G21" s="19"/>
      <c r="H21" s="49"/>
      <c r="J21" s="137"/>
      <c r="K21" s="138"/>
      <c r="L21" s="17">
        <f t="shared" ref="L21:L27" si="10">IF((Q12+L$12-(VLOOKUP((ROUNDUP($Q$21,0)),$O$3:$R$18,3)-1))&gt;L$12,Q12+L$12-(VLOOKUP((ROUNDUP($Q$21,0)),$O$3:$R$18,3)-1),)</f>
        <v>0</v>
      </c>
      <c r="M21" s="17">
        <f t="shared" ref="M21:M27" si="11">IF((R12+M$12-(VLOOKUP((ROUNDUP($Q$21,0)),$O$3:$R$18,4)-1))&gt;M$12,R12+M$12-(VLOOKUP((ROUNDUP($Q$21,0)),$O$3:$R$18,4)-1),)</f>
        <v>0</v>
      </c>
      <c r="O21" s="263">
        <v>18</v>
      </c>
      <c r="P21" s="264"/>
      <c r="Q21" s="268">
        <f>O21/2</f>
        <v>9</v>
      </c>
      <c r="R21" s="269"/>
    </row>
    <row r="22" spans="1:18" ht="15.75" thickTop="1" x14ac:dyDescent="0.25">
      <c r="A22" s="251" t="s">
        <v>180</v>
      </c>
      <c r="B22" s="251"/>
      <c r="C22" s="251"/>
      <c r="D22" s="251"/>
      <c r="E22" s="251"/>
      <c r="F22" s="18"/>
      <c r="G22" s="19"/>
      <c r="H22" s="49"/>
      <c r="J22" s="137"/>
      <c r="K22" s="138"/>
      <c r="L22" s="17">
        <f t="shared" si="10"/>
        <v>0</v>
      </c>
      <c r="M22" s="17">
        <f t="shared" si="11"/>
        <v>0</v>
      </c>
      <c r="O22" s="252" t="s">
        <v>42</v>
      </c>
      <c r="P22" s="253"/>
      <c r="Q22" s="253"/>
      <c r="R22" s="254"/>
    </row>
    <row r="23" spans="1:18" ht="15.75" thickBot="1" x14ac:dyDescent="0.3">
      <c r="A23" s="54" t="s">
        <v>3</v>
      </c>
      <c r="B23" t="s">
        <v>5</v>
      </c>
      <c r="C23" s="19" t="s">
        <v>179</v>
      </c>
      <c r="D23" s="147" t="s">
        <v>181</v>
      </c>
      <c r="E23" s="147" t="s">
        <v>182</v>
      </c>
      <c r="F23" s="18"/>
      <c r="G23" s="19"/>
      <c r="H23" s="49"/>
      <c r="J23" s="137"/>
      <c r="K23" s="138"/>
      <c r="L23" s="17">
        <f t="shared" si="10"/>
        <v>0</v>
      </c>
      <c r="M23" s="17">
        <f t="shared" si="11"/>
        <v>0</v>
      </c>
      <c r="O23" s="255">
        <f>SUM(Tableau2346[Pts.])/O21</f>
        <v>27.833333333333332</v>
      </c>
      <c r="P23" s="256"/>
      <c r="Q23" s="256"/>
      <c r="R23" s="257"/>
    </row>
    <row r="24" spans="1:18" ht="15.75" thickTop="1" x14ac:dyDescent="0.25">
      <c r="A24" s="128" t="s">
        <v>141</v>
      </c>
      <c r="B24" s="145" t="s">
        <v>7</v>
      </c>
      <c r="C24" s="141">
        <v>8.2645833333333323E-4</v>
      </c>
      <c r="D24" s="148"/>
      <c r="E24" s="150"/>
      <c r="F24" s="18"/>
      <c r="G24" s="19"/>
      <c r="H24" s="49"/>
      <c r="J24" s="137"/>
      <c r="K24" s="138"/>
      <c r="L24" s="17">
        <f t="shared" si="10"/>
        <v>0</v>
      </c>
      <c r="M24" s="17">
        <f t="shared" si="11"/>
        <v>0</v>
      </c>
      <c r="Q24" s="8"/>
      <c r="R24" s="8"/>
    </row>
    <row r="25" spans="1:18" x14ac:dyDescent="0.25">
      <c r="A25" s="129" t="s">
        <v>142</v>
      </c>
      <c r="B25" s="146" t="s">
        <v>31</v>
      </c>
      <c r="C25" s="142">
        <v>8.2648148148148142E-4</v>
      </c>
      <c r="D25" s="149">
        <f>Tableau4[[#This Row],[Chrono]]-C24</f>
        <v>2.3148148148191376E-8</v>
      </c>
      <c r="E25" s="151">
        <f>Tableau4[[#This Row],[Chrono]]-$C$24</f>
        <v>2.3148148148191376E-8</v>
      </c>
      <c r="F25" s="18"/>
      <c r="G25" s="19"/>
      <c r="H25" s="49"/>
      <c r="J25" s="137"/>
      <c r="K25" s="138"/>
      <c r="L25" s="17">
        <f t="shared" si="10"/>
        <v>0</v>
      </c>
      <c r="M25" s="17">
        <f t="shared" si="11"/>
        <v>0</v>
      </c>
      <c r="Q25" s="8"/>
      <c r="R25" s="8"/>
    </row>
    <row r="26" spans="1:18" x14ac:dyDescent="0.25">
      <c r="A26" s="130" t="s">
        <v>143</v>
      </c>
      <c r="B26" s="145" t="s">
        <v>175</v>
      </c>
      <c r="C26" s="142">
        <v>8.2981481481481491E-4</v>
      </c>
      <c r="D26" s="148">
        <f>Tableau4[[#This Row],[Chrono]]-C25</f>
        <v>3.3333333333334866E-6</v>
      </c>
      <c r="E26" s="150">
        <f>Tableau4[[#This Row],[Chrono]]-$C$24</f>
        <v>3.356481481481678E-6</v>
      </c>
      <c r="F26" s="18"/>
      <c r="G26" s="19"/>
      <c r="H26" s="49"/>
      <c r="J26" s="137"/>
      <c r="K26" s="138"/>
      <c r="L26" s="17">
        <f t="shared" si="10"/>
        <v>0</v>
      </c>
      <c r="M26" s="17">
        <f t="shared" si="11"/>
        <v>0</v>
      </c>
      <c r="Q26" s="8"/>
      <c r="R26" s="8"/>
    </row>
    <row r="27" spans="1:18" x14ac:dyDescent="0.25">
      <c r="A27" s="131" t="s">
        <v>144</v>
      </c>
      <c r="B27" s="145" t="s">
        <v>24</v>
      </c>
      <c r="C27" s="141">
        <v>8.3113425925925933E-4</v>
      </c>
      <c r="D27" s="148">
        <f>Tableau4[[#This Row],[Chrono]]-C26</f>
        <v>1.3194444444444148E-6</v>
      </c>
      <c r="E27" s="150">
        <f>Tableau4[[#This Row],[Chrono]]-$C$24</f>
        <v>4.6759259259260928E-6</v>
      </c>
      <c r="F27" s="18"/>
      <c r="G27" s="19"/>
      <c r="H27" s="49"/>
      <c r="J27" s="137"/>
      <c r="K27" s="138"/>
      <c r="L27" s="17">
        <f t="shared" si="10"/>
        <v>0</v>
      </c>
      <c r="M27" s="17">
        <f t="shared" si="11"/>
        <v>0</v>
      </c>
      <c r="Q27" s="8"/>
      <c r="R27" s="8"/>
    </row>
    <row r="28" spans="1:18" x14ac:dyDescent="0.25">
      <c r="A28" s="131" t="s">
        <v>145</v>
      </c>
      <c r="B28" s="145" t="s">
        <v>177</v>
      </c>
      <c r="C28" s="152">
        <v>8.3123842592592592E-4</v>
      </c>
      <c r="D28" s="148">
        <f>Tableau4[[#This Row],[Chrono]]-C27</f>
        <v>1.0416666666659014E-7</v>
      </c>
      <c r="E28" s="150">
        <f>Tableau4[[#This Row],[Chrono]]-$C$24</f>
        <v>4.7800925925926829E-6</v>
      </c>
      <c r="F28" s="18"/>
      <c r="G28" s="19"/>
      <c r="H28" s="49"/>
      <c r="J28" s="139"/>
      <c r="K28" s="140"/>
      <c r="L28" s="6">
        <f t="shared" ref="L28:L34" si="12">IF(Q12-(VLOOKUP((ROUNDDOWN($Q$21,0)),$O$3:$R$18,3)-2)&gt;1,Q12-(VLOOKUP((ROUNDDOWN($Q$21,0)),$O$3:$R$18,3)-2),)</f>
        <v>0</v>
      </c>
      <c r="M28" s="6">
        <f t="shared" ref="M28:M34" si="13">IF(R12-(VLOOKUP((ROUNDDOWN($Q$21,0)),$O$3:$R$18,4)-4)&gt;3,R12-(VLOOKUP((ROUNDDOWN($Q$21,0)),$O$3:$R$18,4)-4),)</f>
        <v>0</v>
      </c>
      <c r="Q28" s="8"/>
      <c r="R28" s="8"/>
    </row>
    <row r="29" spans="1:18" x14ac:dyDescent="0.25">
      <c r="A29" s="131" t="s">
        <v>146</v>
      </c>
      <c r="B29" s="146" t="s">
        <v>19</v>
      </c>
      <c r="C29" s="141">
        <v>8.313657407407407E-4</v>
      </c>
      <c r="D29" s="149">
        <f>Tableau4[[#This Row],[Chrono]]-C28</f>
        <v>1.2731481481478152E-7</v>
      </c>
      <c r="E29" s="151">
        <f>Tableau4[[#This Row],[Chrono]]-$C$24</f>
        <v>4.9074074074074645E-6</v>
      </c>
      <c r="F29" s="18"/>
      <c r="G29" s="19"/>
      <c r="H29" s="49"/>
      <c r="J29" s="139"/>
      <c r="K29" s="138"/>
      <c r="L29" s="6">
        <f t="shared" si="12"/>
        <v>0</v>
      </c>
      <c r="M29" s="6">
        <f t="shared" si="13"/>
        <v>0</v>
      </c>
      <c r="P29" s="7"/>
      <c r="Q29" s="8"/>
      <c r="R29" s="8"/>
    </row>
    <row r="30" spans="1:18" x14ac:dyDescent="0.25">
      <c r="A30" s="131" t="s">
        <v>147</v>
      </c>
      <c r="B30" s="146" t="s">
        <v>174</v>
      </c>
      <c r="C30" s="141">
        <v>8.3228009259259268E-4</v>
      </c>
      <c r="D30" s="148">
        <f>Tableau4[[#This Row],[Chrono]]-C29</f>
        <v>9.1435185185198727E-7</v>
      </c>
      <c r="E30" s="150">
        <f>Tableau4[[#This Row],[Chrono]]-$C$24</f>
        <v>5.8217592592594517E-6</v>
      </c>
      <c r="F30" s="18"/>
      <c r="G30" s="19"/>
      <c r="H30" s="49"/>
      <c r="J30" s="139"/>
      <c r="K30" s="140"/>
      <c r="L30" s="6">
        <f t="shared" si="12"/>
        <v>0</v>
      </c>
      <c r="M30" s="6">
        <f t="shared" si="13"/>
        <v>0</v>
      </c>
      <c r="P30" s="7"/>
      <c r="Q30" s="8"/>
      <c r="R30" s="8"/>
    </row>
    <row r="31" spans="1:18" x14ac:dyDescent="0.25">
      <c r="A31" s="131" t="s">
        <v>148</v>
      </c>
      <c r="B31" s="146" t="s">
        <v>9</v>
      </c>
      <c r="C31" s="141">
        <v>8.3321759259259254E-4</v>
      </c>
      <c r="D31" s="148">
        <f>Tableau4[[#This Row],[Chrono]]-C30</f>
        <v>9.3749999999985338E-7</v>
      </c>
      <c r="E31" s="150">
        <f>Tableau4[[#This Row],[Chrono]]-$C$24</f>
        <v>6.7592592592593051E-6</v>
      </c>
      <c r="F31" s="18"/>
      <c r="G31" s="19"/>
      <c r="H31" s="49"/>
      <c r="J31" s="139"/>
      <c r="K31" s="140"/>
      <c r="L31" s="6">
        <f t="shared" si="12"/>
        <v>0</v>
      </c>
      <c r="M31" s="6">
        <f t="shared" si="13"/>
        <v>0</v>
      </c>
      <c r="P31" s="7"/>
      <c r="Q31" s="8"/>
      <c r="R31" s="8"/>
    </row>
    <row r="32" spans="1:18" ht="15.75" thickBot="1" x14ac:dyDescent="0.3">
      <c r="A32" s="144" t="s">
        <v>149</v>
      </c>
      <c r="B32" s="154" t="s">
        <v>15</v>
      </c>
      <c r="C32" s="153">
        <v>8.341550925925925E-4</v>
      </c>
      <c r="D32" s="155">
        <f>Tableau4[[#This Row],[Chrono]]-C31</f>
        <v>9.374999999999618E-7</v>
      </c>
      <c r="E32" s="156">
        <f>Tableau4[[#This Row],[Chrono]]-$C$24</f>
        <v>7.6967592592592669E-6</v>
      </c>
      <c r="F32" s="18"/>
      <c r="G32" s="19"/>
      <c r="H32" s="49"/>
      <c r="J32" s="139"/>
      <c r="K32" s="140"/>
      <c r="L32" s="6">
        <f t="shared" si="12"/>
        <v>0</v>
      </c>
      <c r="M32" s="6">
        <f t="shared" si="13"/>
        <v>0</v>
      </c>
      <c r="P32" s="7"/>
      <c r="Q32" s="8"/>
      <c r="R32" s="8"/>
    </row>
    <row r="33" spans="1:18" x14ac:dyDescent="0.25">
      <c r="A33" s="143" t="s">
        <v>157</v>
      </c>
      <c r="B33" s="146" t="s">
        <v>21</v>
      </c>
      <c r="C33" s="141">
        <v>8.3541666666666671E-4</v>
      </c>
      <c r="D33" s="149">
        <f>Tableau4[[#This Row],[Chrono]]-C32</f>
        <v>1.2615740740742074E-6</v>
      </c>
      <c r="E33" s="151">
        <f>Tableau4[[#This Row],[Chrono]]-$C$24</f>
        <v>8.9583333333334743E-6</v>
      </c>
      <c r="F33" s="18"/>
      <c r="G33" s="19"/>
      <c r="H33" s="49"/>
      <c r="J33" s="139"/>
      <c r="K33" s="140"/>
      <c r="L33" s="6">
        <f t="shared" si="12"/>
        <v>0</v>
      </c>
      <c r="M33" s="6">
        <f t="shared" si="13"/>
        <v>0</v>
      </c>
      <c r="P33" s="7"/>
      <c r="Q33" s="8"/>
      <c r="R33" s="8"/>
    </row>
    <row r="34" spans="1:18" x14ac:dyDescent="0.25">
      <c r="A34" s="133" t="s">
        <v>158</v>
      </c>
      <c r="B34" s="145" t="s">
        <v>29</v>
      </c>
      <c r="C34" s="142">
        <v>8.386458333333335E-4</v>
      </c>
      <c r="D34" s="148">
        <f>Tableau4[[#This Row],[Chrono]]-C33</f>
        <v>3.2291666666667881E-6</v>
      </c>
      <c r="E34" s="150">
        <f>Tableau4[[#This Row],[Chrono]]-$C$24</f>
        <v>1.2187500000000262E-5</v>
      </c>
      <c r="F34" s="18"/>
      <c r="G34" s="19"/>
      <c r="H34" s="49"/>
      <c r="J34" s="139"/>
      <c r="K34" s="140"/>
      <c r="L34" s="6">
        <f t="shared" si="12"/>
        <v>0</v>
      </c>
      <c r="M34" s="6">
        <f t="shared" si="13"/>
        <v>0</v>
      </c>
      <c r="P34" s="7"/>
      <c r="Q34" s="8"/>
      <c r="R34" s="8"/>
    </row>
    <row r="35" spans="1:18" x14ac:dyDescent="0.25">
      <c r="A35" s="134" t="s">
        <v>159</v>
      </c>
      <c r="B35" s="145" t="s">
        <v>11</v>
      </c>
      <c r="C35" s="141">
        <v>8.4068287037037043E-4</v>
      </c>
      <c r="D35" s="148">
        <f>Tableau4[[#This Row],[Chrono]]-C34</f>
        <v>2.037037037036938E-6</v>
      </c>
      <c r="E35" s="150">
        <f>Tableau4[[#This Row],[Chrono]]-$C$24</f>
        <v>1.42245370370372E-5</v>
      </c>
    </row>
    <row r="36" spans="1:18" x14ac:dyDescent="0.25">
      <c r="A36" s="132" t="s">
        <v>160</v>
      </c>
      <c r="B36" s="145" t="s">
        <v>28</v>
      </c>
      <c r="C36" s="142">
        <v>8.4267361111111099E-4</v>
      </c>
      <c r="D36" s="148">
        <f>Tableau4[[#This Row],[Chrono]]-C35</f>
        <v>1.9907407407405552E-6</v>
      </c>
      <c r="E36" s="150">
        <f>Tableau4[[#This Row],[Chrono]]-$C$24</f>
        <v>1.6215277777777756E-5</v>
      </c>
    </row>
    <row r="37" spans="1:18" x14ac:dyDescent="0.25">
      <c r="A37" s="132" t="s">
        <v>161</v>
      </c>
      <c r="B37" s="145" t="s">
        <v>173</v>
      </c>
      <c r="C37" s="142">
        <v>8.4552083333333343E-4</v>
      </c>
      <c r="D37" s="148">
        <f>Tableau4[[#This Row],[Chrono]]-C36</f>
        <v>2.8472222222224435E-6</v>
      </c>
      <c r="E37" s="150">
        <f>Tableau4[[#This Row],[Chrono]]-$C$24</f>
        <v>1.9062500000000199E-5</v>
      </c>
    </row>
    <row r="38" spans="1:18" x14ac:dyDescent="0.25">
      <c r="A38" s="132" t="s">
        <v>162</v>
      </c>
      <c r="B38" s="146" t="s">
        <v>26</v>
      </c>
      <c r="C38" s="142">
        <v>8.484606481481481E-4</v>
      </c>
      <c r="D38" s="149">
        <f>Tableau4[[#This Row],[Chrono]]-C37</f>
        <v>2.9398148148146669E-6</v>
      </c>
      <c r="E38" s="151">
        <f>Tableau4[[#This Row],[Chrono]]-$C$24</f>
        <v>2.2002314814814866E-5</v>
      </c>
    </row>
    <row r="39" spans="1:18" x14ac:dyDescent="0.25">
      <c r="A39" s="132" t="s">
        <v>163</v>
      </c>
      <c r="B39" s="145" t="s">
        <v>13</v>
      </c>
      <c r="C39" s="141">
        <v>8.5674768518518511E-4</v>
      </c>
      <c r="D39" s="148">
        <f>Tableau4[[#This Row],[Chrono]]-C38</f>
        <v>8.2870370370370086E-6</v>
      </c>
      <c r="E39" s="150">
        <f>Tableau4[[#This Row],[Chrono]]-$C$24</f>
        <v>3.0289351851851875E-5</v>
      </c>
    </row>
    <row r="40" spans="1:18" x14ac:dyDescent="0.25">
      <c r="A40" s="132" t="s">
        <v>164</v>
      </c>
      <c r="B40" s="146" t="s">
        <v>17</v>
      </c>
      <c r="C40" s="141">
        <v>8.6414351851851843E-4</v>
      </c>
      <c r="D40" s="149">
        <f>Tableau4[[#This Row],[Chrono]]-C39</f>
        <v>7.3958333333333211E-6</v>
      </c>
      <c r="E40" s="151">
        <f>Tableau4[[#This Row],[Chrono]]-$C$24</f>
        <v>3.7685185185185196E-5</v>
      </c>
    </row>
    <row r="41" spans="1:18" x14ac:dyDescent="0.25">
      <c r="A41" s="132" t="s">
        <v>165</v>
      </c>
      <c r="B41" s="146" t="s">
        <v>25</v>
      </c>
      <c r="C41" s="158" t="s">
        <v>184</v>
      </c>
      <c r="D41" s="149" t="s">
        <v>183</v>
      </c>
      <c r="E41" s="151" t="s">
        <v>183</v>
      </c>
    </row>
    <row r="43" spans="1:18" x14ac:dyDescent="0.25">
      <c r="A43" s="251" t="s">
        <v>185</v>
      </c>
      <c r="B43" s="251"/>
      <c r="C43" s="251"/>
      <c r="D43" s="251"/>
      <c r="E43" s="251"/>
      <c r="F43" s="251"/>
    </row>
    <row r="44" spans="1:18" x14ac:dyDescent="0.25">
      <c r="A44" s="54" t="s">
        <v>3</v>
      </c>
      <c r="B44" t="s">
        <v>5</v>
      </c>
      <c r="C44" s="19" t="s">
        <v>179</v>
      </c>
      <c r="D44" s="147" t="s">
        <v>181</v>
      </c>
      <c r="E44" s="147" t="s">
        <v>182</v>
      </c>
      <c r="F44" s="169" t="s">
        <v>187</v>
      </c>
    </row>
    <row r="45" spans="1:18" x14ac:dyDescent="0.25">
      <c r="A45" s="128" t="s">
        <v>141</v>
      </c>
      <c r="B45" s="145" t="s">
        <v>7</v>
      </c>
      <c r="C45" s="141">
        <v>1.0883726851851851E-2</v>
      </c>
      <c r="D45" s="148"/>
      <c r="E45" s="150"/>
      <c r="F45">
        <v>13</v>
      </c>
    </row>
    <row r="46" spans="1:18" x14ac:dyDescent="0.25">
      <c r="A46" s="129" t="s">
        <v>142</v>
      </c>
      <c r="B46" s="145" t="s">
        <v>24</v>
      </c>
      <c r="C46" s="141">
        <v>1.095818287037037E-2</v>
      </c>
      <c r="D46" s="148">
        <f>Tableau46[[#This Row],[Chrono]]-C45</f>
        <v>7.4456018518518838E-5</v>
      </c>
      <c r="E46" s="150">
        <f>Tableau46[[#This Row],[Chrono]]-$C$45</f>
        <v>7.4456018518518838E-5</v>
      </c>
      <c r="F46">
        <v>13</v>
      </c>
    </row>
    <row r="47" spans="1:18" x14ac:dyDescent="0.25">
      <c r="A47" s="130" t="s">
        <v>143</v>
      </c>
      <c r="B47" s="145" t="s">
        <v>19</v>
      </c>
      <c r="C47" s="141">
        <v>1.0973391203703704E-2</v>
      </c>
      <c r="D47" s="149">
        <f>Tableau46[[#This Row],[Chrono]]-C46</f>
        <v>1.5208333333334087E-5</v>
      </c>
      <c r="E47" s="150">
        <f>Tableau46[[#This Row],[Chrono]]-$C$45</f>
        <v>8.9664351851852925E-5</v>
      </c>
      <c r="F47">
        <v>13</v>
      </c>
    </row>
    <row r="48" spans="1:18" x14ac:dyDescent="0.25">
      <c r="A48" s="131" t="s">
        <v>144</v>
      </c>
      <c r="B48" s="145" t="s">
        <v>31</v>
      </c>
      <c r="C48" s="142">
        <v>1.1016944444444446E-2</v>
      </c>
      <c r="D48" s="149">
        <f>Tableau46[[#This Row],[Chrono]]-C47</f>
        <v>4.3553240740741572E-5</v>
      </c>
      <c r="E48" s="150">
        <f>Tableau46[[#This Row],[Chrono]]-$C$45</f>
        <v>1.332175925925945E-4</v>
      </c>
      <c r="F48">
        <v>13</v>
      </c>
    </row>
    <row r="49" spans="1:6" x14ac:dyDescent="0.25">
      <c r="A49" s="131" t="s">
        <v>145</v>
      </c>
      <c r="B49" s="145" t="s">
        <v>175</v>
      </c>
      <c r="C49" s="142">
        <v>1.1033148148148148E-2</v>
      </c>
      <c r="D49" s="148">
        <f>Tableau46[[#This Row],[Chrono]]-C48</f>
        <v>1.6203703703702305E-5</v>
      </c>
      <c r="E49" s="150">
        <f>Tableau46[[#This Row],[Chrono]]-$C$45</f>
        <v>1.494212962962968E-4</v>
      </c>
      <c r="F49">
        <v>13</v>
      </c>
    </row>
    <row r="50" spans="1:6" x14ac:dyDescent="0.25">
      <c r="A50" s="131" t="s">
        <v>146</v>
      </c>
      <c r="B50" s="145" t="s">
        <v>15</v>
      </c>
      <c r="C50" s="141">
        <v>1.1046296296296297E-2</v>
      </c>
      <c r="D50" s="172">
        <f>Tableau46[[#This Row],[Chrono]]-C49</f>
        <v>1.3148148148149283E-5</v>
      </c>
      <c r="E50" s="150">
        <f>Tableau46[[#This Row],[Chrono]]-$C$45</f>
        <v>1.6256944444444608E-4</v>
      </c>
      <c r="F50">
        <v>13</v>
      </c>
    </row>
    <row r="51" spans="1:6" x14ac:dyDescent="0.25">
      <c r="A51" s="131" t="s">
        <v>147</v>
      </c>
      <c r="B51" s="145" t="s">
        <v>174</v>
      </c>
      <c r="C51" s="141">
        <v>1.1052569444444445E-2</v>
      </c>
      <c r="D51" s="148">
        <f>Tableau46[[#This Row],[Chrono]]-C50</f>
        <v>6.2731481481476115E-6</v>
      </c>
      <c r="E51" s="150">
        <f>Tableau46[[#This Row],[Chrono]]-$C$45</f>
        <v>1.688425925925937E-4</v>
      </c>
      <c r="F51">
        <v>13</v>
      </c>
    </row>
    <row r="52" spans="1:6" x14ac:dyDescent="0.25">
      <c r="A52" s="131" t="s">
        <v>148</v>
      </c>
      <c r="B52" s="145" t="s">
        <v>9</v>
      </c>
      <c r="C52" s="141">
        <v>1.1090810185185184E-2</v>
      </c>
      <c r="D52" s="148">
        <f>Tableau46[[#This Row],[Chrono]]-C51</f>
        <v>3.8240740740739729E-5</v>
      </c>
      <c r="E52" s="150">
        <f>Tableau46[[#This Row],[Chrono]]-$C$45</f>
        <v>2.0708333333333342E-4</v>
      </c>
      <c r="F52">
        <v>13</v>
      </c>
    </row>
    <row r="53" spans="1:6" ht="15.75" thickBot="1" x14ac:dyDescent="0.3">
      <c r="A53" s="144" t="s">
        <v>149</v>
      </c>
      <c r="B53" s="170" t="s">
        <v>177</v>
      </c>
      <c r="C53" s="171">
        <v>1.1123449074074074E-2</v>
      </c>
      <c r="D53" s="173">
        <f>Tableau46[[#This Row],[Chrono]]-C52</f>
        <v>3.2638888888889342E-5</v>
      </c>
      <c r="E53" s="175">
        <f>Tableau46[[#This Row],[Chrono]]-$C$45</f>
        <v>2.3972222222222277E-4</v>
      </c>
      <c r="F53" s="176">
        <v>13</v>
      </c>
    </row>
    <row r="54" spans="1:6" x14ac:dyDescent="0.25">
      <c r="A54" s="143" t="s">
        <v>157</v>
      </c>
      <c r="B54" s="146" t="s">
        <v>11</v>
      </c>
      <c r="C54" s="141">
        <v>1.1127905092592592E-2</v>
      </c>
      <c r="D54" s="148">
        <f>Tableau46[[#This Row],[Chrono]]-C53</f>
        <v>4.4560185185182205E-6</v>
      </c>
      <c r="E54" s="150">
        <f>Tableau46[[#This Row],[Chrono]]-$C$45</f>
        <v>2.4417824074074099E-4</v>
      </c>
      <c r="F54" s="16">
        <v>13</v>
      </c>
    </row>
    <row r="55" spans="1:6" x14ac:dyDescent="0.25">
      <c r="A55" s="133" t="s">
        <v>158</v>
      </c>
      <c r="B55" s="146" t="s">
        <v>173</v>
      </c>
      <c r="C55" s="142">
        <v>1.1128506944444444E-2</v>
      </c>
      <c r="D55" s="148">
        <f>Tableau46[[#This Row],[Chrono]]-C54</f>
        <v>6.0185185185232526E-7</v>
      </c>
      <c r="E55" s="150">
        <f>Tableau46[[#This Row],[Chrono]]-$C$45</f>
        <v>2.4478009259259331E-4</v>
      </c>
      <c r="F55">
        <v>13</v>
      </c>
    </row>
    <row r="56" spans="1:6" x14ac:dyDescent="0.25">
      <c r="A56" s="134" t="s">
        <v>159</v>
      </c>
      <c r="B56" s="146" t="s">
        <v>28</v>
      </c>
      <c r="C56" s="142">
        <v>1.1129155092592593E-2</v>
      </c>
      <c r="D56" s="148">
        <f>Tableau46[[#This Row],[Chrono]]-C55</f>
        <v>6.4814814814892485E-7</v>
      </c>
      <c r="E56" s="150">
        <f>Tableau46[[#This Row],[Chrono]]-$C$45</f>
        <v>2.4542824074074224E-4</v>
      </c>
      <c r="F56">
        <v>13</v>
      </c>
    </row>
    <row r="57" spans="1:6" x14ac:dyDescent="0.25">
      <c r="A57" s="132" t="s">
        <v>160</v>
      </c>
      <c r="B57" s="146" t="s">
        <v>21</v>
      </c>
      <c r="C57" s="141">
        <v>1.1160833333333333E-2</v>
      </c>
      <c r="D57" s="149">
        <f>Tableau46[[#This Row],[Chrono]]-C56</f>
        <v>3.1678240740740105E-5</v>
      </c>
      <c r="E57" s="150">
        <f>Tableau46[[#This Row],[Chrono]]-$C$45</f>
        <v>2.7710648148148234E-4</v>
      </c>
      <c r="F57">
        <v>13</v>
      </c>
    </row>
    <row r="58" spans="1:6" x14ac:dyDescent="0.25">
      <c r="A58" s="132" t="s">
        <v>161</v>
      </c>
      <c r="B58" s="146" t="s">
        <v>29</v>
      </c>
      <c r="C58" s="142">
        <v>1.1206481481481482E-2</v>
      </c>
      <c r="D58" s="148">
        <f>Tableau46[[#This Row],[Chrono]]-C57</f>
        <v>4.5648148148148826E-5</v>
      </c>
      <c r="E58" s="150">
        <f>Tableau46[[#This Row],[Chrono]]-$C$45</f>
        <v>3.2275462962963117E-4</v>
      </c>
      <c r="F58">
        <v>13</v>
      </c>
    </row>
    <row r="59" spans="1:6" x14ac:dyDescent="0.25">
      <c r="A59" s="132" t="s">
        <v>162</v>
      </c>
      <c r="B59" s="146" t="s">
        <v>25</v>
      </c>
      <c r="C59" s="158">
        <v>1.122755787037037E-2</v>
      </c>
      <c r="D59" s="149">
        <f>Tableau46[[#This Row],[Chrono]]-C58</f>
        <v>2.1076388888888187E-5</v>
      </c>
      <c r="E59" s="150">
        <f>Tableau46[[#This Row],[Chrono]]-$C$45</f>
        <v>3.4383101851851935E-4</v>
      </c>
      <c r="F59">
        <v>13</v>
      </c>
    </row>
    <row r="60" spans="1:6" x14ac:dyDescent="0.25">
      <c r="A60" s="132" t="s">
        <v>163</v>
      </c>
      <c r="B60" s="146" t="s">
        <v>17</v>
      </c>
      <c r="C60" s="141">
        <v>1.1386770833333332E-2</v>
      </c>
      <c r="D60" s="149">
        <f>Tableau46[[#This Row],[Chrono]]-C59</f>
        <v>1.592129629629617E-4</v>
      </c>
      <c r="E60" s="150">
        <f>Tableau46[[#This Row],[Chrono]]-$C$45</f>
        <v>5.0304398148148105E-4</v>
      </c>
      <c r="F60">
        <v>13</v>
      </c>
    </row>
    <row r="61" spans="1:6" x14ac:dyDescent="0.25">
      <c r="A61" s="132" t="s">
        <v>164</v>
      </c>
      <c r="B61" s="146" t="s">
        <v>26</v>
      </c>
      <c r="C61" s="142">
        <v>1.1414120370370371E-2</v>
      </c>
      <c r="D61" s="149">
        <f>Tableau46[[#This Row],[Chrono]]-C60</f>
        <v>2.7349537037039268E-5</v>
      </c>
      <c r="E61" s="150">
        <f>Tableau46[[#This Row],[Chrono]]-$C$45</f>
        <v>5.3039351851852032E-4</v>
      </c>
      <c r="F61">
        <v>13</v>
      </c>
    </row>
    <row r="62" spans="1:6" x14ac:dyDescent="0.25">
      <c r="A62" s="132" t="s">
        <v>165</v>
      </c>
      <c r="B62" s="146" t="s">
        <v>13</v>
      </c>
      <c r="C62" s="141">
        <v>1.1416886574074074E-2</v>
      </c>
      <c r="D62" s="148">
        <f>Tableau46[[#This Row],[Chrono]]-C61</f>
        <v>2.7662037037027437E-6</v>
      </c>
      <c r="E62" s="150">
        <f>Tableau46[[#This Row],[Chrono]]-$C$45</f>
        <v>5.3315972222222306E-4</v>
      </c>
      <c r="F62">
        <v>13</v>
      </c>
    </row>
    <row r="64" spans="1:6" x14ac:dyDescent="0.25">
      <c r="A64" s="251" t="s">
        <v>186</v>
      </c>
      <c r="B64" s="251"/>
      <c r="C64" s="251"/>
      <c r="D64" s="251"/>
      <c r="E64" s="251"/>
      <c r="F64" s="251"/>
    </row>
    <row r="65" spans="1:8" x14ac:dyDescent="0.25">
      <c r="A65" s="54" t="s">
        <v>3</v>
      </c>
      <c r="B65" t="s">
        <v>5</v>
      </c>
      <c r="C65" s="19" t="s">
        <v>179</v>
      </c>
      <c r="D65" s="147" t="s">
        <v>181</v>
      </c>
      <c r="E65" s="147" t="s">
        <v>182</v>
      </c>
      <c r="F65" s="169" t="s">
        <v>187</v>
      </c>
    </row>
    <row r="66" spans="1:8" x14ac:dyDescent="0.25">
      <c r="A66" s="128" t="s">
        <v>141</v>
      </c>
      <c r="B66" s="145" t="s">
        <v>7</v>
      </c>
      <c r="C66" s="141">
        <v>2.8018831018518518E-2</v>
      </c>
      <c r="D66" s="148"/>
      <c r="E66" s="150"/>
      <c r="F66">
        <v>33</v>
      </c>
    </row>
    <row r="67" spans="1:8" x14ac:dyDescent="0.25">
      <c r="A67" s="129" t="s">
        <v>142</v>
      </c>
      <c r="B67" s="145" t="s">
        <v>15</v>
      </c>
      <c r="C67" s="141">
        <v>2.8093437499999999E-2</v>
      </c>
      <c r="D67" s="172">
        <f>Tableau4641[[#This Row],[Chrono]]-C66</f>
        <v>7.4606481481481052E-5</v>
      </c>
      <c r="E67" s="174">
        <f>Tableau4641[[#This Row],[Chrono]]-$C$66</f>
        <v>7.4606481481481052E-5</v>
      </c>
      <c r="F67">
        <v>33</v>
      </c>
    </row>
    <row r="68" spans="1:8" x14ac:dyDescent="0.25">
      <c r="A68" s="130" t="s">
        <v>143</v>
      </c>
      <c r="B68" s="145" t="s">
        <v>177</v>
      </c>
      <c r="C68" s="152">
        <v>2.8095173611111111E-2</v>
      </c>
      <c r="D68" s="148">
        <f>Tableau4641[[#This Row],[Chrono]]-C67</f>
        <v>1.7361111111120764E-6</v>
      </c>
      <c r="E68" s="151">
        <f>Tableau4641[[#This Row],[Chrono]]-$C$66</f>
        <v>7.6342592592593128E-5</v>
      </c>
      <c r="F68">
        <v>33</v>
      </c>
    </row>
    <row r="69" spans="1:8" x14ac:dyDescent="0.25">
      <c r="A69" s="131" t="s">
        <v>144</v>
      </c>
      <c r="B69" s="145" t="s">
        <v>175</v>
      </c>
      <c r="C69" s="142">
        <v>2.821546296296296E-2</v>
      </c>
      <c r="D69" s="148">
        <f>Tableau4641[[#This Row],[Chrono]]-C68</f>
        <v>1.2028935185184886E-4</v>
      </c>
      <c r="E69" s="151">
        <f>Tableau4641[[#This Row],[Chrono]]-$C$66</f>
        <v>1.9663194444444199E-4</v>
      </c>
      <c r="F69">
        <v>33</v>
      </c>
    </row>
    <row r="70" spans="1:8" x14ac:dyDescent="0.25">
      <c r="A70" s="131" t="s">
        <v>145</v>
      </c>
      <c r="B70" s="145" t="s">
        <v>19</v>
      </c>
      <c r="C70" s="141">
        <v>2.8216435185185185E-2</v>
      </c>
      <c r="D70" s="149">
        <f>Tableau4641[[#This Row],[Chrono]]-C69</f>
        <v>9.72222222225122E-7</v>
      </c>
      <c r="E70" s="151">
        <f>Tableau4641[[#This Row],[Chrono]]-$C$66</f>
        <v>1.9760416666666711E-4</v>
      </c>
      <c r="F70">
        <v>33</v>
      </c>
    </row>
    <row r="71" spans="1:8" x14ac:dyDescent="0.25">
      <c r="A71" s="131" t="s">
        <v>146</v>
      </c>
      <c r="B71" s="145" t="s">
        <v>31</v>
      </c>
      <c r="C71" s="142">
        <v>2.8278472222222222E-2</v>
      </c>
      <c r="D71" s="149">
        <f>Tableau4641[[#This Row],[Chrono]]-C70</f>
        <v>6.2037037037037529E-5</v>
      </c>
      <c r="E71" s="151">
        <f>Tableau4641[[#This Row],[Chrono]]-$C$66</f>
        <v>2.5964120370370464E-4</v>
      </c>
      <c r="F71">
        <v>33</v>
      </c>
    </row>
    <row r="72" spans="1:8" x14ac:dyDescent="0.25">
      <c r="A72" s="131" t="s">
        <v>147</v>
      </c>
      <c r="B72" s="145" t="s">
        <v>174</v>
      </c>
      <c r="C72" s="141">
        <v>2.8492731481481483E-2</v>
      </c>
      <c r="D72" s="148">
        <f>Tableau4641[[#This Row],[Chrono]]-C71</f>
        <v>2.1425925925926126E-4</v>
      </c>
      <c r="E72" s="151">
        <f>Tableau4641[[#This Row],[Chrono]]-$C$66</f>
        <v>4.739004629629659E-4</v>
      </c>
      <c r="F72">
        <v>33</v>
      </c>
    </row>
    <row r="73" spans="1:8" x14ac:dyDescent="0.25">
      <c r="A73" s="131" t="s">
        <v>148</v>
      </c>
      <c r="B73" s="145" t="s">
        <v>9</v>
      </c>
      <c r="C73" s="141">
        <v>2.8635150462962961E-2</v>
      </c>
      <c r="D73" s="148">
        <f>Tableau4641[[#This Row],[Chrono]]-C72</f>
        <v>1.4241898148147775E-4</v>
      </c>
      <c r="E73" s="151">
        <f>Tableau4641[[#This Row],[Chrono]]-$C$66</f>
        <v>6.1631944444444364E-4</v>
      </c>
      <c r="F73">
        <v>33</v>
      </c>
    </row>
    <row r="74" spans="1:8" ht="15.75" thickBot="1" x14ac:dyDescent="0.3">
      <c r="A74" s="144" t="s">
        <v>149</v>
      </c>
      <c r="B74" s="170" t="s">
        <v>24</v>
      </c>
      <c r="C74" s="180" t="s">
        <v>183</v>
      </c>
      <c r="D74" s="206" t="s">
        <v>191</v>
      </c>
      <c r="E74" s="206" t="s">
        <v>191</v>
      </c>
      <c r="F74" s="176">
        <v>32</v>
      </c>
      <c r="H74" s="16"/>
    </row>
    <row r="75" spans="1:8" x14ac:dyDescent="0.25">
      <c r="A75" s="143" t="s">
        <v>157</v>
      </c>
      <c r="B75" s="146" t="s">
        <v>25</v>
      </c>
      <c r="C75" s="158">
        <v>2.8394328703703703E-2</v>
      </c>
      <c r="D75" s="149"/>
      <c r="E75" s="151">
        <f>Tableau4641[[#This Row],[Chrono]]-$C$66</f>
        <v>3.7549768518518531E-4</v>
      </c>
      <c r="F75">
        <v>33</v>
      </c>
    </row>
    <row r="76" spans="1:8" x14ac:dyDescent="0.25">
      <c r="A76" s="182" t="s">
        <v>158</v>
      </c>
      <c r="B76" s="146" t="s">
        <v>28</v>
      </c>
      <c r="C76" s="142">
        <v>2.840576388888889E-2</v>
      </c>
      <c r="D76" s="148">
        <f>Tableau4641[[#This Row],[Chrono]]-C75</f>
        <v>1.1435185185187241E-5</v>
      </c>
      <c r="E76" s="151">
        <f>Tableau4641[[#This Row],[Chrono]]-$C$66</f>
        <v>3.8693287037037255E-4</v>
      </c>
      <c r="F76">
        <v>33</v>
      </c>
    </row>
    <row r="77" spans="1:8" x14ac:dyDescent="0.25">
      <c r="A77" s="183" t="s">
        <v>159</v>
      </c>
      <c r="B77" s="146" t="s">
        <v>21</v>
      </c>
      <c r="C77" s="141">
        <v>2.8427037037037039E-2</v>
      </c>
      <c r="D77" s="172">
        <f>Tableau4641[[#This Row],[Chrono]]-C76</f>
        <v>2.1273148148148735E-5</v>
      </c>
      <c r="E77" s="174">
        <f>Tableau4641[[#This Row],[Chrono]]-$C$66</f>
        <v>4.0820601851852129E-4</v>
      </c>
      <c r="F77" s="16">
        <v>33</v>
      </c>
    </row>
    <row r="78" spans="1:8" x14ac:dyDescent="0.25">
      <c r="A78" s="181" t="s">
        <v>160</v>
      </c>
      <c r="B78" s="146" t="s">
        <v>11</v>
      </c>
      <c r="C78" s="141">
        <v>2.8505173611111111E-2</v>
      </c>
      <c r="D78" s="148">
        <f>Tableau4641[[#This Row],[Chrono]]-C77</f>
        <v>7.8136574074072485E-5</v>
      </c>
      <c r="E78" s="151">
        <f>Tableau4641[[#This Row],[Chrono]]-$C$66</f>
        <v>4.8634259259259377E-4</v>
      </c>
      <c r="F78">
        <v>33</v>
      </c>
    </row>
    <row r="79" spans="1:8" x14ac:dyDescent="0.25">
      <c r="A79" s="132" t="s">
        <v>161</v>
      </c>
      <c r="B79" s="146" t="s">
        <v>29</v>
      </c>
      <c r="C79" s="142">
        <v>2.8623981481481483E-2</v>
      </c>
      <c r="D79" s="148">
        <f>Tableau4641[[#This Row],[Chrono]]-C78</f>
        <v>1.1880787037037155E-4</v>
      </c>
      <c r="E79" s="151">
        <f>Tableau4641[[#This Row],[Chrono]]-$C$66</f>
        <v>6.0515046296296532E-4</v>
      </c>
      <c r="F79">
        <v>33</v>
      </c>
    </row>
    <row r="80" spans="1:8" x14ac:dyDescent="0.25">
      <c r="A80" s="132" t="s">
        <v>162</v>
      </c>
      <c r="B80" s="146" t="s">
        <v>17</v>
      </c>
      <c r="C80" s="141">
        <v>2.8640729166666667E-2</v>
      </c>
      <c r="D80" s="149">
        <f>Tableau4641[[#This Row],[Chrono]]-C79</f>
        <v>1.674768518518388E-5</v>
      </c>
      <c r="E80" s="151">
        <f>Tableau4641[[#This Row],[Chrono]]-$C$66</f>
        <v>6.218981481481492E-4</v>
      </c>
      <c r="F80">
        <v>33</v>
      </c>
    </row>
    <row r="81" spans="1:6" x14ac:dyDescent="0.25">
      <c r="A81" s="132" t="s">
        <v>163</v>
      </c>
      <c r="B81" s="146" t="s">
        <v>173</v>
      </c>
      <c r="C81" s="142">
        <v>2.8747199074074071E-2</v>
      </c>
      <c r="D81" s="148">
        <f>Tableau4641[[#This Row],[Chrono]]-C80</f>
        <v>1.0646990740740409E-4</v>
      </c>
      <c r="E81" s="177">
        <f>Tableau4641[[#This Row],[Chrono]]-$C$66</f>
        <v>7.2836805555555328E-4</v>
      </c>
      <c r="F81">
        <v>33</v>
      </c>
    </row>
    <row r="82" spans="1:6" x14ac:dyDescent="0.25">
      <c r="A82" s="132" t="s">
        <v>164</v>
      </c>
      <c r="B82" s="146" t="s">
        <v>13</v>
      </c>
      <c r="C82" s="141">
        <v>2.9130752314814819E-2</v>
      </c>
      <c r="D82" s="148">
        <f>Tableau4641[[#This Row],[Chrono]]-C81</f>
        <v>3.8355324074074854E-4</v>
      </c>
      <c r="E82" s="177">
        <f>Tableau4641[[#This Row],[Chrono]]-$C$66</f>
        <v>1.1119212962963018E-3</v>
      </c>
      <c r="F82">
        <v>33</v>
      </c>
    </row>
    <row r="83" spans="1:6" x14ac:dyDescent="0.25">
      <c r="A83" s="132" t="s">
        <v>165</v>
      </c>
      <c r="B83" s="146" t="s">
        <v>26</v>
      </c>
      <c r="C83" s="179" t="s">
        <v>188</v>
      </c>
      <c r="D83" s="205" t="s">
        <v>193</v>
      </c>
      <c r="E83" s="204" t="s">
        <v>193</v>
      </c>
      <c r="F83" s="178">
        <v>9</v>
      </c>
    </row>
  </sheetData>
  <mergeCells count="14">
    <mergeCell ref="A64:F64"/>
    <mergeCell ref="A43:F43"/>
    <mergeCell ref="O22:R22"/>
    <mergeCell ref="O23:R23"/>
    <mergeCell ref="A1:B1"/>
    <mergeCell ref="D1:E1"/>
    <mergeCell ref="F1:G1"/>
    <mergeCell ref="J1:M1"/>
    <mergeCell ref="O20:P20"/>
    <mergeCell ref="O21:P21"/>
    <mergeCell ref="O1:R1"/>
    <mergeCell ref="Q20:R20"/>
    <mergeCell ref="Q21:R21"/>
    <mergeCell ref="A22:E22"/>
  </mergeCells>
  <dataValidations count="2"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  <dataValidation errorStyle="information" operator="greaterThan" allowBlank="1" errorTitle="Non inscrit" error="Cet emplacement excède le nombre d'inscrits." sqref="K28:M34 K12:M20"/>
  </dataValidations>
  <pageMargins left="0.7" right="0.7" top="0.75" bottom="0.75" header="0.3" footer="0.3"/>
  <pageSetup paperSize="9" orientation="portrait" horizontalDpi="0" verticalDpi="0" r:id="rId1"/>
  <ignoredErrors>
    <ignoredError sqref="L28:M34 K12:M20 E53 E46:E52 E54:E62 D67:E73 D41:E41 D75:E82" calculatedColumn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J35" sqref="J35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8" x14ac:dyDescent="0.25">
      <c r="A1" s="258" t="s">
        <v>178</v>
      </c>
      <c r="B1" s="258"/>
      <c r="C1" s="127">
        <v>2</v>
      </c>
      <c r="D1" s="251" t="s">
        <v>0</v>
      </c>
      <c r="E1" s="251"/>
      <c r="F1" s="251" t="s">
        <v>1</v>
      </c>
      <c r="G1" s="251"/>
      <c r="H1" s="30" t="s">
        <v>2</v>
      </c>
      <c r="J1" s="261" t="s">
        <v>41</v>
      </c>
      <c r="K1" s="261"/>
      <c r="L1" s="261"/>
      <c r="M1" s="262"/>
      <c r="N1" s="18"/>
      <c r="O1" s="265" t="s">
        <v>35</v>
      </c>
      <c r="P1" s="265"/>
      <c r="Q1" s="265"/>
      <c r="R1" s="265"/>
    </row>
    <row r="2" spans="1:18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</row>
    <row r="3" spans="1:18" x14ac:dyDescent="0.25">
      <c r="A3" s="55">
        <v>1</v>
      </c>
      <c r="B3" s="1" t="s">
        <v>24</v>
      </c>
      <c r="C3" s="1" t="str">
        <f>VLOOKUP(Tableau2468[[#This Row],[Pilote]],Tableau2[[Pilote]:[Voiture]],2,0)</f>
        <v>Suzuki</v>
      </c>
      <c r="D3" s="198" t="s">
        <v>141</v>
      </c>
      <c r="E3" s="40">
        <f>IF(ISNA(VLOOKUP(D3,Tableau122214547[],2,0)),"",VLOOKUP(D3,Tableau122214547[],2,0))</f>
        <v>26</v>
      </c>
      <c r="F3" s="198" t="s">
        <v>141</v>
      </c>
      <c r="G3" s="40">
        <f>IF(ISNA(VLOOKUP(F3,Tableau122214547[],3,0)),"",VLOOKUP(F3,Tableau122214547[],3,0))</f>
        <v>33</v>
      </c>
      <c r="H3" s="219">
        <f t="shared" ref="H3:H20" si="0">IF(ISERROR(E3+G3),0,E3+G3)</f>
        <v>59</v>
      </c>
      <c r="J3" s="21" t="s">
        <v>141</v>
      </c>
      <c r="K3" s="17">
        <f t="shared" ref="K3:K11" si="1">IF((P3+K$12-(VLOOKUP((ROUNDUP($Q$21,0)),$O$3:$R$18,2)-1))&gt;K$12,P3+K$12-(VLOOKUP((ROUNDUP($Q$21,0)),$O$3:$R$18,2)-1),)</f>
        <v>26</v>
      </c>
      <c r="L3" s="17">
        <f t="shared" ref="L3:L11" si="2">IF((Q3+L$12-(VLOOKUP((ROUNDUP($Q$21,0)),$O$3:$R$18,3)-1))&gt;L$12,Q3+L$12-(VLOOKUP((ROUNDUP($Q$21,0)),$O$3:$R$18,3)-1),)</f>
        <v>33</v>
      </c>
      <c r="M3" s="17">
        <f t="shared" ref="M3:M11" si="3">IF((R3+M$12-(VLOOKUP((ROUNDUP($Q$21,0)),$O$3:$R$18,4)-1))&gt;M$12,R3+M$12-(VLOOKUP((ROUNDUP($Q$21,0)),$O$3:$R$18,4)-1),)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2*Tableau12204443[[#This Row],[Enduro]]</f>
        <v>48</v>
      </c>
    </row>
    <row r="4" spans="1:18" x14ac:dyDescent="0.25">
      <c r="A4" s="56">
        <f t="shared" ref="A4:A20" si="4">A3+1</f>
        <v>2</v>
      </c>
      <c r="B4" s="1" t="s">
        <v>7</v>
      </c>
      <c r="C4" s="1" t="str">
        <f>VLOOKUP(Tableau2468[[#This Row],[Pilote]],Tableau2[[Pilote]:[Voiture]],2,0)</f>
        <v>Suzuki</v>
      </c>
      <c r="D4" s="199" t="s">
        <v>142</v>
      </c>
      <c r="E4" s="40">
        <f>IF(ISNA(VLOOKUP(D4,Tableau122214547[],2,0)),"",VLOOKUP(D4,Tableau122214547[],2,0))</f>
        <v>23</v>
      </c>
      <c r="F4" s="199" t="s">
        <v>142</v>
      </c>
      <c r="G4" s="40">
        <f>IF(ISNA(VLOOKUP(F4,Tableau122214547[],3,0)),"",VLOOKUP(F4,Tableau122214547[],3,0))</f>
        <v>29</v>
      </c>
      <c r="H4" s="219">
        <f t="shared" si="0"/>
        <v>52</v>
      </c>
      <c r="J4" s="22" t="s">
        <v>142</v>
      </c>
      <c r="K4" s="17">
        <f t="shared" si="1"/>
        <v>23</v>
      </c>
      <c r="L4" s="17">
        <f t="shared" si="2"/>
        <v>29</v>
      </c>
      <c r="M4" s="17">
        <f t="shared" si="3"/>
        <v>57</v>
      </c>
      <c r="N4" s="19"/>
      <c r="O4" s="10">
        <f t="shared" ref="O4:O18" si="5">O3+1</f>
        <v>2</v>
      </c>
      <c r="P4">
        <v>17</v>
      </c>
      <c r="Q4">
        <f t="shared" ref="Q4:Q18" si="6">P3</f>
        <v>20</v>
      </c>
      <c r="R4">
        <f>2*Tableau12204443[[#This Row],[Enduro]]</f>
        <v>40</v>
      </c>
    </row>
    <row r="5" spans="1:18" x14ac:dyDescent="0.25">
      <c r="A5" s="57">
        <f t="shared" si="4"/>
        <v>3</v>
      </c>
      <c r="B5" s="1" t="s">
        <v>15</v>
      </c>
      <c r="C5" s="1" t="str">
        <f>VLOOKUP(Tableau2468[[#This Row],[Pilote]],Tableau2[[Pilote]:[Voiture]],2,0)</f>
        <v>Honda</v>
      </c>
      <c r="D5" s="200" t="s">
        <v>143</v>
      </c>
      <c r="E5" s="40">
        <f>IF(ISNA(VLOOKUP(D5,Tableau122214547[],2,0)),"",VLOOKUP(D5,Tableau122214547[],2,0))</f>
        <v>21</v>
      </c>
      <c r="F5" s="200" t="s">
        <v>143</v>
      </c>
      <c r="G5" s="40">
        <f>IF(ISNA(VLOOKUP(F5,Tableau122214547[],3,0)),"",VLOOKUP(F5,Tableau122214547[],3,0))</f>
        <v>26</v>
      </c>
      <c r="H5" s="219">
        <f t="shared" si="0"/>
        <v>47</v>
      </c>
      <c r="J5" s="23" t="s">
        <v>143</v>
      </c>
      <c r="K5" s="17">
        <f t="shared" si="1"/>
        <v>21</v>
      </c>
      <c r="L5" s="17">
        <f t="shared" si="2"/>
        <v>26</v>
      </c>
      <c r="M5" s="17">
        <f t="shared" si="3"/>
        <v>51</v>
      </c>
      <c r="N5" s="19"/>
      <c r="O5" s="11">
        <f t="shared" si="5"/>
        <v>3</v>
      </c>
      <c r="P5">
        <v>15</v>
      </c>
      <c r="Q5">
        <f t="shared" si="6"/>
        <v>17</v>
      </c>
      <c r="R5">
        <f>2*Tableau12204443[[#This Row],[Enduro]]</f>
        <v>34</v>
      </c>
    </row>
    <row r="6" spans="1:18" x14ac:dyDescent="0.25">
      <c r="A6" s="52">
        <f t="shared" si="4"/>
        <v>4</v>
      </c>
      <c r="B6" s="1" t="s">
        <v>175</v>
      </c>
      <c r="C6" s="1" t="str">
        <f>VLOOKUP(Tableau2468[[#This Row],[Pilote]],Tableau2[[Pilote]:[Voiture]],2,0)</f>
        <v>Toyota</v>
      </c>
      <c r="D6" s="41" t="s">
        <v>146</v>
      </c>
      <c r="E6" s="40">
        <f>IF(ISNA(VLOOKUP(D6,Tableau122214547[],2,0)),"",VLOOKUP(D6,Tableau122214547[],2,0))</f>
        <v>17</v>
      </c>
      <c r="F6" s="41" t="s">
        <v>144</v>
      </c>
      <c r="G6" s="40">
        <f>IF(ISNA(VLOOKUP(F6,Tableau122214547[],3,0)),"",VLOOKUP(F6,Tableau122214547[],3,0))</f>
        <v>24</v>
      </c>
      <c r="H6" s="219">
        <f t="shared" si="0"/>
        <v>41</v>
      </c>
      <c r="J6" s="24" t="s">
        <v>144</v>
      </c>
      <c r="K6" s="17">
        <f t="shared" si="1"/>
        <v>19</v>
      </c>
      <c r="L6" s="17">
        <f t="shared" si="2"/>
        <v>24</v>
      </c>
      <c r="M6" s="17">
        <f t="shared" si="3"/>
        <v>47</v>
      </c>
      <c r="N6" s="19"/>
      <c r="O6" s="12">
        <f t="shared" si="5"/>
        <v>4</v>
      </c>
      <c r="P6">
        <v>13</v>
      </c>
      <c r="Q6">
        <f t="shared" si="6"/>
        <v>15</v>
      </c>
      <c r="R6">
        <f>2*Tableau12204443[[#This Row],[Enduro]]</f>
        <v>30</v>
      </c>
    </row>
    <row r="7" spans="1:18" x14ac:dyDescent="0.25">
      <c r="A7" s="52">
        <f t="shared" si="4"/>
        <v>5</v>
      </c>
      <c r="B7" s="1" t="s">
        <v>177</v>
      </c>
      <c r="C7" s="1" t="str">
        <f>VLOOKUP(Tableau2468[[#This Row],[Pilote]],Tableau2[[Pilote]:[Voiture]],2,0)</f>
        <v>Honda</v>
      </c>
      <c r="D7" s="41" t="s">
        <v>145</v>
      </c>
      <c r="E7" s="40">
        <f>IF(ISNA(VLOOKUP(D7,Tableau122214547[],2,0)),"",VLOOKUP(D7,Tableau122214547[],2,0))</f>
        <v>18</v>
      </c>
      <c r="F7" s="41" t="s">
        <v>145</v>
      </c>
      <c r="G7" s="40">
        <f>IF(ISNA(VLOOKUP(F7,Tableau122214547[],3,0)),"",VLOOKUP(F7,Tableau122214547[],3,0))</f>
        <v>22</v>
      </c>
      <c r="H7" s="219">
        <f t="shared" si="0"/>
        <v>40</v>
      </c>
      <c r="J7" s="24" t="s">
        <v>145</v>
      </c>
      <c r="K7" s="17">
        <f t="shared" si="1"/>
        <v>18</v>
      </c>
      <c r="L7" s="17">
        <f t="shared" si="2"/>
        <v>22</v>
      </c>
      <c r="M7" s="17">
        <f t="shared" si="3"/>
        <v>43</v>
      </c>
      <c r="N7" s="19"/>
      <c r="O7" s="12">
        <f t="shared" si="5"/>
        <v>5</v>
      </c>
      <c r="P7">
        <v>12</v>
      </c>
      <c r="Q7">
        <f t="shared" si="6"/>
        <v>13</v>
      </c>
      <c r="R7">
        <f>2*Tableau12204443[[#This Row],[Enduro]]</f>
        <v>26</v>
      </c>
    </row>
    <row r="8" spans="1:18" x14ac:dyDescent="0.25">
      <c r="A8" s="52">
        <f t="shared" si="4"/>
        <v>6</v>
      </c>
      <c r="B8" s="1" t="s">
        <v>174</v>
      </c>
      <c r="C8" s="1" t="str">
        <f>VLOOKUP(Tableau2468[[#This Row],[Pilote]],Tableau2[[Pilote]:[Voiture]],2,0)</f>
        <v>Mini</v>
      </c>
      <c r="D8" s="41" t="s">
        <v>144</v>
      </c>
      <c r="E8" s="40">
        <f>IF(ISNA(VLOOKUP(D8,Tableau122214547[],2,0)),"",VLOOKUP(D8,Tableau122214547[],2,0))</f>
        <v>19</v>
      </c>
      <c r="F8" s="196" t="s">
        <v>147</v>
      </c>
      <c r="G8" s="40">
        <f>IF(ISNA(VLOOKUP(F8,Tableau122214547[],3,0)),"",VLOOKUP(F8,Tableau122214547[],3,0))</f>
        <v>20</v>
      </c>
      <c r="H8" s="219">
        <f t="shared" si="0"/>
        <v>39</v>
      </c>
      <c r="J8" s="24" t="s">
        <v>146</v>
      </c>
      <c r="K8" s="17">
        <f t="shared" si="1"/>
        <v>17</v>
      </c>
      <c r="L8" s="17">
        <f t="shared" si="2"/>
        <v>21</v>
      </c>
      <c r="M8" s="17">
        <f t="shared" si="3"/>
        <v>41</v>
      </c>
      <c r="N8" s="19"/>
      <c r="O8" s="12">
        <f t="shared" si="5"/>
        <v>6</v>
      </c>
      <c r="P8">
        <v>11</v>
      </c>
      <c r="Q8">
        <f t="shared" si="6"/>
        <v>12</v>
      </c>
      <c r="R8">
        <f>2*Tableau12204443[[#This Row],[Enduro]]</f>
        <v>24</v>
      </c>
    </row>
    <row r="9" spans="1:18" x14ac:dyDescent="0.25">
      <c r="A9" s="52">
        <f t="shared" si="4"/>
        <v>7</v>
      </c>
      <c r="B9" s="1" t="s">
        <v>31</v>
      </c>
      <c r="C9" s="1" t="str">
        <f>VLOOKUP(Tableau2468[[#This Row],[Pilote]],Tableau2[[Pilote]:[Voiture]],2,0)</f>
        <v>Alfa Romeo</v>
      </c>
      <c r="D9" s="41" t="s">
        <v>147</v>
      </c>
      <c r="E9" s="40">
        <f>IF(ISNA(VLOOKUP(D9,Tableau122214547[],2,0)),"",VLOOKUP(D9,Tableau122214547[],2,0))</f>
        <v>16</v>
      </c>
      <c r="F9" s="41" t="s">
        <v>146</v>
      </c>
      <c r="G9" s="40">
        <f>IF(ISNA(VLOOKUP(F9,Tableau122214547[],3,0)),"",VLOOKUP(F9,Tableau122214547[],3,0))</f>
        <v>21</v>
      </c>
      <c r="H9" s="219">
        <f t="shared" si="0"/>
        <v>37</v>
      </c>
      <c r="J9" s="24" t="s">
        <v>147</v>
      </c>
      <c r="K9" s="17">
        <f t="shared" si="1"/>
        <v>16</v>
      </c>
      <c r="L9" s="17">
        <f t="shared" si="2"/>
        <v>20</v>
      </c>
      <c r="M9" s="17">
        <f t="shared" si="3"/>
        <v>39</v>
      </c>
      <c r="N9" s="19"/>
      <c r="O9" s="12">
        <f t="shared" si="5"/>
        <v>7</v>
      </c>
      <c r="P9">
        <v>10</v>
      </c>
      <c r="Q9">
        <f t="shared" si="6"/>
        <v>11</v>
      </c>
      <c r="R9">
        <f>2*Tableau12204443[[#This Row],[Enduro]]</f>
        <v>22</v>
      </c>
    </row>
    <row r="10" spans="1:18" x14ac:dyDescent="0.25">
      <c r="A10" s="52">
        <f t="shared" si="4"/>
        <v>8</v>
      </c>
      <c r="B10" s="1" t="s">
        <v>9</v>
      </c>
      <c r="C10" s="1" t="str">
        <f>VLOOKUP(Tableau2468[[#This Row],[Pilote]],Tableau2[[Pilote]:[Voiture]],2,0)</f>
        <v>Mazda</v>
      </c>
      <c r="D10" s="41" t="s">
        <v>148</v>
      </c>
      <c r="E10" s="40">
        <f>IF(ISNA(VLOOKUP(D10,Tableau122214547[],2,0)),"",VLOOKUP(D10,Tableau122214547[],2,0))</f>
        <v>15</v>
      </c>
      <c r="F10" s="196" t="s">
        <v>148</v>
      </c>
      <c r="G10" s="40">
        <f>IF(ISNA(VLOOKUP(F10,Tableau122214547[],3,0)),"",VLOOKUP(F10,Tableau122214547[],3,0))</f>
        <v>19</v>
      </c>
      <c r="H10" s="219">
        <f t="shared" si="0"/>
        <v>34</v>
      </c>
      <c r="J10" s="24" t="s">
        <v>148</v>
      </c>
      <c r="K10" s="17">
        <f t="shared" si="1"/>
        <v>15</v>
      </c>
      <c r="L10" s="17">
        <f t="shared" si="2"/>
        <v>19</v>
      </c>
      <c r="M10" s="17">
        <f t="shared" si="3"/>
        <v>37</v>
      </c>
      <c r="N10" s="19"/>
      <c r="O10" s="12">
        <f t="shared" si="5"/>
        <v>8</v>
      </c>
      <c r="P10">
        <v>9</v>
      </c>
      <c r="Q10">
        <f t="shared" si="6"/>
        <v>10</v>
      </c>
      <c r="R10">
        <f>2*Tableau12204443[[#This Row],[Enduro]]</f>
        <v>20</v>
      </c>
    </row>
    <row r="11" spans="1:18" ht="15.75" thickBot="1" x14ac:dyDescent="0.3">
      <c r="A11" s="191">
        <f t="shared" si="4"/>
        <v>9</v>
      </c>
      <c r="B11" s="160" t="s">
        <v>11</v>
      </c>
      <c r="C11" s="160" t="str">
        <f>VLOOKUP(Tableau2468[[#This Row],[Pilote]],Tableau2[[Pilote]:[Voiture]],2,0)</f>
        <v>Nissan</v>
      </c>
      <c r="D11" s="192" t="s">
        <v>149</v>
      </c>
      <c r="E11" s="193">
        <f>IF(ISNA(VLOOKUP(D11,Tableau122214547[],2,0)),"",VLOOKUP(D11,Tableau122214547[],2,0))</f>
        <v>14</v>
      </c>
      <c r="F11" s="197" t="s">
        <v>149</v>
      </c>
      <c r="G11" s="193">
        <f>IF(ISNA(VLOOKUP(F11,Tableau122214547[],3,0)),"",VLOOKUP(F11,Tableau122214547[],3,0))</f>
        <v>18</v>
      </c>
      <c r="H11" s="220">
        <f t="shared" si="0"/>
        <v>32</v>
      </c>
      <c r="J11" s="24" t="s">
        <v>149</v>
      </c>
      <c r="K11" s="17">
        <f t="shared" si="1"/>
        <v>14</v>
      </c>
      <c r="L11" s="17">
        <f t="shared" si="2"/>
        <v>18</v>
      </c>
      <c r="M11" s="17">
        <f t="shared" si="3"/>
        <v>35</v>
      </c>
      <c r="N11" s="19"/>
      <c r="O11" s="12">
        <f t="shared" si="5"/>
        <v>9</v>
      </c>
      <c r="P11">
        <v>8</v>
      </c>
      <c r="Q11">
        <f t="shared" si="6"/>
        <v>9</v>
      </c>
      <c r="R11">
        <f>2*Tableau12204443[[#This Row],[Enduro]]</f>
        <v>18</v>
      </c>
    </row>
    <row r="12" spans="1:18" x14ac:dyDescent="0.25">
      <c r="A12" s="190">
        <f t="shared" si="4"/>
        <v>10</v>
      </c>
      <c r="B12" s="187" t="s">
        <v>25</v>
      </c>
      <c r="C12" s="194" t="str">
        <f>VLOOKUP(Tableau2468[[#This Row],[Pilote]],Tableau2[[Pilote]:[Voiture]],2,0)</f>
        <v>Mazda</v>
      </c>
      <c r="D12" s="198" t="s">
        <v>157</v>
      </c>
      <c r="E12" s="189">
        <f>IF(ISNA(VLOOKUP(D12,Tableau122214547[],2,0)),"",VLOOKUP(D12,Tableau122214547[],2,0))</f>
        <v>13</v>
      </c>
      <c r="F12" s="198" t="s">
        <v>157</v>
      </c>
      <c r="G12" s="189">
        <f>IF(ISNA(VLOOKUP(F12,Tableau122214547[],3,0)),"",VLOOKUP(F12,Tableau122214547[],3,0))</f>
        <v>17</v>
      </c>
      <c r="H12" s="219">
        <f t="shared" si="0"/>
        <v>30</v>
      </c>
      <c r="J12" s="25" t="s">
        <v>157</v>
      </c>
      <c r="K12" s="6">
        <f t="shared" ref="K12:K20" si="7">P3-(VLOOKUP((ROUNDDOWN($Q$21,0)),$O$3:$R$18,2)-1)</f>
        <v>13</v>
      </c>
      <c r="L12" s="6">
        <f t="shared" ref="L12:L20" si="8">IF(Q3-(VLOOKUP((ROUNDDOWN($Q$21,0)),$O$3:$R$18,3)-2)&gt;1,Q3-(VLOOKUP((ROUNDDOWN($Q$21,0)),$O$3:$R$18,3)-2),)</f>
        <v>17</v>
      </c>
      <c r="M12" s="6">
        <f t="shared" ref="M12:M20" si="9">IF(R3-(VLOOKUP((ROUNDDOWN($Q$21,0)),$O$3:$R$18,4)-4)&gt;3,R3-(VLOOKUP((ROUNDDOWN($Q$21,0)),$O$3:$R$18,4)-4),)</f>
        <v>34</v>
      </c>
      <c r="N12" s="19"/>
      <c r="O12" s="12">
        <f t="shared" si="5"/>
        <v>10</v>
      </c>
      <c r="P12">
        <v>7</v>
      </c>
      <c r="Q12">
        <f t="shared" si="6"/>
        <v>8</v>
      </c>
      <c r="R12">
        <f>2*Tableau12204443[[#This Row],[Enduro]]</f>
        <v>16</v>
      </c>
    </row>
    <row r="13" spans="1:18" x14ac:dyDescent="0.25">
      <c r="A13" s="52">
        <f t="shared" si="4"/>
        <v>11</v>
      </c>
      <c r="B13" s="1" t="s">
        <v>29</v>
      </c>
      <c r="C13" s="1" t="str">
        <f>VLOOKUP(Tableau2468[[#This Row],[Pilote]],Tableau2[[Pilote]:[Voiture]],2,0)</f>
        <v>Abarth</v>
      </c>
      <c r="D13" s="200" t="s">
        <v>159</v>
      </c>
      <c r="E13" s="40">
        <f>IF(ISNA(VLOOKUP(D13,Tableau122214547[],2,0)),"",VLOOKUP(D13,Tableau122214547[],2,0))</f>
        <v>8</v>
      </c>
      <c r="F13" s="199" t="s">
        <v>158</v>
      </c>
      <c r="G13" s="40">
        <f>IF(ISNA(VLOOKUP(F13,Tableau122214547[],3,0)),"",VLOOKUP(F13,Tableau122214547[],3,0))</f>
        <v>13</v>
      </c>
      <c r="H13" s="219">
        <f t="shared" si="0"/>
        <v>21</v>
      </c>
      <c r="J13" s="26" t="s">
        <v>158</v>
      </c>
      <c r="K13" s="6">
        <f t="shared" si="7"/>
        <v>10</v>
      </c>
      <c r="L13" s="6">
        <f t="shared" si="8"/>
        <v>13</v>
      </c>
      <c r="M13" s="6">
        <f t="shared" si="9"/>
        <v>26</v>
      </c>
      <c r="N13" s="19"/>
      <c r="O13" s="12">
        <f t="shared" si="5"/>
        <v>11</v>
      </c>
      <c r="P13">
        <v>6</v>
      </c>
      <c r="Q13">
        <f t="shared" si="6"/>
        <v>7</v>
      </c>
      <c r="R13">
        <f>2*Tableau12204443[[#This Row],[Enduro]]</f>
        <v>14</v>
      </c>
    </row>
    <row r="14" spans="1:18" x14ac:dyDescent="0.25">
      <c r="A14" s="52">
        <f t="shared" si="4"/>
        <v>12</v>
      </c>
      <c r="B14" s="1" t="s">
        <v>17</v>
      </c>
      <c r="C14" s="1" t="str">
        <f>VLOOKUP(Tableau2468[[#This Row],[Pilote]],Tableau2[[Pilote]:[Voiture]],2,0)</f>
        <v>Toyota</v>
      </c>
      <c r="D14" s="199" t="s">
        <v>158</v>
      </c>
      <c r="E14" s="40">
        <f>IF(ISNA(VLOOKUP(D14,Tableau122214547[],2,0)),"",VLOOKUP(D14,Tableau122214547[],2,0))</f>
        <v>10</v>
      </c>
      <c r="F14" s="200" t="s">
        <v>159</v>
      </c>
      <c r="G14" s="40">
        <f>IF(ISNA(VLOOKUP(F14,Tableau122214547[],3,0)),"",VLOOKUP(F14,Tableau122214547[],3,0))</f>
        <v>10</v>
      </c>
      <c r="H14" s="219">
        <f t="shared" si="0"/>
        <v>20</v>
      </c>
      <c r="J14" s="27" t="s">
        <v>159</v>
      </c>
      <c r="K14" s="6">
        <f t="shared" si="7"/>
        <v>8</v>
      </c>
      <c r="L14" s="6">
        <f t="shared" si="8"/>
        <v>10</v>
      </c>
      <c r="M14" s="6">
        <f t="shared" si="9"/>
        <v>20</v>
      </c>
      <c r="N14" s="19"/>
      <c r="O14" s="12">
        <f t="shared" si="5"/>
        <v>12</v>
      </c>
      <c r="P14">
        <v>5</v>
      </c>
      <c r="Q14">
        <f t="shared" si="6"/>
        <v>6</v>
      </c>
      <c r="R14">
        <f>2*Tableau12204443[[#This Row],[Enduro]]</f>
        <v>12</v>
      </c>
    </row>
    <row r="15" spans="1:18" x14ac:dyDescent="0.25">
      <c r="A15" s="52">
        <f t="shared" si="4"/>
        <v>13</v>
      </c>
      <c r="B15" s="1" t="s">
        <v>21</v>
      </c>
      <c r="C15" s="1" t="str">
        <f>VLOOKUP(Tableau2468[[#This Row],[Pilote]],Tableau2[[Pilote]:[Voiture]],2,0)</f>
        <v>Mini</v>
      </c>
      <c r="D15" s="41" t="s">
        <v>162</v>
      </c>
      <c r="E15" s="40">
        <f>IF(ISNA(VLOOKUP(D15,Tableau122214547[],2,0)),"",VLOOKUP(D15,Tableau122214547[],2,0))</f>
        <v>4</v>
      </c>
      <c r="F15" s="41" t="s">
        <v>160</v>
      </c>
      <c r="G15" s="40">
        <f>IF(ISNA(VLOOKUP(F15,Tableau122214547[],3,0)),"",VLOOKUP(F15,Tableau122214547[],3,0))</f>
        <v>8</v>
      </c>
      <c r="H15" s="219">
        <f t="shared" si="0"/>
        <v>12</v>
      </c>
      <c r="J15" s="15" t="s">
        <v>160</v>
      </c>
      <c r="K15" s="6">
        <f t="shared" si="7"/>
        <v>6</v>
      </c>
      <c r="L15" s="6">
        <f t="shared" si="8"/>
        <v>8</v>
      </c>
      <c r="M15" s="6">
        <f t="shared" si="9"/>
        <v>16</v>
      </c>
      <c r="N15" s="19"/>
      <c r="O15" s="12">
        <f t="shared" si="5"/>
        <v>13</v>
      </c>
      <c r="P15">
        <v>4</v>
      </c>
      <c r="Q15">
        <f t="shared" si="6"/>
        <v>5</v>
      </c>
      <c r="R15">
        <f>2*Tableau12204443[[#This Row],[Enduro]]</f>
        <v>10</v>
      </c>
    </row>
    <row r="16" spans="1:18" x14ac:dyDescent="0.25">
      <c r="A16" s="52">
        <f t="shared" si="4"/>
        <v>14</v>
      </c>
      <c r="B16" s="1" t="s">
        <v>28</v>
      </c>
      <c r="C16" s="1" t="str">
        <f>VLOOKUP(Tableau2468[[#This Row],[Pilote]],Tableau2[[Pilote]:[Voiture]],2,0)</f>
        <v>Honda</v>
      </c>
      <c r="D16" s="41" t="s">
        <v>161</v>
      </c>
      <c r="E16" s="40">
        <f>IF(ISNA(VLOOKUP(D16,Tableau122214547[],2,0)),"",VLOOKUP(D16,Tableau122214547[],2,0))</f>
        <v>5</v>
      </c>
      <c r="F16" s="41" t="s">
        <v>161</v>
      </c>
      <c r="G16" s="40">
        <f>IF(ISNA(VLOOKUP(F16,Tableau122214547[],3,0)),"",VLOOKUP(F16,Tableau122214547[],3,0))</f>
        <v>6</v>
      </c>
      <c r="H16" s="219">
        <f t="shared" si="0"/>
        <v>11</v>
      </c>
      <c r="J16" s="15" t="s">
        <v>161</v>
      </c>
      <c r="K16" s="6">
        <f t="shared" si="7"/>
        <v>5</v>
      </c>
      <c r="L16" s="6">
        <f t="shared" si="8"/>
        <v>6</v>
      </c>
      <c r="M16" s="6">
        <f t="shared" si="9"/>
        <v>12</v>
      </c>
      <c r="N16" s="19"/>
      <c r="O16" s="12">
        <f t="shared" si="5"/>
        <v>14</v>
      </c>
      <c r="P16">
        <v>3</v>
      </c>
      <c r="Q16">
        <f t="shared" si="6"/>
        <v>4</v>
      </c>
      <c r="R16">
        <f>2*Tableau12204443[[#This Row],[Enduro]]</f>
        <v>8</v>
      </c>
    </row>
    <row r="17" spans="1:18" x14ac:dyDescent="0.25">
      <c r="A17" s="52">
        <f t="shared" si="4"/>
        <v>15</v>
      </c>
      <c r="B17" s="1" t="s">
        <v>173</v>
      </c>
      <c r="C17" s="1" t="str">
        <f>VLOOKUP(Tableau2468[[#This Row],[Pilote]],Tableau2[[Pilote]:[Voiture]],2,0)</f>
        <v>Nissan</v>
      </c>
      <c r="D17" s="41" t="s">
        <v>160</v>
      </c>
      <c r="E17" s="40">
        <f>IF(ISNA(VLOOKUP(D17,Tableau122214547[],2,0)),"",VLOOKUP(D17,Tableau122214547[],2,0))</f>
        <v>6</v>
      </c>
      <c r="F17" s="41" t="s">
        <v>163</v>
      </c>
      <c r="G17" s="40">
        <f>IF(ISNA(VLOOKUP(F17,Tableau122214547[],3,0)),"",VLOOKUP(F17,Tableau122214547[],3,0))</f>
        <v>4</v>
      </c>
      <c r="H17" s="219">
        <f t="shared" si="0"/>
        <v>10</v>
      </c>
      <c r="J17" s="15" t="s">
        <v>162</v>
      </c>
      <c r="K17" s="6">
        <f t="shared" si="7"/>
        <v>4</v>
      </c>
      <c r="L17" s="6">
        <f t="shared" si="8"/>
        <v>5</v>
      </c>
      <c r="M17" s="6">
        <f t="shared" si="9"/>
        <v>10</v>
      </c>
      <c r="N17" s="19"/>
      <c r="O17" s="12">
        <f t="shared" si="5"/>
        <v>15</v>
      </c>
      <c r="P17">
        <v>2</v>
      </c>
      <c r="Q17">
        <f t="shared" si="6"/>
        <v>3</v>
      </c>
      <c r="R17">
        <f>2*Tableau12204443[[#This Row],[Enduro]]</f>
        <v>6</v>
      </c>
    </row>
    <row r="18" spans="1:18" x14ac:dyDescent="0.25">
      <c r="A18" s="53">
        <f t="shared" si="4"/>
        <v>16</v>
      </c>
      <c r="B18" s="1" t="s">
        <v>13</v>
      </c>
      <c r="C18" s="1" t="str">
        <f>VLOOKUP(Tableau2468[[#This Row],[Pilote]],Tableau2[[Pilote]:[Voiture]],2,0)</f>
        <v>Abarth</v>
      </c>
      <c r="D18" s="41" t="s">
        <v>164</v>
      </c>
      <c r="E18" s="40">
        <f>IF(ISNA(VLOOKUP(D18,Tableau122214547[],2,0)),"",VLOOKUP(D18,Tableau122214547[],2,0))</f>
        <v>2</v>
      </c>
      <c r="F18" s="41" t="s">
        <v>162</v>
      </c>
      <c r="G18" s="40">
        <f>IF(ISNA(VLOOKUP(F18,Tableau122214547[],3,0)),"",VLOOKUP(F18,Tableau122214547[],3,0))</f>
        <v>5</v>
      </c>
      <c r="H18" s="219">
        <f t="shared" si="0"/>
        <v>7</v>
      </c>
      <c r="J18" s="15" t="s">
        <v>163</v>
      </c>
      <c r="K18" s="6">
        <f t="shared" si="7"/>
        <v>3</v>
      </c>
      <c r="L18" s="6">
        <f t="shared" si="8"/>
        <v>4</v>
      </c>
      <c r="M18" s="6">
        <f t="shared" si="9"/>
        <v>8</v>
      </c>
      <c r="N18" s="19"/>
      <c r="O18" s="12">
        <f t="shared" si="5"/>
        <v>16</v>
      </c>
      <c r="P18">
        <v>1</v>
      </c>
      <c r="Q18">
        <f t="shared" si="6"/>
        <v>2</v>
      </c>
      <c r="R18">
        <f>2*Tableau12204443[[#This Row],[Enduro]]</f>
        <v>4</v>
      </c>
    </row>
    <row r="19" spans="1:18" ht="15.75" thickBot="1" x14ac:dyDescent="0.3">
      <c r="A19" s="53">
        <f t="shared" si="4"/>
        <v>17</v>
      </c>
      <c r="B19" s="1" t="s">
        <v>26</v>
      </c>
      <c r="C19" s="195" t="str">
        <f>VLOOKUP(Tableau2468[[#This Row],[Pilote]],Tableau2[[Pilote]:[Voiture]],2,0)</f>
        <v>Alfa Romeo</v>
      </c>
      <c r="D19" s="41" t="s">
        <v>163</v>
      </c>
      <c r="E19" s="40">
        <f>IF(ISNA(VLOOKUP(D19,Tableau122214547[],2,0)),"",VLOOKUP(D19,Tableau122214547[],2,0))</f>
        <v>3</v>
      </c>
      <c r="F19" s="41" t="s">
        <v>164</v>
      </c>
      <c r="G19" s="40">
        <f>IF(ISNA(VLOOKUP(F19,Tableau122214547[],3,0)),"",VLOOKUP(F19,Tableau122214547[],3,0))</f>
        <v>3</v>
      </c>
      <c r="H19" s="219">
        <f t="shared" si="0"/>
        <v>6</v>
      </c>
      <c r="J19" s="15" t="s">
        <v>164</v>
      </c>
      <c r="K19" s="6">
        <f t="shared" si="7"/>
        <v>2</v>
      </c>
      <c r="L19" s="6">
        <f t="shared" si="8"/>
        <v>3</v>
      </c>
      <c r="M19" s="6">
        <f t="shared" si="9"/>
        <v>6</v>
      </c>
    </row>
    <row r="20" spans="1:18" ht="15.75" thickTop="1" x14ac:dyDescent="0.25">
      <c r="A20" s="53">
        <f t="shared" si="4"/>
        <v>18</v>
      </c>
      <c r="B20" s="187" t="s">
        <v>19</v>
      </c>
      <c r="C20" s="188" t="str">
        <f>VLOOKUP(Tableau2468[[#This Row],[Pilote]],Tableau2[[Pilote]:[Voiture]],2,0)</f>
        <v>Alfa Romeo</v>
      </c>
      <c r="D20" s="41" t="s">
        <v>165</v>
      </c>
      <c r="E20" s="189">
        <f>IF(ISNA(VLOOKUP(D20,Tableau122214547[],2,0)),"",VLOOKUP(D20,Tableau122214547[],2,0))</f>
        <v>1</v>
      </c>
      <c r="F20" s="41" t="s">
        <v>165</v>
      </c>
      <c r="G20" s="189">
        <f>IF(ISNA(VLOOKUP(F20,Tableau122214547[],3,0)),"",VLOOKUP(F20,Tableau122214547[],3,0))</f>
        <v>2</v>
      </c>
      <c r="H20" s="219">
        <f t="shared" si="0"/>
        <v>3</v>
      </c>
      <c r="J20" s="15" t="s">
        <v>165</v>
      </c>
      <c r="K20" s="6">
        <f t="shared" si="7"/>
        <v>1</v>
      </c>
      <c r="L20" s="6">
        <f t="shared" si="8"/>
        <v>2</v>
      </c>
      <c r="M20" s="6">
        <f t="shared" si="9"/>
        <v>4</v>
      </c>
      <c r="O20" s="248" t="s">
        <v>36</v>
      </c>
      <c r="P20" s="250"/>
      <c r="Q20" s="266" t="s">
        <v>34</v>
      </c>
      <c r="R20" s="267"/>
    </row>
    <row r="21" spans="1:18" ht="15.75" thickBot="1" x14ac:dyDescent="0.3">
      <c r="J21" s="137"/>
      <c r="K21" s="138"/>
      <c r="L21" s="17">
        <f t="shared" ref="L21:L23" si="10">IF((Q12+L$12-(VLOOKUP((ROUNDUP($Q$21,0)),$O$3:$R$18,3)-1))&gt;L$12,Q12+L$12-(VLOOKUP((ROUNDUP($Q$21,0)),$O$3:$R$18,3)-1),)</f>
        <v>0</v>
      </c>
      <c r="M21" s="17">
        <f t="shared" ref="M21:M23" si="11">IF((R12+M$12-(VLOOKUP((ROUNDUP($Q$21,0)),$O$3:$R$18,4)-1))&gt;M$12,R12+M$12-(VLOOKUP((ROUNDUP($Q$21,0)),$O$3:$R$18,4)-1),)</f>
        <v>0</v>
      </c>
      <c r="O21" s="263">
        <v>18</v>
      </c>
      <c r="P21" s="264"/>
      <c r="Q21" s="268">
        <f>O21/2</f>
        <v>9</v>
      </c>
      <c r="R21" s="269"/>
    </row>
    <row r="22" spans="1:18" ht="15.75" thickTop="1" x14ac:dyDescent="0.25">
      <c r="A22" s="251" t="s">
        <v>180</v>
      </c>
      <c r="B22" s="251"/>
      <c r="C22" s="251"/>
      <c r="D22" s="251"/>
      <c r="E22" s="251"/>
      <c r="J22" s="137"/>
      <c r="K22" s="138"/>
      <c r="L22" s="17">
        <f t="shared" si="10"/>
        <v>0</v>
      </c>
      <c r="M22" s="17">
        <f t="shared" si="11"/>
        <v>0</v>
      </c>
      <c r="O22" s="252" t="s">
        <v>42</v>
      </c>
      <c r="P22" s="253"/>
      <c r="Q22" s="253"/>
      <c r="R22" s="254"/>
    </row>
    <row r="23" spans="1:18" ht="15.75" thickBot="1" x14ac:dyDescent="0.3">
      <c r="A23" s="54" t="s">
        <v>3</v>
      </c>
      <c r="B23" t="s">
        <v>5</v>
      </c>
      <c r="C23" s="19" t="s">
        <v>179</v>
      </c>
      <c r="D23" s="147" t="s">
        <v>181</v>
      </c>
      <c r="E23" s="147" t="s">
        <v>182</v>
      </c>
      <c r="J23" s="137"/>
      <c r="K23" s="138"/>
      <c r="L23" s="17">
        <f t="shared" si="10"/>
        <v>0</v>
      </c>
      <c r="M23" s="17">
        <f t="shared" si="11"/>
        <v>0</v>
      </c>
      <c r="O23" s="255">
        <f>SUM(Tableau2346[Pts.])/O21</f>
        <v>27.833333333333332</v>
      </c>
      <c r="P23" s="256"/>
      <c r="Q23" s="256"/>
      <c r="R23" s="257"/>
    </row>
    <row r="24" spans="1:18" ht="15.75" thickTop="1" x14ac:dyDescent="0.25">
      <c r="A24" s="128" t="s">
        <v>141</v>
      </c>
      <c r="B24" s="145" t="s">
        <v>24</v>
      </c>
      <c r="C24" s="141">
        <v>1.0737847222222223E-3</v>
      </c>
      <c r="D24" s="148" t="e">
        <f>Tableau448[[#This Row],[Chrono]]-C23</f>
        <v>#VALUE!</v>
      </c>
      <c r="E24" s="150">
        <f>Tableau448[[#This Row],[Chrono]]-$C$24</f>
        <v>0</v>
      </c>
    </row>
    <row r="25" spans="1:18" x14ac:dyDescent="0.25">
      <c r="A25" s="129" t="s">
        <v>142</v>
      </c>
      <c r="B25" s="145" t="s">
        <v>31</v>
      </c>
      <c r="C25" s="141">
        <v>1.0740162037037038E-3</v>
      </c>
      <c r="D25" s="149">
        <f>Tableau448[[#This Row],[Chrono]]-C24</f>
        <v>2.3148148148148008E-7</v>
      </c>
      <c r="E25" s="151">
        <f>Tableau448[[#This Row],[Chrono]]-$C$24</f>
        <v>2.3148148148148008E-7</v>
      </c>
    </row>
    <row r="26" spans="1:18" x14ac:dyDescent="0.25">
      <c r="A26" s="130" t="s">
        <v>143</v>
      </c>
      <c r="B26" s="145" t="s">
        <v>7</v>
      </c>
      <c r="C26" s="141">
        <v>1.0761805555555557E-3</v>
      </c>
      <c r="D26" s="148">
        <f>Tableau448[[#This Row],[Chrono]]-C25</f>
        <v>2.1643518518519363E-6</v>
      </c>
      <c r="E26" s="150">
        <f>Tableau448[[#This Row],[Chrono]]-$C$24</f>
        <v>2.3958333333334164E-6</v>
      </c>
    </row>
    <row r="27" spans="1:18" x14ac:dyDescent="0.25">
      <c r="A27" s="131" t="s">
        <v>144</v>
      </c>
      <c r="B27" s="146" t="s">
        <v>15</v>
      </c>
      <c r="C27" s="142">
        <v>1.0802662037037037E-3</v>
      </c>
      <c r="D27" s="149">
        <f>Tableau448[[#This Row],[Chrono]]-C26</f>
        <v>4.0856481481480258E-6</v>
      </c>
      <c r="E27" s="151">
        <f>Tableau448[[#This Row],[Chrono]]-$C$24</f>
        <v>6.4814814814814423E-6</v>
      </c>
    </row>
    <row r="28" spans="1:18" x14ac:dyDescent="0.25">
      <c r="A28" s="131" t="s">
        <v>145</v>
      </c>
      <c r="B28" s="145" t="s">
        <v>177</v>
      </c>
      <c r="C28" s="142">
        <v>1.0812615740740741E-3</v>
      </c>
      <c r="D28" s="149">
        <f>Tableau448[[#This Row],[Chrono]]-C27</f>
        <v>9.9537037037038603E-7</v>
      </c>
      <c r="E28" s="151">
        <f>Tableau448[[#This Row],[Chrono]]-$C$24</f>
        <v>7.4768518518518283E-6</v>
      </c>
    </row>
    <row r="29" spans="1:18" x14ac:dyDescent="0.25">
      <c r="A29" s="131" t="s">
        <v>146</v>
      </c>
      <c r="B29" s="146" t="s">
        <v>9</v>
      </c>
      <c r="C29" s="141">
        <v>1.0818750000000002E-3</v>
      </c>
      <c r="D29" s="149">
        <f>Tableau448[[#This Row],[Chrono]]-C28</f>
        <v>6.1342592592604148E-7</v>
      </c>
      <c r="E29" s="151">
        <f>Tableau448[[#This Row],[Chrono]]-$C$24</f>
        <v>8.0902777777778698E-6</v>
      </c>
    </row>
    <row r="30" spans="1:18" x14ac:dyDescent="0.25">
      <c r="A30" s="131" t="s">
        <v>147</v>
      </c>
      <c r="B30" s="146" t="s">
        <v>175</v>
      </c>
      <c r="C30" s="142">
        <v>1.0822222222222223E-3</v>
      </c>
      <c r="D30" s="148">
        <f>Tableau448[[#This Row],[Chrono]]-C29</f>
        <v>3.472222222221117E-7</v>
      </c>
      <c r="E30" s="150">
        <f>Tableau448[[#This Row],[Chrono]]-$C$24</f>
        <v>8.4374999999999815E-6</v>
      </c>
    </row>
    <row r="31" spans="1:18" x14ac:dyDescent="0.25">
      <c r="A31" s="131" t="s">
        <v>148</v>
      </c>
      <c r="B31" s="146" t="s">
        <v>174</v>
      </c>
      <c r="C31" s="141">
        <v>1.0835185185185186E-3</v>
      </c>
      <c r="D31" s="149">
        <f>Tableau448[[#This Row],[Chrono]]-C30</f>
        <v>1.2962962962963318E-6</v>
      </c>
      <c r="E31" s="151">
        <f>Tableau448[[#This Row],[Chrono]]-$C$24</f>
        <v>9.7337962962963133E-6</v>
      </c>
    </row>
    <row r="32" spans="1:18" ht="15.75" thickBot="1" x14ac:dyDescent="0.3">
      <c r="A32" s="144" t="s">
        <v>149</v>
      </c>
      <c r="B32" s="154" t="s">
        <v>11</v>
      </c>
      <c r="C32" s="171">
        <v>1.0886921296296296E-3</v>
      </c>
      <c r="D32" s="173">
        <f>Tableau448[[#This Row],[Chrono]]-C31</f>
        <v>5.1736111111109605E-6</v>
      </c>
      <c r="E32" s="175">
        <f>Tableau448[[#This Row],[Chrono]]-$C$24</f>
        <v>1.4907407407407274E-5</v>
      </c>
    </row>
    <row r="33" spans="1:6" x14ac:dyDescent="0.25">
      <c r="A33" s="143" t="s">
        <v>157</v>
      </c>
      <c r="B33" s="145" t="s">
        <v>21</v>
      </c>
      <c r="C33" s="152">
        <v>1.0890277777777777E-3</v>
      </c>
      <c r="D33" s="148">
        <f>Tableau448[[#This Row],[Chrono]]-C32</f>
        <v>3.3564814814817864E-7</v>
      </c>
      <c r="E33" s="150">
        <f>Tableau448[[#This Row],[Chrono]]-$C$24</f>
        <v>1.5243055555555452E-5</v>
      </c>
    </row>
    <row r="34" spans="1:6" x14ac:dyDescent="0.25">
      <c r="A34" s="133" t="s">
        <v>158</v>
      </c>
      <c r="B34" s="145" t="s">
        <v>17</v>
      </c>
      <c r="C34" s="142">
        <v>1.0953703703703702E-3</v>
      </c>
      <c r="D34" s="148">
        <f>Tableau448[[#This Row],[Chrono]]-C33</f>
        <v>6.3425925925925108E-6</v>
      </c>
      <c r="E34" s="150">
        <f>Tableau448[[#This Row],[Chrono]]-$C$24</f>
        <v>2.1585648148147963E-5</v>
      </c>
    </row>
    <row r="35" spans="1:6" x14ac:dyDescent="0.25">
      <c r="A35" s="134" t="s">
        <v>159</v>
      </c>
      <c r="B35" s="146" t="s">
        <v>173</v>
      </c>
      <c r="C35" s="141">
        <v>1.0970717592592592E-3</v>
      </c>
      <c r="D35" s="148">
        <f>Tableau448[[#This Row],[Chrono]]-C34</f>
        <v>1.7013888888889762E-6</v>
      </c>
      <c r="E35" s="150">
        <f>Tableau448[[#This Row],[Chrono]]-$C$24</f>
        <v>2.328703703703694E-5</v>
      </c>
    </row>
    <row r="36" spans="1:6" x14ac:dyDescent="0.25">
      <c r="A36" s="132" t="s">
        <v>160</v>
      </c>
      <c r="B36" s="146" t="s">
        <v>29</v>
      </c>
      <c r="C36" s="142">
        <v>1.0976851851851853E-3</v>
      </c>
      <c r="D36" s="148">
        <f>Tableau448[[#This Row],[Chrono]]-C35</f>
        <v>6.1342592592604148E-7</v>
      </c>
      <c r="E36" s="150">
        <f>Tableau448[[#This Row],[Chrono]]-$C$24</f>
        <v>2.3900462962962981E-5</v>
      </c>
    </row>
    <row r="37" spans="1:6" x14ac:dyDescent="0.25">
      <c r="A37" s="132" t="s">
        <v>161</v>
      </c>
      <c r="B37" s="145" t="s">
        <v>28</v>
      </c>
      <c r="C37" s="141">
        <v>1.1066782407407408E-3</v>
      </c>
      <c r="D37" s="148">
        <f>Tableau448[[#This Row],[Chrono]]-C36</f>
        <v>8.9930555555554903E-6</v>
      </c>
      <c r="E37" s="150">
        <f>Tableau448[[#This Row],[Chrono]]-$C$24</f>
        <v>3.2893518518518471E-5</v>
      </c>
    </row>
    <row r="38" spans="1:6" x14ac:dyDescent="0.25">
      <c r="A38" s="132" t="s">
        <v>162</v>
      </c>
      <c r="B38" s="146" t="s">
        <v>26</v>
      </c>
      <c r="C38" s="158">
        <v>1.1229166666666666E-3</v>
      </c>
      <c r="D38" s="149">
        <f>Tableau448[[#This Row],[Chrono]]-C37</f>
        <v>1.6238425925925839E-5</v>
      </c>
      <c r="E38" s="151">
        <f>Tableau448[[#This Row],[Chrono]]-$C$24</f>
        <v>4.913194444444431E-5</v>
      </c>
    </row>
    <row r="39" spans="1:6" x14ac:dyDescent="0.25">
      <c r="A39" s="132" t="s">
        <v>163</v>
      </c>
      <c r="B39" s="145" t="s">
        <v>13</v>
      </c>
      <c r="C39" s="141">
        <v>1.1296064814814817E-3</v>
      </c>
      <c r="D39" s="148">
        <f>Tableau448[[#This Row],[Chrono]]-C38</f>
        <v>6.6898148148150562E-6</v>
      </c>
      <c r="E39" s="150">
        <f>Tableau448[[#This Row],[Chrono]]-$C$24</f>
        <v>5.5821759259259366E-5</v>
      </c>
    </row>
    <row r="40" spans="1:6" x14ac:dyDescent="0.25">
      <c r="A40" s="132" t="s">
        <v>164</v>
      </c>
      <c r="B40" s="145" t="s">
        <v>25</v>
      </c>
      <c r="C40" s="158" t="s">
        <v>184</v>
      </c>
      <c r="D40" s="201" t="s">
        <v>183</v>
      </c>
      <c r="E40" s="201" t="s">
        <v>183</v>
      </c>
    </row>
    <row r="41" spans="1:6" x14ac:dyDescent="0.25">
      <c r="A41" s="132" t="s">
        <v>165</v>
      </c>
      <c r="B41" s="146" t="s">
        <v>19</v>
      </c>
      <c r="C41" s="158" t="s">
        <v>184</v>
      </c>
      <c r="D41" s="202" t="s">
        <v>183</v>
      </c>
      <c r="E41" s="202" t="s">
        <v>183</v>
      </c>
    </row>
    <row r="43" spans="1:6" x14ac:dyDescent="0.25">
      <c r="A43" s="251" t="s">
        <v>185</v>
      </c>
      <c r="B43" s="251"/>
      <c r="C43" s="251"/>
      <c r="D43" s="251"/>
      <c r="E43" s="251"/>
      <c r="F43" s="251"/>
    </row>
    <row r="44" spans="1:6" x14ac:dyDescent="0.25">
      <c r="A44" s="54" t="s">
        <v>3</v>
      </c>
      <c r="B44" t="s">
        <v>5</v>
      </c>
      <c r="C44" s="19" t="s">
        <v>179</v>
      </c>
      <c r="D44" s="147" t="s">
        <v>181</v>
      </c>
      <c r="E44" s="147" t="s">
        <v>182</v>
      </c>
      <c r="F44" s="169" t="s">
        <v>187</v>
      </c>
    </row>
    <row r="45" spans="1:6" x14ac:dyDescent="0.25">
      <c r="A45" s="128" t="s">
        <v>141</v>
      </c>
      <c r="B45" s="1" t="s">
        <v>24</v>
      </c>
      <c r="C45" s="141">
        <v>1.0900833333333334E-2</v>
      </c>
      <c r="D45" s="148"/>
      <c r="E45" s="150"/>
      <c r="F45">
        <v>10</v>
      </c>
    </row>
    <row r="46" spans="1:6" x14ac:dyDescent="0.25">
      <c r="A46" s="129" t="s">
        <v>142</v>
      </c>
      <c r="B46" s="1" t="s">
        <v>7</v>
      </c>
      <c r="C46" s="141">
        <v>1.0999861111111111E-2</v>
      </c>
      <c r="D46" s="148">
        <f>Tableau4649[[#This Row],[Chrono]]-C45</f>
        <v>9.9027777777777742E-5</v>
      </c>
      <c r="E46" s="150">
        <f>Tableau4649[[#This Row],[Chrono]]-$C$45</f>
        <v>9.9027777777777742E-5</v>
      </c>
      <c r="F46">
        <v>10</v>
      </c>
    </row>
    <row r="47" spans="1:6" x14ac:dyDescent="0.25">
      <c r="A47" s="130" t="s">
        <v>143</v>
      </c>
      <c r="B47" s="1" t="s">
        <v>15</v>
      </c>
      <c r="C47" s="141">
        <v>1.1042627314814814E-2</v>
      </c>
      <c r="D47" s="149">
        <f>Tableau4649[[#This Row],[Chrono]]-C46</f>
        <v>4.2766203703702849E-5</v>
      </c>
      <c r="E47" s="150">
        <f>Tableau4649[[#This Row],[Chrono]]-$C$45</f>
        <v>1.4179398148148059E-4</v>
      </c>
      <c r="F47">
        <v>10</v>
      </c>
    </row>
    <row r="48" spans="1:6" x14ac:dyDescent="0.25">
      <c r="A48" s="131" t="s">
        <v>144</v>
      </c>
      <c r="B48" s="1" t="s">
        <v>174</v>
      </c>
      <c r="C48" s="142">
        <v>1.1073217592592595E-2</v>
      </c>
      <c r="D48" s="149">
        <f>Tableau4649[[#This Row],[Chrono]]-C47</f>
        <v>3.0590277777780422E-5</v>
      </c>
      <c r="E48" s="150">
        <f>Tableau4649[[#This Row],[Chrono]]-$C$45</f>
        <v>1.7238425925926101E-4</v>
      </c>
      <c r="F48">
        <v>10</v>
      </c>
    </row>
    <row r="49" spans="1:6" x14ac:dyDescent="0.25">
      <c r="A49" s="131" t="s">
        <v>145</v>
      </c>
      <c r="B49" s="1" t="s">
        <v>177</v>
      </c>
      <c r="C49" s="142">
        <v>1.1076111111111111E-2</v>
      </c>
      <c r="D49" s="148">
        <f>Tableau4649[[#This Row],[Chrono]]-C48</f>
        <v>2.8935185185166579E-6</v>
      </c>
      <c r="E49" s="150">
        <f>Tableau4649[[#This Row],[Chrono]]-$C$45</f>
        <v>1.7527777777777767E-4</v>
      </c>
      <c r="F49">
        <v>10</v>
      </c>
    </row>
    <row r="50" spans="1:6" x14ac:dyDescent="0.25">
      <c r="A50" s="131" t="s">
        <v>146</v>
      </c>
      <c r="B50" s="1" t="s">
        <v>175</v>
      </c>
      <c r="C50" s="141">
        <v>1.1077256944444445E-2</v>
      </c>
      <c r="D50" s="172">
        <f>Tableau4649[[#This Row],[Chrono]]-C49</f>
        <v>1.145833333333901E-6</v>
      </c>
      <c r="E50" s="150">
        <f>Tableau4649[[#This Row],[Chrono]]-$C$45</f>
        <v>1.7642361111111157E-4</v>
      </c>
      <c r="F50">
        <v>10</v>
      </c>
    </row>
    <row r="51" spans="1:6" x14ac:dyDescent="0.25">
      <c r="A51" s="131" t="s">
        <v>147</v>
      </c>
      <c r="B51" s="1" t="s">
        <v>31</v>
      </c>
      <c r="C51" s="141">
        <v>1.1119826388888891E-2</v>
      </c>
      <c r="D51" s="148">
        <f>Tableau4649[[#This Row],[Chrono]]-C50</f>
        <v>4.256944444444577E-5</v>
      </c>
      <c r="E51" s="150">
        <f>Tableau4649[[#This Row],[Chrono]]-$C$45</f>
        <v>2.1899305555555734E-4</v>
      </c>
      <c r="F51">
        <v>10</v>
      </c>
    </row>
    <row r="52" spans="1:6" x14ac:dyDescent="0.25">
      <c r="A52" s="131" t="s">
        <v>148</v>
      </c>
      <c r="B52" s="1" t="s">
        <v>9</v>
      </c>
      <c r="C52" s="141">
        <v>1.112847222222222E-2</v>
      </c>
      <c r="D52" s="148">
        <f>Tableau4649[[#This Row],[Chrono]]-C51</f>
        <v>8.6458333333292586E-6</v>
      </c>
      <c r="E52" s="150">
        <f>Tableau4649[[#This Row],[Chrono]]-$C$45</f>
        <v>2.276388888888866E-4</v>
      </c>
      <c r="F52">
        <v>10</v>
      </c>
    </row>
    <row r="53" spans="1:6" ht="15.75" thickBot="1" x14ac:dyDescent="0.3">
      <c r="A53" s="144" t="s">
        <v>149</v>
      </c>
      <c r="B53" s="160" t="s">
        <v>11</v>
      </c>
      <c r="C53" s="171">
        <v>1.1168668981481484E-2</v>
      </c>
      <c r="D53" s="173">
        <f>Tableau4649[[#This Row],[Chrono]]-C52</f>
        <v>4.0196759259264123E-5</v>
      </c>
      <c r="E53" s="175">
        <f>Tableau4649[[#This Row],[Chrono]]-$C$45</f>
        <v>2.6783564814815072E-4</v>
      </c>
      <c r="F53" s="176">
        <v>10</v>
      </c>
    </row>
    <row r="54" spans="1:6" x14ac:dyDescent="0.25">
      <c r="A54" s="143" t="s">
        <v>157</v>
      </c>
      <c r="B54" s="187" t="s">
        <v>25</v>
      </c>
      <c r="C54" s="141">
        <v>1.1095578703703703E-2</v>
      </c>
      <c r="D54" s="148"/>
      <c r="E54" s="150">
        <f>Tableau4649[[#This Row],[Chrono]]-$C$45</f>
        <v>1.9474537037036943E-4</v>
      </c>
      <c r="F54" s="16">
        <v>10</v>
      </c>
    </row>
    <row r="55" spans="1:6" x14ac:dyDescent="0.25">
      <c r="A55" s="133" t="s">
        <v>158</v>
      </c>
      <c r="B55" s="1" t="s">
        <v>17</v>
      </c>
      <c r="C55" s="142">
        <v>1.1130046296296296E-2</v>
      </c>
      <c r="D55" s="148">
        <f>Tableau4649[[#This Row],[Chrono]]-C54</f>
        <v>3.4467592592592883E-5</v>
      </c>
      <c r="E55" s="150">
        <f>Tableau4649[[#This Row],[Chrono]]-$C$45</f>
        <v>2.2921296296296231E-4</v>
      </c>
      <c r="F55">
        <v>10</v>
      </c>
    </row>
    <row r="56" spans="1:6" x14ac:dyDescent="0.25">
      <c r="A56" s="134" t="s">
        <v>159</v>
      </c>
      <c r="B56" s="1" t="s">
        <v>29</v>
      </c>
      <c r="C56" s="142">
        <v>1.1170185185185186E-2</v>
      </c>
      <c r="D56" s="148">
        <f>Tableau4649[[#This Row],[Chrono]]-C55</f>
        <v>4.0138888888889904E-5</v>
      </c>
      <c r="E56" s="150">
        <f>Tableau4649[[#This Row],[Chrono]]-$C$45</f>
        <v>2.6935185185185222E-4</v>
      </c>
      <c r="F56">
        <v>10</v>
      </c>
    </row>
    <row r="57" spans="1:6" x14ac:dyDescent="0.25">
      <c r="A57" s="132" t="s">
        <v>160</v>
      </c>
      <c r="B57" s="1" t="s">
        <v>173</v>
      </c>
      <c r="C57" s="141">
        <v>1.1193495370370369E-2</v>
      </c>
      <c r="D57" s="149">
        <f>Tableau4649[[#This Row],[Chrono]]-C56</f>
        <v>2.3310185185183505E-5</v>
      </c>
      <c r="E57" s="150">
        <f>Tableau4649[[#This Row],[Chrono]]-$C$45</f>
        <v>2.9266203703703572E-4</v>
      </c>
      <c r="F57">
        <v>10</v>
      </c>
    </row>
    <row r="58" spans="1:6" x14ac:dyDescent="0.25">
      <c r="A58" s="132" t="s">
        <v>161</v>
      </c>
      <c r="B58" s="1" t="s">
        <v>28</v>
      </c>
      <c r="C58" s="142">
        <v>1.1222025462962963E-2</v>
      </c>
      <c r="D58" s="148">
        <f>Tableau4649[[#This Row],[Chrono]]-C57</f>
        <v>2.8530092592593884E-5</v>
      </c>
      <c r="E58" s="150">
        <f>Tableau4649[[#This Row],[Chrono]]-$C$45</f>
        <v>3.2119212962962961E-4</v>
      </c>
      <c r="F58">
        <v>10</v>
      </c>
    </row>
    <row r="59" spans="1:6" x14ac:dyDescent="0.25">
      <c r="A59" s="132" t="s">
        <v>162</v>
      </c>
      <c r="B59" s="1" t="s">
        <v>21</v>
      </c>
      <c r="C59" s="158">
        <v>1.1224386574074074E-2</v>
      </c>
      <c r="D59" s="149">
        <f>Tableau4649[[#This Row],[Chrono]]-C58</f>
        <v>2.3611111111109667E-6</v>
      </c>
      <c r="E59" s="150">
        <f>Tableau4649[[#This Row],[Chrono]]-$C$45</f>
        <v>3.2355324074074057E-4</v>
      </c>
      <c r="F59">
        <v>10</v>
      </c>
    </row>
    <row r="60" spans="1:6" x14ac:dyDescent="0.25">
      <c r="A60" s="132" t="s">
        <v>163</v>
      </c>
      <c r="B60" s="1" t="s">
        <v>26</v>
      </c>
      <c r="C60" s="141">
        <v>1.1507476851851854E-2</v>
      </c>
      <c r="D60" s="149">
        <f>Tableau4649[[#This Row],[Chrono]]-C59</f>
        <v>2.8309027777777968E-4</v>
      </c>
      <c r="E60" s="150">
        <f>Tableau4649[[#This Row],[Chrono]]-$C$45</f>
        <v>6.0664351851852025E-4</v>
      </c>
      <c r="F60">
        <v>10</v>
      </c>
    </row>
    <row r="61" spans="1:6" x14ac:dyDescent="0.25">
      <c r="A61" s="132" t="s">
        <v>164</v>
      </c>
      <c r="B61" s="1" t="s">
        <v>13</v>
      </c>
      <c r="C61" s="142">
        <v>1.1514803240740739E-2</v>
      </c>
      <c r="D61" s="149">
        <f>Tableau4649[[#This Row],[Chrono]]-C60</f>
        <v>7.3263888888848439E-6</v>
      </c>
      <c r="E61" s="150">
        <f>Tableau4649[[#This Row],[Chrono]]-$C$45</f>
        <v>6.1396990740740509E-4</v>
      </c>
      <c r="F61">
        <v>10</v>
      </c>
    </row>
    <row r="62" spans="1:6" x14ac:dyDescent="0.25">
      <c r="A62" s="132" t="s">
        <v>165</v>
      </c>
      <c r="B62" s="187" t="s">
        <v>19</v>
      </c>
      <c r="C62" s="158" t="s">
        <v>192</v>
      </c>
      <c r="D62" s="148" t="s">
        <v>183</v>
      </c>
      <c r="E62" s="148" t="s">
        <v>183</v>
      </c>
      <c r="F62" t="s">
        <v>183</v>
      </c>
    </row>
    <row r="64" spans="1:6" x14ac:dyDescent="0.25">
      <c r="A64" s="251" t="s">
        <v>186</v>
      </c>
      <c r="B64" s="251"/>
      <c r="C64" s="251"/>
      <c r="D64" s="251"/>
      <c r="E64" s="251"/>
      <c r="F64" s="251"/>
    </row>
    <row r="65" spans="1:6" x14ac:dyDescent="0.25">
      <c r="A65" s="54" t="s">
        <v>3</v>
      </c>
      <c r="B65" t="s">
        <v>5</v>
      </c>
      <c r="C65" s="19" t="s">
        <v>179</v>
      </c>
      <c r="D65" s="147" t="s">
        <v>181</v>
      </c>
      <c r="E65" s="147" t="s">
        <v>182</v>
      </c>
      <c r="F65" s="169" t="s">
        <v>187</v>
      </c>
    </row>
    <row r="66" spans="1:6" x14ac:dyDescent="0.25">
      <c r="A66" s="128" t="s">
        <v>141</v>
      </c>
      <c r="B66" s="1" t="s">
        <v>24</v>
      </c>
      <c r="C66" s="141">
        <v>2.8746689814814815E-2</v>
      </c>
      <c r="D66" s="148"/>
      <c r="E66" s="148"/>
      <c r="F66">
        <v>26</v>
      </c>
    </row>
    <row r="67" spans="1:6" x14ac:dyDescent="0.25">
      <c r="A67" s="129" t="s">
        <v>142</v>
      </c>
      <c r="B67" s="1" t="s">
        <v>7</v>
      </c>
      <c r="C67" s="141">
        <v>2.8880219907407408E-2</v>
      </c>
      <c r="D67" s="172">
        <f>Tableau464150[[#This Row],[Chrono]]-C66</f>
        <v>1.3353009259259307E-4</v>
      </c>
      <c r="E67" s="172">
        <f>Tableau464150[[#This Row],[Chrono]]-$C$66</f>
        <v>1.3353009259259307E-4</v>
      </c>
      <c r="F67">
        <v>26</v>
      </c>
    </row>
    <row r="68" spans="1:6" x14ac:dyDescent="0.25">
      <c r="A68" s="130" t="s">
        <v>143</v>
      </c>
      <c r="B68" s="1" t="s">
        <v>15</v>
      </c>
      <c r="C68" s="152">
        <v>2.8988078703703703E-2</v>
      </c>
      <c r="D68" s="148">
        <f>Tableau464150[[#This Row],[Chrono]]-C67</f>
        <v>1.0785879629629513E-4</v>
      </c>
      <c r="E68" s="149">
        <f>Tableau464150[[#This Row],[Chrono]]-$C$66</f>
        <v>2.4138888888888821E-4</v>
      </c>
      <c r="F68">
        <v>26</v>
      </c>
    </row>
    <row r="69" spans="1:6" x14ac:dyDescent="0.25">
      <c r="A69" s="131" t="s">
        <v>144</v>
      </c>
      <c r="B69" s="1" t="s">
        <v>175</v>
      </c>
      <c r="C69" s="142">
        <v>2.9072627314814817E-2</v>
      </c>
      <c r="D69" s="148">
        <f>Tableau464150[[#This Row],[Chrono]]-C68</f>
        <v>8.4548611111113364E-5</v>
      </c>
      <c r="E69" s="149">
        <f>Tableau464150[[#This Row],[Chrono]]-$C$66</f>
        <v>3.2593750000000157E-4</v>
      </c>
      <c r="F69">
        <v>26</v>
      </c>
    </row>
    <row r="70" spans="1:6" x14ac:dyDescent="0.25">
      <c r="A70" s="131" t="s">
        <v>145</v>
      </c>
      <c r="B70" s="1" t="s">
        <v>177</v>
      </c>
      <c r="C70" s="141">
        <v>2.9082766203703703E-2</v>
      </c>
      <c r="D70" s="149">
        <f>Tableau464150[[#This Row],[Chrono]]-C69</f>
        <v>1.0138888888885922E-5</v>
      </c>
      <c r="E70" s="149">
        <f>Tableau464150[[#This Row],[Chrono]]-$C$66</f>
        <v>3.360763888888875E-4</v>
      </c>
      <c r="F70">
        <v>26</v>
      </c>
    </row>
    <row r="71" spans="1:6" x14ac:dyDescent="0.25">
      <c r="A71" s="131" t="s">
        <v>146</v>
      </c>
      <c r="B71" s="1" t="s">
        <v>31</v>
      </c>
      <c r="C71" s="142">
        <v>2.9261145833333332E-2</v>
      </c>
      <c r="D71" s="149">
        <f>Tableau464150[[#This Row],[Chrono]]-C70</f>
        <v>1.7837962962962903E-4</v>
      </c>
      <c r="E71" s="149">
        <f>Tableau464150[[#This Row],[Chrono]]-$C$66</f>
        <v>5.1445601851851652E-4</v>
      </c>
      <c r="F71">
        <v>26</v>
      </c>
    </row>
    <row r="72" spans="1:6" x14ac:dyDescent="0.25">
      <c r="A72" s="131" t="s">
        <v>147</v>
      </c>
      <c r="B72" s="208" t="s">
        <v>9</v>
      </c>
      <c r="C72" s="141">
        <v>2.9299131944444445E-2</v>
      </c>
      <c r="D72" s="148">
        <f>Tableau464150[[#This Row],[Chrono]]-C71</f>
        <v>3.7986111111113635E-5</v>
      </c>
      <c r="E72" s="149">
        <f>Tableau464150[[#This Row],[Chrono]]-$C$66</f>
        <v>5.5244212962963016E-4</v>
      </c>
      <c r="F72">
        <v>26</v>
      </c>
    </row>
    <row r="73" spans="1:6" x14ac:dyDescent="0.25">
      <c r="A73" s="131" t="s">
        <v>148</v>
      </c>
      <c r="B73" s="208" t="s">
        <v>11</v>
      </c>
      <c r="C73" s="141">
        <v>2.8828773148148149E-2</v>
      </c>
      <c r="D73" s="203" t="s">
        <v>191</v>
      </c>
      <c r="E73" s="203" t="s">
        <v>191</v>
      </c>
      <c r="F73">
        <v>25</v>
      </c>
    </row>
    <row r="74" spans="1:6" ht="15.75" thickBot="1" x14ac:dyDescent="0.3">
      <c r="A74" s="144" t="s">
        <v>149</v>
      </c>
      <c r="B74" s="209" t="s">
        <v>174</v>
      </c>
      <c r="C74" s="180">
        <v>2.8848368055555556E-2</v>
      </c>
      <c r="D74" s="173">
        <f>Tableau464150[[#This Row],[Chrono]]-C73</f>
        <v>1.9594907407407408E-5</v>
      </c>
      <c r="E74" s="155" t="s">
        <v>191</v>
      </c>
      <c r="F74" s="176">
        <v>25</v>
      </c>
    </row>
    <row r="75" spans="1:6" x14ac:dyDescent="0.25">
      <c r="A75" s="143" t="s">
        <v>157</v>
      </c>
      <c r="B75" s="187" t="s">
        <v>25</v>
      </c>
      <c r="C75" s="158">
        <v>2.7966064814814812E-2</v>
      </c>
      <c r="D75" s="149"/>
      <c r="E75" s="149" t="s">
        <v>191</v>
      </c>
      <c r="F75">
        <v>25</v>
      </c>
    </row>
    <row r="76" spans="1:6" x14ac:dyDescent="0.25">
      <c r="A76" s="182" t="s">
        <v>158</v>
      </c>
      <c r="B76" s="1" t="s">
        <v>29</v>
      </c>
      <c r="C76" s="142">
        <v>2.8153101851851853E-2</v>
      </c>
      <c r="D76" s="148">
        <f>Tableau464150[[#This Row],[Chrono]]-C75</f>
        <v>1.8703703703704111E-4</v>
      </c>
      <c r="E76" s="149" t="s">
        <v>191</v>
      </c>
      <c r="F76">
        <v>25</v>
      </c>
    </row>
    <row r="77" spans="1:6" x14ac:dyDescent="0.25">
      <c r="A77" s="183" t="s">
        <v>159</v>
      </c>
      <c r="B77" s="1" t="s">
        <v>17</v>
      </c>
      <c r="C77" s="141">
        <v>2.8256006944444443E-2</v>
      </c>
      <c r="D77" s="172">
        <f>Tableau464150[[#This Row],[Chrono]]-C76</f>
        <v>1.029050925925902E-4</v>
      </c>
      <c r="E77" s="172" t="s">
        <v>191</v>
      </c>
      <c r="F77" s="16">
        <v>25</v>
      </c>
    </row>
    <row r="78" spans="1:6" x14ac:dyDescent="0.25">
      <c r="A78" s="181" t="s">
        <v>160</v>
      </c>
      <c r="B78" s="1" t="s">
        <v>21</v>
      </c>
      <c r="C78" s="141">
        <v>2.8289988425925925E-2</v>
      </c>
      <c r="D78" s="148">
        <f>Tableau464150[[#This Row],[Chrono]]-C77</f>
        <v>3.3981481481482056E-5</v>
      </c>
      <c r="E78" s="149" t="s">
        <v>191</v>
      </c>
      <c r="F78">
        <v>25</v>
      </c>
    </row>
    <row r="79" spans="1:6" x14ac:dyDescent="0.25">
      <c r="A79" s="132" t="s">
        <v>161</v>
      </c>
      <c r="B79" s="1" t="s">
        <v>28</v>
      </c>
      <c r="C79" s="142">
        <v>2.8314872685185188E-2</v>
      </c>
      <c r="D79" s="148">
        <f>Tableau464150[[#This Row],[Chrono]]-C78</f>
        <v>2.4884259259262687E-5</v>
      </c>
      <c r="E79" s="149" t="s">
        <v>191</v>
      </c>
      <c r="F79">
        <v>25</v>
      </c>
    </row>
    <row r="80" spans="1:6" x14ac:dyDescent="0.25">
      <c r="A80" s="132" t="s">
        <v>162</v>
      </c>
      <c r="B80" s="1" t="s">
        <v>13</v>
      </c>
      <c r="C80" s="141">
        <v>2.8894918981481481E-2</v>
      </c>
      <c r="D80" s="149">
        <f>Tableau464150[[#This Row],[Chrono]]-C79</f>
        <v>5.8004629629629378E-4</v>
      </c>
      <c r="E80" s="149" t="s">
        <v>191</v>
      </c>
      <c r="F80">
        <v>25</v>
      </c>
    </row>
    <row r="81" spans="1:9" x14ac:dyDescent="0.25">
      <c r="A81" s="132" t="s">
        <v>163</v>
      </c>
      <c r="B81" s="1" t="s">
        <v>173</v>
      </c>
      <c r="C81" s="179" t="s">
        <v>188</v>
      </c>
      <c r="D81" s="203" t="s">
        <v>196</v>
      </c>
      <c r="E81" s="203" t="s">
        <v>197</v>
      </c>
      <c r="F81">
        <v>16</v>
      </c>
    </row>
    <row r="82" spans="1:9" x14ac:dyDescent="0.25">
      <c r="A82" s="132" t="s">
        <v>164</v>
      </c>
      <c r="B82" s="1" t="s">
        <v>26</v>
      </c>
      <c r="C82" s="158" t="s">
        <v>188</v>
      </c>
      <c r="D82" s="203" t="s">
        <v>194</v>
      </c>
      <c r="E82" s="203" t="s">
        <v>195</v>
      </c>
      <c r="F82">
        <v>5</v>
      </c>
      <c r="I82" s="207"/>
    </row>
    <row r="83" spans="1:9" x14ac:dyDescent="0.25">
      <c r="A83" s="132" t="s">
        <v>165</v>
      </c>
      <c r="B83" s="187" t="s">
        <v>19</v>
      </c>
      <c r="C83" s="179" t="s">
        <v>192</v>
      </c>
      <c r="D83" s="149" t="s">
        <v>183</v>
      </c>
      <c r="E83" s="149" t="s">
        <v>183</v>
      </c>
      <c r="F83" s="185" t="s">
        <v>183</v>
      </c>
    </row>
  </sheetData>
  <mergeCells count="14">
    <mergeCell ref="A1:B1"/>
    <mergeCell ref="A22:E22"/>
    <mergeCell ref="A43:F43"/>
    <mergeCell ref="A64:F64"/>
    <mergeCell ref="D1:E1"/>
    <mergeCell ref="F1:G1"/>
    <mergeCell ref="O22:R22"/>
    <mergeCell ref="O23:R23"/>
    <mergeCell ref="J1:M1"/>
    <mergeCell ref="O20:P20"/>
    <mergeCell ref="O21:P21"/>
    <mergeCell ref="O1:R1"/>
    <mergeCell ref="Q20:R20"/>
    <mergeCell ref="Q21:R21"/>
  </mergeCells>
  <dataValidations count="3">
    <dataValidation showInputMessage="1" showErrorMessage="1" sqref="E3:E20"/>
    <dataValidation errorStyle="information" operator="greaterThan" allowBlank="1" errorTitle="Non inscrit" error="Cet emplacement excède le nombre d'inscrits." sqref="K12:M20"/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L32" sqref="L32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58" t="s">
        <v>178</v>
      </c>
      <c r="B1" s="258"/>
      <c r="C1" s="127">
        <v>3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t="s">
        <v>24</v>
      </c>
      <c r="C3" s="1" t="str">
        <f>VLOOKUP(Tableau246810[[#This Row],[Pilote]],Tableau2[[Pilote]:[Voiture]],2,0)</f>
        <v>Suzuki</v>
      </c>
      <c r="D3" s="210">
        <v>1</v>
      </c>
      <c r="E3" s="40">
        <f>IF(ISNA(VLOOKUP(D3,Tableau12579[[Pos.]:[Sprint]],2,0)),"",VLOOKUP(D3,Tableau12579[[Pos.]:[Sprint]],2,0))</f>
        <v>20</v>
      </c>
      <c r="F3" s="211">
        <v>3</v>
      </c>
      <c r="G3" s="40">
        <f>IF(ISNA(VLOOKUP(F3,Tableau12579[[Pos.]:[Enduro]],3,0)),"",VLOOKUP(F3,Tableau12579[[Pos.]:[Enduro]],3,0))</f>
        <v>17</v>
      </c>
      <c r="H3" s="219">
        <f t="shared" ref="H3:H18" si="0">IF(ISERROR(E3+G3),0,E3+G3)</f>
        <v>37</v>
      </c>
      <c r="J3" s="2">
        <v>1</v>
      </c>
      <c r="K3">
        <v>20</v>
      </c>
      <c r="L3">
        <v>24</v>
      </c>
      <c r="M3">
        <f>2*Tableau12579[[#This Row],[Enduro]]</f>
        <v>48</v>
      </c>
    </row>
    <row r="4" spans="1:13" x14ac:dyDescent="0.25">
      <c r="A4" s="56">
        <f t="shared" ref="A4:A18" si="1">A3+1</f>
        <v>2</v>
      </c>
      <c r="B4" t="s">
        <v>11</v>
      </c>
      <c r="C4" s="1" t="str">
        <f>VLOOKUP(Tableau246810[[#This Row],[Pilote]],Tableau2[[Pilote]:[Voiture]],2,0)</f>
        <v>Nissan</v>
      </c>
      <c r="D4" s="41">
        <v>6</v>
      </c>
      <c r="E4" s="40">
        <f>IF(ISNA(VLOOKUP(D4,Tableau12579[[Pos.]:[Sprint]],2,0)),"",VLOOKUP(D4,Tableau12579[[Pos.]:[Sprint]],2,0))</f>
        <v>11</v>
      </c>
      <c r="F4" s="210">
        <v>1</v>
      </c>
      <c r="G4" s="40">
        <f>IF(ISNA(VLOOKUP(F4,Tableau12579[[Pos.]:[Enduro]],3,0)),"",VLOOKUP(F4,Tableau12579[[Pos.]:[Enduro]],3,0))</f>
        <v>24</v>
      </c>
      <c r="H4" s="219">
        <f t="shared" si="0"/>
        <v>35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2*Tableau12579[[#This Row],[Enduro]]</f>
        <v>40</v>
      </c>
    </row>
    <row r="5" spans="1:13" x14ac:dyDescent="0.25">
      <c r="A5" s="57">
        <f t="shared" si="1"/>
        <v>3</v>
      </c>
      <c r="B5" t="s">
        <v>7</v>
      </c>
      <c r="C5" s="1" t="str">
        <f>VLOOKUP(Tableau246810[[#This Row],[Pilote]],Tableau2[[Pilote]:[Voiture]],2,0)</f>
        <v>Suzuki</v>
      </c>
      <c r="D5" s="41">
        <v>5</v>
      </c>
      <c r="E5" s="40">
        <f>IF(ISNA(VLOOKUP(D5,Tableau12579[[Pos.]:[Sprint]],2,0)),"",VLOOKUP(D5,Tableau12579[[Pos.]:[Sprint]],2,0))</f>
        <v>12</v>
      </c>
      <c r="F5" s="212">
        <v>2</v>
      </c>
      <c r="G5" s="40">
        <f>IF(ISNA(VLOOKUP(F5,Tableau12579[[Pos.]:[Enduro]],3,0)),"",VLOOKUP(F5,Tableau12579[[Pos.]:[Enduro]],3,0))</f>
        <v>20</v>
      </c>
      <c r="H5" s="219">
        <f t="shared" si="0"/>
        <v>32</v>
      </c>
      <c r="J5" s="4">
        <f t="shared" si="2"/>
        <v>3</v>
      </c>
      <c r="K5">
        <v>15</v>
      </c>
      <c r="L5">
        <f t="shared" si="3"/>
        <v>17</v>
      </c>
      <c r="M5">
        <f>2*Tableau12579[[#This Row],[Enduro]]</f>
        <v>34</v>
      </c>
    </row>
    <row r="6" spans="1:13" x14ac:dyDescent="0.25">
      <c r="A6" s="52">
        <f t="shared" si="1"/>
        <v>4</v>
      </c>
      <c r="B6" t="s">
        <v>174</v>
      </c>
      <c r="C6" s="1" t="str">
        <f>VLOOKUP(Tableau246810[[#This Row],[Pilote]],Tableau2[[Pilote]:[Voiture]],2,0)</f>
        <v>Mini</v>
      </c>
      <c r="D6" s="212">
        <v>2</v>
      </c>
      <c r="E6" s="40">
        <f>IF(ISNA(VLOOKUP(D6,Tableau12579[[Pos.]:[Sprint]],2,0)),"",VLOOKUP(D6,Tableau12579[[Pos.]:[Sprint]],2,0))</f>
        <v>17</v>
      </c>
      <c r="F6" s="41">
        <v>7</v>
      </c>
      <c r="G6" s="40">
        <f>IF(ISNA(VLOOKUP(F6,Tableau12579[[Pos.]:[Enduro]],3,0)),"",VLOOKUP(F6,Tableau12579[[Pos.]:[Enduro]],3,0))</f>
        <v>11</v>
      </c>
      <c r="H6" s="219">
        <f t="shared" si="0"/>
        <v>28</v>
      </c>
      <c r="J6" s="5">
        <f t="shared" si="2"/>
        <v>4</v>
      </c>
      <c r="K6">
        <v>13</v>
      </c>
      <c r="L6">
        <f t="shared" si="3"/>
        <v>15</v>
      </c>
      <c r="M6">
        <f>2*Tableau12579[[#This Row],[Enduro]]</f>
        <v>30</v>
      </c>
    </row>
    <row r="7" spans="1:13" x14ac:dyDescent="0.25">
      <c r="A7" s="52">
        <f t="shared" si="1"/>
        <v>5</v>
      </c>
      <c r="B7" t="s">
        <v>19</v>
      </c>
      <c r="C7" s="1" t="str">
        <f>VLOOKUP(Tableau246810[[#This Row],[Pilote]],Tableau2[[Pilote]:[Voiture]],2,0)</f>
        <v>Alfa Romeo</v>
      </c>
      <c r="D7" s="211">
        <v>3</v>
      </c>
      <c r="E7" s="40">
        <f>IF(ISNA(VLOOKUP(D7,Tableau12579[[Pos.]:[Sprint]],2,0)),"",VLOOKUP(D7,Tableau12579[[Pos.]:[Sprint]],2,0))</f>
        <v>15</v>
      </c>
      <c r="F7" s="41">
        <v>9</v>
      </c>
      <c r="G7" s="40">
        <f>IF(ISNA(VLOOKUP(F7,Tableau12579[[Pos.]:[Enduro]],3,0)),"",VLOOKUP(F7,Tableau12579[[Pos.]:[Enduro]],3,0))</f>
        <v>9</v>
      </c>
      <c r="H7" s="219">
        <f t="shared" si="0"/>
        <v>24</v>
      </c>
      <c r="J7" s="5">
        <f t="shared" si="2"/>
        <v>5</v>
      </c>
      <c r="K7">
        <v>12</v>
      </c>
      <c r="L7">
        <f t="shared" si="3"/>
        <v>13</v>
      </c>
      <c r="M7">
        <f>2*Tableau12579[[#This Row],[Enduro]]</f>
        <v>26</v>
      </c>
    </row>
    <row r="8" spans="1:13" x14ac:dyDescent="0.25">
      <c r="A8" s="52">
        <f t="shared" si="1"/>
        <v>6</v>
      </c>
      <c r="B8" t="s">
        <v>25</v>
      </c>
      <c r="C8" s="1" t="str">
        <f>VLOOKUP(Tableau246810[[#This Row],[Pilote]],Tableau2[[Pilote]:[Voiture]],2,0)</f>
        <v>Mazda</v>
      </c>
      <c r="D8" s="41">
        <v>4</v>
      </c>
      <c r="E8" s="40">
        <f>IF(ISNA(VLOOKUP(D8,Tableau12579[[Pos.]:[Sprint]],2,0)),"",VLOOKUP(D8,Tableau12579[[Pos.]:[Sprint]],2,0))</f>
        <v>13</v>
      </c>
      <c r="F8" s="41">
        <v>8</v>
      </c>
      <c r="G8" s="40">
        <f>IF(ISNA(VLOOKUP(F8,Tableau12579[[Pos.]:[Enduro]],3,0)),"",VLOOKUP(F8,Tableau12579[[Pos.]:[Enduro]],3,0))</f>
        <v>10</v>
      </c>
      <c r="H8" s="219">
        <f t="shared" si="0"/>
        <v>23</v>
      </c>
      <c r="J8" s="5">
        <f t="shared" si="2"/>
        <v>6</v>
      </c>
      <c r="K8">
        <v>11</v>
      </c>
      <c r="L8">
        <f t="shared" si="3"/>
        <v>12</v>
      </c>
      <c r="M8">
        <f>2*Tableau12579[[#This Row],[Enduro]]</f>
        <v>24</v>
      </c>
    </row>
    <row r="9" spans="1:13" x14ac:dyDescent="0.25">
      <c r="A9" s="52">
        <f t="shared" si="1"/>
        <v>7</v>
      </c>
      <c r="B9" t="s">
        <v>173</v>
      </c>
      <c r="C9" s="1" t="str">
        <f>VLOOKUP(Tableau246810[[#This Row],[Pilote]],Tableau2[[Pilote]:[Voiture]],2,0)</f>
        <v>Nissan</v>
      </c>
      <c r="D9" s="41">
        <v>9</v>
      </c>
      <c r="E9" s="40">
        <f>IF(ISNA(VLOOKUP(D9,Tableau12579[[Pos.]:[Sprint]],2,0)),"",VLOOKUP(D9,Tableau12579[[Pos.]:[Sprint]],2,0))</f>
        <v>8</v>
      </c>
      <c r="F9" s="41">
        <v>4</v>
      </c>
      <c r="G9" s="40">
        <f>IF(ISNA(VLOOKUP(F9,Tableau12579[[Pos.]:[Enduro]],3,0)),"",VLOOKUP(F9,Tableau12579[[Pos.]:[Enduro]],3,0))</f>
        <v>15</v>
      </c>
      <c r="H9" s="219">
        <f t="shared" si="0"/>
        <v>23</v>
      </c>
      <c r="J9" s="5">
        <f t="shared" si="2"/>
        <v>7</v>
      </c>
      <c r="K9">
        <v>10</v>
      </c>
      <c r="L9">
        <f t="shared" si="3"/>
        <v>11</v>
      </c>
      <c r="M9">
        <f>2*Tableau12579[[#This Row],[Enduro]]</f>
        <v>22</v>
      </c>
    </row>
    <row r="10" spans="1:13" x14ac:dyDescent="0.25">
      <c r="A10" s="52">
        <f t="shared" si="1"/>
        <v>8</v>
      </c>
      <c r="B10" t="s">
        <v>21</v>
      </c>
      <c r="C10" s="1" t="str">
        <f>VLOOKUP(Tableau246810[[#This Row],[Pilote]],Tableau2[[Pilote]:[Voiture]],2,0)</f>
        <v>Mini</v>
      </c>
      <c r="D10" s="41">
        <v>7</v>
      </c>
      <c r="E10" s="40">
        <f>IF(ISNA(VLOOKUP(D10,Tableau12579[[Pos.]:[Sprint]],2,0)),"",VLOOKUP(D10,Tableau12579[[Pos.]:[Sprint]],2,0))</f>
        <v>10</v>
      </c>
      <c r="F10" s="41">
        <v>6</v>
      </c>
      <c r="G10" s="40">
        <f>IF(ISNA(VLOOKUP(F10,Tableau12579[[Pos.]:[Enduro]],3,0)),"",VLOOKUP(F10,Tableau12579[[Pos.]:[Enduro]],3,0))</f>
        <v>12</v>
      </c>
      <c r="H10" s="219">
        <f t="shared" si="0"/>
        <v>22</v>
      </c>
      <c r="J10" s="5">
        <f t="shared" si="2"/>
        <v>8</v>
      </c>
      <c r="K10">
        <v>9</v>
      </c>
      <c r="L10">
        <f t="shared" si="3"/>
        <v>10</v>
      </c>
      <c r="M10">
        <f>2*Tableau12579[[#This Row],[Enduro]]</f>
        <v>20</v>
      </c>
    </row>
    <row r="11" spans="1:13" x14ac:dyDescent="0.25">
      <c r="A11" s="52">
        <f t="shared" si="1"/>
        <v>9</v>
      </c>
      <c r="B11" t="s">
        <v>28</v>
      </c>
      <c r="C11" s="1" t="str">
        <f>VLOOKUP(Tableau246810[[#This Row],[Pilote]],Tableau2[[Pilote]:[Voiture]],2,0)</f>
        <v>Honda</v>
      </c>
      <c r="D11" s="41">
        <v>8</v>
      </c>
      <c r="E11" s="40">
        <f>IF(ISNA(VLOOKUP(D11,Tableau12579[[Pos.]:[Sprint]],2,0)),"",VLOOKUP(D11,Tableau12579[[Pos.]:[Sprint]],2,0))</f>
        <v>9</v>
      </c>
      <c r="F11" s="41">
        <v>5</v>
      </c>
      <c r="G11" s="40">
        <f>IF(ISNA(VLOOKUP(F11,Tableau12579[[Pos.]:[Enduro]],3,0)),"",VLOOKUP(F11,Tableau12579[[Pos.]:[Enduro]],3,0))</f>
        <v>13</v>
      </c>
      <c r="H11" s="219">
        <f t="shared" si="0"/>
        <v>22</v>
      </c>
      <c r="J11" s="5">
        <f t="shared" si="2"/>
        <v>9</v>
      </c>
      <c r="K11">
        <v>8</v>
      </c>
      <c r="L11">
        <f t="shared" si="3"/>
        <v>9</v>
      </c>
      <c r="M11">
        <f>2*Tableau12579[[#This Row],[Enduro]]</f>
        <v>18</v>
      </c>
    </row>
    <row r="12" spans="1:13" x14ac:dyDescent="0.25">
      <c r="A12" s="52">
        <f t="shared" si="1"/>
        <v>10</v>
      </c>
      <c r="B12" t="s">
        <v>26</v>
      </c>
      <c r="C12" s="1" t="str">
        <f>VLOOKUP(Tableau246810[[#This Row],[Pilote]],Tableau2[[Pilote]:[Voiture]],2,0)</f>
        <v>Alfa Romeo</v>
      </c>
      <c r="D12" s="41">
        <v>10</v>
      </c>
      <c r="E12" s="40">
        <f>IF(ISNA(VLOOKUP(D12,Tableau12579[[Pos.]:[Sprint]],2,0)),"",VLOOKUP(D12,Tableau12579[[Pos.]:[Sprint]],2,0))</f>
        <v>7</v>
      </c>
      <c r="F12" s="41">
        <v>11</v>
      </c>
      <c r="G12" s="40">
        <f>IF(ISNA(VLOOKUP(F12,Tableau12579[[Pos.]:[Enduro]],3,0)),"",VLOOKUP(F12,Tableau12579[[Pos.]:[Enduro]],3,0))</f>
        <v>7</v>
      </c>
      <c r="H12" s="219">
        <f t="shared" si="0"/>
        <v>14</v>
      </c>
      <c r="J12" s="5">
        <f t="shared" si="2"/>
        <v>10</v>
      </c>
      <c r="K12">
        <v>7</v>
      </c>
      <c r="L12">
        <f t="shared" si="3"/>
        <v>8</v>
      </c>
      <c r="M12">
        <f>2*Tableau12579[[#This Row],[Enduro]]</f>
        <v>16</v>
      </c>
    </row>
    <row r="13" spans="1:13" x14ac:dyDescent="0.25">
      <c r="A13" s="52">
        <f t="shared" si="1"/>
        <v>11</v>
      </c>
      <c r="B13" t="s">
        <v>29</v>
      </c>
      <c r="C13" s="1" t="str">
        <f>VLOOKUP(Tableau246810[[#This Row],[Pilote]],Tableau2[[Pilote]:[Voiture]],2,0)</f>
        <v>Abarth</v>
      </c>
      <c r="D13" s="41">
        <v>12</v>
      </c>
      <c r="E13" s="40">
        <f>IF(ISNA(VLOOKUP(D13,Tableau12579[[Pos.]:[Sprint]],2,0)),"",VLOOKUP(D13,Tableau12579[[Pos.]:[Sprint]],2,0))</f>
        <v>5</v>
      </c>
      <c r="F13" s="41">
        <v>10</v>
      </c>
      <c r="G13" s="40">
        <f>IF(ISNA(VLOOKUP(F13,Tableau12579[[Pos.]:[Enduro]],3,0)),"",VLOOKUP(F13,Tableau12579[[Pos.]:[Enduro]],3,0))</f>
        <v>8</v>
      </c>
      <c r="H13" s="219">
        <f t="shared" si="0"/>
        <v>13</v>
      </c>
      <c r="J13" s="5">
        <f t="shared" si="2"/>
        <v>11</v>
      </c>
      <c r="K13">
        <v>6</v>
      </c>
      <c r="L13">
        <f t="shared" si="3"/>
        <v>7</v>
      </c>
      <c r="M13">
        <f>2*Tableau12579[[#This Row],[Enduro]]</f>
        <v>14</v>
      </c>
    </row>
    <row r="14" spans="1:13" x14ac:dyDescent="0.25">
      <c r="A14" s="52">
        <f t="shared" si="1"/>
        <v>12</v>
      </c>
      <c r="B14" t="s">
        <v>175</v>
      </c>
      <c r="C14" s="1" t="str">
        <f>VLOOKUP(Tableau246810[[#This Row],[Pilote]],Tableau2[[Pilote]:[Voiture]],2,0)</f>
        <v>Toyota</v>
      </c>
      <c r="D14" s="41">
        <v>11</v>
      </c>
      <c r="E14" s="40">
        <f>IF(ISNA(VLOOKUP(D14,Tableau12579[[Pos.]:[Sprint]],2,0)),"",VLOOKUP(D14,Tableau12579[[Pos.]:[Sprint]],2,0))</f>
        <v>6</v>
      </c>
      <c r="F14" s="41">
        <v>13</v>
      </c>
      <c r="G14" s="40">
        <f>IF(ISNA(VLOOKUP(F14,Tableau12579[[Pos.]:[Enduro]],3,0)),"",VLOOKUP(F14,Tableau12579[[Pos.]:[Enduro]],3,0))</f>
        <v>5</v>
      </c>
      <c r="H14" s="219">
        <f t="shared" si="0"/>
        <v>11</v>
      </c>
      <c r="J14" s="5">
        <f t="shared" si="2"/>
        <v>12</v>
      </c>
      <c r="K14">
        <v>5</v>
      </c>
      <c r="L14">
        <f t="shared" si="3"/>
        <v>6</v>
      </c>
      <c r="M14">
        <f>2*Tableau12579[[#This Row],[Enduro]]</f>
        <v>12</v>
      </c>
    </row>
    <row r="15" spans="1:13" x14ac:dyDescent="0.25">
      <c r="A15" s="52">
        <f t="shared" si="1"/>
        <v>13</v>
      </c>
      <c r="B15" t="s">
        <v>13</v>
      </c>
      <c r="C15" s="1" t="str">
        <f>VLOOKUP(Tableau246810[[#This Row],[Pilote]],Tableau2[[Pilote]:[Voiture]],2,0)</f>
        <v>Abarth</v>
      </c>
      <c r="D15" s="41">
        <v>13</v>
      </c>
      <c r="E15" s="40">
        <f>IF(ISNA(VLOOKUP(D15,Tableau12579[[Pos.]:[Sprint]],2,0)),"",VLOOKUP(D15,Tableau12579[[Pos.]:[Sprint]],2,0))</f>
        <v>4</v>
      </c>
      <c r="F15" s="41">
        <v>12</v>
      </c>
      <c r="G15" s="40">
        <f>IF(ISNA(VLOOKUP(F15,Tableau12579[[Pos.]:[Enduro]],3,0)),"",VLOOKUP(F15,Tableau12579[[Pos.]:[Enduro]],3,0))</f>
        <v>6</v>
      </c>
      <c r="H15" s="219">
        <f t="shared" si="0"/>
        <v>10</v>
      </c>
      <c r="J15" s="5">
        <f t="shared" si="2"/>
        <v>13</v>
      </c>
      <c r="K15">
        <v>4</v>
      </c>
      <c r="L15">
        <f t="shared" si="3"/>
        <v>5</v>
      </c>
      <c r="M15">
        <f>2*Tableau12579[[#This Row],[Enduro]]</f>
        <v>10</v>
      </c>
    </row>
    <row r="16" spans="1:13" x14ac:dyDescent="0.25">
      <c r="A16" s="52">
        <f t="shared" si="1"/>
        <v>14</v>
      </c>
      <c r="B16" t="s">
        <v>31</v>
      </c>
      <c r="C16" s="1" t="str">
        <f>VLOOKUP(Tableau246810[[#This Row],[Pilote]],Tableau2[[Pilote]:[Voiture]],2,0)</f>
        <v>Alfa Romeo</v>
      </c>
      <c r="D16" s="41">
        <v>14</v>
      </c>
      <c r="E16" s="40">
        <f>IF(ISNA(VLOOKUP(D16,Tableau12579[[Pos.]:[Sprint]],2,0)),"",VLOOKUP(D16,Tableau12579[[Pos.]:[Sprint]],2,0))</f>
        <v>3</v>
      </c>
      <c r="F16" s="41">
        <v>14</v>
      </c>
      <c r="G16" s="40">
        <f>IF(ISNA(VLOOKUP(F16,Tableau12579[[Pos.]:[Enduro]],3,0)),"",VLOOKUP(F16,Tableau12579[[Pos.]:[Enduro]],3,0))</f>
        <v>4</v>
      </c>
      <c r="H16" s="219">
        <f t="shared" si="0"/>
        <v>7</v>
      </c>
      <c r="J16" s="5">
        <f t="shared" si="2"/>
        <v>14</v>
      </c>
      <c r="K16">
        <v>3</v>
      </c>
      <c r="L16">
        <f t="shared" si="3"/>
        <v>4</v>
      </c>
      <c r="M16">
        <f>2*Tableau12579[[#This Row],[Enduro]]</f>
        <v>8</v>
      </c>
    </row>
    <row r="17" spans="1:16" x14ac:dyDescent="0.25">
      <c r="A17" s="52">
        <f t="shared" si="1"/>
        <v>15</v>
      </c>
      <c r="C17" s="1" t="e">
        <f>VLOOKUP(Tableau246810[[#This Row],[Pilote]],Tableau2[[Pilote]:[Voiture]],2,0)</f>
        <v>#N/A</v>
      </c>
      <c r="D17" s="41"/>
      <c r="E17" s="40" t="str">
        <f>IF(ISNA(VLOOKUP(D17,Tableau12579[[Pos.]:[Sprint]],2,0)),"",VLOOKUP(D17,Tableau12579[[Pos.]:[Sprint]],2,0))</f>
        <v/>
      </c>
      <c r="F17" s="41"/>
      <c r="G17" s="40" t="str">
        <f>IF(ISNA(VLOOKUP(F17,Tableau12579[[Pos.]:[Enduro]],3,0)),"",VLOOKUP(F17,Tableau12579[[Pos.]:[Enduro]],3,0))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2*Tableau12579[[#This Row],[Enduro]]</f>
        <v>6</v>
      </c>
    </row>
    <row r="18" spans="1:16" x14ac:dyDescent="0.25">
      <c r="A18" s="53">
        <f t="shared" si="1"/>
        <v>16</v>
      </c>
      <c r="C18" s="1" t="e">
        <f>VLOOKUP(Tableau246810[[#This Row],[Pilote]],Tableau2[[Pilote]:[Voiture]],2,0)</f>
        <v>#N/A</v>
      </c>
      <c r="D18" s="41"/>
      <c r="E18" s="40" t="str">
        <f>IF(ISNA(VLOOKUP(D18,Tableau12579[[Pos.]:[Sprint]],2,0)),"",VLOOKUP(D18,Tableau12579[[Pos.]:[Sprint]],2,0))</f>
        <v/>
      </c>
      <c r="F18" s="41"/>
      <c r="G18" s="40" t="str">
        <f>IF(ISNA(VLOOKUP(F18,Tableau12579[[Pos.]:[Enduro]],3,0)),"",VLOOKUP(F18,Tableau12579[[Pos.]:[Enduro]],3,0))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14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SUM(Tableau246810[Pts.])/O21</f>
        <v>21.5</v>
      </c>
      <c r="P23" s="271"/>
    </row>
    <row r="24" spans="1:16" ht="15.75" thickTop="1" x14ac:dyDescent="0.25"/>
  </sheetData>
  <mergeCells count="8">
    <mergeCell ref="A1:B1"/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sqref="A1:C1"/>
    </sheetView>
  </sheetViews>
  <sheetFormatPr baseColWidth="10" defaultRowHeight="15" x14ac:dyDescent="0.25"/>
  <cols>
    <col min="1" max="1" width="4.7109375" customWidth="1"/>
    <col min="2" max="2" width="1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58" t="s">
        <v>178</v>
      </c>
      <c r="B1" s="258"/>
      <c r="C1" s="127">
        <v>4</v>
      </c>
      <c r="D1" s="251" t="s">
        <v>0</v>
      </c>
      <c r="E1" s="251"/>
      <c r="F1" s="251" t="s">
        <v>1</v>
      </c>
      <c r="G1" s="251"/>
      <c r="H1" s="30" t="s">
        <v>2</v>
      </c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174</v>
      </c>
      <c r="C3" s="1" t="str">
        <f>VLOOKUP(Tableau24681012[[#This Row],[Pilote]],Tableau2[[Pilote]:[Voiture]],2,0)</f>
        <v>Mini</v>
      </c>
      <c r="D3" s="210">
        <v>1</v>
      </c>
      <c r="E3" s="40">
        <f>IF(ISNA(VLOOKUP(D3,Tableau1257911[[Pos.]:[Sprint]],2,0)),"",VLOOKUP(D3,Tableau1257911[[Pos.]:[Sprint]],2,0))</f>
        <v>20</v>
      </c>
      <c r="F3" s="218">
        <v>2</v>
      </c>
      <c r="G3" s="40">
        <f>IF(ISNA(VLOOKUP(F3,Tableau1257911[[Pos.]:[Enduro]],3,0)),"",VLOOKUP(F3,Tableau1257911[[Pos.]:[Enduro]],3,0))</f>
        <v>20</v>
      </c>
      <c r="H3" s="219">
        <f t="shared" ref="H3:H18" si="0">IF(ISERROR(E3+G3),0,E3+G3)</f>
        <v>40</v>
      </c>
      <c r="J3" s="2">
        <v>1</v>
      </c>
      <c r="K3">
        <v>20</v>
      </c>
      <c r="L3">
        <v>24</v>
      </c>
      <c r="M3">
        <f>2*Tableau1257911[[#This Row],[Enduro]]</f>
        <v>48</v>
      </c>
    </row>
    <row r="4" spans="1:13" x14ac:dyDescent="0.25">
      <c r="A4" s="56">
        <f t="shared" ref="A4:A18" si="1">A3+1</f>
        <v>2</v>
      </c>
      <c r="B4" s="1" t="s">
        <v>177</v>
      </c>
      <c r="C4" s="1" t="str">
        <f>VLOOKUP(Tableau24681012[[#This Row],[Pilote]],Tableau2[[Pilote]:[Voiture]],2,0)</f>
        <v>Honda</v>
      </c>
      <c r="D4" s="211">
        <v>3</v>
      </c>
      <c r="E4" s="40">
        <f>IF(ISNA(VLOOKUP(D4,Tableau1257911[[Pos.]:[Sprint]],2,0)),"",VLOOKUP(D4,Tableau1257911[[Pos.]:[Sprint]],2,0))</f>
        <v>15</v>
      </c>
      <c r="F4" s="210">
        <v>1</v>
      </c>
      <c r="G4" s="40">
        <f>IF(ISNA(VLOOKUP(F4,Tableau1257911[[Pos.]:[Enduro]],3,0)),"",VLOOKUP(F4,Tableau1257911[[Pos.]:[Enduro]],3,0))</f>
        <v>24</v>
      </c>
      <c r="H4" s="219">
        <f t="shared" si="0"/>
        <v>39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2*Tableau1257911[[#This Row],[Enduro]]</f>
        <v>40</v>
      </c>
    </row>
    <row r="5" spans="1:13" x14ac:dyDescent="0.25">
      <c r="A5" s="57">
        <f t="shared" si="1"/>
        <v>3</v>
      </c>
      <c r="B5" s="1" t="s">
        <v>21</v>
      </c>
      <c r="C5" s="1" t="str">
        <f>VLOOKUP(Tableau24681012[[#This Row],[Pilote]],Tableau2[[Pilote]:[Voiture]],2,0)</f>
        <v>Mini</v>
      </c>
      <c r="D5" s="218">
        <v>2</v>
      </c>
      <c r="E5" s="40">
        <f>IF(ISNA(VLOOKUP(D5,Tableau1257911[[Pos.]:[Sprint]],2,0)),"",VLOOKUP(D5,Tableau1257911[[Pos.]:[Sprint]],2,0))</f>
        <v>17</v>
      </c>
      <c r="F5" s="211">
        <v>3</v>
      </c>
      <c r="G5" s="40">
        <f>IF(ISNA(VLOOKUP(F5,Tableau1257911[[Pos.]:[Enduro]],3,0)),"",VLOOKUP(F5,Tableau1257911[[Pos.]:[Enduro]],3,0))</f>
        <v>17</v>
      </c>
      <c r="H5" s="219">
        <f t="shared" si="0"/>
        <v>34</v>
      </c>
      <c r="J5" s="4">
        <f t="shared" si="2"/>
        <v>3</v>
      </c>
      <c r="K5">
        <v>15</v>
      </c>
      <c r="L5">
        <f t="shared" si="3"/>
        <v>17</v>
      </c>
      <c r="M5">
        <f>2*Tableau1257911[[#This Row],[Enduro]]</f>
        <v>34</v>
      </c>
    </row>
    <row r="6" spans="1:13" x14ac:dyDescent="0.25">
      <c r="A6" s="52">
        <f t="shared" si="1"/>
        <v>4</v>
      </c>
      <c r="B6" s="1" t="s">
        <v>11</v>
      </c>
      <c r="C6" s="1" t="str">
        <f>VLOOKUP(Tableau24681012[[#This Row],[Pilote]],Tableau2[[Pilote]:[Voiture]],2,0)</f>
        <v>Nissan</v>
      </c>
      <c r="D6" s="41">
        <v>5</v>
      </c>
      <c r="E6" s="40">
        <f>IF(ISNA(VLOOKUP(D6,Tableau1257911[[Pos.]:[Sprint]],2,0)),"",VLOOKUP(D6,Tableau1257911[[Pos.]:[Sprint]],2,0))</f>
        <v>12</v>
      </c>
      <c r="F6" s="41">
        <v>5</v>
      </c>
      <c r="G6" s="40">
        <f>IF(ISNA(VLOOKUP(F6,Tableau1257911[[Pos.]:[Enduro]],3,0)),"",VLOOKUP(F6,Tableau1257911[[Pos.]:[Enduro]],3,0))</f>
        <v>13</v>
      </c>
      <c r="H6" s="219">
        <f t="shared" si="0"/>
        <v>25</v>
      </c>
      <c r="J6" s="5">
        <f t="shared" si="2"/>
        <v>4</v>
      </c>
      <c r="K6">
        <v>13</v>
      </c>
      <c r="L6">
        <f t="shared" si="3"/>
        <v>15</v>
      </c>
      <c r="M6">
        <f>2*Tableau1257911[[#This Row],[Enduro]]</f>
        <v>30</v>
      </c>
    </row>
    <row r="7" spans="1:13" x14ac:dyDescent="0.25">
      <c r="A7" s="52">
        <f t="shared" si="1"/>
        <v>5</v>
      </c>
      <c r="B7" s="1" t="s">
        <v>24</v>
      </c>
      <c r="C7" s="1" t="str">
        <f>VLOOKUP(Tableau24681012[[#This Row],[Pilote]],Tableau2[[Pilote]:[Voiture]],2,0)</f>
        <v>Suzuki</v>
      </c>
      <c r="D7" s="41">
        <v>6</v>
      </c>
      <c r="E7" s="40">
        <f>IF(ISNA(VLOOKUP(D7,Tableau1257911[[Pos.]:[Sprint]],2,0)),"",VLOOKUP(D7,Tableau1257911[[Pos.]:[Sprint]],2,0))</f>
        <v>11</v>
      </c>
      <c r="F7" s="41">
        <v>6</v>
      </c>
      <c r="G7" s="40">
        <f>IF(ISNA(VLOOKUP(F7,Tableau1257911[[Pos.]:[Enduro]],3,0)),"",VLOOKUP(F7,Tableau1257911[[Pos.]:[Enduro]],3,0))</f>
        <v>12</v>
      </c>
      <c r="H7" s="219">
        <f t="shared" si="0"/>
        <v>23</v>
      </c>
      <c r="J7" s="5">
        <f t="shared" si="2"/>
        <v>5</v>
      </c>
      <c r="K7">
        <v>12</v>
      </c>
      <c r="L7">
        <f t="shared" si="3"/>
        <v>13</v>
      </c>
      <c r="M7">
        <f>2*Tableau1257911[[#This Row],[Enduro]]</f>
        <v>26</v>
      </c>
    </row>
    <row r="8" spans="1:13" x14ac:dyDescent="0.25">
      <c r="A8" s="52">
        <f t="shared" si="1"/>
        <v>6</v>
      </c>
      <c r="B8" s="1" t="s">
        <v>173</v>
      </c>
      <c r="C8" s="1" t="str">
        <f>VLOOKUP(Tableau24681012[[#This Row],[Pilote]],Tableau2[[Pilote]:[Voiture]],2,0)</f>
        <v>Nissan</v>
      </c>
      <c r="D8" s="41">
        <v>7</v>
      </c>
      <c r="E8" s="40">
        <f>IF(ISNA(VLOOKUP(D8,Tableau1257911[[Pos.]:[Sprint]],2,0)),"",VLOOKUP(D8,Tableau1257911[[Pos.]:[Sprint]],2,0))</f>
        <v>10</v>
      </c>
      <c r="F8" s="41">
        <v>7</v>
      </c>
      <c r="G8" s="40">
        <f>IF(ISNA(VLOOKUP(F8,Tableau1257911[[Pos.]:[Enduro]],3,0)),"",VLOOKUP(F8,Tableau1257911[[Pos.]:[Enduro]],3,0))</f>
        <v>11</v>
      </c>
      <c r="H8" s="219">
        <f t="shared" si="0"/>
        <v>21</v>
      </c>
      <c r="J8" s="5">
        <f t="shared" si="2"/>
        <v>6</v>
      </c>
      <c r="K8">
        <v>11</v>
      </c>
      <c r="L8">
        <f t="shared" si="3"/>
        <v>12</v>
      </c>
      <c r="M8">
        <f>2*Tableau1257911[[#This Row],[Enduro]]</f>
        <v>24</v>
      </c>
    </row>
    <row r="9" spans="1:13" x14ac:dyDescent="0.25">
      <c r="A9" s="52">
        <f t="shared" si="1"/>
        <v>7</v>
      </c>
      <c r="B9" s="1" t="s">
        <v>19</v>
      </c>
      <c r="C9" s="1" t="str">
        <f>VLOOKUP(Tableau24681012[[#This Row],[Pilote]],Tableau2[[Pilote]:[Voiture]],2,0)</f>
        <v>Alfa Romeo</v>
      </c>
      <c r="D9" s="41">
        <v>4</v>
      </c>
      <c r="E9" s="40">
        <f>IF(ISNA(VLOOKUP(D9,Tableau1257911[[Pos.]:[Sprint]],2,0)),"",VLOOKUP(D9,Tableau1257911[[Pos.]:[Sprint]],2,0))</f>
        <v>13</v>
      </c>
      <c r="F9" s="41">
        <v>11</v>
      </c>
      <c r="G9" s="40">
        <f>IF(ISNA(VLOOKUP(F9,Tableau1257911[[Pos.]:[Enduro]],3,0)),"",VLOOKUP(F9,Tableau1257911[[Pos.]:[Enduro]],3,0))</f>
        <v>7</v>
      </c>
      <c r="H9" s="219">
        <f t="shared" si="0"/>
        <v>20</v>
      </c>
      <c r="J9" s="5">
        <f t="shared" si="2"/>
        <v>7</v>
      </c>
      <c r="K9">
        <v>10</v>
      </c>
      <c r="L9">
        <f t="shared" si="3"/>
        <v>11</v>
      </c>
      <c r="M9">
        <f>2*Tableau1257911[[#This Row],[Enduro]]</f>
        <v>22</v>
      </c>
    </row>
    <row r="10" spans="1:13" x14ac:dyDescent="0.25">
      <c r="A10" s="52">
        <f t="shared" si="1"/>
        <v>8</v>
      </c>
      <c r="B10" s="1" t="s">
        <v>198</v>
      </c>
      <c r="C10" s="1" t="str">
        <f>VLOOKUP(Tableau24681012[[#This Row],[Pilote]],Tableau2[[Pilote]:[Voiture]],2,0)</f>
        <v>Toyota</v>
      </c>
      <c r="D10" s="41">
        <v>12</v>
      </c>
      <c r="E10" s="40">
        <f>IF(ISNA(VLOOKUP(D10,Tableau1257911[[Pos.]:[Sprint]],2,0)),"",VLOOKUP(D10,Tableau1257911[[Pos.]:[Sprint]],2,0))</f>
        <v>5</v>
      </c>
      <c r="F10" s="41">
        <v>4</v>
      </c>
      <c r="G10" s="40">
        <f>IF(ISNA(VLOOKUP(F10,Tableau1257911[[Pos.]:[Enduro]],3,0)),"",VLOOKUP(F10,Tableau1257911[[Pos.]:[Enduro]],3,0))</f>
        <v>15</v>
      </c>
      <c r="H10" s="219">
        <f t="shared" si="0"/>
        <v>20</v>
      </c>
      <c r="J10" s="5">
        <f t="shared" si="2"/>
        <v>8</v>
      </c>
      <c r="K10">
        <v>9</v>
      </c>
      <c r="L10">
        <f t="shared" si="3"/>
        <v>10</v>
      </c>
      <c r="M10">
        <f>2*Tableau1257911[[#This Row],[Enduro]]</f>
        <v>20</v>
      </c>
    </row>
    <row r="11" spans="1:13" x14ac:dyDescent="0.25">
      <c r="A11" s="52">
        <f t="shared" si="1"/>
        <v>9</v>
      </c>
      <c r="B11" s="1" t="s">
        <v>7</v>
      </c>
      <c r="C11" s="1" t="str">
        <f>VLOOKUP(Tableau24681012[[#This Row],[Pilote]],Tableau2[[Pilote]:[Voiture]],2,0)</f>
        <v>Suzuki</v>
      </c>
      <c r="D11" s="41">
        <v>8</v>
      </c>
      <c r="E11" s="40">
        <f>IF(ISNA(VLOOKUP(D11,Tableau1257911[[Pos.]:[Sprint]],2,0)),"",VLOOKUP(D11,Tableau1257911[[Pos.]:[Sprint]],2,0))</f>
        <v>9</v>
      </c>
      <c r="F11" s="41">
        <v>10</v>
      </c>
      <c r="G11" s="40">
        <f>IF(ISNA(VLOOKUP(F11,Tableau1257911[[Pos.]:[Enduro]],3,0)),"",VLOOKUP(F11,Tableau1257911[[Pos.]:[Enduro]],3,0))</f>
        <v>8</v>
      </c>
      <c r="H11" s="219">
        <f t="shared" si="0"/>
        <v>17</v>
      </c>
      <c r="J11" s="5">
        <f t="shared" si="2"/>
        <v>9</v>
      </c>
      <c r="K11">
        <v>8</v>
      </c>
      <c r="L11">
        <f t="shared" si="3"/>
        <v>9</v>
      </c>
      <c r="M11">
        <f>2*Tableau1257911[[#This Row],[Enduro]]</f>
        <v>18</v>
      </c>
    </row>
    <row r="12" spans="1:13" x14ac:dyDescent="0.25">
      <c r="A12" s="52">
        <f t="shared" si="1"/>
        <v>10</v>
      </c>
      <c r="B12" s="1" t="s">
        <v>25</v>
      </c>
      <c r="C12" s="1" t="str">
        <f>VLOOKUP(Tableau24681012[[#This Row],[Pilote]],Tableau2[[Pilote]:[Voiture]],2,0)</f>
        <v>Mazda</v>
      </c>
      <c r="D12" s="41">
        <v>10</v>
      </c>
      <c r="E12" s="40">
        <f>IF(ISNA(VLOOKUP(D12,Tableau1257911[[Pos.]:[Sprint]],2,0)),"",VLOOKUP(D12,Tableau1257911[[Pos.]:[Sprint]],2,0))</f>
        <v>7</v>
      </c>
      <c r="F12" s="41">
        <v>8</v>
      </c>
      <c r="G12" s="40">
        <f>IF(ISNA(VLOOKUP(F12,Tableau1257911[[Pos.]:[Enduro]],3,0)),"",VLOOKUP(F12,Tableau1257911[[Pos.]:[Enduro]],3,0))</f>
        <v>10</v>
      </c>
      <c r="H12" s="219">
        <f t="shared" si="0"/>
        <v>17</v>
      </c>
      <c r="J12" s="5">
        <f t="shared" si="2"/>
        <v>10</v>
      </c>
      <c r="K12">
        <v>7</v>
      </c>
      <c r="L12">
        <f t="shared" si="3"/>
        <v>8</v>
      </c>
      <c r="M12">
        <f>2*Tableau1257911[[#This Row],[Enduro]]</f>
        <v>16</v>
      </c>
    </row>
    <row r="13" spans="1:13" x14ac:dyDescent="0.25">
      <c r="A13" s="52">
        <f t="shared" si="1"/>
        <v>11</v>
      </c>
      <c r="B13" s="1" t="s">
        <v>15</v>
      </c>
      <c r="C13" s="1" t="str">
        <f>VLOOKUP(Tableau24681012[[#This Row],[Pilote]],Tableau2[[Pilote]:[Voiture]],2,0)</f>
        <v>Honda</v>
      </c>
      <c r="D13" s="41">
        <v>11</v>
      </c>
      <c r="E13" s="40">
        <f>IF(ISNA(VLOOKUP(D13,Tableau1257911[[Pos.]:[Sprint]],2,0)),"",VLOOKUP(D13,Tableau1257911[[Pos.]:[Sprint]],2,0))</f>
        <v>6</v>
      </c>
      <c r="F13" s="41">
        <v>9</v>
      </c>
      <c r="G13" s="40">
        <f>IF(ISNA(VLOOKUP(F13,Tableau1257911[[Pos.]:[Enduro]],3,0)),"",VLOOKUP(F13,Tableau1257911[[Pos.]:[Enduro]],3,0))</f>
        <v>9</v>
      </c>
      <c r="H13" s="219">
        <f t="shared" si="0"/>
        <v>15</v>
      </c>
      <c r="J13" s="5">
        <f t="shared" si="2"/>
        <v>11</v>
      </c>
      <c r="K13">
        <v>6</v>
      </c>
      <c r="L13">
        <f t="shared" si="3"/>
        <v>7</v>
      </c>
      <c r="M13">
        <f>2*Tableau1257911[[#This Row],[Enduro]]</f>
        <v>14</v>
      </c>
    </row>
    <row r="14" spans="1:13" x14ac:dyDescent="0.25">
      <c r="A14" s="52">
        <f t="shared" si="1"/>
        <v>12</v>
      </c>
      <c r="B14" s="1" t="s">
        <v>9</v>
      </c>
      <c r="C14" s="1" t="str">
        <f>VLOOKUP(Tableau24681012[[#This Row],[Pilote]],Tableau2[[Pilote]:[Voiture]],2,0)</f>
        <v>Mazda</v>
      </c>
      <c r="D14" s="41">
        <v>9</v>
      </c>
      <c r="E14" s="40">
        <f>IF(ISNA(VLOOKUP(D14,Tableau1257911[[Pos.]:[Sprint]],2,0)),"",VLOOKUP(D14,Tableau1257911[[Pos.]:[Sprint]],2,0))</f>
        <v>8</v>
      </c>
      <c r="F14" s="41">
        <v>14</v>
      </c>
      <c r="G14" s="40">
        <f>IF(ISNA(VLOOKUP(F14,Tableau1257911[[Pos.]:[Enduro]],3,0)),"",VLOOKUP(F14,Tableau1257911[[Pos.]:[Enduro]],3,0))</f>
        <v>4</v>
      </c>
      <c r="H14" s="219">
        <f t="shared" si="0"/>
        <v>12</v>
      </c>
      <c r="J14" s="5">
        <f t="shared" si="2"/>
        <v>12</v>
      </c>
      <c r="K14">
        <v>5</v>
      </c>
      <c r="L14">
        <f t="shared" si="3"/>
        <v>6</v>
      </c>
      <c r="M14">
        <f>2*Tableau1257911[[#This Row],[Enduro]]</f>
        <v>12</v>
      </c>
    </row>
    <row r="15" spans="1:13" x14ac:dyDescent="0.25">
      <c r="A15" s="52">
        <f t="shared" si="1"/>
        <v>13</v>
      </c>
      <c r="B15" s="1" t="s">
        <v>175</v>
      </c>
      <c r="C15" s="1" t="str">
        <f>VLOOKUP(Tableau24681012[[#This Row],[Pilote]],Tableau2[[Pilote]:[Voiture]],2,0)</f>
        <v>Toyota</v>
      </c>
      <c r="D15" s="41">
        <v>13</v>
      </c>
      <c r="E15" s="40">
        <f>IF(ISNA(VLOOKUP(D15,Tableau1257911[[Pos.]:[Sprint]],2,0)),"",VLOOKUP(D15,Tableau1257911[[Pos.]:[Sprint]],2,0))</f>
        <v>4</v>
      </c>
      <c r="F15" s="41">
        <v>13</v>
      </c>
      <c r="G15" s="40">
        <f>IF(ISNA(VLOOKUP(F15,Tableau1257911[[Pos.]:[Enduro]],3,0)),"",VLOOKUP(F15,Tableau1257911[[Pos.]:[Enduro]],3,0))</f>
        <v>5</v>
      </c>
      <c r="H15" s="219">
        <f t="shared" si="0"/>
        <v>9</v>
      </c>
      <c r="J15" s="5">
        <f t="shared" si="2"/>
        <v>13</v>
      </c>
      <c r="K15">
        <v>4</v>
      </c>
      <c r="L15">
        <f t="shared" si="3"/>
        <v>5</v>
      </c>
      <c r="M15">
        <f>2*Tableau1257911[[#This Row],[Enduro]]</f>
        <v>10</v>
      </c>
    </row>
    <row r="16" spans="1:13" x14ac:dyDescent="0.25">
      <c r="A16" s="52">
        <f t="shared" si="1"/>
        <v>14</v>
      </c>
      <c r="B16" s="1" t="s">
        <v>26</v>
      </c>
      <c r="C16" s="1" t="str">
        <f>VLOOKUP(Tableau24681012[[#This Row],[Pilote]],Tableau2[[Pilote]:[Voiture]],2,0)</f>
        <v>Alfa Romeo</v>
      </c>
      <c r="D16" s="41">
        <v>14</v>
      </c>
      <c r="E16" s="40">
        <f>IF(ISNA(VLOOKUP(D16,Tableau1257911[[Pos.]:[Sprint]],2,0)),"",VLOOKUP(D16,Tableau1257911[[Pos.]:[Sprint]],2,0))</f>
        <v>3</v>
      </c>
      <c r="F16" s="41">
        <v>12</v>
      </c>
      <c r="G16" s="40">
        <f>IF(ISNA(VLOOKUP(F16,Tableau1257911[[Pos.]:[Enduro]],3,0)),"",VLOOKUP(F16,Tableau1257911[[Pos.]:[Enduro]],3,0))</f>
        <v>6</v>
      </c>
      <c r="H16" s="219">
        <f t="shared" si="0"/>
        <v>9</v>
      </c>
      <c r="J16" s="5">
        <f t="shared" si="2"/>
        <v>14</v>
      </c>
      <c r="K16">
        <v>3</v>
      </c>
      <c r="L16">
        <f t="shared" si="3"/>
        <v>4</v>
      </c>
      <c r="M16">
        <f>2*Tableau1257911[[#This Row],[Enduro]]</f>
        <v>8</v>
      </c>
    </row>
    <row r="17" spans="1:16" x14ac:dyDescent="0.25">
      <c r="A17" s="52">
        <f t="shared" si="1"/>
        <v>15</v>
      </c>
      <c r="B17" s="1" t="s">
        <v>13</v>
      </c>
      <c r="C17" s="1" t="str">
        <f>VLOOKUP(Tableau24681012[[#This Row],[Pilote]],Tableau2[[Pilote]:[Voiture]],2,0)</f>
        <v>Abarth</v>
      </c>
      <c r="D17" s="41">
        <v>15</v>
      </c>
      <c r="E17" s="40">
        <f>IF(ISNA(VLOOKUP(D17,Tableau1257911[[Pos.]:[Sprint]],2,0)),"",VLOOKUP(D17,Tableau1257911[[Pos.]:[Sprint]],2,0))</f>
        <v>2</v>
      </c>
      <c r="F17" s="41">
        <v>15</v>
      </c>
      <c r="G17" s="40">
        <f>IF(ISNA(VLOOKUP(F17,Tableau1257911[[Pos.]:[Enduro]],3,0)),"",VLOOKUP(F17,Tableau1257911[[Pos.]:[Enduro]],3,0))</f>
        <v>3</v>
      </c>
      <c r="H17" s="219">
        <f t="shared" si="0"/>
        <v>5</v>
      </c>
      <c r="J17" s="5">
        <f t="shared" si="2"/>
        <v>15</v>
      </c>
      <c r="K17">
        <v>2</v>
      </c>
      <c r="L17">
        <f t="shared" si="3"/>
        <v>3</v>
      </c>
      <c r="M17">
        <f>2*Tableau1257911[[#This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VLOOKUP(Tableau24681012[[#This Row],[Pilote]],Tableau2[[Pilote]:[Voiture]],2,0)</f>
        <v>#N/A</v>
      </c>
      <c r="D18" s="41"/>
      <c r="E18" s="40" t="str">
        <f>IF(ISNA(VLOOKUP(D18,Tableau1257911[[Pos.]:[Sprint]],2,0)),"",VLOOKUP(D18,Tableau1257911[[Pos.]:[Sprint]],2,0))</f>
        <v/>
      </c>
      <c r="F18" s="41"/>
      <c r="G18" s="40" t="str">
        <f>IF(ISNA(VLOOKUP(F18,Tableau1257911[[Pos.]:[Enduro]],3,0)),"",VLOOKUP(F18,Tableau1257911[[Pos.]:[Enduro]],3,0))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15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0">
        <f>SUM(Tableau24681012[Pts.])/O21</f>
        <v>20.399999999999999</v>
      </c>
      <c r="P23" s="271"/>
    </row>
    <row r="24" spans="1:16" ht="15.75" thickTop="1" x14ac:dyDescent="0.25"/>
  </sheetData>
  <mergeCells count="8">
    <mergeCell ref="A1:B1"/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J30" sqref="J30"/>
    </sheetView>
  </sheetViews>
  <sheetFormatPr baseColWidth="10" defaultRowHeight="15" x14ac:dyDescent="0.25"/>
  <cols>
    <col min="1" max="1" width="4.7109375" customWidth="1"/>
    <col min="2" max="2" width="14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21" t="s">
        <v>178</v>
      </c>
      <c r="C1" s="127">
        <v>5</v>
      </c>
      <c r="D1" s="251" t="s">
        <v>32</v>
      </c>
      <c r="E1" s="251"/>
      <c r="F1" s="274"/>
      <c r="G1" s="274"/>
      <c r="H1" s="14"/>
      <c r="J1" s="247" t="s">
        <v>33</v>
      </c>
      <c r="K1" s="247"/>
      <c r="L1" s="247"/>
      <c r="M1" s="247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16" t="s">
        <v>44</v>
      </c>
      <c r="F2" s="19"/>
      <c r="G2" s="19"/>
      <c r="H2" s="19"/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7</v>
      </c>
      <c r="C3" s="1" t="str">
        <f>VLOOKUP(Tableau2468101214[[#This Row],[Pilote]],Tableau2[[Pilote]:[Voiture]],2,0)</f>
        <v>Suzuki</v>
      </c>
      <c r="D3" s="210">
        <v>1</v>
      </c>
      <c r="E3" s="46">
        <f>IF(ISNA(VLOOKUP(D3,Tableau125791113[[Pos.]:[Spéciale]],4,0)),"",VLOOKUP(D3,Tableau125791113[[Pos.]:[Spéciale]],4,0))</f>
        <v>48</v>
      </c>
      <c r="F3" s="18"/>
      <c r="G3" s="19"/>
      <c r="H3" s="45"/>
      <c r="J3" s="2">
        <v>1</v>
      </c>
      <c r="K3">
        <v>20</v>
      </c>
      <c r="L3">
        <v>24</v>
      </c>
      <c r="M3">
        <f>2*Tableau125791113[[#This Row],[Enduro]]</f>
        <v>48</v>
      </c>
    </row>
    <row r="4" spans="1:13" x14ac:dyDescent="0.25">
      <c r="A4" s="56">
        <f t="shared" ref="A4:A18" si="0">A3+1</f>
        <v>2</v>
      </c>
      <c r="B4" s="1" t="s">
        <v>24</v>
      </c>
      <c r="C4" s="1" t="str">
        <f>VLOOKUP(Tableau2468101214[[#This Row],[Pilote]],Tableau2[[Pilote]:[Voiture]],2,0)</f>
        <v>Suzuki</v>
      </c>
      <c r="D4" s="212">
        <v>2</v>
      </c>
      <c r="E4" s="46">
        <f>IF(ISNA(VLOOKUP(D4,Tableau125791113[[Pos.]:[Spéciale]],4,0)),"",VLOOKUP(D4,Tableau125791113[[Pos.]:[Spéciale]],4,0))</f>
        <v>40</v>
      </c>
      <c r="F4" s="18"/>
      <c r="G4" s="19"/>
      <c r="H4" s="45"/>
      <c r="J4" s="3">
        <f t="shared" ref="J4:J18" si="1">J3+1</f>
        <v>2</v>
      </c>
      <c r="K4">
        <v>17</v>
      </c>
      <c r="L4">
        <f t="shared" ref="L4:L18" si="2">K3</f>
        <v>20</v>
      </c>
      <c r="M4">
        <f>2*Tableau125791113[[#This Row],[Enduro]]</f>
        <v>40</v>
      </c>
    </row>
    <row r="5" spans="1:13" x14ac:dyDescent="0.25">
      <c r="A5" s="57">
        <f t="shared" si="0"/>
        <v>3</v>
      </c>
      <c r="B5" s="1" t="s">
        <v>174</v>
      </c>
      <c r="C5" s="1" t="str">
        <f>VLOOKUP(Tableau2468101214[[#This Row],[Pilote]],Tableau2[[Pilote]:[Voiture]],2,0)</f>
        <v>Mini</v>
      </c>
      <c r="D5" s="211">
        <v>3</v>
      </c>
      <c r="E5" s="46">
        <f>IF(ISNA(VLOOKUP(D5,Tableau125791113[[Pos.]:[Spéciale]],4,0)),"",VLOOKUP(D5,Tableau125791113[[Pos.]:[Spéciale]],4,0))</f>
        <v>34</v>
      </c>
      <c r="F5" s="18"/>
      <c r="G5" s="19"/>
      <c r="H5" s="45"/>
      <c r="J5" s="4">
        <f t="shared" si="1"/>
        <v>3</v>
      </c>
      <c r="K5">
        <v>15</v>
      </c>
      <c r="L5">
        <f t="shared" si="2"/>
        <v>17</v>
      </c>
      <c r="M5">
        <f>2*Tableau125791113[[#This Row],[Enduro]]</f>
        <v>34</v>
      </c>
    </row>
    <row r="6" spans="1:13" x14ac:dyDescent="0.25">
      <c r="A6" s="52">
        <f t="shared" si="0"/>
        <v>4</v>
      </c>
      <c r="B6" s="1" t="s">
        <v>177</v>
      </c>
      <c r="C6" s="1" t="str">
        <f>VLOOKUP(Tableau2468101214[[#This Row],[Pilote]],Tableau2[[Pilote]:[Voiture]],2,0)</f>
        <v>Honda</v>
      </c>
      <c r="D6" s="41">
        <v>4</v>
      </c>
      <c r="E6" s="46">
        <f>IF(ISNA(VLOOKUP(D6,Tableau125791113[[Pos.]:[Spéciale]],4,0)),"",VLOOKUP(D6,Tableau125791113[[Pos.]:[Spéciale]],4,0))</f>
        <v>30</v>
      </c>
      <c r="F6" s="18"/>
      <c r="G6" s="19"/>
      <c r="H6" s="45"/>
      <c r="J6" s="5">
        <f t="shared" si="1"/>
        <v>4</v>
      </c>
      <c r="K6">
        <v>13</v>
      </c>
      <c r="L6">
        <f t="shared" si="2"/>
        <v>15</v>
      </c>
      <c r="M6">
        <f>2*Tableau125791113[[#This Row],[Enduro]]</f>
        <v>30</v>
      </c>
    </row>
    <row r="7" spans="1:13" x14ac:dyDescent="0.25">
      <c r="A7" s="52">
        <f t="shared" si="0"/>
        <v>5</v>
      </c>
      <c r="B7" s="1" t="s">
        <v>25</v>
      </c>
      <c r="C7" s="1" t="str">
        <f>VLOOKUP(Tableau2468101214[[#This Row],[Pilote]],Tableau2[[Pilote]:[Voiture]],2,0)</f>
        <v>Mazda</v>
      </c>
      <c r="D7" s="41">
        <v>5</v>
      </c>
      <c r="E7" s="46">
        <f>IF(ISNA(VLOOKUP(D7,Tableau125791113[[Pos.]:[Spéciale]],4,0)),"",VLOOKUP(D7,Tableau125791113[[Pos.]:[Spéciale]],4,0))</f>
        <v>26</v>
      </c>
      <c r="F7" s="18"/>
      <c r="G7" s="19"/>
      <c r="H7" s="45"/>
      <c r="J7" s="5">
        <f t="shared" si="1"/>
        <v>5</v>
      </c>
      <c r="K7">
        <v>12</v>
      </c>
      <c r="L7">
        <f t="shared" si="2"/>
        <v>13</v>
      </c>
      <c r="M7">
        <f>2*Tableau125791113[[#This Row],[Enduro]]</f>
        <v>26</v>
      </c>
    </row>
    <row r="8" spans="1:13" x14ac:dyDescent="0.25">
      <c r="A8" s="52">
        <f t="shared" si="0"/>
        <v>6</v>
      </c>
      <c r="B8" s="1" t="s">
        <v>11</v>
      </c>
      <c r="C8" s="1" t="str">
        <f>VLOOKUP(Tableau2468101214[[#This Row],[Pilote]],Tableau2[[Pilote]:[Voiture]],2,0)</f>
        <v>Nissan</v>
      </c>
      <c r="D8" s="41">
        <v>6</v>
      </c>
      <c r="E8" s="46">
        <f>IF(ISNA(VLOOKUP(D8,Tableau125791113[[Pos.]:[Spéciale]],4,0)),"",VLOOKUP(D8,Tableau125791113[[Pos.]:[Spéciale]],4,0))</f>
        <v>24</v>
      </c>
      <c r="F8" s="18"/>
      <c r="G8" s="19"/>
      <c r="H8" s="45"/>
      <c r="J8" s="5">
        <f t="shared" si="1"/>
        <v>6</v>
      </c>
      <c r="K8">
        <v>11</v>
      </c>
      <c r="L8">
        <f t="shared" si="2"/>
        <v>12</v>
      </c>
      <c r="M8">
        <f>2*Tableau125791113[[#This Row],[Enduro]]</f>
        <v>24</v>
      </c>
    </row>
    <row r="9" spans="1:13" x14ac:dyDescent="0.25">
      <c r="A9" s="52">
        <f t="shared" si="0"/>
        <v>7</v>
      </c>
      <c r="B9" s="1" t="s">
        <v>198</v>
      </c>
      <c r="C9" s="1" t="str">
        <f>VLOOKUP(Tableau2468101214[[#This Row],[Pilote]],Tableau2[[Pilote]:[Voiture]],2,0)</f>
        <v>Toyota</v>
      </c>
      <c r="D9" s="41">
        <v>7</v>
      </c>
      <c r="E9" s="46">
        <f>IF(ISNA(VLOOKUP(D9,Tableau125791113[[Pos.]:[Spéciale]],4,0)),"",VLOOKUP(D9,Tableau125791113[[Pos.]:[Spéciale]],4,0))</f>
        <v>22</v>
      </c>
      <c r="F9" s="18"/>
      <c r="G9" s="19"/>
      <c r="H9" s="45"/>
      <c r="J9" s="5">
        <f t="shared" si="1"/>
        <v>7</v>
      </c>
      <c r="K9">
        <v>10</v>
      </c>
      <c r="L9">
        <f t="shared" si="2"/>
        <v>11</v>
      </c>
      <c r="M9">
        <f>2*Tableau125791113[[#This Row],[Enduro]]</f>
        <v>22</v>
      </c>
    </row>
    <row r="10" spans="1:13" x14ac:dyDescent="0.25">
      <c r="A10" s="52">
        <f t="shared" si="0"/>
        <v>8</v>
      </c>
      <c r="B10" s="1" t="s">
        <v>21</v>
      </c>
      <c r="C10" s="1" t="str">
        <f>VLOOKUP(Tableau2468101214[[#This Row],[Pilote]],Tableau2[[Pilote]:[Voiture]],2,0)</f>
        <v>Mini</v>
      </c>
      <c r="D10" s="41">
        <v>8</v>
      </c>
      <c r="E10" s="46">
        <f>IF(ISNA(VLOOKUP(D10,Tableau125791113[[Pos.]:[Spéciale]],4,0)),"",VLOOKUP(D10,Tableau125791113[[Pos.]:[Spéciale]],4,0))</f>
        <v>20</v>
      </c>
      <c r="F10" s="18"/>
      <c r="G10" s="19"/>
      <c r="H10" s="45"/>
      <c r="J10" s="5">
        <f t="shared" si="1"/>
        <v>8</v>
      </c>
      <c r="K10">
        <v>9</v>
      </c>
      <c r="L10">
        <f t="shared" si="2"/>
        <v>10</v>
      </c>
      <c r="M10">
        <f>2*Tableau125791113[[#This Row],[Enduro]]</f>
        <v>20</v>
      </c>
    </row>
    <row r="11" spans="1:13" x14ac:dyDescent="0.25">
      <c r="A11" s="52">
        <f t="shared" si="0"/>
        <v>9</v>
      </c>
      <c r="B11" s="1" t="s">
        <v>28</v>
      </c>
      <c r="C11" s="1" t="str">
        <f>VLOOKUP(Tableau2468101214[[#This Row],[Pilote]],Tableau2[[Pilote]:[Voiture]],2,0)</f>
        <v>Honda</v>
      </c>
      <c r="D11" s="41">
        <v>9</v>
      </c>
      <c r="E11" s="46">
        <f>IF(ISNA(VLOOKUP(D11,Tableau125791113[[Pos.]:[Spéciale]],4,0)),"",VLOOKUP(D11,Tableau125791113[[Pos.]:[Spéciale]],4,0))</f>
        <v>18</v>
      </c>
      <c r="F11" s="18"/>
      <c r="G11" s="19"/>
      <c r="H11" s="45"/>
      <c r="J11" s="5">
        <f t="shared" si="1"/>
        <v>9</v>
      </c>
      <c r="K11">
        <v>8</v>
      </c>
      <c r="L11">
        <f t="shared" si="2"/>
        <v>9</v>
      </c>
      <c r="M11">
        <f>2*Tableau125791113[[#This Row],[Enduro]]</f>
        <v>18</v>
      </c>
    </row>
    <row r="12" spans="1:13" x14ac:dyDescent="0.25">
      <c r="A12" s="52">
        <f t="shared" si="0"/>
        <v>10</v>
      </c>
      <c r="B12" s="1" t="s">
        <v>9</v>
      </c>
      <c r="C12" s="1" t="str">
        <f>VLOOKUP(Tableau2468101214[[#This Row],[Pilote]],Tableau2[[Pilote]:[Voiture]],2,0)</f>
        <v>Mazda</v>
      </c>
      <c r="D12" s="41">
        <v>10</v>
      </c>
      <c r="E12" s="46">
        <f>IF(ISNA(VLOOKUP(D12,Tableau125791113[[Pos.]:[Spéciale]],4,0)),"",VLOOKUP(D12,Tableau125791113[[Pos.]:[Spéciale]],4,0))</f>
        <v>16</v>
      </c>
      <c r="F12" s="18"/>
      <c r="G12" s="19"/>
      <c r="H12" s="45"/>
      <c r="J12" s="5">
        <f t="shared" si="1"/>
        <v>10</v>
      </c>
      <c r="K12">
        <v>7</v>
      </c>
      <c r="L12">
        <f t="shared" si="2"/>
        <v>8</v>
      </c>
      <c r="M12">
        <f>2*Tableau125791113[[#This Row],[Enduro]]</f>
        <v>16</v>
      </c>
    </row>
    <row r="13" spans="1:13" x14ac:dyDescent="0.25">
      <c r="A13" s="52">
        <f t="shared" si="0"/>
        <v>11</v>
      </c>
      <c r="B13" s="1" t="s">
        <v>173</v>
      </c>
      <c r="C13" s="1" t="str">
        <f>VLOOKUP(Tableau2468101214[[#This Row],[Pilote]],Tableau2[[Pilote]:[Voiture]],2,0)</f>
        <v>Nissan</v>
      </c>
      <c r="D13" s="41">
        <v>11</v>
      </c>
      <c r="E13" s="46">
        <f>IF(ISNA(VLOOKUP(D13,Tableau125791113[[Pos.]:[Spéciale]],4,0)),"",VLOOKUP(D13,Tableau125791113[[Pos.]:[Spéciale]],4,0))</f>
        <v>14</v>
      </c>
      <c r="F13" s="18"/>
      <c r="G13" s="19"/>
      <c r="H13" s="45"/>
      <c r="J13" s="5">
        <f t="shared" si="1"/>
        <v>11</v>
      </c>
      <c r="K13">
        <v>6</v>
      </c>
      <c r="L13">
        <f t="shared" si="2"/>
        <v>7</v>
      </c>
      <c r="M13">
        <f>2*Tableau125791113[[#This Row],[Enduro]]</f>
        <v>14</v>
      </c>
    </row>
    <row r="14" spans="1:13" x14ac:dyDescent="0.25">
      <c r="A14" s="52">
        <f t="shared" si="0"/>
        <v>12</v>
      </c>
      <c r="B14" s="1" t="s">
        <v>200</v>
      </c>
      <c r="C14" s="1" t="str">
        <f>VLOOKUP(Tableau2468101214[[#This Row],[Pilote]],Tableau2[[Pilote]:[Voiture]],2,0)</f>
        <v>Abarth</v>
      </c>
      <c r="D14" s="41">
        <v>12</v>
      </c>
      <c r="E14" s="46">
        <f>IF(ISNA(VLOOKUP(D14,Tableau125791113[[Pos.]:[Spéciale]],4,0)),"",VLOOKUP(D14,Tableau125791113[[Pos.]:[Spéciale]],4,0))</f>
        <v>12</v>
      </c>
      <c r="F14" s="18"/>
      <c r="G14" s="19"/>
      <c r="H14" s="45"/>
      <c r="J14" s="5">
        <f t="shared" si="1"/>
        <v>12</v>
      </c>
      <c r="K14">
        <v>5</v>
      </c>
      <c r="L14">
        <f t="shared" si="2"/>
        <v>6</v>
      </c>
      <c r="M14">
        <f>2*Tableau125791113[[#This Row],[Enduro]]</f>
        <v>12</v>
      </c>
    </row>
    <row r="15" spans="1:13" x14ac:dyDescent="0.25">
      <c r="A15" s="52">
        <f t="shared" si="0"/>
        <v>13</v>
      </c>
      <c r="B15" s="1" t="s">
        <v>26</v>
      </c>
      <c r="C15" s="1" t="str">
        <f>VLOOKUP(Tableau2468101214[[#This Row],[Pilote]],Tableau2[[Pilote]:[Voiture]],2,0)</f>
        <v>Alfa Romeo</v>
      </c>
      <c r="D15" s="41">
        <v>13</v>
      </c>
      <c r="E15" s="46">
        <f>IF(ISNA(VLOOKUP(D15,Tableau125791113[[Pos.]:[Spéciale]],4,0)),"",VLOOKUP(D15,Tableau125791113[[Pos.]:[Spéciale]],4,0))</f>
        <v>10</v>
      </c>
      <c r="F15" s="18"/>
      <c r="G15" s="19"/>
      <c r="H15" s="45"/>
      <c r="J15" s="5">
        <f t="shared" si="1"/>
        <v>13</v>
      </c>
      <c r="K15">
        <v>4</v>
      </c>
      <c r="L15">
        <f t="shared" si="2"/>
        <v>5</v>
      </c>
      <c r="M15">
        <f>2*Tableau125791113[[#This Row],[Enduro]]</f>
        <v>10</v>
      </c>
    </row>
    <row r="16" spans="1:13" x14ac:dyDescent="0.25">
      <c r="A16" s="52">
        <f t="shared" si="0"/>
        <v>14</v>
      </c>
      <c r="B16" s="1" t="s">
        <v>175</v>
      </c>
      <c r="C16" s="1" t="str">
        <f>VLOOKUP(Tableau2468101214[[#This Row],[Pilote]],Tableau2[[Pilote]:[Voiture]],2,0)</f>
        <v>Toyota</v>
      </c>
      <c r="D16" s="41">
        <v>14</v>
      </c>
      <c r="E16" s="46">
        <f>IF(ISNA(VLOOKUP(D16,Tableau125791113[[Pos.]:[Spéciale]],4,0)),"",VLOOKUP(D16,Tableau125791113[[Pos.]:[Spéciale]],4,0))</f>
        <v>8</v>
      </c>
      <c r="F16" s="18"/>
      <c r="G16" s="19"/>
      <c r="H16" s="45"/>
      <c r="J16" s="5">
        <f t="shared" si="1"/>
        <v>14</v>
      </c>
      <c r="K16">
        <v>3</v>
      </c>
      <c r="L16">
        <f t="shared" si="2"/>
        <v>4</v>
      </c>
      <c r="M16">
        <f>2*Tableau125791113[[#This Row],[Enduro]]</f>
        <v>8</v>
      </c>
    </row>
    <row r="17" spans="1:16" x14ac:dyDescent="0.25">
      <c r="A17" s="52">
        <f t="shared" si="0"/>
        <v>15</v>
      </c>
      <c r="B17" s="1" t="s">
        <v>15</v>
      </c>
      <c r="C17" s="1" t="str">
        <f>VLOOKUP(Tableau2468101214[[#This Row],[Pilote]],Tableau2[[Pilote]:[Voiture]],2,0)</f>
        <v>Honda</v>
      </c>
      <c r="D17" s="41">
        <v>15</v>
      </c>
      <c r="E17" s="46">
        <f>IF(ISNA(VLOOKUP(D17,Tableau125791113[[Pos.]:[Spéciale]],4,0)),"",VLOOKUP(D17,Tableau125791113[[Pos.]:[Spéciale]],4,0))</f>
        <v>6</v>
      </c>
      <c r="F17" s="18"/>
      <c r="G17" s="19"/>
      <c r="H17" s="45"/>
      <c r="J17" s="5">
        <f t="shared" si="1"/>
        <v>15</v>
      </c>
      <c r="K17">
        <v>2</v>
      </c>
      <c r="L17">
        <f t="shared" si="2"/>
        <v>3</v>
      </c>
      <c r="M17">
        <f>2*Tableau125791113[[#This Row],[Enduro]]</f>
        <v>6</v>
      </c>
    </row>
    <row r="18" spans="1:16" x14ac:dyDescent="0.25">
      <c r="A18" s="53">
        <f t="shared" si="0"/>
        <v>16</v>
      </c>
      <c r="B18" s="1"/>
      <c r="C18" s="1" t="e">
        <f>VLOOKUP(Tableau2468101214[[#This Row],[Pilote]],Tableau2[[Pilote]:[Voiture]],2,0)</f>
        <v>#N/A</v>
      </c>
      <c r="D18" s="41"/>
      <c r="E18" s="65" t="str">
        <f>IF(ISNA(VLOOKUP(D18,Tableau125791113[[Pos.]:[Spéciale]],4,0)),"",VLOOKUP(D18,Tableau125791113[[Pos.]:[Spéciale]],4,0))</f>
        <v/>
      </c>
      <c r="F18" s="18"/>
      <c r="G18" s="19"/>
      <c r="H18" s="45"/>
      <c r="J18" s="5">
        <f t="shared" si="1"/>
        <v>16</v>
      </c>
      <c r="K18">
        <v>1</v>
      </c>
      <c r="L18">
        <f t="shared" si="2"/>
        <v>2</v>
      </c>
      <c r="M18">
        <f>2*Tableau125791113[[#This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8" t="s">
        <v>36</v>
      </c>
      <c r="P20" s="250"/>
    </row>
    <row r="21" spans="1:16" ht="15.75" thickBot="1" x14ac:dyDescent="0.3">
      <c r="O21" s="263">
        <v>15</v>
      </c>
      <c r="P21" s="264"/>
    </row>
    <row r="22" spans="1:16" ht="15.75" thickTop="1" x14ac:dyDescent="0.25">
      <c r="O22" s="266" t="s">
        <v>47</v>
      </c>
      <c r="P22" s="267"/>
    </row>
    <row r="23" spans="1:16" ht="15.75" thickBot="1" x14ac:dyDescent="0.3">
      <c r="O23" s="272">
        <f>SUM(Tableau2468101214[Pts. Sprint])/O21</f>
        <v>21.866666666666667</v>
      </c>
      <c r="P23" s="273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Stats</vt:lpstr>
      <vt:lpstr>Calendrier</vt:lpstr>
      <vt:lpstr>Classement général</vt:lpstr>
      <vt:lpstr>Lest</vt:lpstr>
      <vt:lpstr>Manche 1</vt:lpstr>
      <vt:lpstr>Manche 2</vt:lpstr>
      <vt:lpstr>Manche 3</vt:lpstr>
      <vt:lpstr>Manche 4</vt:lpstr>
      <vt:lpstr>Manche 5</vt:lpstr>
      <vt:lpstr>Manche 6</vt:lpstr>
      <vt:lpstr>Manche 7</vt:lpstr>
      <vt:lpstr>Manche 8</vt:lpstr>
      <vt:lpstr>Manche 9</vt:lpstr>
      <vt:lpstr>Manche 10</vt:lpstr>
      <vt:lpstr>Modèle 1 groupe</vt:lpstr>
      <vt:lpstr>Modèle 2 groupes</vt:lpstr>
      <vt:lpstr>Modèle 1 gr. spéciale</vt:lpstr>
      <vt:lpstr>Modèle 2 gr. spéciale</vt:lpstr>
      <vt:lpstr>Tests Performances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GT-Alex</cp:lastModifiedBy>
  <dcterms:created xsi:type="dcterms:W3CDTF">2015-09-08T12:42:31Z</dcterms:created>
  <dcterms:modified xsi:type="dcterms:W3CDTF">2016-10-14T23:18:49Z</dcterms:modified>
</cp:coreProperties>
</file>