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ate1904="1" codeName="ThisWorkbook"/>
  <bookViews>
    <workbookView xWindow="0" yWindow="465" windowWidth="25800" windowHeight="16440" tabRatio="772" activeTab="1"/>
  </bookViews>
  <sheets>
    <sheet name="Input sheet" sheetId="11" r:id="rId1"/>
    <sheet name="Valuation output" sheetId="13" r:id="rId2"/>
    <sheet name="Stories to Numbers" sheetId="28" r:id="rId3"/>
    <sheet name="What if" sheetId="31" r:id="rId4"/>
    <sheet name="Option value" sheetId="14" r:id="rId5"/>
    <sheet name="Diagnostics" sheetId="12" r:id="rId6"/>
    <sheet name="R&amp; D converter" sheetId="25" r:id="rId7"/>
    <sheet name="Operating lease converter" sheetId="18" r:id="rId8"/>
    <sheet name="Cost of capital worksheet" sheetId="19" r:id="rId9"/>
    <sheet name="Synthetic rating" sheetId="20" r:id="rId10"/>
    <sheet name="Industry Averages(US)" sheetId="8" r:id="rId11"/>
    <sheet name="Global industry averages" sheetId="26" r:id="rId12"/>
    <sheet name="Country tax rates" sheetId="22" r:id="rId13"/>
    <sheet name="Country equity risk premiums" sheetId="23" r:id="rId14"/>
    <sheet name="Trailing 12 month" sheetId="24" r:id="rId15"/>
    <sheet name="Answer keys" sheetId="21" r:id="rId16"/>
  </sheets>
  <calcPr calcId="144525"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13" l="1"/>
  <c r="D4" i="13"/>
  <c r="E4" i="13"/>
  <c r="C38" i="13"/>
  <c r="L38" i="13"/>
  <c r="D38" i="13"/>
  <c r="E38" i="13"/>
  <c r="F38" i="13"/>
  <c r="G38" i="13"/>
  <c r="H38" i="13"/>
  <c r="I38" i="13"/>
  <c r="J38" i="13"/>
  <c r="K38" i="13"/>
  <c r="I26" i="19"/>
  <c r="B12" i="11"/>
  <c r="J6" i="19"/>
  <c r="K6" i="19"/>
  <c r="L6" i="19"/>
  <c r="I15" i="19"/>
  <c r="K3" i="19"/>
  <c r="J3" i="19"/>
  <c r="L3" i="19"/>
  <c r="K4" i="19"/>
  <c r="J4" i="19"/>
  <c r="L4" i="19"/>
  <c r="K5" i="19"/>
  <c r="J5" i="19"/>
  <c r="L5" i="19"/>
  <c r="K7" i="19"/>
  <c r="L7" i="19"/>
  <c r="K8" i="19"/>
  <c r="L8" i="19"/>
  <c r="K9" i="19"/>
  <c r="L9" i="19"/>
  <c r="K10" i="19"/>
  <c r="L10" i="19"/>
  <c r="K11" i="19"/>
  <c r="L11" i="19"/>
  <c r="K12" i="19"/>
  <c r="L12" i="19"/>
  <c r="K14" i="19"/>
  <c r="L14" i="19"/>
  <c r="L15" i="19"/>
  <c r="B14" i="19"/>
  <c r="B10" i="19"/>
  <c r="L48" i="19"/>
  <c r="J48" i="19"/>
  <c r="K48" i="19"/>
  <c r="J49" i="19"/>
  <c r="K49" i="19"/>
  <c r="J50" i="19"/>
  <c r="K50" i="19"/>
  <c r="J51" i="19"/>
  <c r="K51" i="19"/>
  <c r="J52" i="19"/>
  <c r="K52" i="19"/>
  <c r="J53" i="19"/>
  <c r="K53" i="19"/>
  <c r="J54" i="19"/>
  <c r="K54" i="19"/>
  <c r="J55" i="19"/>
  <c r="K55" i="19"/>
  <c r="J56" i="19"/>
  <c r="K56" i="19"/>
  <c r="J57" i="19"/>
  <c r="K57" i="19"/>
  <c r="J58" i="19"/>
  <c r="K58" i="19"/>
  <c r="J59" i="19"/>
  <c r="K59" i="19"/>
  <c r="K60" i="19"/>
  <c r="L49" i="19"/>
  <c r="L50" i="19"/>
  <c r="L51" i="19"/>
  <c r="L52" i="19"/>
  <c r="L53" i="19"/>
  <c r="L54" i="19"/>
  <c r="L55" i="19"/>
  <c r="L56" i="19"/>
  <c r="L57" i="19"/>
  <c r="L58" i="19"/>
  <c r="L59" i="19"/>
  <c r="L60" i="19"/>
  <c r="B9" i="19"/>
  <c r="B25" i="19"/>
  <c r="B18" i="19"/>
  <c r="B24" i="19"/>
  <c r="B17" i="19"/>
  <c r="C40" i="19"/>
  <c r="C41" i="19"/>
  <c r="C15" i="18"/>
  <c r="B22" i="18"/>
  <c r="C22" i="18"/>
  <c r="B23" i="18"/>
  <c r="C23" i="18"/>
  <c r="B24" i="18"/>
  <c r="C24" i="18"/>
  <c r="B25" i="18"/>
  <c r="C25" i="18"/>
  <c r="B26" i="18"/>
  <c r="C26" i="18"/>
  <c r="D18" i="18"/>
  <c r="B27" i="18"/>
  <c r="C27" i="18"/>
  <c r="C28" i="18"/>
  <c r="F33" i="18"/>
  <c r="B32" i="19"/>
  <c r="C42" i="19"/>
  <c r="C47" i="19"/>
  <c r="B4" i="19"/>
  <c r="B5" i="19"/>
  <c r="B47" i="19"/>
  <c r="C44" i="19"/>
  <c r="B49" i="19"/>
  <c r="E47" i="19"/>
  <c r="B48" i="19"/>
  <c r="C48" i="19"/>
  <c r="C49" i="19"/>
  <c r="D48" i="19"/>
  <c r="E49" i="19"/>
  <c r="B28" i="11"/>
  <c r="A1" i="28"/>
  <c r="C2" i="13"/>
  <c r="D2" i="13"/>
  <c r="E2" i="13"/>
  <c r="F2" i="13"/>
  <c r="G2" i="13"/>
  <c r="M2" i="13"/>
  <c r="L2" i="13"/>
  <c r="K2" i="13"/>
  <c r="J2" i="13"/>
  <c r="I2" i="13"/>
  <c r="B22" i="13"/>
  <c r="G33" i="28"/>
  <c r="G39" i="28"/>
  <c r="F31" i="18"/>
  <c r="F32" i="18"/>
  <c r="B25" i="25"/>
  <c r="E25" i="25"/>
  <c r="A12" i="25"/>
  <c r="A26" i="25"/>
  <c r="B26" i="25"/>
  <c r="E26" i="25"/>
  <c r="A13" i="25"/>
  <c r="A27" i="25"/>
  <c r="B27" i="25"/>
  <c r="E27" i="25"/>
  <c r="A14" i="25"/>
  <c r="A28" i="25"/>
  <c r="E28" i="25"/>
  <c r="A15" i="25"/>
  <c r="A29" i="25"/>
  <c r="E29" i="25"/>
  <c r="A16" i="25"/>
  <c r="A30" i="25"/>
  <c r="E30" i="25"/>
  <c r="A17" i="25"/>
  <c r="A31" i="25"/>
  <c r="E31" i="25"/>
  <c r="A18" i="25"/>
  <c r="A32" i="25"/>
  <c r="E32" i="25"/>
  <c r="A19" i="25"/>
  <c r="A33" i="25"/>
  <c r="E33" i="25"/>
  <c r="A20" i="25"/>
  <c r="A34" i="25"/>
  <c r="E34" i="25"/>
  <c r="E35" i="25"/>
  <c r="D37" i="25"/>
  <c r="D39" i="25"/>
  <c r="B5" i="13"/>
  <c r="B3" i="13"/>
  <c r="B4" i="13"/>
  <c r="L4" i="13"/>
  <c r="C3" i="13"/>
  <c r="D3" i="13"/>
  <c r="E3" i="13"/>
  <c r="F3" i="13"/>
  <c r="G3" i="13"/>
  <c r="H2" i="13"/>
  <c r="H3" i="13"/>
  <c r="I3" i="13"/>
  <c r="J3" i="13"/>
  <c r="K3" i="13"/>
  <c r="L3" i="13"/>
  <c r="L5" i="13"/>
  <c r="B5" i="12"/>
  <c r="B24" i="25"/>
  <c r="D24" i="25"/>
  <c r="C25" i="25"/>
  <c r="D25" i="25"/>
  <c r="C26" i="25"/>
  <c r="D26" i="25"/>
  <c r="C27" i="25"/>
  <c r="D27" i="25"/>
  <c r="C28" i="25"/>
  <c r="D28" i="25"/>
  <c r="C29" i="25"/>
  <c r="D29" i="25"/>
  <c r="C30" i="25"/>
  <c r="D30" i="25"/>
  <c r="C31" i="25"/>
  <c r="D31" i="25"/>
  <c r="C32" i="25"/>
  <c r="D32" i="25"/>
  <c r="C33" i="25"/>
  <c r="D33" i="25"/>
  <c r="C34" i="25"/>
  <c r="D34" i="25"/>
  <c r="D35" i="25"/>
  <c r="B39" i="13"/>
  <c r="C8" i="13"/>
  <c r="C39" i="13"/>
  <c r="D8" i="13"/>
  <c r="D39" i="13"/>
  <c r="E8" i="13"/>
  <c r="E39" i="13"/>
  <c r="F8" i="13"/>
  <c r="F39" i="13"/>
  <c r="G8" i="13"/>
  <c r="G39" i="13"/>
  <c r="H8" i="13"/>
  <c r="H39" i="13"/>
  <c r="I8" i="13"/>
  <c r="I39" i="13"/>
  <c r="J8" i="13"/>
  <c r="J39" i="13"/>
  <c r="K8" i="13"/>
  <c r="K39" i="13"/>
  <c r="L8" i="13"/>
  <c r="L39" i="13"/>
  <c r="B3" i="12"/>
  <c r="B2" i="12"/>
  <c r="B4" i="12"/>
  <c r="B6" i="12"/>
  <c r="D13" i="28"/>
  <c r="M12" i="13"/>
  <c r="C12" i="13"/>
  <c r="D12" i="13"/>
  <c r="E12" i="13"/>
  <c r="F12" i="13"/>
  <c r="G12" i="13"/>
  <c r="H12" i="13"/>
  <c r="I12" i="13"/>
  <c r="J12" i="13"/>
  <c r="K12" i="13"/>
  <c r="L12" i="13"/>
  <c r="M40" i="13"/>
  <c r="F13" i="28"/>
  <c r="B6" i="13"/>
  <c r="B7" i="13"/>
  <c r="B40" i="13"/>
  <c r="B13" i="28"/>
  <c r="M4" i="13"/>
  <c r="M3" i="13"/>
  <c r="M5" i="13"/>
  <c r="M6" i="13"/>
  <c r="M7" i="13"/>
  <c r="M8" i="13"/>
  <c r="M9" i="13"/>
  <c r="B16" i="13"/>
  <c r="B17" i="13"/>
  <c r="B18" i="13"/>
  <c r="C13" i="13"/>
  <c r="D13" i="13"/>
  <c r="E13" i="13"/>
  <c r="F13" i="13"/>
  <c r="G13" i="13"/>
  <c r="H13" i="13"/>
  <c r="I13" i="13"/>
  <c r="J13" i="13"/>
  <c r="K13" i="13"/>
  <c r="L13" i="13"/>
  <c r="B19" i="13"/>
  <c r="H4" i="13"/>
  <c r="H5" i="13"/>
  <c r="G4" i="13"/>
  <c r="G5" i="13"/>
  <c r="F4" i="13"/>
  <c r="F5" i="13"/>
  <c r="E5" i="13"/>
  <c r="D5" i="13"/>
  <c r="C5" i="13"/>
  <c r="B10" i="13"/>
  <c r="C10" i="13"/>
  <c r="D10" i="13"/>
  <c r="E10" i="13"/>
  <c r="F10" i="13"/>
  <c r="G10" i="13"/>
  <c r="C6" i="13"/>
  <c r="D6" i="13"/>
  <c r="E6" i="13"/>
  <c r="F6" i="13"/>
  <c r="G6" i="13"/>
  <c r="H6" i="13"/>
  <c r="H7" i="13"/>
  <c r="H9" i="13"/>
  <c r="H14" i="13"/>
  <c r="I4" i="13"/>
  <c r="I5" i="13"/>
  <c r="H10" i="13"/>
  <c r="I6" i="13"/>
  <c r="I7" i="13"/>
  <c r="I9" i="13"/>
  <c r="I14" i="13"/>
  <c r="J4" i="13"/>
  <c r="J5" i="13"/>
  <c r="I10" i="13"/>
  <c r="J6" i="13"/>
  <c r="J7" i="13"/>
  <c r="J9" i="13"/>
  <c r="J14" i="13"/>
  <c r="K4" i="13"/>
  <c r="K5" i="13"/>
  <c r="J10" i="13"/>
  <c r="K6" i="13"/>
  <c r="K7" i="13"/>
  <c r="K9" i="13"/>
  <c r="K14" i="13"/>
  <c r="K10" i="13"/>
  <c r="L6" i="13"/>
  <c r="L7" i="13"/>
  <c r="L9" i="13"/>
  <c r="L14" i="13"/>
  <c r="C7" i="13"/>
  <c r="C9" i="13"/>
  <c r="C14" i="13"/>
  <c r="D7" i="13"/>
  <c r="D9" i="13"/>
  <c r="D14" i="13"/>
  <c r="E7" i="13"/>
  <c r="E9" i="13"/>
  <c r="E14" i="13"/>
  <c r="F7" i="13"/>
  <c r="F9" i="13"/>
  <c r="F14" i="13"/>
  <c r="G7" i="13"/>
  <c r="G9" i="13"/>
  <c r="G14" i="13"/>
  <c r="B20" i="13"/>
  <c r="B21" i="13"/>
  <c r="D32" i="28"/>
  <c r="B23" i="13"/>
  <c r="B24" i="13"/>
  <c r="D33" i="28"/>
  <c r="B25" i="13"/>
  <c r="B26" i="13"/>
  <c r="D34" i="28"/>
  <c r="B27" i="13"/>
  <c r="B28" i="13"/>
  <c r="D35" i="28"/>
  <c r="D36" i="28"/>
  <c r="B32" i="13"/>
  <c r="D38" i="28"/>
  <c r="D31" i="28"/>
  <c r="D30" i="28"/>
  <c r="D29" i="28"/>
  <c r="E27" i="28"/>
  <c r="F27" i="28"/>
  <c r="G27" i="28"/>
  <c r="E26" i="28"/>
  <c r="F26" i="28"/>
  <c r="G26" i="28"/>
  <c r="E25" i="28"/>
  <c r="F25" i="28"/>
  <c r="G25" i="28"/>
  <c r="E24" i="28"/>
  <c r="F24" i="28"/>
  <c r="G24" i="28"/>
  <c r="E23" i="28"/>
  <c r="F23" i="28"/>
  <c r="G23" i="28"/>
  <c r="E22" i="28"/>
  <c r="F22" i="28"/>
  <c r="G22" i="28"/>
  <c r="E21" i="28"/>
  <c r="F21" i="28"/>
  <c r="G21" i="28"/>
  <c r="E20" i="28"/>
  <c r="F20" i="28"/>
  <c r="G20" i="28"/>
  <c r="E19" i="28"/>
  <c r="F19" i="28"/>
  <c r="G19" i="28"/>
  <c r="E18" i="28"/>
  <c r="F18" i="28"/>
  <c r="G18" i="28"/>
  <c r="E17" i="28"/>
  <c r="F17" i="28"/>
  <c r="G17" i="28"/>
  <c r="B27" i="28"/>
  <c r="C27" i="28"/>
  <c r="D27" i="28"/>
  <c r="B26" i="28"/>
  <c r="C26" i="28"/>
  <c r="D26" i="28"/>
  <c r="B25" i="28"/>
  <c r="C25" i="28"/>
  <c r="D25" i="28"/>
  <c r="B24" i="28"/>
  <c r="C24" i="28"/>
  <c r="D24" i="28"/>
  <c r="B23" i="28"/>
  <c r="C23" i="28"/>
  <c r="D23" i="28"/>
  <c r="B22" i="28"/>
  <c r="C22" i="28"/>
  <c r="D22" i="28"/>
  <c r="B21" i="28"/>
  <c r="C21" i="28"/>
  <c r="D21" i="28"/>
  <c r="B20" i="28"/>
  <c r="C20" i="28"/>
  <c r="D20" i="28"/>
  <c r="B19" i="28"/>
  <c r="C19" i="28"/>
  <c r="D19" i="28"/>
  <c r="B18" i="28"/>
  <c r="C18" i="28"/>
  <c r="D18" i="28"/>
  <c r="B17" i="28"/>
  <c r="C17" i="28"/>
  <c r="D17" i="28"/>
  <c r="F14" i="28"/>
  <c r="D14" i="28"/>
  <c r="F12" i="28"/>
  <c r="B10" i="28"/>
  <c r="C10" i="28"/>
  <c r="F11" i="28"/>
  <c r="D11" i="28"/>
  <c r="B11" i="28"/>
  <c r="C11" i="28"/>
  <c r="F10" i="28"/>
  <c r="D10" i="28"/>
  <c r="D12" i="28"/>
  <c r="C14" i="28"/>
  <c r="F9" i="28"/>
  <c r="C9" i="28"/>
  <c r="B9" i="28"/>
  <c r="D14" i="24"/>
  <c r="D9" i="24"/>
  <c r="B9" i="24"/>
  <c r="B7" i="24"/>
  <c r="D12" i="20"/>
  <c r="F7" i="20"/>
  <c r="J18" i="19"/>
  <c r="I28" i="19"/>
  <c r="K18" i="19"/>
  <c r="L18" i="19"/>
  <c r="J19" i="19"/>
  <c r="K19" i="19"/>
  <c r="L19" i="19"/>
  <c r="J20" i="19"/>
  <c r="K20" i="19"/>
  <c r="L20" i="19"/>
  <c r="J21" i="19"/>
  <c r="K21" i="19"/>
  <c r="L21" i="19"/>
  <c r="J22" i="19"/>
  <c r="K22" i="19"/>
  <c r="L22" i="19"/>
  <c r="J23" i="19"/>
  <c r="K23" i="19"/>
  <c r="L23" i="19"/>
  <c r="J24" i="19"/>
  <c r="K24" i="19"/>
  <c r="L24" i="19"/>
  <c r="J25" i="19"/>
  <c r="K25" i="19"/>
  <c r="L25" i="19"/>
  <c r="J26" i="19"/>
  <c r="K26" i="19"/>
  <c r="L26" i="19"/>
  <c r="L28" i="19"/>
  <c r="E2" i="24"/>
  <c r="I22" i="11"/>
  <c r="E5" i="24"/>
  <c r="E4" i="24"/>
  <c r="C14" i="24"/>
  <c r="D7" i="24"/>
  <c r="J30" i="11"/>
  <c r="I24" i="11"/>
  <c r="J32" i="19"/>
  <c r="L32" i="19"/>
  <c r="J43" i="19"/>
  <c r="L43" i="19"/>
  <c r="J42" i="19"/>
  <c r="L42" i="19"/>
  <c r="J41" i="19"/>
  <c r="L41" i="19"/>
  <c r="J40" i="19"/>
  <c r="L40" i="19"/>
  <c r="J39" i="19"/>
  <c r="L39" i="19"/>
  <c r="J38" i="19"/>
  <c r="L38" i="19"/>
  <c r="J37" i="19"/>
  <c r="L37" i="19"/>
  <c r="J36" i="19"/>
  <c r="L36" i="19"/>
  <c r="J35" i="19"/>
  <c r="L35" i="19"/>
  <c r="J34" i="19"/>
  <c r="L34" i="19"/>
  <c r="J33" i="19"/>
  <c r="L33" i="19"/>
  <c r="J12" i="19"/>
  <c r="J11" i="19"/>
  <c r="J10" i="19"/>
  <c r="J9" i="19"/>
  <c r="J8" i="19"/>
  <c r="J7" i="19"/>
  <c r="H26" i="19"/>
  <c r="H25" i="19"/>
  <c r="H24" i="19"/>
  <c r="H23" i="19"/>
  <c r="H22" i="19"/>
  <c r="H21" i="19"/>
  <c r="H20" i="19"/>
  <c r="H19" i="19"/>
  <c r="H18" i="19"/>
  <c r="K27" i="11"/>
  <c r="K26" i="11"/>
  <c r="J27" i="11"/>
  <c r="J26" i="11"/>
  <c r="K25" i="11"/>
  <c r="K24" i="11"/>
  <c r="K23" i="11"/>
  <c r="J23" i="11"/>
  <c r="K22" i="11"/>
  <c r="J22" i="11"/>
  <c r="K32" i="19"/>
  <c r="K33" i="19"/>
  <c r="K34" i="19"/>
  <c r="K35" i="19"/>
  <c r="K36" i="19"/>
  <c r="K37" i="19"/>
  <c r="K38" i="19"/>
  <c r="K39" i="19"/>
  <c r="K40" i="19"/>
  <c r="K41" i="19"/>
  <c r="K42" i="19"/>
  <c r="K43" i="19"/>
  <c r="K44" i="19"/>
  <c r="L44" i="19"/>
  <c r="I60" i="19"/>
  <c r="C4" i="20"/>
  <c r="D47" i="19"/>
  <c r="E3" i="24"/>
  <c r="A25" i="25"/>
  <c r="J24" i="11"/>
  <c r="D40" i="25"/>
  <c r="C24" i="25"/>
  <c r="B28" i="25"/>
  <c r="B29" i="25"/>
  <c r="B30" i="25"/>
  <c r="B31" i="25"/>
  <c r="B32" i="25"/>
  <c r="B33" i="25"/>
  <c r="B34" i="25"/>
  <c r="D49" i="19"/>
  <c r="I44" i="19"/>
  <c r="J25" i="11"/>
  <c r="K28" i="19"/>
  <c r="K15" i="19"/>
  <c r="A27" i="18"/>
  <c r="A26" i="18"/>
  <c r="A25" i="18"/>
  <c r="A24" i="18"/>
  <c r="A23" i="18"/>
  <c r="A22" i="18"/>
  <c r="B34" i="13"/>
  <c r="D9" i="14"/>
  <c r="D8" i="14"/>
  <c r="D5" i="14"/>
  <c r="D4" i="14"/>
  <c r="D3" i="14"/>
  <c r="D2" i="14"/>
  <c r="D7" i="14"/>
  <c r="F17" i="14"/>
  <c r="C17" i="14"/>
  <c r="C13" i="14"/>
  <c r="F14" i="14"/>
  <c r="F15" i="14"/>
  <c r="F18" i="14"/>
  <c r="F16" i="14"/>
  <c r="C14" i="14"/>
  <c r="C16" i="14"/>
  <c r="F13" i="14"/>
  <c r="C43" i="19"/>
  <c r="E48" i="19"/>
  <c r="L40" i="13"/>
  <c r="B7" i="12"/>
  <c r="B8" i="12"/>
  <c r="B29" i="13"/>
  <c r="I23" i="11"/>
  <c r="I25" i="11"/>
  <c r="J31" i="11"/>
  <c r="J32" i="11"/>
  <c r="F34" i="18"/>
  <c r="F5" i="20"/>
  <c r="F6" i="20"/>
  <c r="D9" i="20"/>
  <c r="D10" i="20"/>
  <c r="D11" i="20"/>
  <c r="D13" i="20"/>
  <c r="N5" i="13"/>
  <c r="N8" i="13"/>
  <c r="L10" i="13"/>
  <c r="M10" i="13"/>
  <c r="C40" i="13"/>
  <c r="D40" i="13"/>
  <c r="E40" i="13"/>
  <c r="F40" i="13"/>
  <c r="G40" i="13"/>
  <c r="H40" i="13"/>
  <c r="I40" i="13"/>
  <c r="J40" i="13"/>
  <c r="K40" i="13"/>
  <c r="B30" i="13"/>
  <c r="B31" i="13"/>
  <c r="B33" i="13"/>
  <c r="B9" i="12"/>
  <c r="B10" i="12"/>
  <c r="D37" i="28"/>
  <c r="D39" i="28"/>
  <c r="B35" i="13"/>
  <c r="C15" i="14"/>
  <c r="B20" i="14"/>
  <c r="B21" i="14"/>
  <c r="B23" i="14"/>
  <c r="B24" i="14"/>
  <c r="C26" i="14"/>
  <c r="D27" i="14"/>
</calcChain>
</file>

<file path=xl/comments1.xml><?xml version="1.0" encoding="utf-8"?>
<comments xmlns="http://schemas.openxmlformats.org/spreadsheetml/2006/main">
  <authors>
    <author>Aswath Damodaran</author>
  </authors>
  <commentList>
    <comment ref="C4" authorId="0">
      <text>
        <r>
          <rPr>
            <b/>
            <sz val="9"/>
            <color indexed="81"/>
            <rFont val="Geneva"/>
            <family val="2"/>
          </rPr>
          <t>Aswath Damodaran:</t>
        </r>
        <r>
          <rPr>
            <sz val="9"/>
            <color indexed="81"/>
            <rFont val="Geneva"/>
            <family val="2"/>
          </rPr>
          <t xml:space="preserve">
If you are using trailing 12-month data, it is best if the last year is the 12-month period just prior to the one that you are using. Thus, if you are looking at June 2011-June 2012, your trailing 12 month for the income statement numbers will be June 2010-June 2011 and your balance sheet numbers should be as of June 2011.</t>
        </r>
      </text>
    </comment>
    <comment ref="B6" authorId="0">
      <text>
        <r>
          <rPr>
            <b/>
            <sz val="9"/>
            <color indexed="81"/>
            <rFont val="Geneva"/>
            <family val="2"/>
          </rPr>
          <t>Aswath Damodaran:</t>
        </r>
        <r>
          <rPr>
            <sz val="9"/>
            <color indexed="81"/>
            <rFont val="Geneva"/>
            <family val="2"/>
          </rPr>
          <t xml:space="preserve">
If you are in multiple businesses, you can construct your own weighted averages using the industry average table from this spreadsheet and your company's business breakdown.</t>
        </r>
      </text>
    </comment>
    <comment ref="D7" authorId="0">
      <text>
        <r>
          <rPr>
            <b/>
            <sz val="10"/>
            <color indexed="81"/>
            <rFont val="Calibri"/>
            <family val="2"/>
          </rPr>
          <t>Aswath Damodaran:</t>
        </r>
        <r>
          <rPr>
            <sz val="10"/>
            <color indexed="81"/>
            <rFont val="Calibri"/>
            <family val="2"/>
          </rPr>
          <t xml:space="preserve">
If you have trailing 12 month numbers, the last year's numbers may be only 3 months, 6 months or 9 months ago.</t>
        </r>
      </text>
    </comment>
    <comment ref="B8" authorId="0">
      <text>
        <r>
          <rPr>
            <b/>
            <sz val="9"/>
            <color indexed="81"/>
            <rFont val="Geneva"/>
            <family val="2"/>
          </rPr>
          <t>Aswath Damodaran:</t>
        </r>
        <r>
          <rPr>
            <sz val="9"/>
            <color indexed="81"/>
            <rFont val="Geneva"/>
            <family val="2"/>
          </rPr>
          <t xml:space="preserve">
Enter the revenues from the most recent period (you can either use annual or the trailing 12 months). If your company had no revenues, enter a very small positive number. (You need a base for your growth rate)</t>
        </r>
      </text>
    </comment>
    <comment ref="B9" authorId="0">
      <text>
        <r>
          <rPr>
            <b/>
            <sz val="9"/>
            <color indexed="81"/>
            <rFont val="Geneva"/>
            <family val="2"/>
          </rPr>
          <t>Aswath Damodaran:</t>
        </r>
        <r>
          <rPr>
            <sz val="9"/>
            <color indexed="81"/>
            <rFont val="Geneva"/>
            <family val="2"/>
          </rPr>
          <t xml:space="preserve">
Enter the operating income or EBIT from the most recent time period, even if that number is negative. If you have operating leases, enter the adjusted operating income (see the operating lease worksheet for the amount you have to adjust operating income by).</t>
        </r>
      </text>
    </comment>
    <comment ref="B11" authorId="0">
      <text>
        <r>
          <rPr>
            <b/>
            <sz val="9"/>
            <color indexed="81"/>
            <rFont val="Geneva"/>
            <family val="2"/>
          </rPr>
          <t>Aswath Damodaran:</t>
        </r>
        <r>
          <rPr>
            <sz val="9"/>
            <color indexed="81"/>
            <rFont val="Geneva"/>
            <family val="2"/>
          </rPr>
          <t xml:space="preserve">
Enter the book value of equity (total) from the end of the most recent time period (i.e. the most recent balance sheet). This book equity will include everything - paid in capital, retained earnings etc. and may even be negative for companies that have been losing money for a while.</t>
        </r>
      </text>
    </comment>
    <comment ref="B12" authorId="0">
      <text>
        <r>
          <rPr>
            <b/>
            <sz val="9"/>
            <color indexed="81"/>
            <rFont val="Geneva"/>
            <family val="2"/>
          </rPr>
          <t>Aswath Damodaran:</t>
        </r>
        <r>
          <rPr>
            <sz val="9"/>
            <color indexed="81"/>
            <rFont val="Geneva"/>
            <family val="2"/>
          </rPr>
          <t xml:space="preserve">
Enter the book value of interest bearing debt (short and long term) at your company from the most recent balance sheet. (Do not include accounts payable, supplier credit or other non-interest bearing liabilities.) </t>
        </r>
      </text>
    </comment>
    <comment ref="B15" authorId="0">
      <text>
        <r>
          <rPr>
            <b/>
            <sz val="9"/>
            <color indexed="81"/>
            <rFont val="Geneva"/>
            <family val="2"/>
          </rPr>
          <t>Aswath Damodaran:</t>
        </r>
        <r>
          <rPr>
            <sz val="9"/>
            <color indexed="81"/>
            <rFont val="Geneva"/>
            <family val="2"/>
          </rPr>
          <t xml:space="preserve">
Enter the cash balance from the most recent balance sheet. This should include marketable securities.</t>
        </r>
      </text>
    </comment>
    <comment ref="C15" authorId="0">
      <text>
        <r>
          <rPr>
            <b/>
            <sz val="9"/>
            <color indexed="81"/>
            <rFont val="Geneva"/>
            <family val="2"/>
          </rPr>
          <t>Aswath Damodaran:</t>
        </r>
        <r>
          <rPr>
            <sz val="9"/>
            <color indexed="81"/>
            <rFont val="Geneva"/>
            <family val="2"/>
          </rPr>
          <t xml:space="preserve">
Enter the cash balance from the most recent balance sheet. This should include marketable securities.</t>
        </r>
      </text>
    </comment>
    <comment ref="B16" authorId="0">
      <text>
        <r>
          <rPr>
            <b/>
            <sz val="9"/>
            <color indexed="81"/>
            <rFont val="Geneva"/>
            <family val="2"/>
          </rPr>
          <t>Aswath Damodaran:</t>
        </r>
        <r>
          <rPr>
            <sz val="9"/>
            <color indexed="81"/>
            <rFont val="Geneva"/>
            <family val="2"/>
          </rPr>
          <t xml:space="preserve">
Enter the market value of those non-cash assets whose earnings are (and will never) show up as part of operating income. The most common non-operating assets are minority holdings in other companies (which are not consoldiated). You can find the book value of these holdings on the balance sheet, but see if you can convert to market value. (I apply a price to book ratio, based on the sector that the company is in to the book value).</t>
        </r>
      </text>
    </comment>
    <comment ref="B17" authorId="0">
      <text>
        <r>
          <rPr>
            <b/>
            <sz val="9"/>
            <color indexed="81"/>
            <rFont val="Geneva"/>
            <family val="2"/>
          </rPr>
          <t>Aswath Damodaran:</t>
        </r>
        <r>
          <rPr>
            <sz val="9"/>
            <color indexed="81"/>
            <rFont val="Geneva"/>
            <family val="2"/>
          </rPr>
          <t xml:space="preserve">
Enter the "market" value of minority interests. This is a uniquely accounting item and will be on the liability side of your company's balance sheet. It reflects the requirement that if you own more than 50% of another company or have effective control of it, you have to consolidate that company's statements with yours. Thus, you count 100% of that subsidiaries assets, revenues and operating income with your company, even if you own only 60%. The minority interest reflects the book value of the 40% of the equity in the subsidiary that does not belong to you. Again, it is best if you can convert the book value to a market value by applying the price to book ratio for the sector in which the subsidiary operates</t>
        </r>
      </text>
    </comment>
    <comment ref="B18" authorId="0">
      <text>
        <r>
          <rPr>
            <b/>
            <sz val="9"/>
            <color indexed="81"/>
            <rFont val="Geneva"/>
            <family val="2"/>
          </rPr>
          <t>Aswath Damodaran:</t>
        </r>
        <r>
          <rPr>
            <sz val="9"/>
            <color indexed="81"/>
            <rFont val="Geneva"/>
            <family val="2"/>
          </rPr>
          <t xml:space="preserve">
Enter the most recent update you have on the number of shares. If you have different classes of shares, aggregate them all and enter one number. Count restricted stock units (RSUs) as shares but don't count shares underlying employee options.</t>
        </r>
      </text>
    </comment>
    <comment ref="B19" authorId="0">
      <text>
        <r>
          <rPr>
            <b/>
            <sz val="9"/>
            <color indexed="81"/>
            <rFont val="Geneva"/>
            <family val="2"/>
          </rPr>
          <t>Aswath Damodaran:</t>
        </r>
        <r>
          <rPr>
            <sz val="9"/>
            <color indexed="81"/>
            <rFont val="Geneva"/>
            <family val="2"/>
          </rPr>
          <t xml:space="preserve">
Enter the most recent stock price (how about today's?) in here. </t>
        </r>
      </text>
    </comment>
    <comment ref="B20" authorId="0">
      <text>
        <r>
          <rPr>
            <b/>
            <sz val="9"/>
            <color indexed="81"/>
            <rFont val="Geneva"/>
            <family val="2"/>
          </rPr>
          <t>Aswath Damodaran:</t>
        </r>
        <r>
          <rPr>
            <sz val="9"/>
            <color indexed="81"/>
            <rFont val="Geneva"/>
            <family val="2"/>
          </rPr>
          <t xml:space="preserve">
Enter your effective (not marginal) tax rate for your firm. You will find this in your company's annual report. If you cannot, you can compute it as follows, from the income statement:
Effective tax rate = Taxes paid/ Taxable income
If your effective tax rate varies across years, you can use an average.</t>
        </r>
      </text>
    </comment>
    <comment ref="B21" authorId="0">
      <text>
        <r>
          <rPr>
            <b/>
            <sz val="9"/>
            <color indexed="81"/>
            <rFont val="Geneva"/>
            <family val="2"/>
          </rPr>
          <t>Aswath Damodaran:</t>
        </r>
        <r>
          <rPr>
            <sz val="9"/>
            <color indexed="81"/>
            <rFont val="Geneva"/>
            <family val="2"/>
          </rPr>
          <t xml:space="preserve">
This is a statutory tax rate. I use the tax rate of the country the company is domiciled in. See worksheet embedded in this spreadshseet for country tax rates.</t>
        </r>
      </text>
    </comment>
    <comment ref="B23" authorId="0">
      <text>
        <r>
          <rPr>
            <b/>
            <sz val="9"/>
            <color indexed="81"/>
            <rFont val="Geneva"/>
            <family val="2"/>
          </rPr>
          <t>Aswath Damodaran:</t>
        </r>
        <r>
          <rPr>
            <sz val="9"/>
            <color indexed="81"/>
            <rFont val="Geneva"/>
            <family val="2"/>
          </rPr>
          <t xml:space="preserve">
I don't have a crystal ball but you should look at 
a. Revenue growth in your company in recent years
b. Your company's revenues, relative to the overall market size and larger players in the sector. 
Suggestion: Check your revenues in year 10 against the overall market and see what market share are you giving your company. Check your company's revenues against other companies in the sector.
Note that this number can be negative for a declining firm.</t>
        </r>
      </text>
    </comment>
    <comment ref="B24" authorId="0">
      <text>
        <r>
          <rPr>
            <b/>
            <sz val="9"/>
            <color indexed="81"/>
            <rFont val="Geneva"/>
            <family val="2"/>
          </rPr>
          <t>Aswath Damodaran:</t>
        </r>
        <r>
          <rPr>
            <sz val="9"/>
            <color indexed="81"/>
            <rFont val="Geneva"/>
            <family val="2"/>
          </rPr>
          <t xml:space="preserve">
You should start by looking at your company's current pre-tax operating margin  but also look at the average for your industry. (You can check my estimates of industry averages in the last worksheet on this spreadsheet.) </t>
        </r>
      </text>
    </comment>
    <comment ref="B25" authorId="0">
      <text>
        <r>
          <rPr>
            <b/>
            <sz val="9"/>
            <color indexed="81"/>
            <rFont val="Geneva"/>
            <family val="2"/>
          </rPr>
          <t>Aswath Damodaran:</t>
        </r>
        <r>
          <rPr>
            <sz val="9"/>
            <color indexed="81"/>
            <rFont val="Geneva"/>
            <family val="2"/>
          </rPr>
          <t xml:space="preserve">
You are probably wondering what this is but it is how I compute how much you are going to reinvest to keep your business growing in future years. The higher you set this number, the more efficiently you are growing and the higher the value of your growth. Again, look at your company's current number (check on the right). Look at the industry averages as well in the worksheet.</t>
        </r>
      </text>
    </comment>
    <comment ref="B27" authorId="0">
      <text>
        <r>
          <rPr>
            <b/>
            <sz val="9"/>
            <color indexed="81"/>
            <rFont val="Geneva"/>
            <family val="2"/>
          </rPr>
          <t>Aswath Damodaran:</t>
        </r>
        <r>
          <rPr>
            <sz val="9"/>
            <color indexed="81"/>
            <rFont val="Geneva"/>
            <family val="2"/>
          </rPr>
          <t xml:space="preserve">
This should be today's long term riskfree rate. If you are working with a currency where the government has default risk, clean up the government bond rate to make it riskfree (by subtracting the default spread for the government).</t>
        </r>
      </text>
    </comment>
    <comment ref="B28" authorId="0">
      <text>
        <r>
          <rPr>
            <b/>
            <sz val="9"/>
            <color indexed="81"/>
            <rFont val="Geneva"/>
            <family val="2"/>
          </rPr>
          <t>Aswath Damodaran:</t>
        </r>
        <r>
          <rPr>
            <sz val="9"/>
            <color indexed="81"/>
            <rFont val="Geneva"/>
            <family val="2"/>
          </rPr>
          <t xml:space="preserve">
Enter the current cost of capital for your firm. If you don't know what it is, you can use the worksheet to compute it.</t>
        </r>
      </text>
    </comment>
    <comment ref="J30" authorId="0">
      <text>
        <r>
          <rPr>
            <b/>
            <sz val="10"/>
            <color indexed="81"/>
            <rFont val="Calibri"/>
            <family val="2"/>
          </rPr>
          <t>Aswath Damodaran:</t>
        </r>
        <r>
          <rPr>
            <sz val="10"/>
            <color indexed="81"/>
            <rFont val="Calibri"/>
            <family val="2"/>
          </rPr>
          <t xml:space="preserve">
Compare to your total market and check your market share.</t>
        </r>
      </text>
    </comment>
    <comment ref="B31" authorId="0">
      <text>
        <r>
          <rPr>
            <b/>
            <sz val="9"/>
            <color indexed="81"/>
            <rFont val="Geneva"/>
            <family val="2"/>
          </rPr>
          <t>Aswath Damodaran:</t>
        </r>
        <r>
          <rPr>
            <sz val="9"/>
            <color indexed="81"/>
            <rFont val="Geneva"/>
            <family val="2"/>
          </rPr>
          <t xml:space="preserve">
Check your company's annual report or 10K. If it does have options outstanding, enter the total number here (vested and non vested, in the money and out…)</t>
        </r>
      </text>
    </comment>
    <comment ref="J31" authorId="0">
      <text>
        <r>
          <rPr>
            <b/>
            <sz val="10"/>
            <color indexed="81"/>
            <rFont val="Calibri"/>
            <family val="2"/>
          </rPr>
          <t>Aswath Damodaran:</t>
        </r>
        <r>
          <rPr>
            <sz val="10"/>
            <color indexed="81"/>
            <rFont val="Calibri"/>
            <family val="2"/>
          </rPr>
          <t xml:space="preserve">
Determined by your target margin. </t>
        </r>
      </text>
    </comment>
    <comment ref="B32" authorId="0">
      <text>
        <r>
          <rPr>
            <b/>
            <sz val="9"/>
            <color indexed="81"/>
            <rFont val="Geneva"/>
            <family val="2"/>
          </rPr>
          <t>Aswath Damodaran:</t>
        </r>
        <r>
          <rPr>
            <sz val="9"/>
            <color indexed="81"/>
            <rFont val="Geneva"/>
            <family val="2"/>
          </rPr>
          <t xml:space="preserve">
Enter the weighted average strike price of your options. (Should be in your 10K or annual report.)</t>
        </r>
      </text>
    </comment>
    <comment ref="J32" authorId="0">
      <text>
        <r>
          <rPr>
            <b/>
            <sz val="10"/>
            <color indexed="81"/>
            <rFont val="Calibri"/>
            <family val="2"/>
          </rPr>
          <t>Aswath Damodaran:</t>
        </r>
        <r>
          <rPr>
            <sz val="10"/>
            <color indexed="81"/>
            <rFont val="Calibri"/>
            <family val="2"/>
          </rPr>
          <t xml:space="preserve">
Function of both your target margin and your sales to capital ratio.</t>
        </r>
      </text>
    </comment>
    <comment ref="B33" authorId="0">
      <text>
        <r>
          <rPr>
            <b/>
            <sz val="9"/>
            <color indexed="81"/>
            <rFont val="Geneva"/>
            <family val="2"/>
          </rPr>
          <t>Aswath Damodaran:</t>
        </r>
        <r>
          <rPr>
            <sz val="9"/>
            <color indexed="81"/>
            <rFont val="Geneva"/>
            <family val="2"/>
          </rPr>
          <t xml:space="preserve">
The weighted average maturity of your options should be reported in your financial statements.</t>
        </r>
      </text>
    </comment>
    <comment ref="B34" authorId="0">
      <text>
        <r>
          <rPr>
            <b/>
            <sz val="9"/>
            <color indexed="81"/>
            <rFont val="Geneva"/>
            <family val="2"/>
          </rPr>
          <t>Aswath Damodaran:</t>
        </r>
        <r>
          <rPr>
            <sz val="9"/>
            <color indexed="81"/>
            <rFont val="Geneva"/>
            <family val="2"/>
          </rPr>
          <t xml:space="preserve">
If you have a standard deviation for your stock, enter that number. If not, use the industry average standard deviation from the worksheet.</t>
        </r>
      </text>
    </comment>
    <comment ref="B38" authorId="0">
      <text>
        <r>
          <rPr>
            <b/>
            <sz val="9"/>
            <color indexed="81"/>
            <rFont val="Geneva"/>
            <family val="2"/>
          </rPr>
          <t>Aswath Damodaran:</t>
        </r>
        <r>
          <rPr>
            <sz val="9"/>
            <color indexed="81"/>
            <rFont val="Geneva"/>
            <family val="2"/>
          </rPr>
          <t xml:space="preserve">
Mature companies tend to have costs of capital closer to the market average. While the riskfree rate + 4.5% is a close approximation of the average, you can use a slightly higher number (riskfree rate + 6%) for mature companies in riskier businesses and a slightly lower number (risfree rate + 4%) for safer companies.</t>
        </r>
      </text>
    </comment>
    <comment ref="B41" authorId="0">
      <text>
        <r>
          <rPr>
            <b/>
            <sz val="9"/>
            <color indexed="81"/>
            <rFont val="Geneva"/>
            <family val="2"/>
          </rPr>
          <t>Aswath Damodaran:</t>
        </r>
        <r>
          <rPr>
            <sz val="9"/>
            <color indexed="81"/>
            <rFont val="Geneva"/>
            <family val="2"/>
          </rPr>
          <t xml:space="preserve">
The default assumption is that competitive advantages will fade to zero over time. While this is a good assumption for many firms (about 7 in 10), there are some firms with sustainable competitive advantages (brand name, for instance), where the excess returns may continue beyond year 10. If your firm is one of those, you can enter a return on capital higher than your cost of capital in the cell below. Just don't get carried away. At the maximum, the excess return should not exceed 5% for a mature firm.</t>
        </r>
      </text>
    </comment>
    <comment ref="B42" authorId="0">
      <text>
        <r>
          <rPr>
            <b/>
            <sz val="9"/>
            <color indexed="81"/>
            <rFont val="Geneva"/>
            <family val="2"/>
          </rPr>
          <t>Aswath Damodaran:</t>
        </r>
        <r>
          <rPr>
            <sz val="9"/>
            <color indexed="81"/>
            <rFont val="Geneva"/>
            <family val="2"/>
          </rPr>
          <t xml:space="preserve">
Even if you believe your firm has significant competitive advantages, don't set this number to more than 5% more than your cost of capital. </t>
        </r>
      </text>
    </comment>
    <comment ref="B44" authorId="0">
      <text>
        <r>
          <rPr>
            <b/>
            <sz val="9"/>
            <color indexed="81"/>
            <rFont val="Geneva"/>
            <family val="2"/>
          </rPr>
          <t>Aswath Damodaran:</t>
        </r>
        <r>
          <rPr>
            <sz val="9"/>
            <color indexed="81"/>
            <rFont val="Geneva"/>
            <family val="2"/>
          </rPr>
          <t xml:space="preserve">
Companies at either end of the life cycle - young, growth and old, declining firms have a significant likelihood of failure. While we tend to ignore this in conventional DCF, it is worth thinking about whether you want to estimate a probability of failure. It is not easy to do but it can be done by looking at either history (with young, growth companies) or the debt market (with distressed companies).</t>
        </r>
      </text>
    </comment>
    <comment ref="B45" authorId="0">
      <text>
        <r>
          <rPr>
            <b/>
            <sz val="9"/>
            <color indexed="81"/>
            <rFont val="Geneva"/>
            <family val="2"/>
          </rPr>
          <t>Aswath Damodaran</t>
        </r>
        <r>
          <rPr>
            <sz val="9"/>
            <color indexed="81"/>
            <rFont val="Geneva"/>
            <family val="2"/>
          </rPr>
          <t xml:space="preserve">
If you want to look at ways of estimating this probability, try these papers I have on the topic:
For young growth companies: http://papers.ssrn.com/sol3/papers.cfm?abstract_id=1418687  
For declining, distressed companies: http://papers.ssrn.com/sol3/papers.cfm?abstract_id=1428022 </t>
        </r>
      </text>
    </comment>
    <comment ref="B46" authorId="0">
      <text>
        <r>
          <rPr>
            <b/>
            <sz val="9"/>
            <color indexed="81"/>
            <rFont val="Geneva"/>
            <family val="2"/>
          </rPr>
          <t>Aswath Damodaran:</t>
        </r>
        <r>
          <rPr>
            <sz val="9"/>
            <color indexed="81"/>
            <rFont val="Geneva"/>
            <family val="2"/>
          </rPr>
          <t xml:space="preserve">
If the firm fail and has to liquidate its assets, you need to specify what the liquidation proceeds will be tied to. For young growth companies, I would tie it to value and with distressed firms (especially ones with significant assets in place), I would use book value.</t>
        </r>
      </text>
    </comment>
    <comment ref="B47" authorId="0">
      <text>
        <r>
          <rPr>
            <b/>
            <sz val="9"/>
            <color indexed="81"/>
            <rFont val="Geneva"/>
            <family val="2"/>
          </rPr>
          <t>Aswath Damodaran:</t>
        </r>
        <r>
          <rPr>
            <sz val="9"/>
            <color indexed="81"/>
            <rFont val="Geneva"/>
            <family val="2"/>
          </rPr>
          <t xml:space="preserve">
You will generally not get 100% of fair value. How much less than 100% you get will depend on whether there are lots of potential buyers for your assets and how much of a hurry you are in to liquidate. It may well be zero for a young growth company with no tangible assets.</t>
        </r>
      </text>
    </comment>
    <comment ref="B49" authorId="0">
      <text>
        <r>
          <rPr>
            <b/>
            <sz val="9"/>
            <color indexed="81"/>
            <rFont val="Geneva"/>
            <family val="2"/>
          </rPr>
          <t>Aswath Damodaran:</t>
        </r>
        <r>
          <rPr>
            <sz val="9"/>
            <color indexed="81"/>
            <rFont val="Geneva"/>
            <family val="2"/>
          </rPr>
          <t xml:space="preserve">
Companies generally pay less than the marginal tax rate on their income. Some of that is due to tax deferral and others to quirks in the tax law. Over time, the conservative assumption is to require the tax rate to move towards the marginal tax rate. However, if you believe that your firm's tax benefits are permanent, you can override this assumption.</t>
        </r>
      </text>
    </comment>
    <comment ref="B51" authorId="0">
      <text>
        <r>
          <rPr>
            <b/>
            <sz val="9"/>
            <color indexed="81"/>
            <rFont val="Geneva"/>
            <family val="2"/>
          </rPr>
          <t>Aswath Damodaran:</t>
        </r>
        <r>
          <rPr>
            <sz val="9"/>
            <color indexed="81"/>
            <rFont val="Geneva"/>
            <family val="2"/>
          </rPr>
          <t xml:space="preserve">
If your company has been losing money for a while, there will be accumulated losses from prior periods. Check your financial statements.</t>
        </r>
      </text>
    </comment>
    <comment ref="B52" authorId="0">
      <text>
        <r>
          <rPr>
            <b/>
            <sz val="9"/>
            <color indexed="81"/>
            <rFont val="Geneva"/>
            <family val="2"/>
          </rPr>
          <t>Aswath Damodaran:</t>
        </r>
        <r>
          <rPr>
            <sz val="9"/>
            <color indexed="81"/>
            <rFont val="Geneva"/>
            <family val="2"/>
          </rPr>
          <t xml:space="preserve">
This is the NOL from prior years carried forward into this year.</t>
        </r>
      </text>
    </comment>
    <comment ref="B55" authorId="0">
      <text>
        <r>
          <rPr>
            <b/>
            <sz val="10"/>
            <color indexed="81"/>
            <rFont val="Calibri"/>
            <family val="2"/>
          </rPr>
          <t xml:space="preserve">Aswath Damodaran:
</t>
        </r>
        <r>
          <rPr>
            <sz val="10"/>
            <color indexed="81"/>
            <rFont val="Calibri"/>
            <family val="2"/>
          </rPr>
          <t xml:space="preserve">Be VERY, VERY careful. This is a growth rate in perpetuity, after year 10. Entering numbers significantly (more than 1%) higher than the risk free rate will render your valuation close to useless.
</t>
        </r>
      </text>
    </comment>
    <comment ref="B58" authorId="0">
      <text>
        <r>
          <rPr>
            <b/>
            <sz val="10"/>
            <color indexed="81"/>
            <rFont val="Calibri"/>
            <family val="2"/>
          </rPr>
          <t>Aswath Damodaran:</t>
        </r>
        <r>
          <rPr>
            <sz val="10"/>
            <color indexed="81"/>
            <rFont val="Calibri"/>
            <family val="2"/>
          </rPr>
          <t xml:space="preserve">
If your concern is that a portion of the cash is trapped in foreign markets and will be subject to tax, when returned, enter the trapped cash balance. If you feel that the entire cash balance is being discounted because markets don't trust managers, enter the entire cash balance.</t>
        </r>
      </text>
    </comment>
    <comment ref="B59" authorId="0">
      <text>
        <r>
          <rPr>
            <b/>
            <sz val="10"/>
            <color indexed="81"/>
            <rFont val="Calibri"/>
            <family val="2"/>
          </rPr>
          <t>Aswath Damodaran:</t>
        </r>
        <r>
          <rPr>
            <sz val="10"/>
            <color indexed="81"/>
            <rFont val="Calibri"/>
            <family val="2"/>
          </rPr>
          <t xml:space="preserve">
This is the additional tax due, if the cash is trapped cash. If your concern is that all cash is being discounted by the market because of management mistrust, enter the percentage discount to apply to cash.</t>
        </r>
      </text>
    </comment>
  </commentList>
</comments>
</file>

<file path=xl/comments2.xml><?xml version="1.0" encoding="utf-8"?>
<comments xmlns="http://schemas.openxmlformats.org/spreadsheetml/2006/main">
  <authors>
    <author>Aswath Damodaran</author>
  </authors>
  <commentList>
    <comment ref="D40" authorId="0">
      <text>
        <r>
          <rPr>
            <b/>
            <sz val="9"/>
            <color indexed="81"/>
            <rFont val="Geneva"/>
            <family val="2"/>
          </rPr>
          <t>Aswath Damodaran:</t>
        </r>
        <r>
          <rPr>
            <sz val="9"/>
            <color indexed="81"/>
            <rFont val="Geneva"/>
            <family val="2"/>
          </rPr>
          <t xml:space="preserve">
By expensing R&amp;D rather than capitalizing it, the firm gets a tax benefit. This is the dollar value of that tax benefit.</t>
        </r>
      </text>
    </comment>
  </commentList>
</comments>
</file>

<file path=xl/comments3.xml><?xml version="1.0" encoding="utf-8"?>
<comments xmlns="http://schemas.openxmlformats.org/spreadsheetml/2006/main">
  <authors>
    <author>Aswath Damodaran</author>
  </authors>
  <commentList>
    <comment ref="B9" authorId="0">
      <text>
        <r>
          <rPr>
            <b/>
            <sz val="9"/>
            <color indexed="81"/>
            <rFont val="Geneva"/>
            <family val="2"/>
          </rPr>
          <t>Aswath Damodaran:</t>
        </r>
        <r>
          <rPr>
            <sz val="9"/>
            <color indexed="81"/>
            <rFont val="Geneva"/>
            <family val="2"/>
          </rPr>
          <t xml:space="preserve">
Use a sector average beta, if need be.</t>
        </r>
      </text>
    </comment>
    <comment ref="B11" authorId="0">
      <text>
        <r>
          <rPr>
            <b/>
            <sz val="9"/>
            <color indexed="81"/>
            <rFont val="Geneva"/>
            <family val="2"/>
          </rPr>
          <t>Aswath Damodaran:</t>
        </r>
        <r>
          <rPr>
            <sz val="9"/>
            <color indexed="81"/>
            <rFont val="Geneva"/>
            <family val="2"/>
          </rPr>
          <t xml:space="preserve">
If you pick operating regions or countries, please input the revenues by country or region in the table to the right.</t>
        </r>
      </text>
    </comment>
    <comment ref="B14" authorId="0">
      <text>
        <r>
          <rPr>
            <b/>
            <sz val="9"/>
            <color indexed="81"/>
            <rFont val="Geneva"/>
            <family val="2"/>
          </rPr>
          <t>Aswath Damodaran:</t>
        </r>
        <r>
          <rPr>
            <sz val="9"/>
            <color indexed="81"/>
            <rFont val="Geneva"/>
            <family val="2"/>
          </rPr>
          <t xml:space="preserve">
If your company has risk exposure in emergiing markets, incorporate that risk premiums here. See worksheet on country risk premiums.</t>
        </r>
      </text>
    </comment>
    <comment ref="B18" authorId="0">
      <text>
        <r>
          <rPr>
            <b/>
            <sz val="9"/>
            <color indexed="81"/>
            <rFont val="Geneva"/>
            <family val="2"/>
          </rPr>
          <t>Aswath Damodaran:</t>
        </r>
        <r>
          <rPr>
            <sz val="9"/>
            <color indexed="81"/>
            <rFont val="Geneva"/>
            <family val="2"/>
          </rPr>
          <t xml:space="preserve">
Interest expense (gross) from most recent financial statement.</t>
        </r>
      </text>
    </comment>
    <comment ref="B19" authorId="0">
      <text>
        <r>
          <rPr>
            <b/>
            <sz val="9"/>
            <color indexed="81"/>
            <rFont val="Geneva"/>
            <family val="2"/>
          </rPr>
          <t>Aswath Damodaran:</t>
        </r>
        <r>
          <rPr>
            <sz val="9"/>
            <color indexed="81"/>
            <rFont val="Geneva"/>
            <family val="2"/>
          </rPr>
          <t xml:space="preserve">
Generally found in footnotes to financial statements.</t>
        </r>
      </text>
    </comment>
    <comment ref="B23" authorId="0">
      <text>
        <r>
          <rPr>
            <b/>
            <sz val="9"/>
            <color indexed="81"/>
            <rFont val="Geneva"/>
            <family val="2"/>
          </rPr>
          <t>Aswath Damodaran:</t>
        </r>
        <r>
          <rPr>
            <sz val="9"/>
            <color indexed="81"/>
            <rFont val="Geneva"/>
            <family val="2"/>
          </rPr>
          <t xml:space="preserve">
1: Large market cap (&gt;$5 billion) and safe.
2: Small market cap (&lt;$5 billion) or risky.
If company has volatile earnings or is in risky business, use 2, even if large market cap.</t>
        </r>
      </text>
    </comment>
    <comment ref="B24" authorId="0">
      <text>
        <r>
          <rPr>
            <b/>
            <sz val="9"/>
            <color indexed="81"/>
            <rFont val="Geneva"/>
            <family val="2"/>
          </rPr>
          <t>Aswath Damodaran:</t>
        </r>
        <r>
          <rPr>
            <sz val="9"/>
            <color indexed="81"/>
            <rFont val="Geneva"/>
            <family val="2"/>
          </rPr>
          <t xml:space="preserve">
Current, long term cost of borrowing money. If you have a rating use it, if not use a synthetic rating. See the worksheet attached.</t>
        </r>
      </text>
    </comment>
  </commentList>
</comments>
</file>

<file path=xl/comments4.xml><?xml version="1.0" encoding="utf-8"?>
<comments xmlns="http://schemas.openxmlformats.org/spreadsheetml/2006/main">
  <authors>
    <author>Aswath Damodaran</author>
  </authors>
  <commentList>
    <comment ref="F5" authorId="0">
      <text>
        <r>
          <rPr>
            <b/>
            <sz val="9"/>
            <color indexed="81"/>
            <rFont val="Geneva"/>
            <family val="2"/>
          </rPr>
          <t>Aswath Damodaran:</t>
        </r>
        <r>
          <rPr>
            <sz val="9"/>
            <color indexed="81"/>
            <rFont val="Geneva"/>
            <family val="2"/>
          </rPr>
          <t xml:space="preserve">
If your most recent year's operating income is unusually low or high, you can use the average operating income from the last few years. </t>
        </r>
      </text>
    </comment>
    <comment ref="F6" authorId="0">
      <text>
        <r>
          <rPr>
            <b/>
            <sz val="9"/>
            <color indexed="81"/>
            <rFont val="Geneva"/>
            <family val="2"/>
          </rPr>
          <t>Aswath Damodaran:</t>
        </r>
        <r>
          <rPr>
            <sz val="9"/>
            <color indexed="81"/>
            <rFont val="Geneva"/>
            <family val="2"/>
          </rPr>
          <t xml:space="preserve">
Enter the interest expense from the most recent income statement.</t>
        </r>
      </text>
    </comment>
    <comment ref="F7" authorId="0">
      <text>
        <r>
          <rPr>
            <b/>
            <sz val="9"/>
            <color indexed="81"/>
            <rFont val="Geneva"/>
            <family val="2"/>
          </rPr>
          <t>Aswath Damodaran:</t>
        </r>
        <r>
          <rPr>
            <sz val="9"/>
            <color indexed="81"/>
            <rFont val="Geneva"/>
            <family val="2"/>
          </rPr>
          <t xml:space="preserve">
I use a 10 year government bond rate.</t>
        </r>
      </text>
    </comment>
  </commentList>
</comments>
</file>

<file path=xl/sharedStrings.xml><?xml version="1.0" encoding="utf-8"?>
<sst xmlns="http://schemas.openxmlformats.org/spreadsheetml/2006/main" count="1627" uniqueCount="721">
  <si>
    <t>If calculated value is negative or looks too low</t>
    <phoneticPr fontId="6" type="noConversion"/>
  </si>
  <si>
    <t>If calculated value looks too high</t>
    <phoneticPr fontId="6" type="noConversion"/>
  </si>
  <si>
    <t>Increase revenue growth rate</t>
    <phoneticPr fontId="6" type="noConversion"/>
  </si>
  <si>
    <t>Decrease revenue growth rate</t>
    <phoneticPr fontId="6" type="noConversion"/>
  </si>
  <si>
    <t>Marginal ROIC over 10 years</t>
    <phoneticPr fontId="6" type="noConversion"/>
  </si>
  <si>
    <t>ROIC at end of valuation</t>
    <phoneticPr fontId="6" type="noConversion"/>
  </si>
  <si>
    <t>Inputs</t>
  </si>
  <si>
    <t>Invested capital at start of valuation</t>
    <phoneticPr fontId="6" type="noConversion"/>
  </si>
  <si>
    <t>Invested capital at end of valuation</t>
    <phoneticPr fontId="6" type="noConversion"/>
  </si>
  <si>
    <t>Change in invested capital over 10 years</t>
    <phoneticPr fontId="6" type="noConversion"/>
  </si>
  <si>
    <t>Change in EBIT*(1–t) (after-tax operating income) over 10 years</t>
    <phoneticPr fontId="6" type="noConversion"/>
  </si>
  <si>
    <t>Revenues</t>
  </si>
  <si>
    <t>EBIT(1-t)</t>
  </si>
  <si>
    <t>Number of shares</t>
    <phoneticPr fontId="5" type="noConversion"/>
  </si>
  <si>
    <t>Base year</t>
    <phoneticPr fontId="5" type="noConversion"/>
  </si>
  <si>
    <t xml:space="preserve"> - Reinvestment</t>
    <phoneticPr fontId="5" type="noConversion"/>
  </si>
  <si>
    <t>FCFF</t>
  </si>
  <si>
    <t>Pre-tax Operating Margin</t>
  </si>
  <si>
    <t>Implied variables</t>
    <phoneticPr fontId="5" type="noConversion"/>
  </si>
  <si>
    <t>Invested capital</t>
    <phoneticPr fontId="5" type="noConversion"/>
  </si>
  <si>
    <t>ROIC</t>
    <phoneticPr fontId="5" type="noConversion"/>
  </si>
  <si>
    <t>Revenue growth rate</t>
    <phoneticPr fontId="5" type="noConversion"/>
  </si>
  <si>
    <t>PV(FCFF)</t>
    <phoneticPr fontId="5" type="noConversion"/>
  </si>
  <si>
    <t>Terminal cash flow</t>
    <phoneticPr fontId="5" type="noConversion"/>
  </si>
  <si>
    <t>Terminal value</t>
    <phoneticPr fontId="5" type="noConversion"/>
  </si>
  <si>
    <t>PV(Terminal value)</t>
    <phoneticPr fontId="5" type="noConversion"/>
  </si>
  <si>
    <t>EBIT (Operating income)</t>
    <phoneticPr fontId="5" type="noConversion"/>
  </si>
  <si>
    <t>EBIT (Operating) margin</t>
    <phoneticPr fontId="5" type="noConversion"/>
  </si>
  <si>
    <t>Riskfree rate</t>
    <phoneticPr fontId="6" type="noConversion"/>
  </si>
  <si>
    <t>Your calculated value as a percent of current price</t>
    <phoneticPr fontId="6" type="noConversion"/>
  </si>
  <si>
    <t>Operating income or EBIT</t>
  </si>
  <si>
    <t>Book value of equity</t>
  </si>
  <si>
    <t>Book value of debt</t>
  </si>
  <si>
    <t>Number of shares outstanding =</t>
  </si>
  <si>
    <t>Current stock price =</t>
  </si>
  <si>
    <t>Company name</t>
  </si>
  <si>
    <t>The value drivers below:</t>
  </si>
  <si>
    <t xml:space="preserve">Market numbers </t>
  </si>
  <si>
    <t>Sales to capital ratio  (for computing reinvestment) =</t>
  </si>
  <si>
    <t>Sales to capital ratio</t>
  </si>
  <si>
    <t>Initial cost of capital =</t>
  </si>
  <si>
    <t>Do you want to override this assumption =</t>
  </si>
  <si>
    <t>If yes, enter the return on capital you expect after year 10</t>
  </si>
  <si>
    <t>If yes, enter the cost of capital after year 10 =</t>
  </si>
  <si>
    <t>After year 10</t>
  </si>
  <si>
    <t>Value of operating assets =</t>
  </si>
  <si>
    <t>Terminal year</t>
  </si>
  <si>
    <t>PV (CF over next 10 years)</t>
  </si>
  <si>
    <t>Sum of PV</t>
  </si>
  <si>
    <t>NOL</t>
  </si>
  <si>
    <t>Compounded annual revenue growth rate over next 5 years =</t>
  </si>
  <si>
    <t>If yes, enter the NOL that you are carrying over into year 1</t>
  </si>
  <si>
    <t>Target pre-tax operating margin (EBIT as % of sales in year 10) =</t>
  </si>
  <si>
    <t>Price as % of value</t>
  </si>
  <si>
    <t>No</t>
  </si>
  <si>
    <t>Value of equity</t>
  </si>
  <si>
    <t>Mature companies find it difficult to generate returns that exceed the cost of capital</t>
  </si>
  <si>
    <t>Mature companies generally see their risk levels approach the average</t>
  </si>
  <si>
    <t>Tough to estimate but a key input.</t>
  </si>
  <si>
    <t>Check the financial statements.</t>
  </si>
  <si>
    <t>Yes</t>
  </si>
  <si>
    <t xml:space="preserve"> - Value of options</t>
  </si>
  <si>
    <t>Value of equity in common stock</t>
  </si>
  <si>
    <t>Valuing Options or Warrants</t>
  </si>
  <si>
    <t>Enter the current stock price =</t>
  </si>
  <si>
    <t>Enter the strike price on the option =</t>
  </si>
  <si>
    <t>Enter the expiration of the option =</t>
  </si>
  <si>
    <t>Enter the standard deviation in stock prices =</t>
  </si>
  <si>
    <t>(volatility)</t>
  </si>
  <si>
    <t>Enter the annualized dividend yield on stock =</t>
  </si>
  <si>
    <t>Enter the treasury bond rate =</t>
  </si>
  <si>
    <t>Enter the number of warrants (options) outstanding =</t>
  </si>
  <si>
    <t>Enter the number of shares outstanding =</t>
  </si>
  <si>
    <t>Do not input any numbers below this line</t>
  </si>
  <si>
    <t>VALUING WARRANTS WHEN THERE IS DILUTION</t>
  </si>
  <si>
    <t>Stock Price=</t>
  </si>
  <si>
    <t># Warrants issued=</t>
  </si>
  <si>
    <t>Strike Price=</t>
  </si>
  <si>
    <t># Shares outstanding=</t>
  </si>
  <si>
    <t>Adjusted S =</t>
  </si>
  <si>
    <t>T.Bond rate=</t>
  </si>
  <si>
    <t>Adjusted K =</t>
  </si>
  <si>
    <t>Variance=</t>
  </si>
  <si>
    <t>Expiration (in years) =</t>
  </si>
  <si>
    <t>Annualized dividend yield=</t>
  </si>
  <si>
    <t>Div. Adj. interest rate=</t>
  </si>
  <si>
    <t xml:space="preserve">d1 = </t>
  </si>
  <si>
    <t>N (d1) =</t>
  </si>
  <si>
    <t xml:space="preserve">d2 = </t>
  </si>
  <si>
    <t>N (d2) =</t>
  </si>
  <si>
    <t xml:space="preserve">Value per option = </t>
  </si>
  <si>
    <t>Value of all options outstanding =</t>
  </si>
  <si>
    <t>Other inputs</t>
  </si>
  <si>
    <t>Number of options outstanding =</t>
  </si>
  <si>
    <t>Average strike price =</t>
  </si>
  <si>
    <t>Average maturity =</t>
  </si>
  <si>
    <t>Standard deviation on stock price =</t>
  </si>
  <si>
    <t>Estimated value /share</t>
  </si>
  <si>
    <t>VALUATION DIAGNOSTICS</t>
  </si>
  <si>
    <t>Industry Name</t>
  </si>
  <si>
    <t>Advertising</t>
  </si>
  <si>
    <t>NA</t>
  </si>
  <si>
    <t>Sales/Capital</t>
  </si>
  <si>
    <t>There should be a check against the iteration box. If there is not, you will get circular reasoning errors.</t>
  </si>
  <si>
    <t>Price</t>
  </si>
  <si>
    <t>B</t>
  </si>
  <si>
    <t>B: Book value of capital, V= Estimated fair value for the company</t>
  </si>
  <si>
    <t>Effective tax rate =</t>
  </si>
  <si>
    <t>Marginal tax rate =</t>
  </si>
  <si>
    <t xml:space="preserve">Default assumptions. </t>
  </si>
  <si>
    <t>In stable growth, I will assume that your firm will have a cost of capital similar to that of typical mature companies (riskfree rate + 4.5%)</t>
  </si>
  <si>
    <t>I will assume that your firm will earn a return on capital equal to its cost of capital after year 10. I am assuming that whatever competitive advantages you have today will fade over time.</t>
  </si>
  <si>
    <t>If yes, enter the probability of failure =</t>
  </si>
  <si>
    <t>Probability of failure =</t>
  </si>
  <si>
    <t>Proceeds if firm fails =</t>
  </si>
  <si>
    <t>What do you want to tie your proceeds in failure to?</t>
  </si>
  <si>
    <t>This can be zero, if the assets will be worth nothing if the firm fails.</t>
  </si>
  <si>
    <t>Many young, growth companies fail, especially if they have trouble raising cash. Many distressed companies fail, because they have trouble making debt payments.</t>
  </si>
  <si>
    <t>Operating Lease Converter</t>
  </si>
  <si>
    <t>Operating lease expense in current year =</t>
  </si>
  <si>
    <t>Operating Lease Commitments (From footnote to financials)</t>
  </si>
  <si>
    <t>Year</t>
  </si>
  <si>
    <t>Commitment</t>
  </si>
  <si>
    <t>! Year 1 is next year, ….</t>
  </si>
  <si>
    <t>6 and beyond</t>
  </si>
  <si>
    <t>Output</t>
  </si>
  <si>
    <t>Pre-tax Cost of Debt =</t>
  </si>
  <si>
    <t>Number of years embedded in yr 6 estimate =</t>
  </si>
  <si>
    <t>! I use the average lease expense over the first five years</t>
  </si>
  <si>
    <t>to estimate the number of years of expenses in yr 6</t>
  </si>
  <si>
    <t>Converting Operating Leases into debt</t>
  </si>
  <si>
    <t>Present Value</t>
  </si>
  <si>
    <t>! Commitment beyond year 6 converted into an annuity for ten years</t>
  </si>
  <si>
    <t>Debt Value of leases =</t>
  </si>
  <si>
    <t>Restated Financials</t>
  </si>
  <si>
    <t>Depreciation on Operating Lease Asset =</t>
  </si>
  <si>
    <t>! I use straight line depreciation</t>
  </si>
  <si>
    <t>Adjustment to Operating Earnings =</t>
  </si>
  <si>
    <t>Adjustment to Total Debt outstanding =</t>
  </si>
  <si>
    <t>! Add this amount to pre-tax operating income</t>
  </si>
  <si>
    <t>! Add this amount to debt</t>
  </si>
  <si>
    <t>I will assume that you have no losses carried forward from prior years ( NOL) coming into the valuation. If you have a money losing company, you may want to override tis.</t>
  </si>
  <si>
    <t>I will assume that your firm has no chance of failure over the foreseeable future.</t>
  </si>
  <si>
    <t>Tax rate</t>
  </si>
  <si>
    <t>I will assume that your effective tax rate will adjust to your marginal tax rate by your terminal year. If you override this assumption, I will leave the tax rate at your effective tax rate.</t>
  </si>
  <si>
    <t>Terminal cost of capital</t>
  </si>
  <si>
    <t>Though some sectors, even in stable growth, may have higher risk.</t>
  </si>
  <si>
    <t>But there are significant exceptions among companies with long-lasting competitive advantages.</t>
  </si>
  <si>
    <t>An NOL will shield your income from taxes, even after you start making money.</t>
  </si>
  <si>
    <t>Cost of capital</t>
  </si>
  <si>
    <t>Cumulated discount factor</t>
  </si>
  <si>
    <t>Decrease the sales/capital ratio</t>
  </si>
  <si>
    <t>Increase the sales/capital ratio</t>
  </si>
  <si>
    <t>Increase the target pre-tax operating margin</t>
  </si>
  <si>
    <t>Decrease the target pre-tax operating margin</t>
  </si>
  <si>
    <t>Revenue growth rate (input cell B3)</t>
  </si>
  <si>
    <t>Last period EBIT as % of revenue (Input cell B14)</t>
  </si>
  <si>
    <t>Sales to Capital Ratio or reinvestment (Input cell B15)</t>
  </si>
  <si>
    <t>Increase relative to your cost of capital</t>
  </si>
  <si>
    <t>If higher than your cost of capital, lower towards your cost of capital</t>
  </si>
  <si>
    <t xml:space="preserve"> </t>
  </si>
  <si>
    <t>T</t>
  </si>
  <si>
    <t>Return on capital in perpetuity (B30 &amp; B31)</t>
  </si>
  <si>
    <t>The yellow cells are input cells. Please enter them.</t>
  </si>
  <si>
    <t>Annual Average Revenue growth - Last 5 years</t>
  </si>
  <si>
    <t>Average effective tax rate</t>
  </si>
  <si>
    <t>Equity (Levered) Beta</t>
  </si>
  <si>
    <t>Cost of equity</t>
  </si>
  <si>
    <t>Std deviation in stock prices</t>
  </si>
  <si>
    <t>Pre-tax cost of debt</t>
  </si>
  <si>
    <t>Market Debt/Capital</t>
  </si>
  <si>
    <t>EV/Sales</t>
  </si>
  <si>
    <t>EV/EBITDA</t>
  </si>
  <si>
    <t>EV/EBIT</t>
  </si>
  <si>
    <t>Price/Book</t>
  </si>
  <si>
    <t>Trailing PE</t>
  </si>
  <si>
    <t>Number of firms</t>
  </si>
  <si>
    <t>Revenue growth in the most recent year =</t>
  </si>
  <si>
    <t>Pre-tax operating margin in the most recent year =</t>
  </si>
  <si>
    <t>Sales to capital ratio in most recent year =</t>
  </si>
  <si>
    <t>Return on invested capital in most recent year=</t>
  </si>
  <si>
    <t>This year</t>
  </si>
  <si>
    <t>Last year</t>
  </si>
  <si>
    <t>After-tax ROC</t>
  </si>
  <si>
    <t>Estimation of Current Cost of Capital</t>
  </si>
  <si>
    <t>Equity</t>
  </si>
  <si>
    <t>Number of Shares outstanding =</t>
  </si>
  <si>
    <t>Current Market Price per share =</t>
  </si>
  <si>
    <t>Riskfree Rate =</t>
  </si>
  <si>
    <t>Debt</t>
  </si>
  <si>
    <t>Book Value of Straight Debt =</t>
  </si>
  <si>
    <t>Interest Expense on Debt =</t>
  </si>
  <si>
    <t>Average Maturity =</t>
  </si>
  <si>
    <t>Tax Rate =</t>
  </si>
  <si>
    <t>Book Value of Convertible Debt =</t>
  </si>
  <si>
    <t>Interest Expense on Convertible =</t>
  </si>
  <si>
    <t>Maturity of Convertible Bond =</t>
  </si>
  <si>
    <t>Market Value of Convertible =</t>
  </si>
  <si>
    <t>Debt value of operating leases =</t>
  </si>
  <si>
    <t>Preferred Stock</t>
  </si>
  <si>
    <t>Number of Preferred Shares =</t>
  </si>
  <si>
    <t>Current Market Price per Share=</t>
  </si>
  <si>
    <t>Annual Dividend per Share =</t>
  </si>
  <si>
    <t>Estimating Market Value of Straight Debt =</t>
  </si>
  <si>
    <t>Estimated Value of Straight Debt in Convertible =</t>
  </si>
  <si>
    <t>Value of Debt in Operating leases =</t>
  </si>
  <si>
    <t>Estimated Value of Equity in Convertible =</t>
  </si>
  <si>
    <t xml:space="preserve">Debt </t>
  </si>
  <si>
    <t>Capital</t>
  </si>
  <si>
    <t>Market Value</t>
  </si>
  <si>
    <t>Weight in Cost of Capital</t>
  </si>
  <si>
    <t>Cost of Component</t>
  </si>
  <si>
    <t>Unlevered beta =</t>
  </si>
  <si>
    <t>Unlevered Beta</t>
  </si>
  <si>
    <t>Levered Beta for equity =</t>
  </si>
  <si>
    <t>Inputs for synthetic rating estimation</t>
  </si>
  <si>
    <t>Please read the special cases worksheet (see below) before you use this spreadsheet.</t>
  </si>
  <si>
    <t>Before you use this spreadsheet, make sure that the iteration box (under calculation options in excel) is checked.</t>
  </si>
  <si>
    <t>Enter the type of firm =</t>
  </si>
  <si>
    <t>Enter current Earnings before interest and taxes (EBIT) =</t>
  </si>
  <si>
    <t>(Add back only long term interest expense for financial firms)</t>
  </si>
  <si>
    <t>Enter current interest expenses =</t>
  </si>
  <si>
    <t>(Use only long term interest expense for financial firms)</t>
  </si>
  <si>
    <t>Interest  coverage ratio =</t>
  </si>
  <si>
    <t>Estimated Bond Rating =</t>
  </si>
  <si>
    <t>Note: If you get REF! All over the place, set the operating lease commitment question in cell F5</t>
  </si>
  <si>
    <t>to No, and then reset it to Yes. It should work.</t>
  </si>
  <si>
    <t>Estimated Cost of Debt =</t>
  </si>
  <si>
    <t xml:space="preserve"> If you want to update the spreads listed below, please visit http://www.bondsonline.com</t>
    <phoneticPr fontId="9"/>
  </si>
  <si>
    <t>For large manufacturing firms</t>
  </si>
  <si>
    <t>If interest coverage ratio is</t>
  </si>
  <si>
    <t>&gt;</t>
  </si>
  <si>
    <t>≤ to</t>
  </si>
  <si>
    <t>Rating is</t>
  </si>
  <si>
    <t>Spread is</t>
  </si>
  <si>
    <t>greater than</t>
  </si>
  <si>
    <t>For smaller and riskier firms</t>
  </si>
  <si>
    <t>Enter long term risk free rate  =</t>
  </si>
  <si>
    <t>! If you do not have a cost of debt, use the synthetic rating estimator</t>
  </si>
  <si>
    <t>V</t>
  </si>
  <si>
    <t>Enter the distress proceeds as percentage of book or fair value</t>
  </si>
  <si>
    <t>Average WACC over the 10 years (compounded)</t>
  </si>
  <si>
    <t>Company</t>
  </si>
  <si>
    <t>Yes/No</t>
  </si>
  <si>
    <t>Industry (US data)</t>
  </si>
  <si>
    <t>Book or Market Value</t>
  </si>
  <si>
    <t>Computed numbers: Here is what your company's numbers look like, relative to industry.</t>
  </si>
  <si>
    <t>Do you have operating lease commitments?</t>
  </si>
  <si>
    <t>Cash and cross holdings</t>
  </si>
  <si>
    <t>Do you have employee options outstanding?</t>
  </si>
  <si>
    <t>If you have operating leases, please enter your lease commitments in the lease worksheet below and I will convert to debt</t>
  </si>
  <si>
    <t>Albania</t>
  </si>
  <si>
    <t>Angola</t>
  </si>
  <si>
    <t>Argentina</t>
  </si>
  <si>
    <t>Armenia</t>
  </si>
  <si>
    <t>Aruba</t>
  </si>
  <si>
    <t>Australia</t>
  </si>
  <si>
    <t>Austria</t>
  </si>
  <si>
    <t>Bahamas</t>
  </si>
  <si>
    <t>Bahrain</t>
  </si>
  <si>
    <t>Bangladesh</t>
  </si>
  <si>
    <t>Barbados</t>
  </si>
  <si>
    <t>Belarus</t>
  </si>
  <si>
    <t>Belgium</t>
  </si>
  <si>
    <t>Bermuda</t>
  </si>
  <si>
    <t>Bolivia</t>
  </si>
  <si>
    <t>Bosnia and Herzegovina</t>
  </si>
  <si>
    <t>Botswana</t>
  </si>
  <si>
    <t>Brazil</t>
  </si>
  <si>
    <t>Bulgaria</t>
  </si>
  <si>
    <t>Cambodia</t>
  </si>
  <si>
    <t>Canada</t>
  </si>
  <si>
    <t>Cayman Islands</t>
  </si>
  <si>
    <t>Chile</t>
  </si>
  <si>
    <t>China</t>
  </si>
  <si>
    <t>Colombia</t>
  </si>
  <si>
    <t>Costa Rica</t>
  </si>
  <si>
    <t>Croatia</t>
  </si>
  <si>
    <t>Curacao</t>
  </si>
  <si>
    <t>Cyprus</t>
  </si>
  <si>
    <t>Czech Republic</t>
  </si>
  <si>
    <t>Denmark</t>
  </si>
  <si>
    <t>Dominican Republic</t>
  </si>
  <si>
    <t>Ecuador</t>
  </si>
  <si>
    <t>Egypt</t>
  </si>
  <si>
    <t>Estonia</t>
  </si>
  <si>
    <t>Fiji</t>
  </si>
  <si>
    <t>Finland</t>
  </si>
  <si>
    <t>France</t>
  </si>
  <si>
    <t>Germany</t>
  </si>
  <si>
    <t>Greece</t>
  </si>
  <si>
    <t>Guatemala</t>
  </si>
  <si>
    <t>Honduras</t>
  </si>
  <si>
    <t>Hong Kong</t>
  </si>
  <si>
    <t>Hungary</t>
  </si>
  <si>
    <t>Iceland</t>
  </si>
  <si>
    <t>India</t>
  </si>
  <si>
    <t>Indonesia</t>
  </si>
  <si>
    <t>Ireland</t>
  </si>
  <si>
    <t>Isle of Man</t>
  </si>
  <si>
    <t>Israel</t>
  </si>
  <si>
    <t>Italy</t>
  </si>
  <si>
    <t>Jamaica</t>
  </si>
  <si>
    <t>Japan</t>
  </si>
  <si>
    <t>Jordan</t>
  </si>
  <si>
    <t>Kazakhstan</t>
  </si>
  <si>
    <t>Kuwait</t>
  </si>
  <si>
    <t>Latvia</t>
  </si>
  <si>
    <t>Liechtenstein</t>
  </si>
  <si>
    <t>Lithuania</t>
  </si>
  <si>
    <t>Luxembourg</t>
  </si>
  <si>
    <t>Macau</t>
  </si>
  <si>
    <t>Macedonia</t>
  </si>
  <si>
    <t>Malaysia</t>
  </si>
  <si>
    <t>Malta</t>
  </si>
  <si>
    <t>Mauritius</t>
  </si>
  <si>
    <t>Mexico</t>
  </si>
  <si>
    <t>Montenegro</t>
  </si>
  <si>
    <t>Mozambique</t>
  </si>
  <si>
    <t>Namibia</t>
  </si>
  <si>
    <t>Netherlands</t>
  </si>
  <si>
    <t>New Zealand</t>
  </si>
  <si>
    <t>Nigeria</t>
  </si>
  <si>
    <t>Norway</t>
  </si>
  <si>
    <t>Oman</t>
  </si>
  <si>
    <t>Pakistan</t>
  </si>
  <si>
    <t>Panama</t>
  </si>
  <si>
    <t>Papua New Guinea</t>
  </si>
  <si>
    <t>Paraguay</t>
  </si>
  <si>
    <t>Peru</t>
  </si>
  <si>
    <t>Philippines</t>
  </si>
  <si>
    <t>Poland</t>
  </si>
  <si>
    <t>Portugal</t>
  </si>
  <si>
    <t>Qatar</t>
  </si>
  <si>
    <t>Romania</t>
  </si>
  <si>
    <t>Russia</t>
  </si>
  <si>
    <t>Saudi Arabia</t>
  </si>
  <si>
    <t>Serbia</t>
  </si>
  <si>
    <t>Singapore</t>
  </si>
  <si>
    <t>Slovenia</t>
  </si>
  <si>
    <t>South Africa</t>
  </si>
  <si>
    <t>Spain</t>
  </si>
  <si>
    <t>Sri Lanka</t>
  </si>
  <si>
    <t>Sudan</t>
  </si>
  <si>
    <t>Sweden</t>
  </si>
  <si>
    <t>Switzerland</t>
  </si>
  <si>
    <t>Taiwan</t>
  </si>
  <si>
    <t>Tanzania</t>
  </si>
  <si>
    <t>Thailand</t>
  </si>
  <si>
    <t>Tunisia</t>
  </si>
  <si>
    <t>Turkey</t>
  </si>
  <si>
    <t>Ukraine</t>
  </si>
  <si>
    <t>United Arab Emirates</t>
  </si>
  <si>
    <t>United Kingdom</t>
  </si>
  <si>
    <t>United States</t>
  </si>
  <si>
    <t>Uruguay</t>
  </si>
  <si>
    <t>Venezuela</t>
  </si>
  <si>
    <t>Vietnam</t>
  </si>
  <si>
    <t>Zambia</t>
  </si>
  <si>
    <t>Zimbabwe</t>
  </si>
  <si>
    <t>Country</t>
  </si>
  <si>
    <t>Adj. Default Spread</t>
  </si>
  <si>
    <t>Country Risk Premium</t>
  </si>
  <si>
    <t>Region</t>
  </si>
  <si>
    <t>Western Europe</t>
  </si>
  <si>
    <t>Eastern Europe &amp; Russia</t>
  </si>
  <si>
    <t>Africa</t>
  </si>
  <si>
    <t>Central and South America</t>
  </si>
  <si>
    <t>Australia &amp; New Zealand</t>
  </si>
  <si>
    <t>Azerbaijan</t>
  </si>
  <si>
    <t>Caribbean</t>
  </si>
  <si>
    <t>Middle East</t>
  </si>
  <si>
    <t>Belize</t>
  </si>
  <si>
    <t>North America</t>
  </si>
  <si>
    <t>Cuba</t>
  </si>
  <si>
    <t>El Salvador</t>
  </si>
  <si>
    <t>Georgia</t>
  </si>
  <si>
    <t>Lebanon</t>
  </si>
  <si>
    <t>Moldova</t>
  </si>
  <si>
    <t>Mongolia</t>
  </si>
  <si>
    <t>Morocco</t>
  </si>
  <si>
    <t>Nicaragua</t>
  </si>
  <si>
    <t>Senegal</t>
  </si>
  <si>
    <t>Slovakia</t>
  </si>
  <si>
    <t>St. Vincent &amp; the Grenadines</t>
  </si>
  <si>
    <t>Suriname</t>
  </si>
  <si>
    <t>United States of America</t>
  </si>
  <si>
    <t>ERP</t>
  </si>
  <si>
    <t>Weighted ERP</t>
  </si>
  <si>
    <t>Weight</t>
  </si>
  <si>
    <t>Total</t>
  </si>
  <si>
    <t>Cost of capital =</t>
  </si>
  <si>
    <t>Standard deviation in stock prices =</t>
  </si>
  <si>
    <t>Date of valuation</t>
  </si>
  <si>
    <r>
      <rPr>
        <b/>
        <sz val="10"/>
        <rFont val="Helv"/>
      </rPr>
      <t>Important:</t>
    </r>
    <r>
      <rPr>
        <sz val="10"/>
        <rFont val="Helv"/>
      </rPr>
      <t xml:space="preserve"> Before you run this spreadsheet, go into preferences in Excel and check under Calculation options</t>
    </r>
  </si>
  <si>
    <t xml:space="preserve">Non-operating assets </t>
  </si>
  <si>
    <t xml:space="preserve"> + Non-operating assets</t>
  </si>
  <si>
    <t xml:space="preserve"> +  Cash</t>
  </si>
  <si>
    <t xml:space="preserve"> - Debt</t>
  </si>
  <si>
    <t>Minority interests</t>
  </si>
  <si>
    <t xml:space="preserve"> - Minority interests</t>
  </si>
  <si>
    <t>Business</t>
  </si>
  <si>
    <t>Estimated Value</t>
  </si>
  <si>
    <t>Last 10K</t>
  </si>
  <si>
    <t>Trailing 12 month</t>
  </si>
  <si>
    <t>Lease commitments</t>
  </si>
  <si>
    <t>Year 1</t>
  </si>
  <si>
    <t>Year 2</t>
  </si>
  <si>
    <t>Year 3</t>
  </si>
  <si>
    <t>Year 4</t>
  </si>
  <si>
    <t>Year 5</t>
  </si>
  <si>
    <t>Beyond year 5</t>
  </si>
  <si>
    <t>R &amp; D Converter</t>
  </si>
  <si>
    <t>This spreadsheet converts R&amp;D expenses from operating to capital expenses. It makes the appropriate adjustments to operating income, net</t>
  </si>
  <si>
    <t>income, the book value of assets and the book value of equity.</t>
  </si>
  <si>
    <t>Over how many years do you want to amortize R&amp;D expenses</t>
  </si>
  <si>
    <t>! If in doubt, use the lookup table below</t>
  </si>
  <si>
    <t>Enter the current year's R&amp;D expense =</t>
  </si>
  <si>
    <t>The maximum allowed is ten years</t>
  </si>
  <si>
    <t>Enter R&amp; D expenses for past years: the number of years that you will need to enter will be determined by the amortization period</t>
  </si>
  <si>
    <t>Do not input numbers in the first column (Year). It will get automatically updated  based on the input above.</t>
  </si>
  <si>
    <t>R&amp; D Expenses</t>
  </si>
  <si>
    <t>! Year -1 is the year prior to the current year</t>
  </si>
  <si>
    <t>! Year -2 is the two years prior to the current year</t>
  </si>
  <si>
    <t>R&amp;D Expense</t>
  </si>
  <si>
    <t>Unamortized portion</t>
  </si>
  <si>
    <t>Amortization this year</t>
  </si>
  <si>
    <t>Current</t>
  </si>
  <si>
    <t>Value of Research Asset =</t>
  </si>
  <si>
    <t>Amortization of asset for current year =</t>
  </si>
  <si>
    <t>Adjustment to Operating Income =</t>
  </si>
  <si>
    <t>! A positive number indicates an increase in operating income (add to reported EBIT)</t>
  </si>
  <si>
    <t>Tax Effect of R&amp;D Expensing</t>
  </si>
  <si>
    <t>R&amp;D expense</t>
  </si>
  <si>
    <t>Do you have R&amp;D expenses to capitalize?</t>
  </si>
  <si>
    <t xml:space="preserve"> If you want to capitalize R&amp;D, you have to input the numbers into the R&amp;D worksheet. </t>
  </si>
  <si>
    <t>First X months: Last year</t>
  </si>
  <si>
    <t>First X months: Current year</t>
  </si>
  <si>
    <t>If you are not working in US dollars, you should add the inflation differential to the industry averages.</t>
  </si>
  <si>
    <t>Numbers from your base year below ( in consistent units)</t>
  </si>
  <si>
    <t>Total Risk Premium</t>
  </si>
  <si>
    <t>Asia</t>
  </si>
  <si>
    <t>Kenya</t>
  </si>
  <si>
    <t>St. Maarten</t>
  </si>
  <si>
    <t>Malawi</t>
  </si>
  <si>
    <t>Uganda</t>
  </si>
  <si>
    <t>Tax Rate</t>
  </si>
  <si>
    <t>Industry (US)</t>
  </si>
  <si>
    <t>Industry (Global)</t>
  </si>
  <si>
    <t>Industry (Global data)</t>
  </si>
  <si>
    <t>Interest expense</t>
  </si>
  <si>
    <t>Interest expenses</t>
  </si>
  <si>
    <t>What approach do you want to use to input ERP?</t>
  </si>
  <si>
    <t>ERP choices</t>
  </si>
  <si>
    <t>Will input</t>
  </si>
  <si>
    <t>Operating countries</t>
  </si>
  <si>
    <t>Operating regions</t>
  </si>
  <si>
    <t>Country of incorporation</t>
  </si>
  <si>
    <t>Direct input for ERP (if you choose "will input"</t>
  </si>
  <si>
    <t>Equity Risk Premium used in cost of equity =</t>
  </si>
  <si>
    <t>Operating Regions ERP calculator</t>
  </si>
  <si>
    <t>Cost of debt</t>
  </si>
  <si>
    <t>Direct input</t>
  </si>
  <si>
    <t>Synthetic rating</t>
  </si>
  <si>
    <t>Actual rating</t>
  </si>
  <si>
    <t>Approach for estimating pre-tax cost of debt</t>
  </si>
  <si>
    <t>If actual rating, input the rating</t>
  </si>
  <si>
    <t>If direct input, input the pre-tax cost of debt</t>
  </si>
  <si>
    <t>D2/D</t>
  </si>
  <si>
    <t>Caa/CCC</t>
  </si>
  <si>
    <t>Ca2/CC</t>
  </si>
  <si>
    <t>C2/C</t>
  </si>
  <si>
    <t>B3/B-</t>
  </si>
  <si>
    <t>B2/B</t>
  </si>
  <si>
    <t>B1/B+</t>
  </si>
  <si>
    <t>Ba2/BB</t>
  </si>
  <si>
    <t>Ba1/BB+</t>
  </si>
  <si>
    <t>Baa2/BBB</t>
  </si>
  <si>
    <t>A3/A-</t>
  </si>
  <si>
    <t>A2/A</t>
  </si>
  <si>
    <t>A1/A+</t>
  </si>
  <si>
    <t>Aa2/AA</t>
  </si>
  <si>
    <t>Aaa/AAA</t>
  </si>
  <si>
    <t>If synethetic rating, input the type of company</t>
  </si>
  <si>
    <t>Estimated Company Default Spread =</t>
  </si>
  <si>
    <t>Estimated County Default Spread (if any) =</t>
  </si>
  <si>
    <t>Approach for estimating beta</t>
  </si>
  <si>
    <t>Beta</t>
  </si>
  <si>
    <t>If direct input, enter levered beta (or regression beta)</t>
  </si>
  <si>
    <t>Multi Business (US Industry Averages)</t>
  </si>
  <si>
    <t>Multi Business (Global Industry Averages)</t>
  </si>
  <si>
    <t>Multibusiness(Global)</t>
  </si>
  <si>
    <t>Single Business(US)</t>
  </si>
  <si>
    <t>Single Business(Global)</t>
  </si>
  <si>
    <t>Multibusiness(US)</t>
  </si>
  <si>
    <t>ROE</t>
  </si>
  <si>
    <t>Marginal tax rate</t>
  </si>
  <si>
    <t>Abu Dhabi</t>
  </si>
  <si>
    <t>Andorra</t>
  </si>
  <si>
    <t>Anguilla</t>
  </si>
  <si>
    <t>Benin</t>
  </si>
  <si>
    <t>British Virgin Islands</t>
  </si>
  <si>
    <t>Burkina Faso</t>
  </si>
  <si>
    <t>Cameroon</t>
  </si>
  <si>
    <t>Cape Verde</t>
  </si>
  <si>
    <t>Channel Islands</t>
  </si>
  <si>
    <t>Cook Islands</t>
  </si>
  <si>
    <t>Falkland Islands</t>
  </si>
  <si>
    <t>Gabon</t>
  </si>
  <si>
    <t>Ghana</t>
  </si>
  <si>
    <t>Greenland</t>
  </si>
  <si>
    <t>Ivory Coast</t>
  </si>
  <si>
    <t>Kyrgyzstan</t>
  </si>
  <si>
    <t>Laos</t>
  </si>
  <si>
    <t>Marshall Islands</t>
  </si>
  <si>
    <t>Monaco</t>
  </si>
  <si>
    <t>Montserrat</t>
  </si>
  <si>
    <t>Netherlands Antilles</t>
  </si>
  <si>
    <t>Niger</t>
  </si>
  <si>
    <t>Palestinian Authority</t>
  </si>
  <si>
    <t>Reunion</t>
  </si>
  <si>
    <t>Rwanda</t>
  </si>
  <si>
    <t>Sierra Leone</t>
  </si>
  <si>
    <t>Togo</t>
  </si>
  <si>
    <t>Trinidad &amp; Tobago</t>
  </si>
  <si>
    <t>Turks &amp; Caicos Islands</t>
  </si>
  <si>
    <t>Global</t>
  </si>
  <si>
    <t>Adjustment to Depreciation =</t>
  </si>
  <si>
    <t>Korea</t>
  </si>
  <si>
    <t>Macao</t>
  </si>
  <si>
    <t>Trinidad and Tobago</t>
  </si>
  <si>
    <t>Non-cash WC as % of Revenues</t>
  </si>
  <si>
    <t>Cap Ex as % of Revenues</t>
  </si>
  <si>
    <t>Net Cap Ex as % of Revenues</t>
  </si>
  <si>
    <t>Reinvestment Rate</t>
  </si>
  <si>
    <t>Dividend Payout Ratio</t>
  </si>
  <si>
    <t>Equity Reinvestment Rate</t>
  </si>
  <si>
    <t>GDP (in billions)</t>
  </si>
  <si>
    <t>Andorra (Principality of)</t>
  </si>
  <si>
    <t>Congo (Democratic Republic of)</t>
  </si>
  <si>
    <t>Congo (Republic of)</t>
  </si>
  <si>
    <t>Côte d'Ivoire</t>
  </si>
  <si>
    <t>Ethiopia</t>
  </si>
  <si>
    <t>Guernsey (States of)</t>
  </si>
  <si>
    <t>Jersey (States of)</t>
  </si>
  <si>
    <t>Ras Al Khaimah (Emirate of)</t>
  </si>
  <si>
    <t>Sharjah</t>
  </si>
  <si>
    <t>Turks and Caicos Islands</t>
  </si>
  <si>
    <t>Aerospace/Defense</t>
  </si>
  <si>
    <t>Air Transport</t>
  </si>
  <si>
    <t>Apparel</t>
  </si>
  <si>
    <t>Auto &amp; Truck</t>
  </si>
  <si>
    <t>Auto Parts</t>
  </si>
  <si>
    <t>Bank (Money Center)</t>
  </si>
  <si>
    <t>Banks (Regional)</t>
  </si>
  <si>
    <t>Beverage (Alcoholic)</t>
  </si>
  <si>
    <t>Beverage (Soft)</t>
  </si>
  <si>
    <t>Broadcasting</t>
  </si>
  <si>
    <t>Brokerage &amp; Investment Banking</t>
  </si>
  <si>
    <t>Building Materials</t>
  </si>
  <si>
    <t>Business &amp; Consumer Services</t>
  </si>
  <si>
    <t>Cable TV</t>
  </si>
  <si>
    <t>Chemical (Basic)</t>
  </si>
  <si>
    <t>Chemical (Diversified)</t>
  </si>
  <si>
    <t>Chemical (Specialty)</t>
  </si>
  <si>
    <t>Coal &amp; Related Energy</t>
  </si>
  <si>
    <t>Computer Services</t>
  </si>
  <si>
    <t>Computers/Peripherals</t>
  </si>
  <si>
    <t>Construction Supplies</t>
  </si>
  <si>
    <t>Diversified</t>
  </si>
  <si>
    <t>Drugs (Biotechnology)</t>
  </si>
  <si>
    <t>Drugs (Pharmaceutical)</t>
  </si>
  <si>
    <t>Education</t>
  </si>
  <si>
    <t>Electrical Equipment</t>
  </si>
  <si>
    <t>Electronics (Consumer &amp; Office)</t>
  </si>
  <si>
    <t>Electronics (General)</t>
  </si>
  <si>
    <t>Engineering/Construction</t>
  </si>
  <si>
    <t>Entertainment</t>
  </si>
  <si>
    <t>Environmental &amp; Waste Services</t>
  </si>
  <si>
    <t>Farming/Agriculture</t>
  </si>
  <si>
    <t>Financial Svcs. (Non-bank &amp; Insurance)</t>
  </si>
  <si>
    <t>Food Processing</t>
  </si>
  <si>
    <t>Food Wholesalers</t>
  </si>
  <si>
    <t>Furn/Home Furnishings</t>
  </si>
  <si>
    <t>Green &amp; Renewable Energy</t>
  </si>
  <si>
    <t>Healthcare Products</t>
  </si>
  <si>
    <t>Healthcare Support Services</t>
  </si>
  <si>
    <t>Heathcare Information and Technology</t>
  </si>
  <si>
    <t>Homebuilding</t>
  </si>
  <si>
    <t>Hospitals/Healthcare Facilities</t>
  </si>
  <si>
    <t>Hotel/Gaming</t>
  </si>
  <si>
    <t>Household Products</t>
  </si>
  <si>
    <t>Information Services</t>
  </si>
  <si>
    <t>Insurance (General)</t>
  </si>
  <si>
    <t>Insurance (Life)</t>
  </si>
  <si>
    <t>Insurance (Prop/Cas.)</t>
  </si>
  <si>
    <t>Investments &amp; Asset Management</t>
  </si>
  <si>
    <t>Machinery</t>
  </si>
  <si>
    <t>Metals &amp; Mining</t>
  </si>
  <si>
    <t>Office Equipment &amp; Services</t>
  </si>
  <si>
    <t>Oil/Gas (Integrated)</t>
  </si>
  <si>
    <t>Oil/Gas (Production and Exploration)</t>
  </si>
  <si>
    <t>Oil/Gas Distribution</t>
  </si>
  <si>
    <t>Oilfield Svcs/Equip.</t>
  </si>
  <si>
    <t>Packaging &amp; Container</t>
  </si>
  <si>
    <t>Paper/Forest Products</t>
  </si>
  <si>
    <t>Power</t>
  </si>
  <si>
    <t>Precious Metals</t>
  </si>
  <si>
    <t>Publshing &amp; Newspapers</t>
  </si>
  <si>
    <t>R.E.I.T.</t>
  </si>
  <si>
    <t>Real Estate (Development)</t>
  </si>
  <si>
    <t>Real Estate (General/Diversified)</t>
  </si>
  <si>
    <t>Real Estate (Operations &amp; Services)</t>
  </si>
  <si>
    <t>Recreation</t>
  </si>
  <si>
    <t>Reinsurance</t>
  </si>
  <si>
    <t>Restaurant/Dining</t>
  </si>
  <si>
    <t>Retail (Automotive)</t>
  </si>
  <si>
    <t>Retail (Building Supply)</t>
  </si>
  <si>
    <t>Retail (Distributors)</t>
  </si>
  <si>
    <t>Retail (General)</t>
  </si>
  <si>
    <t>Retail (Grocery and Food)</t>
  </si>
  <si>
    <t>Retail (Online)</t>
  </si>
  <si>
    <t>Retail (Special Lines)</t>
  </si>
  <si>
    <t>Rubber&amp; Tires</t>
  </si>
  <si>
    <t>Semiconductor</t>
  </si>
  <si>
    <t>Semiconductor Equip</t>
  </si>
  <si>
    <t>Shipbuilding &amp; Marine</t>
  </si>
  <si>
    <t>Shoe</t>
  </si>
  <si>
    <t>Software (Entertainment)</t>
  </si>
  <si>
    <t>Software (Internet)</t>
  </si>
  <si>
    <t>Software (System &amp; Application)</t>
  </si>
  <si>
    <t>Steel</t>
  </si>
  <si>
    <t>Telecom (Wireless)</t>
  </si>
  <si>
    <t>Telecom. Equipment</t>
  </si>
  <si>
    <t>Telecom. Services</t>
  </si>
  <si>
    <t>Tobacco</t>
  </si>
  <si>
    <t>Transportation</t>
  </si>
  <si>
    <t>Transportation (Railroads)</t>
  </si>
  <si>
    <t>Trucking</t>
  </si>
  <si>
    <t>Unclassified</t>
  </si>
  <si>
    <t>Utility (General)</t>
  </si>
  <si>
    <t>Utility (Water)</t>
  </si>
  <si>
    <t>Gibraltar</t>
  </si>
  <si>
    <t>Samoa</t>
  </si>
  <si>
    <t>Country Default Spread</t>
  </si>
  <si>
    <t>CRP</t>
  </si>
  <si>
    <t>Curaçao</t>
  </si>
  <si>
    <t>Operating Countries ERP calculator</t>
  </si>
  <si>
    <t>Cash and Marketable Securities</t>
  </si>
  <si>
    <t>Cross holdings and other non-operating assets</t>
  </si>
  <si>
    <t>Profitability Lever</t>
  </si>
  <si>
    <t>Efficency of Growth Lever</t>
  </si>
  <si>
    <t>Growth Lever</t>
  </si>
  <si>
    <t>Valuation Output Feedback (for you to use to fine tune your inputs, if you want)</t>
  </si>
  <si>
    <t>Revenues in year 10, based on your revenue growth =</t>
  </si>
  <si>
    <t>Return on invested capital in year 10, based on your sales/capital ratio =</t>
  </si>
  <si>
    <t>Pre-tax Operating Income in year 10, based on your operating margin =</t>
  </si>
  <si>
    <t>Check the Diagnostics worksheet for more details.</t>
  </si>
  <si>
    <t>Do you want to override this assumption</t>
  </si>
  <si>
    <t>&amp; Average tax rate of the foreign markets where the cash is trapped</t>
  </si>
  <si>
    <t>Corporate Tax Rate</t>
  </si>
  <si>
    <t>Weighted Average: TRP</t>
  </si>
  <si>
    <t>Weighted Average: CRP</t>
  </si>
  <si>
    <t>Weighted Average: Default Spreads</t>
  </si>
  <si>
    <t>I will assume that the growth rate in perpetuity will be equal to the risk free rate. This allows for both valuation consistency and prevents "impossible" growth rates.</t>
  </si>
  <si>
    <t>If yes, enter the growth rate in perpetuity</t>
  </si>
  <si>
    <t>This can be negative, if you feel the company will decline (and disappear) after growth is done. If you let it exceed the risk free rate, you are on your own in uncharted territory.</t>
  </si>
  <si>
    <t>Value per share</t>
  </si>
  <si>
    <t>Years since last 10K</t>
  </si>
  <si>
    <t>I have assumed that none of the cash is trapped (in foreign countries) and that there is no additional tax liability coming due and that cash is a neutral asset.</t>
  </si>
  <si>
    <t>Cash that is trapped in foreign markets (and subject to additoinal tax) or cash that is being discounted by the market (because of management mistrust)</t>
  </si>
  <si>
    <t>Additional tax rate due on trapped cash or discount being applied to cash balance because of mistrust.</t>
  </si>
  <si>
    <t>If yes, enter trapped cash (if taxes) or entire balance (if mistrust)</t>
  </si>
  <si>
    <t>The Story</t>
  </si>
  <si>
    <t>The Assumptions</t>
  </si>
  <si>
    <t>Base year</t>
  </si>
  <si>
    <t>Years 1-5</t>
  </si>
  <si>
    <t>Years 6-10</t>
  </si>
  <si>
    <t>Operating Margin</t>
  </si>
  <si>
    <t>The Cash Flows</t>
  </si>
  <si>
    <t>EBIT (1-t)</t>
  </si>
  <si>
    <t>The Value</t>
  </si>
  <si>
    <t>Terminal value</t>
  </si>
  <si>
    <t>PV(Terminal value)</t>
  </si>
  <si>
    <t>Link to story</t>
  </si>
  <si>
    <t>Revenues (a)</t>
  </si>
  <si>
    <t>25%-&gt;2.2%</t>
  </si>
  <si>
    <t>Operating margin (b)</t>
  </si>
  <si>
    <t>Reinvestment (c )</t>
  </si>
  <si>
    <t>Cost of capital (d)</t>
  </si>
  <si>
    <t xml:space="preserve">Reinvestment </t>
  </si>
  <si>
    <t>Number of shares</t>
  </si>
  <si>
    <t>Sales to capital ratio =</t>
  </si>
  <si>
    <t>EBIT</t>
  </si>
  <si>
    <t>Adjustment for distress</t>
  </si>
  <si>
    <t xml:space="preserve"> - Debt &amp; Mnority Interests</t>
  </si>
  <si>
    <t xml:space="preserve"> + Cash &amp; Other Non-operating assets</t>
  </si>
  <si>
    <t xml:space="preserve"> - Value of equity options</t>
  </si>
  <si>
    <t>Stock was trading at =</t>
  </si>
  <si>
    <t>Tell your story about the company. Keep it focuses on the company's businesses and tie it into the three key levers of value: cash flows, growth and risk</t>
  </si>
  <si>
    <t>Tie each assumption to the part of your story that relates to it.</t>
  </si>
  <si>
    <t>These are the numbers that come from your assumptions. The revenues over time reflect your revenue growth, the operating margins evolve towards your target margin and your tax rate will change, if you have set it to. The reinvestment is estimated using the sales to capital ratio for the first 10 years and based on a reinvestment rate in stable growth (g/ ROC).</t>
  </si>
  <si>
    <t>Return on capital</t>
  </si>
  <si>
    <t>Marginal ROIC =</t>
  </si>
  <si>
    <t>RIR =</t>
  </si>
  <si>
    <t>This is the output from your valuation. It reflects your cash flows being discounted back at the cost of capital to get to your operating asset value, which then gets adjusted for the likelihood that your firm will not make it. We add cash and non-operating assets, subtract out debt and minority interests to get to value of equity.</t>
  </si>
  <si>
    <t>Global marginal tax rate average</t>
  </si>
  <si>
    <t>50% auto, 50% technology</t>
  </si>
  <si>
    <t>In maturity,, has tech features</t>
  </si>
  <si>
    <t>Invest like an auto/tech company</t>
  </si>
  <si>
    <t>Tech superiority &amp; brand = High margins</t>
  </si>
  <si>
    <t>Mass market focus = $80 billion in revenue</t>
  </si>
  <si>
    <r>
      <t xml:space="preserve">Tesla is an auto/tech company looking towards the mass market. Its primary competitive advantages lies in superior technology &amp; </t>
    </r>
    <r>
      <rPr>
        <u/>
        <sz val="12"/>
        <color theme="1"/>
        <rFont val="Calibri (Body)"/>
      </rPr>
      <t xml:space="preserve">brand loyalty </t>
    </r>
    <r>
      <rPr>
        <sz val="12"/>
        <color theme="1"/>
        <rFont val="Calibri"/>
        <family val="2"/>
        <scheme val="minor"/>
      </rPr>
      <t>with a secondary advantage in styling. In terms of investment needs and risk, it is as much tech as auto company.</t>
    </r>
  </si>
  <si>
    <t>1.19 (Auto)</t>
  </si>
  <si>
    <t>1.58 (Current)</t>
  </si>
  <si>
    <t>2.24 (Tech)</t>
  </si>
  <si>
    <t>Revenue in 2026 (in billions) with 9% margin</t>
  </si>
  <si>
    <t>Revenue in 2026 (in billions) with 12% margin</t>
  </si>
  <si>
    <t>Revenue in 2026 (in billions) with 15% margin</t>
  </si>
  <si>
    <t>Veolia</t>
  </si>
  <si>
    <t>Rest of the world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</si>
</sst>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Red]\(&quot;$&quot;#,##0\)"/>
    <numFmt numFmtId="165" formatCode="&quot;$&quot;#,##0.00_);[Red]\(&quot;$&quot;#,##0.00\)"/>
    <numFmt numFmtId="166" formatCode="_(&quot;$&quot;* #,##0.00_);_(&quot;$&quot;* \(#,##0.00\);_(&quot;$&quot;* &quot;-&quot;??_);_(@_)"/>
    <numFmt numFmtId="167" formatCode="_(* #,##0.00_);_(* \(#,##0.00\);_(* &quot;-&quot;??_);_(@_)"/>
    <numFmt numFmtId="168" formatCode="&quot;$&quot;#,##0.00"/>
    <numFmt numFmtId="169" formatCode="#,##0.0000"/>
    <numFmt numFmtId="170" formatCode="0.000%"/>
    <numFmt numFmtId="171" formatCode="0.0000%"/>
    <numFmt numFmtId="172" formatCode="_(&quot;$&quot;* #,##0_);_(&quot;$&quot;* \(#,##0\);_(&quot;$&quot;* &quot;-&quot;??_);_(@_)"/>
    <numFmt numFmtId="173" formatCode="0.0000"/>
    <numFmt numFmtId="174" formatCode="_([$$-409]* #,##0.00_);_([$$-409]* \(#,##0.00\);_([$$-409]* &quot;-&quot;??_);_(@_)"/>
    <numFmt numFmtId="175" formatCode="_([$$-409]* #,##0_);_([$$-409]* \(#,##0\);_([$$-409]* &quot;-&quot;??_);_(@_)"/>
  </numFmts>
  <fonts count="69">
    <font>
      <sz val="9"/>
      <name val="Geneva"/>
      <family val="2"/>
    </font>
    <font>
      <sz val="12"/>
      <color theme="1"/>
      <name val="Calibri"/>
      <family val="2"/>
      <scheme val="minor"/>
    </font>
    <font>
      <i/>
      <sz val="9"/>
      <name val="Geneva"/>
    </font>
    <font>
      <sz val="9"/>
      <name val="Geneva"/>
      <family val="2"/>
    </font>
    <font>
      <sz val="8"/>
      <name val="Geneva"/>
    </font>
    <font>
      <sz val="8"/>
      <name val="돋움"/>
      <family val="3"/>
    </font>
    <font>
      <sz val="8"/>
      <name val="Verdana"/>
      <family val="2"/>
    </font>
    <font>
      <sz val="9"/>
      <name val="Helv"/>
    </font>
    <font>
      <sz val="12"/>
      <name val="Arial"/>
      <family val="2"/>
    </font>
    <font>
      <b/>
      <i/>
      <sz val="12"/>
      <name val="Arial"/>
      <family val="2"/>
    </font>
    <font>
      <b/>
      <sz val="14"/>
      <name val="Times"/>
      <family val="1"/>
    </font>
    <font>
      <b/>
      <sz val="14"/>
      <name val="Geneva"/>
    </font>
    <font>
      <sz val="10"/>
      <name val="Times"/>
      <family val="1"/>
    </font>
    <font>
      <b/>
      <i/>
      <sz val="10"/>
      <name val="Times"/>
      <family val="1"/>
    </font>
    <font>
      <i/>
      <sz val="10"/>
      <name val="Times"/>
      <family val="1"/>
    </font>
    <font>
      <i/>
      <sz val="10"/>
      <name val="Geneva"/>
    </font>
    <font>
      <b/>
      <sz val="10"/>
      <name val="Times"/>
      <family val="1"/>
    </font>
    <font>
      <sz val="9"/>
      <color indexed="81"/>
      <name val="Geneva"/>
      <family val="2"/>
    </font>
    <font>
      <b/>
      <sz val="9"/>
      <color indexed="81"/>
      <name val="Geneva"/>
      <family val="2"/>
    </font>
    <font>
      <b/>
      <sz val="12"/>
      <name val="Times"/>
    </font>
    <font>
      <sz val="10"/>
      <name val="Geneva"/>
    </font>
    <font>
      <i/>
      <sz val="12"/>
      <name val="Times"/>
    </font>
    <font>
      <sz val="12"/>
      <name val="Times"/>
    </font>
    <font>
      <b/>
      <i/>
      <u/>
      <sz val="12"/>
      <name val="Times"/>
      <family val="1"/>
    </font>
    <font>
      <b/>
      <sz val="10"/>
      <name val="Helv"/>
    </font>
    <font>
      <sz val="10"/>
      <name val="Helv"/>
    </font>
    <font>
      <b/>
      <i/>
      <sz val="10"/>
      <name val="Helv"/>
    </font>
    <font>
      <i/>
      <sz val="10"/>
      <name val="Helv"/>
    </font>
    <font>
      <b/>
      <i/>
      <sz val="14"/>
      <name val="Times"/>
      <family val="1"/>
    </font>
    <font>
      <b/>
      <i/>
      <sz val="12"/>
      <name val="Times"/>
    </font>
    <font>
      <i/>
      <sz val="12"/>
      <name val="Geneva"/>
    </font>
    <font>
      <b/>
      <sz val="10"/>
      <name val="Geneva"/>
    </font>
    <font>
      <b/>
      <sz val="10"/>
      <name val="Arial"/>
      <family val="2"/>
    </font>
    <font>
      <sz val="10"/>
      <name val="Arial"/>
      <family val="2"/>
    </font>
    <font>
      <sz val="9"/>
      <name val="Times"/>
      <family val="1"/>
    </font>
    <font>
      <b/>
      <sz val="9"/>
      <name val="Times"/>
      <family val="1"/>
    </font>
    <font>
      <b/>
      <sz val="9"/>
      <name val="Helv"/>
    </font>
    <font>
      <i/>
      <sz val="14"/>
      <name val="Times"/>
    </font>
    <font>
      <i/>
      <sz val="10"/>
      <name val="Verdana"/>
      <family val="2"/>
    </font>
    <font>
      <b/>
      <sz val="10"/>
      <name val="Verdana"/>
      <family val="2"/>
    </font>
    <font>
      <b/>
      <i/>
      <sz val="12"/>
      <name val="Calibri"/>
      <family val="2"/>
    </font>
    <font>
      <sz val="12"/>
      <name val="Calibri"/>
      <family val="2"/>
    </font>
    <font>
      <sz val="8"/>
      <name val="Arial"/>
      <family val="2"/>
    </font>
    <font>
      <sz val="10"/>
      <color indexed="81"/>
      <name val="Calibri"/>
      <family val="2"/>
    </font>
    <font>
      <b/>
      <sz val="10"/>
      <color indexed="81"/>
      <name val="Calibri"/>
      <family val="2"/>
    </font>
    <font>
      <i/>
      <sz val="9"/>
      <name val="Helv"/>
    </font>
    <font>
      <sz val="12"/>
      <color theme="1"/>
      <name val="Calibri"/>
      <family val="2"/>
      <scheme val="minor"/>
    </font>
    <font>
      <b/>
      <sz val="12"/>
      <color theme="1"/>
      <name val="Calibri"/>
      <family val="2"/>
      <scheme val="minor"/>
    </font>
    <font>
      <sz val="12"/>
      <color rgb="FFFF0000"/>
      <name val="Calibri"/>
      <family val="2"/>
      <scheme val="minor"/>
    </font>
    <font>
      <i/>
      <sz val="10"/>
      <color rgb="FFFF0000"/>
      <name val="Helv"/>
    </font>
    <font>
      <sz val="12"/>
      <color rgb="FFFF0000"/>
      <name val="Times"/>
    </font>
    <font>
      <b/>
      <sz val="10"/>
      <color theme="1"/>
      <name val="Helv"/>
    </font>
    <font>
      <sz val="10"/>
      <name val="Calibri"/>
      <family val="2"/>
      <scheme val="minor"/>
    </font>
    <font>
      <sz val="12"/>
      <color rgb="FFFFFFFF"/>
      <name val="Calibri"/>
      <family val="2"/>
    </font>
    <font>
      <b/>
      <i/>
      <sz val="12"/>
      <color rgb="FF000000"/>
      <name val="Calibri"/>
      <family val="2"/>
    </font>
    <font>
      <sz val="12"/>
      <color rgb="FF000000"/>
      <name val="Calibri"/>
      <family val="2"/>
    </font>
    <font>
      <i/>
      <sz val="9"/>
      <color rgb="FFFF0000"/>
      <name val="Helv"/>
    </font>
    <font>
      <i/>
      <sz val="12"/>
      <color theme="1"/>
      <name val="Calibri"/>
      <family val="2"/>
      <scheme val="minor"/>
    </font>
    <font>
      <sz val="12"/>
      <name val="Calibri"/>
      <family val="2"/>
      <scheme val="minor"/>
    </font>
    <font>
      <b/>
      <i/>
      <sz val="12"/>
      <color theme="1"/>
      <name val="Calibri"/>
      <family val="2"/>
      <scheme val="minor"/>
    </font>
    <font>
      <i/>
      <sz val="12"/>
      <color rgb="FFFF0000"/>
      <name val="Calibri (Body)"/>
    </font>
    <font>
      <i/>
      <sz val="12"/>
      <color rgb="FFFF0000"/>
      <name val="Geneva"/>
    </font>
    <font>
      <sz val="12"/>
      <color rgb="FFFF0000"/>
      <name val="Calibri (Body)"/>
    </font>
    <font>
      <sz val="10"/>
      <color rgb="FFFF0000"/>
      <name val="Arial"/>
      <family val="2"/>
    </font>
    <font>
      <u/>
      <sz val="12"/>
      <color theme="1"/>
      <name val="Calibri (Body)"/>
    </font>
    <font>
      <u/>
      <sz val="9"/>
      <color theme="10"/>
      <name val="Geneva"/>
      <family val="2"/>
    </font>
    <font>
      <u/>
      <sz val="9"/>
      <color theme="11"/>
      <name val="Geneva"/>
      <family val="2"/>
    </font>
    <font>
      <sz val="9"/>
      <color rgb="FF00B050"/>
      <name val="Geneva"/>
      <family val="2"/>
    </font>
    <font>
      <sz val="9"/>
      <color theme="1"/>
      <name val="Geneva"/>
      <family val="2"/>
    </font>
  </fonts>
  <fills count="12">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rgb="FFFF0000"/>
        <bgColor indexed="64"/>
      </patternFill>
    </fill>
    <fill>
      <patternFill patternType="solid">
        <fgColor rgb="FFFFFF00"/>
        <bgColor rgb="FF000000"/>
      </patternFill>
    </fill>
    <fill>
      <patternFill patternType="solid">
        <fgColor rgb="FFFFFFFF"/>
        <bgColor rgb="FF000000"/>
      </patternFill>
    </fill>
    <fill>
      <patternFill patternType="solid">
        <fgColor rgb="FFFFFFFF"/>
        <bgColor rgb="FF76933C"/>
      </patternFill>
    </fill>
    <fill>
      <patternFill patternType="solid">
        <fgColor rgb="FF92D050"/>
        <bgColor indexed="64"/>
      </patternFill>
    </fill>
  </fills>
  <borders count="5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top/>
      <bottom/>
      <diagonal/>
    </border>
    <border>
      <left/>
      <right style="thin">
        <color auto="1"/>
      </right>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auto="1"/>
      </right>
      <top/>
      <bottom style="thin">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diagonal/>
    </border>
    <border>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16">
    <xf numFmtId="0" fontId="0"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cellStyleXfs>
  <cellXfs count="446">
    <xf numFmtId="0" fontId="0" fillId="0" borderId="0" xfId="0"/>
    <xf numFmtId="0" fontId="0" fillId="0" borderId="1" xfId="0" applyBorder="1"/>
    <xf numFmtId="0" fontId="2" fillId="0" borderId="0" xfId="0" applyFont="1"/>
    <xf numFmtId="10" fontId="0" fillId="0" borderId="1" xfId="0" applyNumberFormat="1" applyBorder="1" applyAlignment="1">
      <alignment horizontal="center"/>
    </xf>
    <xf numFmtId="0" fontId="7" fillId="0" borderId="0" xfId="0" applyFont="1"/>
    <xf numFmtId="0" fontId="8" fillId="0" borderId="0" xfId="0" applyFont="1"/>
    <xf numFmtId="0" fontId="10" fillId="0" borderId="0" xfId="0" applyFont="1"/>
    <xf numFmtId="0" fontId="11" fillId="0" borderId="0" xfId="0" applyFont="1"/>
    <xf numFmtId="0" fontId="12" fillId="0" borderId="0" xfId="0" applyFont="1"/>
    <xf numFmtId="166" fontId="12" fillId="2" borderId="1" xfId="2" applyFont="1" applyFill="1" applyBorder="1"/>
    <xf numFmtId="10" fontId="12" fillId="2" borderId="1" xfId="3" applyNumberFormat="1" applyFont="1" applyFill="1" applyBorder="1"/>
    <xf numFmtId="10" fontId="12" fillId="2" borderId="1" xfId="0" applyNumberFormat="1" applyFont="1" applyFill="1" applyBorder="1"/>
    <xf numFmtId="2" fontId="12" fillId="2" borderId="1" xfId="0" applyNumberFormat="1" applyFont="1" applyFill="1" applyBorder="1"/>
    <xf numFmtId="4" fontId="12" fillId="2" borderId="1" xfId="0" applyNumberFormat="1" applyFont="1" applyFill="1" applyBorder="1"/>
    <xf numFmtId="0" fontId="13" fillId="0" borderId="0" xfId="0" applyFont="1"/>
    <xf numFmtId="0" fontId="14" fillId="0" borderId="0" xfId="0" applyFont="1"/>
    <xf numFmtId="0" fontId="15" fillId="0" borderId="0" xfId="0" applyFont="1"/>
    <xf numFmtId="0" fontId="16" fillId="0" borderId="0" xfId="0" applyFont="1"/>
    <xf numFmtId="0" fontId="16" fillId="0" borderId="1" xfId="0" applyFont="1" applyBorder="1"/>
    <xf numFmtId="0" fontId="12" fillId="0" borderId="1" xfId="0" applyFont="1" applyBorder="1"/>
    <xf numFmtId="10" fontId="16" fillId="0" borderId="0" xfId="0" applyNumberFormat="1" applyFont="1"/>
    <xf numFmtId="3" fontId="12" fillId="0" borderId="1" xfId="0" applyNumberFormat="1" applyFont="1" applyBorder="1"/>
    <xf numFmtId="10" fontId="16" fillId="0" borderId="1" xfId="0" applyNumberFormat="1" applyFont="1" applyBorder="1"/>
    <xf numFmtId="169" fontId="16" fillId="0" borderId="1" xfId="1" applyNumberFormat="1" applyFont="1" applyBorder="1"/>
    <xf numFmtId="10" fontId="12" fillId="0" borderId="1" xfId="0" applyNumberFormat="1" applyFont="1" applyBorder="1"/>
    <xf numFmtId="166" fontId="12" fillId="0" borderId="2" xfId="2" applyFont="1" applyBorder="1"/>
    <xf numFmtId="166" fontId="12" fillId="0" borderId="0" xfId="2" applyFont="1"/>
    <xf numFmtId="165" fontId="12" fillId="0" borderId="2" xfId="0" applyNumberFormat="1" applyFont="1" applyBorder="1"/>
    <xf numFmtId="166" fontId="12" fillId="2" borderId="1" xfId="0" applyNumberFormat="1" applyFont="1" applyFill="1" applyBorder="1"/>
    <xf numFmtId="0" fontId="10" fillId="0" borderId="0" xfId="0" applyFont="1" applyAlignment="1">
      <alignment horizontal="centerContinuous"/>
    </xf>
    <xf numFmtId="0" fontId="12" fillId="0" borderId="1" xfId="0" applyFont="1" applyBorder="1" applyAlignment="1">
      <alignment horizontal="center"/>
    </xf>
    <xf numFmtId="0" fontId="19" fillId="0" borderId="0" xfId="0" applyFont="1"/>
    <xf numFmtId="0" fontId="12" fillId="0" borderId="2" xfId="0" applyFont="1" applyBorder="1"/>
    <xf numFmtId="166" fontId="12" fillId="3" borderId="1" xfId="2" applyFont="1" applyFill="1" applyBorder="1"/>
    <xf numFmtId="166" fontId="12" fillId="0" borderId="0" xfId="2" applyFont="1" applyBorder="1"/>
    <xf numFmtId="0" fontId="12" fillId="2" borderId="1" xfId="0" applyFont="1" applyFill="1" applyBorder="1" applyAlignment="1">
      <alignment horizontal="center"/>
    </xf>
    <xf numFmtId="0" fontId="12" fillId="0" borderId="3" xfId="0" applyFont="1" applyBorder="1"/>
    <xf numFmtId="166" fontId="12" fillId="2" borderId="3" xfId="0" applyNumberFormat="1" applyFont="1" applyFill="1" applyBorder="1"/>
    <xf numFmtId="166" fontId="12" fillId="2" borderId="3" xfId="2" applyFont="1" applyFill="1" applyBorder="1"/>
    <xf numFmtId="0" fontId="12" fillId="2" borderId="2" xfId="0" applyFont="1" applyFill="1" applyBorder="1"/>
    <xf numFmtId="166" fontId="12" fillId="2" borderId="2" xfId="0" applyNumberFormat="1" applyFont="1" applyFill="1" applyBorder="1"/>
    <xf numFmtId="166" fontId="12" fillId="2" borderId="4" xfId="0" applyNumberFormat="1" applyFont="1" applyFill="1" applyBorder="1"/>
    <xf numFmtId="0" fontId="21" fillId="0" borderId="5" xfId="0" applyFont="1" applyBorder="1" applyAlignment="1">
      <alignment horizontal="center"/>
    </xf>
    <xf numFmtId="0" fontId="21" fillId="0" borderId="1" xfId="0" applyFont="1" applyBorder="1" applyAlignment="1">
      <alignment horizontal="center"/>
    </xf>
    <xf numFmtId="0" fontId="22" fillId="0" borderId="1" xfId="0" applyFont="1" applyBorder="1"/>
    <xf numFmtId="0" fontId="22" fillId="0" borderId="0" xfId="0" applyFont="1" applyBorder="1"/>
    <xf numFmtId="0" fontId="22" fillId="0" borderId="0" xfId="0" applyFont="1" applyFill="1" applyBorder="1"/>
    <xf numFmtId="0" fontId="22" fillId="0" borderId="0" xfId="0" applyFont="1"/>
    <xf numFmtId="0" fontId="22" fillId="0" borderId="1" xfId="0" applyFont="1" applyFill="1" applyBorder="1"/>
    <xf numFmtId="0" fontId="23" fillId="0" borderId="1" xfId="0" applyFont="1" applyBorder="1"/>
    <xf numFmtId="0" fontId="22" fillId="0" borderId="1" xfId="0" applyFont="1" applyBorder="1" applyAlignment="1">
      <alignment horizontal="center"/>
    </xf>
    <xf numFmtId="0" fontId="22" fillId="0" borderId="0" xfId="0" applyFont="1" applyBorder="1" applyAlignment="1">
      <alignment horizontal="center"/>
    </xf>
    <xf numFmtId="0" fontId="22" fillId="0" borderId="0" xfId="0" applyFont="1" applyAlignment="1">
      <alignment horizontal="center"/>
    </xf>
    <xf numFmtId="0" fontId="24" fillId="0" borderId="0" xfId="0" applyFont="1"/>
    <xf numFmtId="0" fontId="25" fillId="0" borderId="6" xfId="0" applyFont="1" applyBorder="1"/>
    <xf numFmtId="0" fontId="25" fillId="0" borderId="7" xfId="0" applyFont="1" applyBorder="1"/>
    <xf numFmtId="0" fontId="25" fillId="0" borderId="0" xfId="0" applyFont="1"/>
    <xf numFmtId="0" fontId="24" fillId="0" borderId="0" xfId="0" applyFont="1" applyAlignment="1"/>
    <xf numFmtId="0" fontId="25" fillId="0" borderId="8" xfId="0" applyFont="1" applyBorder="1"/>
    <xf numFmtId="0" fontId="25" fillId="0" borderId="9" xfId="0" applyFont="1" applyBorder="1"/>
    <xf numFmtId="0" fontId="25" fillId="0" borderId="1" xfId="0" applyFont="1" applyFill="1" applyBorder="1"/>
    <xf numFmtId="0" fontId="49" fillId="0" borderId="0" xfId="0" applyFont="1"/>
    <xf numFmtId="0" fontId="25" fillId="0" borderId="0" xfId="0" applyFont="1" applyFill="1" applyBorder="1"/>
    <xf numFmtId="10" fontId="25" fillId="4" borderId="1" xfId="2" applyNumberFormat="1" applyFont="1" applyFill="1" applyBorder="1" applyAlignment="1">
      <alignment horizontal="center"/>
    </xf>
    <xf numFmtId="0" fontId="24" fillId="0" borderId="0" xfId="0" applyFont="1" applyFill="1" applyBorder="1"/>
    <xf numFmtId="166" fontId="25" fillId="0" borderId="0" xfId="2" applyFont="1" applyFill="1" applyBorder="1" applyAlignment="1">
      <alignment horizontal="center"/>
    </xf>
    <xf numFmtId="2" fontId="25" fillId="4" borderId="1" xfId="0" applyNumberFormat="1" applyFont="1" applyFill="1" applyBorder="1" applyAlignment="1">
      <alignment horizontal="center"/>
    </xf>
    <xf numFmtId="10" fontId="25" fillId="0" borderId="0" xfId="0" applyNumberFormat="1" applyFont="1" applyFill="1" applyBorder="1"/>
    <xf numFmtId="10" fontId="25" fillId="5" borderId="0" xfId="0" applyNumberFormat="1" applyFont="1" applyFill="1" applyBorder="1" applyAlignment="1">
      <alignment horizontal="center"/>
    </xf>
    <xf numFmtId="168" fontId="25" fillId="4" borderId="1" xfId="0" applyNumberFormat="1" applyFont="1" applyFill="1" applyBorder="1" applyAlignment="1">
      <alignment horizontal="center"/>
    </xf>
    <xf numFmtId="10" fontId="25" fillId="0" borderId="0" xfId="0" applyNumberFormat="1" applyFont="1" applyFill="1" applyBorder="1" applyAlignment="1">
      <alignment horizontal="center"/>
    </xf>
    <xf numFmtId="0" fontId="27" fillId="0" borderId="0" xfId="0" applyFont="1" applyFill="1" applyBorder="1" applyAlignment="1"/>
    <xf numFmtId="0" fontId="27" fillId="0" borderId="0" xfId="0" applyFont="1"/>
    <xf numFmtId="0" fontId="25" fillId="0" borderId="0" xfId="0" applyFont="1" applyFill="1" applyBorder="1" applyAlignment="1"/>
    <xf numFmtId="0" fontId="25" fillId="4" borderId="1" xfId="0" applyFont="1" applyFill="1" applyBorder="1" applyAlignment="1">
      <alignment horizontal="center"/>
    </xf>
    <xf numFmtId="9" fontId="25" fillId="4" borderId="1" xfId="0" applyNumberFormat="1" applyFont="1" applyFill="1" applyBorder="1" applyAlignment="1">
      <alignment horizontal="center"/>
    </xf>
    <xf numFmtId="9" fontId="25" fillId="5" borderId="0" xfId="0" applyNumberFormat="1" applyFont="1" applyFill="1" applyBorder="1" applyAlignment="1">
      <alignment horizontal="center"/>
    </xf>
    <xf numFmtId="0" fontId="8" fillId="0" borderId="0" xfId="0" applyFont="1" applyAlignment="1">
      <alignment horizontal="left"/>
    </xf>
    <xf numFmtId="10" fontId="12" fillId="4" borderId="2" xfId="0" applyNumberFormat="1" applyFont="1" applyFill="1" applyBorder="1" applyAlignment="1">
      <alignment horizontal="center"/>
    </xf>
    <xf numFmtId="165" fontId="12" fillId="2" borderId="2" xfId="0" applyNumberFormat="1" applyFont="1" applyFill="1" applyBorder="1"/>
    <xf numFmtId="0" fontId="25" fillId="0" borderId="0" xfId="0" applyFont="1" applyBorder="1"/>
    <xf numFmtId="0" fontId="26" fillId="5" borderId="0" xfId="0" applyFont="1" applyFill="1" applyBorder="1" applyAlignment="1"/>
    <xf numFmtId="0" fontId="27" fillId="5" borderId="0" xfId="0" applyFont="1" applyFill="1" applyBorder="1" applyAlignment="1"/>
    <xf numFmtId="166" fontId="25" fillId="4" borderId="1" xfId="2" applyFont="1" applyFill="1" applyBorder="1" applyAlignment="1">
      <alignment horizontal="center"/>
    </xf>
    <xf numFmtId="0" fontId="24" fillId="0" borderId="10" xfId="0" applyFont="1" applyBorder="1"/>
    <xf numFmtId="0" fontId="25" fillId="0" borderId="11" xfId="0" applyFont="1" applyBorder="1"/>
    <xf numFmtId="0" fontId="25" fillId="0" borderId="12" xfId="0" applyFont="1" applyBorder="1"/>
    <xf numFmtId="0" fontId="22" fillId="6" borderId="1" xfId="0" applyFont="1" applyFill="1" applyBorder="1"/>
    <xf numFmtId="10" fontId="22" fillId="6" borderId="1" xfId="3" applyNumberFormat="1" applyFont="1" applyFill="1" applyBorder="1" applyAlignment="1">
      <alignment horizontal="center"/>
    </xf>
    <xf numFmtId="10" fontId="22" fillId="6" borderId="1" xfId="0" applyNumberFormat="1" applyFont="1" applyFill="1" applyBorder="1" applyAlignment="1">
      <alignment horizontal="center"/>
    </xf>
    <xf numFmtId="166" fontId="22" fillId="6" borderId="1" xfId="2" applyFont="1" applyFill="1" applyBorder="1"/>
    <xf numFmtId="166" fontId="22" fillId="6" borderId="1" xfId="2" applyFont="1" applyFill="1" applyBorder="1" applyAlignment="1">
      <alignment horizontal="center"/>
    </xf>
    <xf numFmtId="10" fontId="22" fillId="6" borderId="1" xfId="3" applyNumberFormat="1" applyFont="1" applyFill="1" applyBorder="1"/>
    <xf numFmtId="10" fontId="22" fillId="6" borderId="1" xfId="2" applyNumberFormat="1" applyFont="1" applyFill="1" applyBorder="1"/>
    <xf numFmtId="10" fontId="22" fillId="6" borderId="1" xfId="2" applyNumberFormat="1" applyFont="1" applyFill="1" applyBorder="1" applyAlignment="1">
      <alignment horizontal="center"/>
    </xf>
    <xf numFmtId="166" fontId="22" fillId="6" borderId="1" xfId="0" applyNumberFormat="1" applyFont="1" applyFill="1" applyBorder="1" applyAlignment="1">
      <alignment horizontal="center"/>
    </xf>
    <xf numFmtId="0" fontId="22" fillId="6" borderId="1" xfId="0" applyFont="1" applyFill="1" applyBorder="1" applyAlignment="1">
      <alignment horizontal="center"/>
    </xf>
    <xf numFmtId="166" fontId="22" fillId="6" borderId="1" xfId="0" applyNumberFormat="1" applyFont="1" applyFill="1" applyBorder="1"/>
    <xf numFmtId="10" fontId="22" fillId="6" borderId="1" xfId="0" applyNumberFormat="1" applyFont="1" applyFill="1" applyBorder="1"/>
    <xf numFmtId="168" fontId="22" fillId="6" borderId="1" xfId="0" applyNumberFormat="1" applyFont="1" applyFill="1" applyBorder="1"/>
    <xf numFmtId="165" fontId="22" fillId="6" borderId="1" xfId="0" applyNumberFormat="1" applyFont="1" applyFill="1" applyBorder="1"/>
    <xf numFmtId="167" fontId="22" fillId="6" borderId="1" xfId="1" applyNumberFormat="1" applyFont="1" applyFill="1" applyBorder="1"/>
    <xf numFmtId="166" fontId="50" fillId="6" borderId="1" xfId="2" applyNumberFormat="1" applyFont="1" applyFill="1" applyBorder="1"/>
    <xf numFmtId="166" fontId="22" fillId="6" borderId="1" xfId="2" applyNumberFormat="1" applyFont="1" applyFill="1" applyBorder="1"/>
    <xf numFmtId="2" fontId="22" fillId="6" borderId="1" xfId="0" applyNumberFormat="1" applyFont="1" applyFill="1" applyBorder="1" applyAlignment="1">
      <alignment horizontal="center"/>
    </xf>
    <xf numFmtId="172" fontId="22" fillId="6" borderId="1" xfId="0" applyNumberFormat="1" applyFont="1" applyFill="1" applyBorder="1"/>
    <xf numFmtId="172" fontId="22" fillId="6" borderId="1" xfId="0" applyNumberFormat="1" applyFont="1" applyFill="1" applyBorder="1" applyAlignment="1">
      <alignment horizontal="center"/>
    </xf>
    <xf numFmtId="166" fontId="22" fillId="7" borderId="1" xfId="2" applyFont="1" applyFill="1" applyBorder="1" applyAlignment="1">
      <alignment horizontal="center"/>
    </xf>
    <xf numFmtId="10" fontId="22" fillId="7" borderId="1" xfId="3" applyNumberFormat="1" applyFont="1" applyFill="1" applyBorder="1" applyAlignment="1">
      <alignment horizontal="center"/>
    </xf>
    <xf numFmtId="166" fontId="0" fillId="7" borderId="1" xfId="0" applyNumberFormat="1" applyFill="1" applyBorder="1"/>
    <xf numFmtId="0" fontId="28" fillId="0" borderId="0" xfId="0" applyFont="1"/>
    <xf numFmtId="0" fontId="16" fillId="0" borderId="0" xfId="0" applyFont="1" applyBorder="1"/>
    <xf numFmtId="0" fontId="12" fillId="0" borderId="0" xfId="0" applyFont="1" applyBorder="1"/>
    <xf numFmtId="0" fontId="12" fillId="3" borderId="1" xfId="0" applyFont="1" applyFill="1" applyBorder="1"/>
    <xf numFmtId="0" fontId="12" fillId="0" borderId="0" xfId="0" applyFont="1" applyFill="1"/>
    <xf numFmtId="0" fontId="12" fillId="0" borderId="0" xfId="0" applyFont="1" applyFill="1" applyBorder="1"/>
    <xf numFmtId="0" fontId="14" fillId="0" borderId="0" xfId="0" applyFont="1" applyAlignment="1">
      <alignment horizontal="center"/>
    </xf>
    <xf numFmtId="0" fontId="14" fillId="0" borderId="1" xfId="0" applyFont="1" applyBorder="1" applyAlignment="1">
      <alignment horizontal="center"/>
    </xf>
    <xf numFmtId="2" fontId="12" fillId="6" borderId="1" xfId="0" applyNumberFormat="1" applyFont="1" applyFill="1" applyBorder="1"/>
    <xf numFmtId="166" fontId="12" fillId="6" borderId="1" xfId="0" applyNumberFormat="1" applyFont="1" applyFill="1" applyBorder="1"/>
    <xf numFmtId="166" fontId="12" fillId="6" borderId="1" xfId="2" applyFont="1" applyFill="1" applyBorder="1"/>
    <xf numFmtId="10" fontId="12" fillId="6" borderId="1" xfId="3" applyNumberFormat="1" applyFont="1" applyFill="1" applyBorder="1"/>
    <xf numFmtId="10" fontId="12" fillId="6" borderId="3" xfId="0" applyNumberFormat="1" applyFont="1" applyFill="1" applyBorder="1"/>
    <xf numFmtId="10" fontId="12" fillId="6" borderId="1" xfId="0" applyNumberFormat="1" applyFont="1" applyFill="1" applyBorder="1"/>
    <xf numFmtId="10" fontId="12" fillId="6" borderId="13" xfId="3" applyNumberFormat="1" applyFont="1" applyFill="1" applyBorder="1"/>
    <xf numFmtId="10" fontId="12" fillId="6" borderId="2" xfId="3" applyNumberFormat="1" applyFont="1" applyFill="1" applyBorder="1"/>
    <xf numFmtId="2" fontId="12" fillId="6" borderId="1" xfId="2" applyNumberFormat="1" applyFont="1" applyFill="1" applyBorder="1"/>
    <xf numFmtId="0" fontId="29" fillId="0" borderId="0" xfId="0" applyFont="1"/>
    <xf numFmtId="0" fontId="30" fillId="0" borderId="0" xfId="0" applyFont="1"/>
    <xf numFmtId="0" fontId="20" fillId="0" borderId="0" xfId="0" applyFont="1"/>
    <xf numFmtId="0" fontId="12" fillId="3" borderId="1" xfId="0" applyFont="1" applyFill="1" applyBorder="1" applyAlignment="1">
      <alignment horizontal="center"/>
    </xf>
    <xf numFmtId="10" fontId="16" fillId="0" borderId="0" xfId="0" applyNumberFormat="1" applyFont="1" applyBorder="1" applyAlignment="1">
      <alignment horizontal="center"/>
    </xf>
    <xf numFmtId="10" fontId="13" fillId="0" borderId="0" xfId="0" applyNumberFormat="1" applyFont="1" applyBorder="1" applyAlignment="1">
      <alignment horizontal="center"/>
    </xf>
    <xf numFmtId="0" fontId="14" fillId="0" borderId="1" xfId="0" applyFont="1" applyBorder="1" applyAlignment="1">
      <alignment horizontal="centerContinuous"/>
    </xf>
    <xf numFmtId="0" fontId="14" fillId="0" borderId="1" xfId="0" applyFont="1" applyBorder="1"/>
    <xf numFmtId="10" fontId="12" fillId="0" borderId="1" xfId="0" applyNumberFormat="1" applyFont="1" applyBorder="1" applyAlignment="1">
      <alignment horizontal="center"/>
    </xf>
    <xf numFmtId="10" fontId="12" fillId="0" borderId="14" xfId="0" applyNumberFormat="1" applyFont="1" applyBorder="1" applyAlignment="1">
      <alignment horizontal="center"/>
    </xf>
    <xf numFmtId="2" fontId="12" fillId="0" borderId="1" xfId="0" applyNumberFormat="1" applyFont="1" applyBorder="1" applyAlignment="1">
      <alignment horizontal="center"/>
    </xf>
    <xf numFmtId="0" fontId="12" fillId="0" borderId="1" xfId="0" applyFont="1" applyBorder="1" applyAlignment="1">
      <alignment horizontal="centerContinuous"/>
    </xf>
    <xf numFmtId="10" fontId="12" fillId="6" borderId="2" xfId="0" applyNumberFormat="1" applyFont="1" applyFill="1" applyBorder="1"/>
    <xf numFmtId="2" fontId="16" fillId="6" borderId="2" xfId="0" applyNumberFormat="1" applyFont="1" applyFill="1" applyBorder="1" applyAlignment="1">
      <alignment horizontal="center"/>
    </xf>
    <xf numFmtId="0" fontId="31" fillId="6" borderId="4" xfId="0" applyFont="1" applyFill="1" applyBorder="1" applyAlignment="1">
      <alignment horizontal="center"/>
    </xf>
    <xf numFmtId="10" fontId="16" fillId="6" borderId="2" xfId="3" applyNumberFormat="1" applyFont="1" applyFill="1" applyBorder="1" applyAlignment="1">
      <alignment horizontal="center"/>
    </xf>
    <xf numFmtId="10" fontId="16" fillId="6" borderId="2" xfId="0" applyNumberFormat="1" applyFont="1" applyFill="1" applyBorder="1" applyAlignment="1">
      <alignment horizontal="center"/>
    </xf>
    <xf numFmtId="0" fontId="33" fillId="0" borderId="0" xfId="0" applyFont="1"/>
    <xf numFmtId="0" fontId="7" fillId="5" borderId="0" xfId="0" applyFont="1" applyFill="1"/>
    <xf numFmtId="0" fontId="32" fillId="6" borderId="1" xfId="0" applyFont="1" applyFill="1" applyBorder="1"/>
    <xf numFmtId="0" fontId="33" fillId="6" borderId="1" xfId="0" applyFont="1" applyFill="1" applyBorder="1"/>
    <xf numFmtId="166" fontId="33" fillId="6" borderId="1" xfId="2" applyFont="1" applyFill="1" applyBorder="1"/>
    <xf numFmtId="10" fontId="33" fillId="6" borderId="1" xfId="0" applyNumberFormat="1" applyFont="1" applyFill="1" applyBorder="1"/>
    <xf numFmtId="0" fontId="33" fillId="6" borderId="3" xfId="0" applyFont="1" applyFill="1" applyBorder="1"/>
    <xf numFmtId="10" fontId="33" fillId="6" borderId="3" xfId="0" applyNumberFormat="1" applyFont="1" applyFill="1" applyBorder="1" applyAlignment="1">
      <alignment horizontal="right"/>
    </xf>
    <xf numFmtId="0" fontId="33" fillId="0" borderId="10" xfId="0" applyFont="1" applyBorder="1"/>
    <xf numFmtId="173" fontId="22" fillId="6" borderId="1" xfId="0" applyNumberFormat="1" applyFont="1" applyFill="1" applyBorder="1" applyAlignment="1">
      <alignment horizontal="center"/>
    </xf>
    <xf numFmtId="0" fontId="22" fillId="0" borderId="0" xfId="0" applyFont="1" applyBorder="1" applyAlignment="1">
      <alignment horizontal="left"/>
    </xf>
    <xf numFmtId="0" fontId="24" fillId="0" borderId="11" xfId="0" applyFont="1" applyBorder="1"/>
    <xf numFmtId="0" fontId="25" fillId="0" borderId="0" xfId="0" applyFont="1" applyAlignment="1"/>
    <xf numFmtId="0" fontId="25" fillId="4" borderId="1" xfId="0" applyFont="1" applyFill="1" applyBorder="1" applyAlignment="1"/>
    <xf numFmtId="2" fontId="25" fillId="4" borderId="14" xfId="2" applyNumberFormat="1" applyFont="1" applyFill="1" applyBorder="1" applyAlignment="1">
      <alignment horizontal="center"/>
    </xf>
    <xf numFmtId="10" fontId="25" fillId="4" borderId="1" xfId="0" applyNumberFormat="1" applyFont="1" applyFill="1" applyBorder="1" applyAlignment="1">
      <alignment horizontal="center"/>
    </xf>
    <xf numFmtId="0" fontId="25" fillId="0" borderId="1" xfId="0" applyFont="1" applyBorder="1"/>
    <xf numFmtId="0" fontId="0" fillId="0" borderId="1" xfId="0" applyBorder="1" applyAlignment="1">
      <alignment horizontal="center"/>
    </xf>
    <xf numFmtId="0" fontId="12" fillId="4" borderId="1" xfId="0" applyFont="1" applyFill="1" applyBorder="1"/>
    <xf numFmtId="0" fontId="12" fillId="6" borderId="1" xfId="0" applyFont="1" applyFill="1" applyBorder="1"/>
    <xf numFmtId="0" fontId="13" fillId="0" borderId="1" xfId="0" applyFont="1" applyBorder="1"/>
    <xf numFmtId="171" fontId="12" fillId="6" borderId="1" xfId="3" applyNumberFormat="1" applyFont="1" applyFill="1" applyBorder="1"/>
    <xf numFmtId="171" fontId="12" fillId="6" borderId="1" xfId="0" applyNumberFormat="1" applyFont="1" applyFill="1" applyBorder="1"/>
    <xf numFmtId="2" fontId="12" fillId="3" borderId="1" xfId="0" applyNumberFormat="1" applyFont="1" applyFill="1" applyBorder="1"/>
    <xf numFmtId="10" fontId="25" fillId="5" borderId="0" xfId="3" applyNumberFormat="1" applyFont="1" applyFill="1" applyBorder="1"/>
    <xf numFmtId="0" fontId="25" fillId="0" borderId="15" xfId="0" applyFont="1" applyBorder="1"/>
    <xf numFmtId="0" fontId="7" fillId="0" borderId="16" xfId="0" applyFont="1" applyBorder="1"/>
    <xf numFmtId="0" fontId="7" fillId="0" borderId="17" xfId="0" applyFont="1" applyBorder="1"/>
    <xf numFmtId="0" fontId="24" fillId="0" borderId="0" xfId="0" applyFont="1" applyBorder="1"/>
    <xf numFmtId="166" fontId="25" fillId="4" borderId="14" xfId="2" applyFont="1" applyFill="1" applyBorder="1" applyAlignment="1">
      <alignment horizontal="center"/>
    </xf>
    <xf numFmtId="0" fontId="12" fillId="4" borderId="1" xfId="0" applyFont="1" applyFill="1" applyBorder="1"/>
    <xf numFmtId="174" fontId="12" fillId="4" borderId="1" xfId="2" applyNumberFormat="1" applyFont="1" applyFill="1" applyBorder="1"/>
    <xf numFmtId="173" fontId="12" fillId="6" borderId="1" xfId="0" applyNumberFormat="1" applyFont="1" applyFill="1" applyBorder="1"/>
    <xf numFmtId="174" fontId="12" fillId="6" borderId="1" xfId="0" applyNumberFormat="1" applyFont="1" applyFill="1" applyBorder="1"/>
    <xf numFmtId="0" fontId="0" fillId="6" borderId="1" xfId="0" applyFill="1" applyBorder="1"/>
    <xf numFmtId="174" fontId="3" fillId="6" borderId="1" xfId="2" applyNumberFormat="1" applyFont="1" applyFill="1" applyBorder="1"/>
    <xf numFmtId="173" fontId="0" fillId="6" borderId="1" xfId="0" applyNumberFormat="1" applyFill="1" applyBorder="1"/>
    <xf numFmtId="0" fontId="0" fillId="0" borderId="0" xfId="0" applyAlignment="1">
      <alignment horizontal="center"/>
    </xf>
    <xf numFmtId="10" fontId="0" fillId="0" borderId="1" xfId="3" applyNumberFormat="1" applyFont="1" applyBorder="1" applyAlignment="1">
      <alignment horizontal="center"/>
    </xf>
    <xf numFmtId="168" fontId="0" fillId="4" borderId="1" xfId="0" applyNumberFormat="1" applyFill="1" applyBorder="1" applyAlignment="1">
      <alignment horizontal="center"/>
    </xf>
    <xf numFmtId="2" fontId="34" fillId="0" borderId="1" xfId="0" applyNumberFormat="1" applyFont="1" applyBorder="1" applyAlignment="1">
      <alignment horizontal="center"/>
    </xf>
    <xf numFmtId="2" fontId="34" fillId="0" borderId="0" xfId="0" applyNumberFormat="1" applyFont="1"/>
    <xf numFmtId="2" fontId="12" fillId="0" borderId="0" xfId="0" applyNumberFormat="1" applyFont="1"/>
    <xf numFmtId="1" fontId="34" fillId="0" borderId="1" xfId="0" applyNumberFormat="1" applyFont="1" applyBorder="1" applyAlignment="1">
      <alignment horizontal="center"/>
    </xf>
    <xf numFmtId="2" fontId="34" fillId="3" borderId="1" xfId="0" applyNumberFormat="1" applyFont="1" applyFill="1" applyBorder="1" applyAlignment="1">
      <alignment horizontal="center"/>
    </xf>
    <xf numFmtId="2" fontId="35" fillId="0" borderId="0" xfId="0" applyNumberFormat="1" applyFont="1"/>
    <xf numFmtId="2" fontId="34" fillId="0" borderId="13" xfId="0" applyNumberFormat="1" applyFont="1" applyBorder="1" applyAlignment="1">
      <alignment horizontal="centerContinuous"/>
    </xf>
    <xf numFmtId="2" fontId="34" fillId="0" borderId="18" xfId="0" applyNumberFormat="1" applyFont="1" applyBorder="1" applyAlignment="1">
      <alignment horizontal="centerContinuous"/>
    </xf>
    <xf numFmtId="166" fontId="34" fillId="0" borderId="1" xfId="2" applyFont="1" applyBorder="1"/>
    <xf numFmtId="2" fontId="34" fillId="0" borderId="3" xfId="0" applyNumberFormat="1" applyFont="1" applyBorder="1" applyAlignment="1">
      <alignment horizontal="center"/>
    </xf>
    <xf numFmtId="166" fontId="34" fillId="0" borderId="3" xfId="2" applyFont="1" applyBorder="1"/>
    <xf numFmtId="168" fontId="12" fillId="0" borderId="2" xfId="0" applyNumberFormat="1" applyFont="1" applyBorder="1"/>
    <xf numFmtId="168" fontId="12" fillId="0" borderId="19" xfId="0" applyNumberFormat="1" applyFont="1" applyBorder="1"/>
    <xf numFmtId="164" fontId="12" fillId="0" borderId="1" xfId="2" applyNumberFormat="1" applyFont="1" applyBorder="1"/>
    <xf numFmtId="166" fontId="25" fillId="8" borderId="18" xfId="0" applyNumberFormat="1" applyFont="1" applyFill="1" applyBorder="1" applyAlignment="1">
      <alignment horizontal="center"/>
    </xf>
    <xf numFmtId="166" fontId="49" fillId="9" borderId="18" xfId="0" applyNumberFormat="1" applyFont="1" applyFill="1" applyBorder="1" applyAlignment="1">
      <alignment horizontal="left"/>
    </xf>
    <xf numFmtId="0" fontId="0" fillId="0" borderId="1" xfId="0" applyFill="1" applyBorder="1" applyAlignment="1">
      <alignment horizontal="center"/>
    </xf>
    <xf numFmtId="168" fontId="0" fillId="0" borderId="1" xfId="0" applyNumberFormat="1" applyBorder="1" applyAlignment="1">
      <alignment horizontal="center"/>
    </xf>
    <xf numFmtId="168" fontId="0" fillId="0" borderId="1" xfId="0" applyNumberFormat="1" applyBorder="1"/>
    <xf numFmtId="168" fontId="0" fillId="0" borderId="1" xfId="3" applyNumberFormat="1" applyFont="1" applyBorder="1" applyAlignment="1">
      <alignment horizontal="center"/>
    </xf>
    <xf numFmtId="168" fontId="0" fillId="0" borderId="0" xfId="0" applyNumberFormat="1" applyAlignment="1">
      <alignment horizontal="center"/>
    </xf>
    <xf numFmtId="168" fontId="0" fillId="0" borderId="0" xfId="0" applyNumberFormat="1"/>
    <xf numFmtId="168" fontId="12" fillId="6" borderId="2" xfId="0" applyNumberFormat="1" applyFont="1" applyFill="1" applyBorder="1"/>
    <xf numFmtId="0" fontId="27" fillId="0" borderId="11" xfId="0" applyFont="1" applyBorder="1"/>
    <xf numFmtId="0" fontId="36" fillId="0" borderId="0" xfId="0" applyFont="1"/>
    <xf numFmtId="0" fontId="25" fillId="0" borderId="20" xfId="0" applyFont="1" applyBorder="1"/>
    <xf numFmtId="0" fontId="25" fillId="0" borderId="21" xfId="0" applyFont="1" applyBorder="1"/>
    <xf numFmtId="0" fontId="16" fillId="5" borderId="22" xfId="0" applyFont="1" applyFill="1" applyBorder="1" applyAlignment="1">
      <alignment vertical="center" wrapText="1"/>
    </xf>
    <xf numFmtId="0" fontId="13" fillId="5" borderId="14"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24" xfId="0" applyFont="1" applyFill="1" applyBorder="1" applyAlignment="1">
      <alignment horizontal="left" vertical="center" wrapText="1"/>
    </xf>
    <xf numFmtId="9" fontId="12" fillId="6" borderId="1" xfId="3" applyFont="1" applyFill="1" applyBorder="1" applyAlignment="1">
      <alignment horizontal="left" vertical="center" wrapText="1"/>
    </xf>
    <xf numFmtId="0" fontId="12" fillId="6" borderId="24" xfId="0" applyFont="1" applyFill="1" applyBorder="1" applyAlignment="1">
      <alignment horizontal="left" vertical="center"/>
    </xf>
    <xf numFmtId="0" fontId="12" fillId="6" borderId="1" xfId="0" applyFont="1" applyFill="1" applyBorder="1" applyAlignment="1">
      <alignment horizontal="left"/>
    </xf>
    <xf numFmtId="0" fontId="12" fillId="6" borderId="24" xfId="0" applyFont="1" applyFill="1" applyBorder="1" applyAlignment="1">
      <alignment horizontal="left"/>
    </xf>
    <xf numFmtId="10" fontId="12" fillId="6" borderId="25" xfId="3" applyNumberFormat="1" applyFont="1" applyFill="1" applyBorder="1" applyAlignment="1">
      <alignment horizontal="left"/>
    </xf>
    <xf numFmtId="0" fontId="12" fillId="6" borderId="26" xfId="0" applyFont="1" applyFill="1" applyBorder="1" applyAlignment="1">
      <alignment horizontal="left"/>
    </xf>
    <xf numFmtId="0" fontId="12" fillId="5" borderId="22" xfId="0" applyFont="1" applyFill="1" applyBorder="1" applyAlignment="1">
      <alignment vertical="center"/>
    </xf>
    <xf numFmtId="0" fontId="12" fillId="5" borderId="27" xfId="0" applyFont="1" applyFill="1" applyBorder="1"/>
    <xf numFmtId="0" fontId="12" fillId="5" borderId="28" xfId="0" applyFont="1" applyFill="1" applyBorder="1"/>
    <xf numFmtId="0" fontId="27" fillId="0" borderId="0" xfId="0" applyFont="1" applyFill="1" applyBorder="1"/>
    <xf numFmtId="168" fontId="2" fillId="0" borderId="0" xfId="0" applyNumberFormat="1" applyFont="1" applyAlignment="1">
      <alignment horizontal="center"/>
    </xf>
    <xf numFmtId="168" fontId="2" fillId="0" borderId="0" xfId="0" applyNumberFormat="1" applyFont="1"/>
    <xf numFmtId="17" fontId="24" fillId="4" borderId="1" xfId="0" applyNumberFormat="1" applyFont="1" applyFill="1" applyBorder="1" applyAlignment="1">
      <alignment horizontal="center"/>
    </xf>
    <xf numFmtId="0" fontId="51" fillId="4" borderId="1" xfId="0" applyFont="1" applyFill="1" applyBorder="1" applyAlignment="1">
      <alignment horizontal="center"/>
    </xf>
    <xf numFmtId="0" fontId="12" fillId="4" borderId="1" xfId="0" applyFont="1" applyFill="1" applyBorder="1"/>
    <xf numFmtId="10" fontId="12" fillId="4" borderId="1" xfId="0" applyNumberFormat="1" applyFont="1" applyFill="1" applyBorder="1" applyAlignment="1">
      <alignment horizontal="center"/>
    </xf>
    <xf numFmtId="0" fontId="25" fillId="4" borderId="1" xfId="0" applyFont="1" applyFill="1" applyBorder="1" applyAlignment="1"/>
    <xf numFmtId="10" fontId="12" fillId="6" borderId="1" xfId="0" applyNumberFormat="1" applyFont="1" applyFill="1" applyBorder="1" applyAlignment="1">
      <alignment horizontal="center"/>
    </xf>
    <xf numFmtId="170" fontId="12" fillId="3" borderId="1" xfId="0" applyNumberFormat="1" applyFont="1" applyFill="1" applyBorder="1"/>
    <xf numFmtId="0" fontId="52" fillId="0" borderId="1" xfId="0" applyFont="1" applyBorder="1" applyAlignment="1">
      <alignment horizontal="center"/>
    </xf>
    <xf numFmtId="9" fontId="12" fillId="6" borderId="1" xfId="0" applyNumberFormat="1" applyFont="1" applyFill="1" applyBorder="1" applyAlignment="1">
      <alignment horizontal="center"/>
    </xf>
    <xf numFmtId="0" fontId="12" fillId="6" borderId="2" xfId="0" applyFont="1" applyFill="1" applyBorder="1" applyAlignment="1">
      <alignment horizontal="center"/>
    </xf>
    <xf numFmtId="0" fontId="37" fillId="0" borderId="0" xfId="0" applyFont="1"/>
    <xf numFmtId="2" fontId="12" fillId="4" borderId="1" xfId="0" applyNumberFormat="1" applyFont="1" applyFill="1" applyBorder="1"/>
    <xf numFmtId="0" fontId="28" fillId="0" borderId="0" xfId="0" applyFont="1" applyFill="1" applyBorder="1" applyAlignment="1">
      <alignment horizontal="left"/>
    </xf>
    <xf numFmtId="168" fontId="0" fillId="6" borderId="1" xfId="0" applyNumberFormat="1" applyFill="1" applyBorder="1"/>
    <xf numFmtId="0" fontId="2" fillId="0" borderId="1" xfId="0" applyFont="1" applyBorder="1" applyAlignment="1">
      <alignment wrapText="1"/>
    </xf>
    <xf numFmtId="0" fontId="2" fillId="0" borderId="1" xfId="0" applyFont="1" applyBorder="1" applyAlignment="1">
      <alignment horizontal="center" wrapText="1"/>
    </xf>
    <xf numFmtId="10"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33" fillId="0" borderId="0" xfId="0" applyFont="1" applyAlignment="1">
      <alignment horizontal="left"/>
    </xf>
    <xf numFmtId="10" fontId="33" fillId="0" borderId="0" xfId="0" applyNumberFormat="1" applyFont="1"/>
    <xf numFmtId="2" fontId="33" fillId="0" borderId="0" xfId="0" applyNumberFormat="1" applyFont="1"/>
    <xf numFmtId="0" fontId="21" fillId="0" borderId="1" xfId="0" applyFont="1" applyBorder="1"/>
    <xf numFmtId="0" fontId="53" fillId="10" borderId="1" xfId="0" applyFont="1" applyFill="1" applyBorder="1"/>
    <xf numFmtId="0" fontId="40" fillId="9" borderId="18" xfId="0" applyFont="1" applyFill="1" applyBorder="1" applyAlignment="1">
      <alignment horizontal="center"/>
    </xf>
    <xf numFmtId="10" fontId="40" fillId="9" borderId="18" xfId="0" applyNumberFormat="1" applyFont="1" applyFill="1" applyBorder="1" applyAlignment="1">
      <alignment horizontal="center"/>
    </xf>
    <xf numFmtId="0" fontId="54" fillId="0" borderId="18" xfId="0" applyFont="1" applyBorder="1" applyAlignment="1">
      <alignment horizontal="center"/>
    </xf>
    <xf numFmtId="0" fontId="41" fillId="9" borderId="14" xfId="0" applyFont="1" applyFill="1" applyBorder="1"/>
    <xf numFmtId="10" fontId="41" fillId="9" borderId="29" xfId="0" applyNumberFormat="1" applyFont="1" applyFill="1" applyBorder="1" applyAlignment="1">
      <alignment horizontal="center"/>
    </xf>
    <xf numFmtId="170" fontId="55" fillId="0" borderId="29" xfId="0" applyNumberFormat="1" applyFont="1" applyBorder="1" applyAlignment="1">
      <alignment horizontal="center"/>
    </xf>
    <xf numFmtId="0" fontId="55" fillId="9" borderId="14" xfId="0" applyFont="1" applyFill="1" applyBorder="1" applyAlignment="1">
      <alignment horizontal="left"/>
    </xf>
    <xf numFmtId="10" fontId="55" fillId="9" borderId="29" xfId="0" applyNumberFormat="1" applyFont="1" applyFill="1" applyBorder="1" applyAlignment="1">
      <alignment horizontal="center"/>
    </xf>
    <xf numFmtId="0" fontId="38" fillId="0" borderId="1" xfId="0" applyFont="1" applyBorder="1"/>
    <xf numFmtId="10" fontId="0" fillId="0" borderId="1" xfId="0" applyNumberFormat="1" applyFont="1" applyBorder="1"/>
    <xf numFmtId="0" fontId="39" fillId="0" borderId="1" xfId="0" applyFont="1" applyBorder="1"/>
    <xf numFmtId="10" fontId="47" fillId="0" borderId="1" xfId="0" applyNumberFormat="1" applyFont="1" applyBorder="1"/>
    <xf numFmtId="0" fontId="2" fillId="0" borderId="0" xfId="0" applyFont="1" applyAlignment="1">
      <alignment wrapText="1"/>
    </xf>
    <xf numFmtId="0" fontId="42" fillId="0" borderId="0" xfId="0" applyFont="1"/>
    <xf numFmtId="0" fontId="13" fillId="5" borderId="0" xfId="0" applyFont="1" applyFill="1" applyBorder="1"/>
    <xf numFmtId="0" fontId="37" fillId="5" borderId="0" xfId="0" applyFont="1" applyFill="1" applyBorder="1"/>
    <xf numFmtId="0" fontId="25" fillId="4" borderId="1" xfId="0" applyFont="1" applyFill="1" applyBorder="1"/>
    <xf numFmtId="0" fontId="27" fillId="0" borderId="1" xfId="0" applyFont="1" applyBorder="1"/>
    <xf numFmtId="0" fontId="25" fillId="0" borderId="11" xfId="0" applyFont="1" applyFill="1" applyBorder="1"/>
    <xf numFmtId="0" fontId="27" fillId="0" borderId="8" xfId="0" applyFont="1" applyBorder="1"/>
    <xf numFmtId="0" fontId="25" fillId="0" borderId="30" xfId="0" applyFont="1" applyBorder="1"/>
    <xf numFmtId="0" fontId="2" fillId="0" borderId="18" xfId="0" applyFont="1" applyBorder="1" applyAlignment="1">
      <alignment horizontal="center" wrapText="1"/>
    </xf>
    <xf numFmtId="10" fontId="2" fillId="0" borderId="18" xfId="0" applyNumberFormat="1" applyFont="1" applyBorder="1" applyAlignment="1">
      <alignment horizontal="center" wrapText="1"/>
    </xf>
    <xf numFmtId="2" fontId="2" fillId="0" borderId="18" xfId="0" applyNumberFormat="1" applyFont="1" applyBorder="1" applyAlignment="1">
      <alignment horizontal="center" wrapText="1"/>
    </xf>
    <xf numFmtId="0" fontId="2" fillId="0" borderId="18" xfId="0" applyFont="1" applyBorder="1" applyAlignment="1">
      <alignment wrapText="1"/>
    </xf>
    <xf numFmtId="0" fontId="33" fillId="0" borderId="1" xfId="0" applyFont="1" applyBorder="1" applyAlignment="1">
      <alignment horizontal="left"/>
    </xf>
    <xf numFmtId="0" fontId="33" fillId="0" borderId="1" xfId="0" applyFont="1" applyBorder="1"/>
    <xf numFmtId="10" fontId="33" fillId="0" borderId="1" xfId="0" applyNumberFormat="1" applyFont="1" applyBorder="1"/>
    <xf numFmtId="2" fontId="33" fillId="0" borderId="1" xfId="0" applyNumberFormat="1" applyFont="1" applyBorder="1"/>
    <xf numFmtId="0" fontId="45" fillId="0" borderId="0" xfId="0" applyFont="1"/>
    <xf numFmtId="0" fontId="7" fillId="4" borderId="1" xfId="0" applyFont="1" applyFill="1" applyBorder="1" applyAlignment="1">
      <alignment horizontal="center"/>
    </xf>
    <xf numFmtId="9" fontId="7" fillId="4" borderId="1" xfId="0" applyNumberFormat="1" applyFont="1" applyFill="1" applyBorder="1" applyAlignment="1">
      <alignment horizontal="center"/>
    </xf>
    <xf numFmtId="0" fontId="21" fillId="0" borderId="13" xfId="0" applyFont="1" applyBorder="1" applyAlignment="1">
      <alignment horizontal="center"/>
    </xf>
    <xf numFmtId="0" fontId="21" fillId="0" borderId="1" xfId="0" applyFont="1" applyFill="1" applyBorder="1"/>
    <xf numFmtId="10" fontId="22" fillId="0" borderId="1" xfId="3" applyNumberFormat="1" applyFont="1" applyBorder="1" applyAlignment="1">
      <alignment horizontal="center"/>
    </xf>
    <xf numFmtId="10" fontId="22" fillId="0" borderId="1" xfId="3" applyNumberFormat="1" applyFont="1" applyBorder="1"/>
    <xf numFmtId="10" fontId="22" fillId="0" borderId="13" xfId="0" applyNumberFormat="1" applyFont="1" applyBorder="1" applyAlignment="1">
      <alignment horizontal="center"/>
    </xf>
    <xf numFmtId="0" fontId="2" fillId="0" borderId="1" xfId="0" applyFont="1" applyBorder="1"/>
    <xf numFmtId="0" fontId="2" fillId="0" borderId="1" xfId="0" applyFont="1" applyBorder="1" applyAlignment="1">
      <alignment horizontal="center"/>
    </xf>
    <xf numFmtId="10" fontId="52" fillId="0" borderId="29" xfId="0" applyNumberFormat="1" applyFont="1" applyBorder="1" applyAlignment="1">
      <alignment horizontal="center"/>
    </xf>
    <xf numFmtId="0" fontId="16" fillId="4" borderId="1" xfId="0" applyFont="1" applyFill="1" applyBorder="1"/>
    <xf numFmtId="10" fontId="25" fillId="4" borderId="1" xfId="3" applyNumberFormat="1" applyFont="1" applyFill="1" applyBorder="1" applyAlignment="1">
      <alignment horizontal="center"/>
    </xf>
    <xf numFmtId="168" fontId="25" fillId="0" borderId="0" xfId="0" applyNumberFormat="1" applyFont="1" applyFill="1" applyBorder="1" applyAlignment="1">
      <alignment horizontal="center"/>
    </xf>
    <xf numFmtId="2" fontId="25" fillId="0" borderId="0" xfId="0" applyNumberFormat="1" applyFont="1" applyFill="1" applyBorder="1" applyAlignment="1">
      <alignment horizontal="center"/>
    </xf>
    <xf numFmtId="172" fontId="25" fillId="11" borderId="1" xfId="0" applyNumberFormat="1" applyFont="1" applyFill="1" applyBorder="1"/>
    <xf numFmtId="10" fontId="25" fillId="11" borderId="1" xfId="0" applyNumberFormat="1" applyFont="1" applyFill="1" applyBorder="1"/>
    <xf numFmtId="10" fontId="25" fillId="11" borderId="1" xfId="3" applyNumberFormat="1" applyFont="1" applyFill="1" applyBorder="1"/>
    <xf numFmtId="2" fontId="25" fillId="11" borderId="1" xfId="0" applyNumberFormat="1" applyFont="1" applyFill="1" applyBorder="1"/>
    <xf numFmtId="10" fontId="25" fillId="11" borderId="3" xfId="3" applyNumberFormat="1" applyFont="1" applyFill="1" applyBorder="1"/>
    <xf numFmtId="10" fontId="25" fillId="11" borderId="25" xfId="3" applyNumberFormat="1" applyFont="1" applyFill="1" applyBorder="1"/>
    <xf numFmtId="0" fontId="7" fillId="0" borderId="1" xfId="0" applyFont="1" applyBorder="1"/>
    <xf numFmtId="0" fontId="56" fillId="0" borderId="0" xfId="0" applyFont="1"/>
    <xf numFmtId="0" fontId="57" fillId="0" borderId="31" xfId="0" applyFont="1" applyBorder="1" applyAlignment="1">
      <alignment horizontal="center"/>
    </xf>
    <xf numFmtId="0" fontId="57" fillId="0" borderId="14" xfId="0" applyFont="1" applyBorder="1" applyAlignment="1">
      <alignment horizontal="center"/>
    </xf>
    <xf numFmtId="16" fontId="57" fillId="0" borderId="14" xfId="0" applyNumberFormat="1" applyFont="1" applyBorder="1" applyAlignment="1">
      <alignment horizontal="center"/>
    </xf>
    <xf numFmtId="0" fontId="57" fillId="0" borderId="32" xfId="0" applyFont="1" applyFill="1" applyBorder="1" applyAlignment="1">
      <alignment horizontal="center"/>
    </xf>
    <xf numFmtId="0" fontId="57" fillId="0" borderId="33" xfId="0" applyFont="1" applyBorder="1"/>
    <xf numFmtId="166" fontId="48" fillId="0" borderId="34" xfId="2" applyFont="1" applyBorder="1"/>
    <xf numFmtId="0" fontId="58" fillId="0" borderId="35" xfId="0" applyFont="1" applyBorder="1"/>
    <xf numFmtId="0" fontId="58" fillId="0" borderId="36" xfId="0" applyFont="1" applyBorder="1"/>
    <xf numFmtId="172" fontId="58" fillId="0" borderId="1" xfId="2" applyNumberFormat="1" applyFont="1" applyBorder="1" applyAlignment="1">
      <alignment horizontal="center"/>
    </xf>
    <xf numFmtId="10" fontId="58" fillId="0" borderId="1" xfId="0" applyNumberFormat="1" applyFont="1" applyBorder="1" applyAlignment="1">
      <alignment horizontal="center"/>
    </xf>
    <xf numFmtId="0" fontId="58" fillId="0" borderId="1" xfId="0" applyFont="1" applyBorder="1" applyAlignment="1">
      <alignment horizontal="center"/>
    </xf>
    <xf numFmtId="10" fontId="58" fillId="0" borderId="13" xfId="0" applyNumberFormat="1" applyFont="1" applyBorder="1" applyAlignment="1">
      <alignment horizontal="center"/>
    </xf>
    <xf numFmtId="10" fontId="58" fillId="0" borderId="18" xfId="0" applyNumberFormat="1" applyFont="1" applyBorder="1" applyAlignment="1">
      <alignment horizontal="center"/>
    </xf>
    <xf numFmtId="2" fontId="58" fillId="0" borderId="13" xfId="0" applyNumberFormat="1" applyFont="1" applyBorder="1" applyAlignment="1"/>
    <xf numFmtId="2" fontId="58" fillId="0" borderId="18" xfId="0" applyNumberFormat="1" applyFont="1" applyBorder="1" applyAlignment="1">
      <alignment horizontal="left"/>
    </xf>
    <xf numFmtId="10" fontId="58" fillId="0" borderId="13" xfId="3" applyNumberFormat="1" applyFont="1" applyBorder="1" applyAlignment="1">
      <alignment horizontal="right"/>
    </xf>
    <xf numFmtId="10" fontId="58" fillId="0" borderId="18" xfId="3" applyNumberFormat="1" applyFont="1" applyBorder="1" applyAlignment="1">
      <alignment horizontal="center"/>
    </xf>
    <xf numFmtId="0" fontId="58" fillId="0" borderId="37" xfId="0" applyFont="1" applyFill="1" applyBorder="1"/>
    <xf numFmtId="10" fontId="58" fillId="0" borderId="25" xfId="0" applyNumberFormat="1" applyFont="1" applyBorder="1" applyAlignment="1">
      <alignment horizontal="center"/>
    </xf>
    <xf numFmtId="0" fontId="58" fillId="0" borderId="36" xfId="0" applyFont="1" applyBorder="1" applyAlignment="1">
      <alignment horizontal="center"/>
    </xf>
    <xf numFmtId="175" fontId="58" fillId="0" borderId="1" xfId="2" applyNumberFormat="1" applyFont="1" applyBorder="1"/>
    <xf numFmtId="10" fontId="58" fillId="0" borderId="1" xfId="3" applyNumberFormat="1" applyFont="1" applyBorder="1" applyAlignment="1">
      <alignment horizontal="center"/>
    </xf>
    <xf numFmtId="0" fontId="58" fillId="0" borderId="37" xfId="0" applyFont="1" applyBorder="1" applyAlignment="1">
      <alignment horizontal="center"/>
    </xf>
    <xf numFmtId="175" fontId="58" fillId="0" borderId="25" xfId="2" applyNumberFormat="1" applyFont="1" applyBorder="1"/>
    <xf numFmtId="10" fontId="58" fillId="0" borderId="25" xfId="3" applyNumberFormat="1" applyFont="1" applyBorder="1" applyAlignment="1">
      <alignment horizontal="center"/>
    </xf>
    <xf numFmtId="172" fontId="58" fillId="0" borderId="33" xfId="2" applyNumberFormat="1" applyFont="1" applyFill="1" applyBorder="1"/>
    <xf numFmtId="172" fontId="58" fillId="0" borderId="6" xfId="2" applyNumberFormat="1" applyFont="1" applyFill="1" applyBorder="1"/>
    <xf numFmtId="0" fontId="58" fillId="0" borderId="6" xfId="0" applyFont="1" applyBorder="1"/>
    <xf numFmtId="0" fontId="58" fillId="0" borderId="7" xfId="0" applyFont="1" applyBorder="1"/>
    <xf numFmtId="172" fontId="58" fillId="0" borderId="1" xfId="2" applyNumberFormat="1" applyFont="1" applyFill="1" applyBorder="1"/>
    <xf numFmtId="172" fontId="58" fillId="0" borderId="0" xfId="2" applyNumberFormat="1" applyFont="1" applyFill="1" applyBorder="1"/>
    <xf numFmtId="0" fontId="58" fillId="0" borderId="0" xfId="0" applyFont="1" applyBorder="1"/>
    <xf numFmtId="0" fontId="58" fillId="0" borderId="12" xfId="0" applyFont="1" applyBorder="1"/>
    <xf numFmtId="0" fontId="58" fillId="0" borderId="5" xfId="0" applyFont="1" applyFill="1" applyBorder="1" applyAlignment="1">
      <alignment horizontal="left"/>
    </xf>
    <xf numFmtId="0" fontId="58" fillId="0" borderId="0" xfId="0" applyFont="1" applyBorder="1" applyAlignment="1">
      <alignment horizontal="left"/>
    </xf>
    <xf numFmtId="0" fontId="58" fillId="0" borderId="0" xfId="0" applyFont="1"/>
    <xf numFmtId="0" fontId="58" fillId="0" borderId="0" xfId="0" applyFont="1" applyAlignment="1">
      <alignment horizontal="left"/>
    </xf>
    <xf numFmtId="167" fontId="58" fillId="0" borderId="1" xfId="0" applyNumberFormat="1" applyFont="1" applyBorder="1"/>
    <xf numFmtId="0" fontId="58" fillId="0" borderId="5" xfId="0" applyFont="1" applyBorder="1"/>
    <xf numFmtId="0" fontId="58" fillId="0" borderId="38" xfId="0" applyFont="1" applyBorder="1"/>
    <xf numFmtId="0" fontId="58" fillId="0" borderId="39" xfId="0" applyFont="1" applyBorder="1"/>
    <xf numFmtId="10" fontId="58" fillId="0" borderId="20" xfId="3" applyNumberFormat="1" applyFont="1" applyBorder="1" applyAlignment="1">
      <alignment horizontal="right"/>
    </xf>
    <xf numFmtId="10" fontId="58" fillId="0" borderId="17" xfId="3" applyNumberFormat="1" applyFont="1" applyBorder="1" applyAlignment="1">
      <alignment horizontal="center"/>
    </xf>
    <xf numFmtId="0" fontId="58" fillId="0" borderId="16" xfId="0" applyFont="1" applyBorder="1"/>
    <xf numFmtId="10" fontId="58" fillId="0" borderId="3" xfId="0" applyNumberFormat="1" applyFont="1" applyBorder="1" applyAlignment="1">
      <alignment horizontal="center"/>
    </xf>
    <xf numFmtId="0" fontId="58" fillId="0" borderId="34" xfId="0" applyFont="1" applyBorder="1" applyAlignment="1">
      <alignment horizontal="center"/>
    </xf>
    <xf numFmtId="0" fontId="58" fillId="0" borderId="40" xfId="0" applyFont="1" applyBorder="1" applyAlignment="1">
      <alignment horizontal="center"/>
    </xf>
    <xf numFmtId="2" fontId="58" fillId="0" borderId="15" xfId="0" applyNumberFormat="1" applyFont="1" applyBorder="1" applyAlignment="1"/>
    <xf numFmtId="10" fontId="58" fillId="0" borderId="17" xfId="3" applyNumberFormat="1" applyFont="1" applyBorder="1" applyAlignment="1">
      <alignment horizontal="left"/>
    </xf>
    <xf numFmtId="168" fontId="58" fillId="0" borderId="41" xfId="0" applyNumberFormat="1" applyFont="1" applyBorder="1" applyAlignment="1">
      <alignment horizontal="left"/>
    </xf>
    <xf numFmtId="0" fontId="57" fillId="0" borderId="42" xfId="0" applyFont="1" applyBorder="1" applyAlignment="1">
      <alignment horizontal="left"/>
    </xf>
    <xf numFmtId="175" fontId="58" fillId="0" borderId="13" xfId="2" applyNumberFormat="1" applyFont="1" applyBorder="1" applyAlignment="1">
      <alignment horizontal="left"/>
    </xf>
    <xf numFmtId="172" fontId="58" fillId="0" borderId="13" xfId="2" applyNumberFormat="1" applyFont="1" applyFill="1" applyBorder="1"/>
    <xf numFmtId="10" fontId="58" fillId="0" borderId="18" xfId="0" applyNumberFormat="1" applyFont="1" applyBorder="1" applyAlignment="1">
      <alignment horizontal="left"/>
    </xf>
    <xf numFmtId="0" fontId="0" fillId="4" borderId="0" xfId="0" applyFill="1"/>
    <xf numFmtId="172" fontId="0" fillId="0" borderId="3" xfId="2" applyNumberFormat="1" applyFont="1" applyBorder="1"/>
    <xf numFmtId="174" fontId="0" fillId="0" borderId="1" xfId="0" applyNumberFormat="1" applyBorder="1" applyAlignment="1">
      <alignment horizontal="center"/>
    </xf>
    <xf numFmtId="174" fontId="67" fillId="0" borderId="1" xfId="0" applyNumberFormat="1" applyFont="1" applyBorder="1" applyAlignment="1">
      <alignment horizontal="center"/>
    </xf>
    <xf numFmtId="166" fontId="0" fillId="0" borderId="1" xfId="2" applyFont="1" applyBorder="1"/>
    <xf numFmtId="172" fontId="0" fillId="0" borderId="47" xfId="2" applyNumberFormat="1" applyFont="1" applyFill="1" applyBorder="1"/>
    <xf numFmtId="174" fontId="0" fillId="0" borderId="1" xfId="2" applyNumberFormat="1" applyFont="1" applyBorder="1" applyAlignment="1">
      <alignment horizontal="center"/>
    </xf>
    <xf numFmtId="174" fontId="0" fillId="11" borderId="1" xfId="0" applyNumberFormat="1" applyFill="1" applyBorder="1" applyAlignment="1">
      <alignment horizontal="center"/>
    </xf>
    <xf numFmtId="174" fontId="68" fillId="11" borderId="1" xfId="0" applyNumberFormat="1" applyFont="1" applyFill="1" applyBorder="1" applyAlignment="1">
      <alignment horizontal="center"/>
    </xf>
    <xf numFmtId="0" fontId="26" fillId="0" borderId="0" xfId="0" applyFont="1" applyFill="1" applyBorder="1" applyAlignment="1"/>
    <xf numFmtId="0" fontId="24" fillId="0" borderId="43" xfId="0" applyFont="1" applyBorder="1" applyAlignment="1">
      <alignment horizontal="center"/>
    </xf>
    <xf numFmtId="0" fontId="24" fillId="0" borderId="9" xfId="0" applyFont="1" applyBorder="1" applyAlignment="1">
      <alignment horizontal="center"/>
    </xf>
    <xf numFmtId="0" fontId="24" fillId="0" borderId="44" xfId="0" applyFont="1" applyBorder="1" applyAlignment="1">
      <alignment horizontal="center"/>
    </xf>
    <xf numFmtId="0" fontId="24" fillId="0" borderId="41" xfId="0" applyFont="1" applyBorder="1" applyAlignment="1">
      <alignment horizontal="center"/>
    </xf>
    <xf numFmtId="0" fontId="24" fillId="0" borderId="10" xfId="0" applyFont="1" applyFill="1" applyBorder="1" applyAlignment="1">
      <alignment horizontal="center"/>
    </xf>
    <xf numFmtId="0" fontId="24" fillId="0" borderId="6" xfId="0" applyFont="1" applyFill="1" applyBorder="1" applyAlignment="1">
      <alignment horizontal="center"/>
    </xf>
    <xf numFmtId="0" fontId="24" fillId="0" borderId="7" xfId="0" applyFont="1" applyFill="1" applyBorder="1" applyAlignment="1">
      <alignment horizontal="center"/>
    </xf>
    <xf numFmtId="0" fontId="58" fillId="0" borderId="22" xfId="0" applyFont="1" applyFill="1" applyBorder="1" applyAlignment="1">
      <alignment horizontal="left"/>
    </xf>
    <xf numFmtId="0" fontId="58" fillId="0" borderId="5" xfId="0" applyFont="1" applyFill="1" applyBorder="1" applyAlignment="1">
      <alignment horizontal="left"/>
    </xf>
    <xf numFmtId="0" fontId="58" fillId="0" borderId="18" xfId="0" applyFont="1" applyFill="1" applyBorder="1" applyAlignment="1">
      <alignment horizontal="left"/>
    </xf>
    <xf numFmtId="0" fontId="47" fillId="0" borderId="43" xfId="0" applyFont="1" applyBorder="1" applyAlignment="1">
      <alignment horizontal="center"/>
    </xf>
    <xf numFmtId="0" fontId="47" fillId="0" borderId="44" xfId="0" applyFont="1" applyBorder="1" applyAlignment="1">
      <alignment horizontal="center"/>
    </xf>
    <xf numFmtId="0" fontId="47" fillId="0" borderId="41" xfId="0" applyFont="1" applyBorder="1" applyAlignment="1">
      <alignment horizontal="center"/>
    </xf>
    <xf numFmtId="0" fontId="59" fillId="0" borderId="14" xfId="0" applyFont="1" applyBorder="1" applyAlignment="1">
      <alignment horizontal="center"/>
    </xf>
    <xf numFmtId="0" fontId="59" fillId="0" borderId="13" xfId="0" applyFont="1" applyBorder="1" applyAlignment="1">
      <alignment horizontal="center"/>
    </xf>
    <xf numFmtId="0" fontId="59" fillId="0" borderId="5" xfId="0" applyFont="1" applyBorder="1" applyAlignment="1">
      <alignment horizontal="center"/>
    </xf>
    <xf numFmtId="0" fontId="59" fillId="0" borderId="18" xfId="0" applyFont="1" applyBorder="1" applyAlignment="1">
      <alignment horizontal="center"/>
    </xf>
    <xf numFmtId="0" fontId="59" fillId="0" borderId="47" xfId="0" applyFont="1" applyFill="1" applyBorder="1" applyAlignment="1">
      <alignment horizontal="center"/>
    </xf>
    <xf numFmtId="0" fontId="59" fillId="0" borderId="47" xfId="0" applyFont="1" applyBorder="1" applyAlignment="1">
      <alignment horizontal="center"/>
    </xf>
    <xf numFmtId="0" fontId="46"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20"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46" xfId="0" applyFont="1" applyBorder="1" applyAlignment="1">
      <alignment horizontal="center" vertical="center" wrapText="1"/>
    </xf>
    <xf numFmtId="0" fontId="59" fillId="0" borderId="29" xfId="0" applyFont="1" applyBorder="1" applyAlignment="1">
      <alignment horizontal="center" vertical="center" wrapText="1"/>
    </xf>
    <xf numFmtId="0" fontId="60" fillId="0" borderId="15" xfId="0" applyFont="1" applyBorder="1" applyAlignment="1">
      <alignment horizontal="left" wrapText="1"/>
    </xf>
    <xf numFmtId="0" fontId="61" fillId="0" borderId="16" xfId="0" applyFont="1" applyBorder="1" applyAlignment="1">
      <alignment horizontal="left" wrapText="1"/>
    </xf>
    <xf numFmtId="0" fontId="61" fillId="0" borderId="17" xfId="0" applyFont="1" applyBorder="1" applyAlignment="1">
      <alignment horizontal="left" wrapText="1"/>
    </xf>
    <xf numFmtId="0" fontId="61" fillId="0" borderId="20" xfId="0" applyFont="1" applyBorder="1" applyAlignment="1">
      <alignment horizontal="left" wrapText="1"/>
    </xf>
    <xf numFmtId="0" fontId="61" fillId="0" borderId="0" xfId="0" applyFont="1" applyBorder="1" applyAlignment="1">
      <alignment horizontal="left" wrapText="1"/>
    </xf>
    <xf numFmtId="0" fontId="61" fillId="0" borderId="21" xfId="0" applyFont="1" applyBorder="1" applyAlignment="1">
      <alignment horizontal="left" wrapText="1"/>
    </xf>
    <xf numFmtId="0" fontId="61" fillId="0" borderId="45" xfId="0" applyFont="1" applyBorder="1" applyAlignment="1">
      <alignment horizontal="left" wrapText="1"/>
    </xf>
    <xf numFmtId="0" fontId="61" fillId="0" borderId="46" xfId="0" applyFont="1" applyBorder="1" applyAlignment="1">
      <alignment horizontal="left" wrapText="1"/>
    </xf>
    <xf numFmtId="0" fontId="61" fillId="0" borderId="29" xfId="0" applyFont="1" applyBorder="1" applyAlignment="1">
      <alignment horizontal="left" wrapText="1"/>
    </xf>
    <xf numFmtId="0" fontId="48" fillId="0" borderId="15" xfId="0" applyFont="1" applyBorder="1" applyAlignment="1">
      <alignment horizontal="left" vertical="center" wrapText="1"/>
    </xf>
    <xf numFmtId="0" fontId="48" fillId="0" borderId="16" xfId="0" applyFont="1" applyBorder="1" applyAlignment="1">
      <alignment horizontal="left" vertical="center" wrapText="1"/>
    </xf>
    <xf numFmtId="0" fontId="48" fillId="0" borderId="17" xfId="0" applyFont="1" applyBorder="1" applyAlignment="1">
      <alignment horizontal="left" vertical="center" wrapText="1"/>
    </xf>
    <xf numFmtId="0" fontId="48" fillId="0" borderId="20" xfId="0" applyFont="1" applyBorder="1" applyAlignment="1">
      <alignment horizontal="left" vertical="center" wrapText="1"/>
    </xf>
    <xf numFmtId="0" fontId="48" fillId="0" borderId="0" xfId="0" applyFont="1" applyBorder="1" applyAlignment="1">
      <alignment horizontal="left" vertical="center" wrapText="1"/>
    </xf>
    <xf numFmtId="0" fontId="48" fillId="0" borderId="21"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8" fillId="0" borderId="29" xfId="0" applyFont="1" applyBorder="1" applyAlignment="1">
      <alignment horizontal="left" vertical="center" wrapText="1"/>
    </xf>
    <xf numFmtId="0" fontId="62" fillId="0" borderId="15" xfId="0" applyFont="1" applyBorder="1" applyAlignment="1">
      <alignment horizontal="left" vertical="center" wrapText="1"/>
    </xf>
    <xf numFmtId="0" fontId="58" fillId="0" borderId="16" xfId="0" applyFont="1" applyBorder="1" applyAlignment="1">
      <alignment horizontal="left" vertical="center" wrapText="1"/>
    </xf>
    <xf numFmtId="0" fontId="58" fillId="0" borderId="17" xfId="0" applyFont="1" applyBorder="1" applyAlignment="1">
      <alignment horizontal="left" vertical="center" wrapText="1"/>
    </xf>
    <xf numFmtId="0" fontId="58" fillId="0" borderId="20" xfId="0" applyFont="1" applyBorder="1" applyAlignment="1">
      <alignment horizontal="left" vertical="center" wrapText="1"/>
    </xf>
    <xf numFmtId="0" fontId="58" fillId="0" borderId="0" xfId="0" applyFont="1" applyBorder="1" applyAlignment="1">
      <alignment horizontal="left" vertical="center" wrapText="1"/>
    </xf>
    <xf numFmtId="0" fontId="58" fillId="0" borderId="21" xfId="0" applyFont="1" applyBorder="1" applyAlignment="1">
      <alignment horizontal="left" vertical="center" wrapText="1"/>
    </xf>
    <xf numFmtId="0" fontId="58" fillId="0" borderId="45" xfId="0" applyFont="1" applyBorder="1" applyAlignment="1">
      <alignment horizontal="left" vertical="center" wrapText="1"/>
    </xf>
    <xf numFmtId="0" fontId="58" fillId="0" borderId="46" xfId="0" applyFont="1" applyBorder="1" applyAlignment="1">
      <alignment horizontal="left" vertical="center" wrapText="1"/>
    </xf>
    <xf numFmtId="0" fontId="58" fillId="0" borderId="29" xfId="0" applyFont="1" applyBorder="1" applyAlignment="1">
      <alignment horizontal="left" vertical="center" wrapText="1"/>
    </xf>
    <xf numFmtId="0" fontId="48" fillId="0" borderId="11" xfId="0" applyFont="1" applyBorder="1" applyAlignment="1">
      <alignment horizontal="left" vertical="center" wrapText="1"/>
    </xf>
    <xf numFmtId="0" fontId="48" fillId="0" borderId="0" xfId="0" applyFont="1" applyAlignment="1">
      <alignment horizontal="left" vertical="center" wrapText="1"/>
    </xf>
    <xf numFmtId="172" fontId="58" fillId="0" borderId="13" xfId="2" applyNumberFormat="1" applyFont="1" applyFill="1" applyBorder="1" applyAlignment="1">
      <alignment horizontal="right"/>
    </xf>
    <xf numFmtId="172" fontId="58" fillId="0" borderId="5" xfId="2" applyNumberFormat="1" applyFont="1" applyFill="1" applyBorder="1" applyAlignment="1">
      <alignment horizontal="right"/>
    </xf>
    <xf numFmtId="0" fontId="58" fillId="0" borderId="43" xfId="0" applyFont="1" applyBorder="1" applyAlignment="1">
      <alignment horizontal="right"/>
    </xf>
    <xf numFmtId="0" fontId="58" fillId="0" borderId="44" xfId="0" applyFont="1" applyBorder="1" applyAlignment="1">
      <alignment horizontal="right"/>
    </xf>
    <xf numFmtId="0" fontId="58" fillId="0" borderId="37" xfId="0" applyFont="1" applyBorder="1" applyAlignment="1">
      <alignment horizontal="left"/>
    </xf>
    <xf numFmtId="0" fontId="58" fillId="0" borderId="25" xfId="0" applyFont="1" applyBorder="1" applyAlignment="1">
      <alignment horizontal="left"/>
    </xf>
    <xf numFmtId="0" fontId="58" fillId="0" borderId="48" xfId="0" applyFont="1" applyFill="1" applyBorder="1" applyAlignment="1">
      <alignment horizontal="left"/>
    </xf>
    <xf numFmtId="0" fontId="58" fillId="0" borderId="49" xfId="0" applyFont="1" applyFill="1" applyBorder="1" applyAlignment="1">
      <alignment horizontal="left"/>
    </xf>
    <xf numFmtId="0" fontId="58" fillId="0" borderId="50" xfId="0" applyFont="1" applyFill="1" applyBorder="1" applyAlignment="1">
      <alignment horizontal="left"/>
    </xf>
    <xf numFmtId="0" fontId="58" fillId="0" borderId="36" xfId="0" applyFont="1" applyBorder="1" applyAlignment="1">
      <alignment horizontal="left"/>
    </xf>
    <xf numFmtId="0" fontId="58" fillId="0" borderId="1" xfId="0" applyFont="1" applyBorder="1" applyAlignment="1">
      <alignment horizontal="left"/>
    </xf>
    <xf numFmtId="0" fontId="0" fillId="0" borderId="1" xfId="0" applyBorder="1" applyAlignment="1">
      <alignment horizontal="center" vertical="center"/>
    </xf>
    <xf numFmtId="0" fontId="0" fillId="0" borderId="13"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10" fontId="63" fillId="0" borderId="43" xfId="0" applyNumberFormat="1" applyFont="1" applyBorder="1" applyAlignment="1">
      <alignment horizontal="center"/>
    </xf>
    <xf numFmtId="10" fontId="63" fillId="0" borderId="41" xfId="0" applyNumberFormat="1" applyFont="1" applyBorder="1" applyAlignment="1">
      <alignment horizontal="center"/>
    </xf>
    <xf numFmtId="0" fontId="33" fillId="4" borderId="0" xfId="0" applyFont="1" applyFill="1" applyAlignment="1">
      <alignment horizontal="left"/>
    </xf>
    <xf numFmtId="0" fontId="33" fillId="4" borderId="0" xfId="0" applyFont="1" applyFill="1"/>
    <xf numFmtId="10" fontId="33" fillId="4" borderId="0" xfId="0" applyNumberFormat="1" applyFont="1" applyFill="1"/>
    <xf numFmtId="2" fontId="33" fillId="4" borderId="0" xfId="0" applyNumberFormat="1" applyFont="1" applyFill="1"/>
    <xf numFmtId="0" fontId="42" fillId="4" borderId="0" xfId="0" applyFont="1" applyFill="1"/>
  </cellXfs>
  <cellStyles count="16">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Milliers" xfId="1" builtinId="3"/>
    <cellStyle name="Monétaire" xfId="2" builtinId="4"/>
    <cellStyle name="Normal" xfId="0" builtinId="0"/>
    <cellStyle name="Pourcentage" xfId="3" builtinId="5"/>
  </cellStyles>
  <dxfs count="2">
    <dxf>
      <border>
        <left/>
        <right/>
        <top/>
        <bottom/>
      </border>
    </dxf>
    <dxf>
      <border>
        <left/>
        <right/>
        <top/>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13</xdr:col>
      <xdr:colOff>60960</xdr:colOff>
      <xdr:row>0</xdr:row>
      <xdr:rowOff>73660</xdr:rowOff>
    </xdr:from>
    <xdr:ext cx="2215478" cy="609013"/>
    <xdr:sp macro="" textlink="">
      <xdr:nvSpPr>
        <xdr:cNvPr id="3" name="TextBox 2"/>
        <xdr:cNvSpPr txBox="1"/>
      </xdr:nvSpPr>
      <xdr:spPr>
        <a:xfrm>
          <a:off x="14986000" y="73660"/>
          <a:ext cx="2215478"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Check these revenues against</a:t>
          </a:r>
        </a:p>
        <a:p>
          <a:r>
            <a:rPr lang="en-US" sz="1100">
              <a:solidFill>
                <a:srgbClr val="FF0000"/>
              </a:solidFill>
            </a:rPr>
            <a:t>a.</a:t>
          </a:r>
          <a:r>
            <a:rPr lang="en-US" sz="1100" baseline="0">
              <a:solidFill>
                <a:srgbClr val="FF0000"/>
              </a:solidFill>
            </a:rPr>
            <a:t> Overall market size</a:t>
          </a:r>
        </a:p>
        <a:p>
          <a:r>
            <a:rPr lang="en-US" sz="1100" baseline="0">
              <a:solidFill>
                <a:srgbClr val="FF0000"/>
              </a:solidFill>
            </a:rPr>
            <a:t>b. Largest companies in this market</a:t>
          </a:r>
          <a:endParaRPr lang="en-US" sz="1100">
            <a:solidFill>
              <a:srgbClr val="FF0000"/>
            </a:solidFill>
          </a:endParaRPr>
        </a:p>
      </xdr:txBody>
    </xdr:sp>
    <xdr:clientData/>
  </xdr:oneCellAnchor>
  <xdr:oneCellAnchor>
    <xdr:from>
      <xdr:col>11</xdr:col>
      <xdr:colOff>40640</xdr:colOff>
      <xdr:row>41</xdr:row>
      <xdr:rowOff>40640</xdr:rowOff>
    </xdr:from>
    <xdr:ext cx="4613106" cy="780592"/>
    <xdr:sp macro="" textlink="">
      <xdr:nvSpPr>
        <xdr:cNvPr id="4" name="TextBox 3"/>
        <xdr:cNvSpPr txBox="1"/>
      </xdr:nvSpPr>
      <xdr:spPr>
        <a:xfrm>
          <a:off x="12771120" y="7538720"/>
          <a:ext cx="4613106" cy="7694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Compare this return on capital</a:t>
          </a:r>
          <a:r>
            <a:rPr lang="en-US" sz="1100" baseline="0">
              <a:solidFill>
                <a:srgbClr val="FF0000"/>
              </a:solidFill>
            </a:rPr>
            <a:t> in year 10 against</a:t>
          </a:r>
        </a:p>
        <a:p>
          <a:r>
            <a:rPr lang="en-US" sz="1100" baseline="0">
              <a:solidFill>
                <a:srgbClr val="FF0000"/>
              </a:solidFill>
            </a:rPr>
            <a:t>a.  the industry average(column E of worksheet)</a:t>
          </a:r>
        </a:p>
        <a:p>
          <a:r>
            <a:rPr lang="en-US" sz="1100" baseline="0">
              <a:solidFill>
                <a:srgbClr val="FF0000"/>
              </a:solidFill>
            </a:rPr>
            <a:t>b. the return on capital after year 10</a:t>
          </a:r>
        </a:p>
        <a:p>
          <a:r>
            <a:rPr lang="en-US" sz="1100" baseline="0">
              <a:solidFill>
                <a:srgbClr val="FF0000"/>
              </a:solidFill>
            </a:rPr>
            <a:t>If it is too high (low), you may want to lower  (raise) your sales to capital ratio</a:t>
          </a:r>
          <a:endParaRPr lang="en-US" sz="1100">
            <a:solidFill>
              <a:srgbClr val="FF0000"/>
            </a:solidFill>
          </a:endParaRPr>
        </a:p>
      </xdr:txBody>
    </xdr:sp>
    <xdr:clientData/>
  </xdr:oneCellAnchor>
  <xdr:oneCellAnchor>
    <xdr:from>
      <xdr:col>14</xdr:col>
      <xdr:colOff>30480</xdr:colOff>
      <xdr:row>6</xdr:row>
      <xdr:rowOff>144780</xdr:rowOff>
    </xdr:from>
    <xdr:ext cx="2133600" cy="436786"/>
    <xdr:sp macro="" textlink="">
      <xdr:nvSpPr>
        <xdr:cNvPr id="2" name="TextBox 1"/>
        <xdr:cNvSpPr txBox="1"/>
      </xdr:nvSpPr>
      <xdr:spPr>
        <a:xfrm>
          <a:off x="15920720" y="1363980"/>
          <a:ext cx="21336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This is how much capital you invested over the</a:t>
          </a:r>
          <a:r>
            <a:rPr lang="en-US" sz="1100" baseline="0">
              <a:solidFill>
                <a:srgbClr val="FF0000"/>
              </a:solidFill>
            </a:rPr>
            <a:t> ten year period. </a:t>
          </a:r>
          <a:endParaRPr lang="en-US" sz="1100">
            <a:solidFill>
              <a:srgbClr val="FF0000"/>
            </a:solidFill>
          </a:endParaRPr>
        </a:p>
      </xdr:txBody>
    </xdr:sp>
    <xdr:clientData/>
  </xdr:oneCellAnchor>
  <xdr:oneCellAnchor>
    <xdr:from>
      <xdr:col>14</xdr:col>
      <xdr:colOff>10160</xdr:colOff>
      <xdr:row>3</xdr:row>
      <xdr:rowOff>144780</xdr:rowOff>
    </xdr:from>
    <xdr:ext cx="2895600" cy="436786"/>
    <xdr:sp macro="" textlink="">
      <xdr:nvSpPr>
        <xdr:cNvPr id="5" name="TextBox 4"/>
        <xdr:cNvSpPr txBox="1"/>
      </xdr:nvSpPr>
      <xdr:spPr>
        <a:xfrm>
          <a:off x="15900400" y="754380"/>
          <a:ext cx="28956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This is is how much your</a:t>
          </a:r>
          <a:r>
            <a:rPr lang="en-US" sz="1100" baseline="0">
              <a:solidFill>
                <a:srgbClr val="FF0000"/>
              </a:solidFill>
            </a:rPr>
            <a:t> operating income grew over the ten-year period.</a:t>
          </a:r>
          <a:endParaRPr 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1053523</xdr:colOff>
      <xdr:row>9</xdr:row>
      <xdr:rowOff>86591</xdr:rowOff>
    </xdr:from>
    <xdr:to>
      <xdr:col>3</xdr:col>
      <xdr:colOff>375228</xdr:colOff>
      <xdr:row>9</xdr:row>
      <xdr:rowOff>86591</xdr:rowOff>
    </xdr:to>
    <xdr:cxnSp macro="">
      <xdr:nvCxnSpPr>
        <xdr:cNvPr id="5" name="Straight Arrow Connector 4"/>
        <xdr:cNvCxnSpPr/>
      </xdr:nvCxnSpPr>
      <xdr:spPr>
        <a:xfrm>
          <a:off x="3579091" y="1414318"/>
          <a:ext cx="66386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1067955</xdr:colOff>
      <xdr:row>10</xdr:row>
      <xdr:rowOff>101023</xdr:rowOff>
    </xdr:from>
    <xdr:to>
      <xdr:col>3</xdr:col>
      <xdr:colOff>375228</xdr:colOff>
      <xdr:row>10</xdr:row>
      <xdr:rowOff>101023</xdr:rowOff>
    </xdr:to>
    <xdr:cxnSp macro="">
      <xdr:nvCxnSpPr>
        <xdr:cNvPr id="7" name="Straight Arrow Connector 6"/>
        <xdr:cNvCxnSpPr/>
      </xdr:nvCxnSpPr>
      <xdr:spPr>
        <a:xfrm>
          <a:off x="3593523" y="1587500"/>
          <a:ext cx="64943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1067954</xdr:colOff>
      <xdr:row>13</xdr:row>
      <xdr:rowOff>72160</xdr:rowOff>
    </xdr:from>
    <xdr:to>
      <xdr:col>3</xdr:col>
      <xdr:colOff>375227</xdr:colOff>
      <xdr:row>13</xdr:row>
      <xdr:rowOff>72160</xdr:rowOff>
    </xdr:to>
    <xdr:cxnSp macro="">
      <xdr:nvCxnSpPr>
        <xdr:cNvPr id="11" name="Straight Arrow Connector 10"/>
        <xdr:cNvCxnSpPr/>
      </xdr:nvCxnSpPr>
      <xdr:spPr>
        <a:xfrm>
          <a:off x="3593522" y="1876137"/>
          <a:ext cx="64943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0"/>
  <sheetViews>
    <sheetView topLeftCell="A10" workbookViewId="0">
      <selection activeCell="A58" sqref="A58"/>
    </sheetView>
  </sheetViews>
  <sheetFormatPr baseColWidth="10" defaultColWidth="10.85546875" defaultRowHeight="10.5"/>
  <cols>
    <col min="1" max="1" width="49.7109375" style="4" customWidth="1"/>
    <col min="2" max="2" width="19.7109375" style="4" customWidth="1"/>
    <col min="3" max="3" width="10.85546875" style="4"/>
    <col min="4" max="4" width="16.7109375" style="4" customWidth="1"/>
    <col min="5" max="7" width="10.85546875" style="4"/>
    <col min="8" max="8" width="11" style="4" bestFit="1" customWidth="1"/>
    <col min="9" max="9" width="13.42578125" style="4" customWidth="1"/>
    <col min="10" max="10" width="15" style="4" bestFit="1" customWidth="1"/>
    <col min="11" max="11" width="17.42578125" style="4" bestFit="1" customWidth="1"/>
    <col min="12" max="16384" width="10.85546875" style="4"/>
  </cols>
  <sheetData>
    <row r="1" spans="1:10" ht="12.75">
      <c r="A1" s="208" t="s">
        <v>393</v>
      </c>
      <c r="B1" s="228">
        <v>41286</v>
      </c>
      <c r="C1" s="169" t="s">
        <v>394</v>
      </c>
      <c r="D1" s="170"/>
      <c r="E1" s="170"/>
      <c r="F1" s="170"/>
      <c r="G1" s="170"/>
      <c r="H1" s="170"/>
      <c r="I1" s="170"/>
      <c r="J1" s="171"/>
    </row>
    <row r="2" spans="1:10" s="56" customFormat="1" ht="13.5" thickBot="1">
      <c r="A2" s="53" t="s">
        <v>35</v>
      </c>
      <c r="B2" s="229" t="s">
        <v>719</v>
      </c>
      <c r="C2" s="209" t="s">
        <v>103</v>
      </c>
      <c r="D2" s="80"/>
      <c r="E2" s="80"/>
      <c r="F2" s="80"/>
      <c r="G2" s="80"/>
      <c r="H2" s="80"/>
      <c r="I2" s="80"/>
      <c r="J2" s="210"/>
    </row>
    <row r="3" spans="1:10" s="56" customFormat="1" ht="13.5" thickBot="1">
      <c r="A3" s="367" t="s">
        <v>439</v>
      </c>
      <c r="B3" s="368"/>
      <c r="C3" s="369"/>
      <c r="D3" s="369"/>
      <c r="E3" s="369"/>
      <c r="F3" s="369"/>
      <c r="G3" s="369"/>
      <c r="H3" s="369"/>
      <c r="I3" s="369"/>
      <c r="J3" s="370"/>
    </row>
    <row r="4" spans="1:10" s="56" customFormat="1" ht="12.75">
      <c r="A4" s="57"/>
      <c r="B4" s="57" t="s">
        <v>181</v>
      </c>
      <c r="C4" s="172" t="s">
        <v>182</v>
      </c>
      <c r="D4" s="80"/>
      <c r="E4" s="80"/>
      <c r="F4" s="80"/>
      <c r="G4" s="80"/>
      <c r="H4" s="80"/>
      <c r="I4" s="80"/>
    </row>
    <row r="5" spans="1:10" s="56" customFormat="1" ht="12.75">
      <c r="A5" s="156" t="s">
        <v>457</v>
      </c>
      <c r="B5" s="232" t="s">
        <v>288</v>
      </c>
      <c r="C5" s="172"/>
      <c r="D5" s="80"/>
      <c r="E5" s="80"/>
      <c r="F5" s="80"/>
      <c r="G5" s="80"/>
      <c r="H5" s="80"/>
      <c r="I5" s="80"/>
    </row>
    <row r="6" spans="1:10" s="56" customFormat="1" ht="12.75">
      <c r="A6" s="156" t="s">
        <v>447</v>
      </c>
      <c r="B6" s="157"/>
      <c r="C6" s="80"/>
      <c r="D6" s="80"/>
      <c r="E6" s="80"/>
      <c r="F6" s="80"/>
      <c r="G6" s="80"/>
      <c r="H6" s="80"/>
      <c r="I6" s="80"/>
    </row>
    <row r="7" spans="1:10" s="56" customFormat="1" ht="12.75">
      <c r="A7" s="156" t="s">
        <v>448</v>
      </c>
      <c r="B7" s="157" t="s">
        <v>578</v>
      </c>
      <c r="C7" s="268" t="s">
        <v>403</v>
      </c>
      <c r="D7" s="268" t="s">
        <v>668</v>
      </c>
      <c r="E7" s="80"/>
      <c r="F7" s="80"/>
      <c r="G7" s="80"/>
      <c r="H7" s="80"/>
      <c r="I7" s="80"/>
    </row>
    <row r="8" spans="1:10" s="56" customFormat="1" ht="12.75">
      <c r="A8" s="60" t="s">
        <v>11</v>
      </c>
      <c r="B8" s="83">
        <v>24603</v>
      </c>
      <c r="C8" s="83"/>
      <c r="D8" s="267"/>
    </row>
    <row r="9" spans="1:10" s="56" customFormat="1" ht="12.75">
      <c r="A9" s="60" t="s">
        <v>30</v>
      </c>
      <c r="B9" s="83">
        <v>1230.5999999999999</v>
      </c>
      <c r="C9" s="83"/>
      <c r="D9" s="267"/>
    </row>
    <row r="10" spans="1:10" s="56" customFormat="1" ht="12.75">
      <c r="A10" s="60" t="s">
        <v>450</v>
      </c>
      <c r="B10" s="83">
        <v>372</v>
      </c>
      <c r="C10" s="83"/>
      <c r="D10" s="61"/>
    </row>
    <row r="11" spans="1:10" s="56" customFormat="1" ht="12.75">
      <c r="A11" s="60" t="s">
        <v>31</v>
      </c>
      <c r="B11" s="83">
        <v>9503</v>
      </c>
      <c r="C11" s="83"/>
      <c r="D11" s="61"/>
    </row>
    <row r="12" spans="1:10" s="56" customFormat="1" ht="12.75">
      <c r="A12" s="60" t="s">
        <v>32</v>
      </c>
      <c r="B12" s="83">
        <f>7196.9+4759+395</f>
        <v>12350.9</v>
      </c>
      <c r="C12" s="83"/>
      <c r="D12" s="61"/>
    </row>
    <row r="13" spans="1:10" s="56" customFormat="1" ht="12.75">
      <c r="A13" s="160" t="s">
        <v>434</v>
      </c>
      <c r="B13" s="198" t="s">
        <v>60</v>
      </c>
      <c r="C13" s="199" t="s">
        <v>435</v>
      </c>
      <c r="D13" s="61"/>
    </row>
    <row r="14" spans="1:10" s="56" customFormat="1" ht="12.75">
      <c r="A14" s="60" t="s">
        <v>247</v>
      </c>
      <c r="B14" s="83" t="s">
        <v>60</v>
      </c>
      <c r="C14" s="61" t="s">
        <v>250</v>
      </c>
      <c r="D14" s="61"/>
    </row>
    <row r="15" spans="1:10" s="56" customFormat="1" ht="12.75">
      <c r="A15" s="60" t="s">
        <v>648</v>
      </c>
      <c r="B15" s="83">
        <v>3862</v>
      </c>
      <c r="C15" s="83"/>
      <c r="D15" s="61"/>
    </row>
    <row r="16" spans="1:10" s="56" customFormat="1" ht="12.75">
      <c r="A16" s="60" t="s">
        <v>649</v>
      </c>
      <c r="B16" s="173">
        <v>0</v>
      </c>
      <c r="C16" s="83">
        <v>0</v>
      </c>
      <c r="D16" s="61"/>
    </row>
    <row r="17" spans="1:11" s="56" customFormat="1" ht="12.75">
      <c r="A17" s="60" t="s">
        <v>399</v>
      </c>
      <c r="B17" s="173">
        <v>1138</v>
      </c>
      <c r="C17" s="83">
        <v>0</v>
      </c>
      <c r="D17" s="61"/>
    </row>
    <row r="18" spans="1:11" s="56" customFormat="1" ht="13.5" thickBot="1">
      <c r="A18" s="60" t="s">
        <v>33</v>
      </c>
      <c r="B18" s="158">
        <v>549.5</v>
      </c>
      <c r="C18" s="61"/>
    </row>
    <row r="19" spans="1:11" s="56" customFormat="1" ht="12.75">
      <c r="A19" s="60" t="s">
        <v>34</v>
      </c>
      <c r="B19" s="83">
        <v>15.31</v>
      </c>
      <c r="C19" s="61"/>
      <c r="E19" s="84" t="s">
        <v>246</v>
      </c>
      <c r="F19" s="54"/>
      <c r="G19" s="54"/>
      <c r="H19" s="54"/>
      <c r="I19" s="54"/>
      <c r="J19" s="54"/>
      <c r="K19" s="55"/>
    </row>
    <row r="20" spans="1:11" s="56" customFormat="1" ht="12.75">
      <c r="A20" s="62" t="s">
        <v>107</v>
      </c>
      <c r="B20" s="63">
        <v>0.32</v>
      </c>
      <c r="C20" s="61"/>
      <c r="E20" s="207" t="s">
        <v>438</v>
      </c>
      <c r="F20" s="80"/>
      <c r="G20" s="80"/>
      <c r="H20" s="80"/>
      <c r="I20" s="80"/>
      <c r="J20" s="80"/>
      <c r="K20" s="86"/>
    </row>
    <row r="21" spans="1:11" s="56" customFormat="1" ht="12.75">
      <c r="A21" s="62" t="s">
        <v>108</v>
      </c>
      <c r="B21" s="63">
        <v>0.33</v>
      </c>
      <c r="C21" s="61"/>
      <c r="E21" s="155"/>
      <c r="F21" s="80"/>
      <c r="G21" s="80"/>
      <c r="H21" s="80"/>
      <c r="I21" s="160" t="s">
        <v>242</v>
      </c>
      <c r="J21" s="160" t="s">
        <v>244</v>
      </c>
      <c r="K21" s="86" t="s">
        <v>449</v>
      </c>
    </row>
    <row r="22" spans="1:11" s="56" customFormat="1" ht="12.75">
      <c r="A22" s="64" t="s">
        <v>36</v>
      </c>
      <c r="B22" s="65"/>
      <c r="C22" s="61"/>
      <c r="E22" s="85" t="s">
        <v>177</v>
      </c>
      <c r="F22" s="80"/>
      <c r="G22" s="80"/>
      <c r="H22" s="80"/>
      <c r="I22" s="296" t="str">
        <f>IF(C8&gt;0,(B8/C8)^(1/D8)-1, "NA")</f>
        <v>NA</v>
      </c>
      <c r="J22" s="296" t="e">
        <f>VLOOKUP(B6,'Industry Averages(US)'!A2:S96,3)</f>
        <v>#N/A</v>
      </c>
      <c r="K22" s="297">
        <f>VLOOKUP(B7,'Global industry averages'!A2:N96,3)</f>
        <v>0.1007</v>
      </c>
    </row>
    <row r="23" spans="1:11" s="56" customFormat="1" ht="12.75">
      <c r="A23" s="60" t="s">
        <v>50</v>
      </c>
      <c r="B23" s="159">
        <v>2.5000000000000001E-2</v>
      </c>
      <c r="C23" s="61" t="s">
        <v>652</v>
      </c>
      <c r="E23" s="85" t="s">
        <v>178</v>
      </c>
      <c r="F23" s="80"/>
      <c r="G23" s="80"/>
      <c r="H23" s="80"/>
      <c r="I23" s="296">
        <f>'Valuation output'!B4</f>
        <v>6.118874787400462E-2</v>
      </c>
      <c r="J23" s="297" t="e">
        <f>VLOOKUP(B6,'Industry Averages(US)'!A2:S96,4)</f>
        <v>#N/A</v>
      </c>
      <c r="K23" s="297">
        <f>VLOOKUP(B7,'Global industry averages'!A2:N96,4)</f>
        <v>8.4900000000000003E-2</v>
      </c>
    </row>
    <row r="24" spans="1:11" s="56" customFormat="1" ht="12.75">
      <c r="A24" s="60" t="s">
        <v>52</v>
      </c>
      <c r="B24" s="159">
        <v>8.5000000000000006E-2</v>
      </c>
      <c r="C24" s="61" t="s">
        <v>650</v>
      </c>
      <c r="E24" s="85" t="s">
        <v>179</v>
      </c>
      <c r="F24" s="80"/>
      <c r="G24" s="80"/>
      <c r="H24" s="80"/>
      <c r="I24" s="298">
        <f>B8/(B11+B12-B15)</f>
        <v>1.3674486852416921</v>
      </c>
      <c r="J24" s="298" t="e">
        <f>VLOOKUP(B6,'Industry Averages(US)'!A2:S97,14)</f>
        <v>#N/A</v>
      </c>
      <c r="K24" s="298">
        <f>VLOOKUP(B7,'Global industry averages'!A2:N96,14)</f>
        <v>1.61</v>
      </c>
    </row>
    <row r="25" spans="1:11" s="56" customFormat="1" ht="12.75">
      <c r="A25" s="60" t="s">
        <v>38</v>
      </c>
      <c r="B25" s="66">
        <v>1.6</v>
      </c>
      <c r="C25" s="61" t="s">
        <v>651</v>
      </c>
      <c r="E25" s="85" t="s">
        <v>180</v>
      </c>
      <c r="F25" s="80"/>
      <c r="G25" s="80"/>
      <c r="H25" s="80"/>
      <c r="I25" s="297">
        <f>'Valuation output'!B7/'Valuation output'!B39</f>
        <v>5.269640707447458E-2</v>
      </c>
      <c r="J25" s="297" t="e">
        <f>VLOOKUP(B6,'Industry Averages(US)'!A2:S97,5)</f>
        <v>#N/A</v>
      </c>
      <c r="K25" s="297">
        <f>VLOOKUP(B7,'Global industry averages'!A2:N96,5)</f>
        <v>0.1201</v>
      </c>
    </row>
    <row r="26" spans="1:11" s="56" customFormat="1" ht="12.75">
      <c r="A26" s="64" t="s">
        <v>37</v>
      </c>
      <c r="B26" s="67"/>
      <c r="C26" s="61"/>
      <c r="E26" s="85" t="s">
        <v>392</v>
      </c>
      <c r="F26" s="80"/>
      <c r="G26" s="80"/>
      <c r="H26" s="80"/>
      <c r="I26" s="168"/>
      <c r="J26" s="299" t="e">
        <f>VLOOKUP(B6,'Industry Averages(US)'!A2:S97,10)</f>
        <v>#N/A</v>
      </c>
      <c r="K26" s="297" t="e">
        <f>VLOOKUP(B6,'Global industry averages'!A2:Z96,10)</f>
        <v>#N/A</v>
      </c>
    </row>
    <row r="27" spans="1:11" s="56" customFormat="1" ht="13.5" thickBot="1">
      <c r="A27" s="60" t="s">
        <v>28</v>
      </c>
      <c r="B27" s="159">
        <v>2.5999999999999999E-3</v>
      </c>
      <c r="C27" s="61"/>
      <c r="E27" s="58" t="s">
        <v>391</v>
      </c>
      <c r="F27" s="59"/>
      <c r="G27" s="59"/>
      <c r="H27" s="59"/>
      <c r="I27" s="59"/>
      <c r="J27" s="300" t="e">
        <f>VLOOKUP(B6,'Industry Averages(US)'!A2:S96,13)</f>
        <v>#N/A</v>
      </c>
      <c r="K27" s="297" t="e">
        <f>VLOOKUP(B6,'Global industry averages'!A2:Z96,13)</f>
        <v>#N/A</v>
      </c>
    </row>
    <row r="28" spans="1:11" s="56" customFormat="1" ht="13.5" thickBot="1">
      <c r="A28" s="60" t="s">
        <v>40</v>
      </c>
      <c r="B28" s="159">
        <f>'Cost of capital worksheet'!E49</f>
        <v>7.6717607805619731E-2</v>
      </c>
      <c r="C28" s="61"/>
    </row>
    <row r="29" spans="1:11" s="56" customFormat="1" ht="12.75">
      <c r="A29" s="64" t="s">
        <v>92</v>
      </c>
      <c r="B29" s="68"/>
      <c r="C29" s="68"/>
      <c r="D29" s="61"/>
      <c r="E29" s="371" t="s">
        <v>653</v>
      </c>
      <c r="F29" s="372"/>
      <c r="G29" s="372"/>
      <c r="H29" s="372"/>
      <c r="I29" s="372"/>
      <c r="J29" s="373"/>
    </row>
    <row r="30" spans="1:11" s="56" customFormat="1" ht="12.75">
      <c r="A30" s="62" t="s">
        <v>249</v>
      </c>
      <c r="B30" s="159" t="s">
        <v>54</v>
      </c>
      <c r="C30"/>
      <c r="D30" s="61"/>
      <c r="E30" s="269" t="s">
        <v>654</v>
      </c>
      <c r="F30" s="62"/>
      <c r="G30" s="62"/>
      <c r="H30" s="62"/>
      <c r="I30" s="62"/>
      <c r="J30" s="295">
        <f>'Valuation output'!M3</f>
        <v>31656.286321404601</v>
      </c>
    </row>
    <row r="31" spans="1:11" s="56" customFormat="1" ht="12.75">
      <c r="A31" s="62" t="s">
        <v>93</v>
      </c>
      <c r="B31" s="66">
        <v>20.02</v>
      </c>
      <c r="C31" s="294"/>
      <c r="D31" s="61"/>
      <c r="E31" s="269" t="s">
        <v>656</v>
      </c>
      <c r="F31" s="62"/>
      <c r="G31" s="62"/>
      <c r="H31" s="62"/>
      <c r="I31" s="62"/>
      <c r="J31" s="295">
        <f>'Valuation output'!M5</f>
        <v>2690.7843373193914</v>
      </c>
    </row>
    <row r="32" spans="1:11" s="56" customFormat="1" ht="12.75">
      <c r="A32" s="62" t="s">
        <v>94</v>
      </c>
      <c r="B32" s="69">
        <v>46.13</v>
      </c>
      <c r="C32" s="293"/>
      <c r="D32" s="61"/>
      <c r="E32" s="269" t="s">
        <v>655</v>
      </c>
      <c r="F32" s="62"/>
      <c r="G32" s="62"/>
      <c r="H32" s="62"/>
      <c r="I32" s="62"/>
      <c r="J32" s="296">
        <f>'Valuation output'!L40</f>
        <v>7.434789488616568E-2</v>
      </c>
    </row>
    <row r="33" spans="1:14" s="56" customFormat="1" ht="13.5" thickBot="1">
      <c r="A33" s="62" t="s">
        <v>95</v>
      </c>
      <c r="B33" s="66">
        <v>4.55</v>
      </c>
      <c r="C33" s="294"/>
      <c r="D33" s="61"/>
      <c r="E33" s="270" t="s">
        <v>657</v>
      </c>
      <c r="F33" s="59"/>
      <c r="G33" s="59"/>
      <c r="H33" s="59"/>
      <c r="I33" s="59"/>
      <c r="J33" s="271"/>
    </row>
    <row r="34" spans="1:14" s="56" customFormat="1" ht="12.75">
      <c r="A34" s="62" t="s">
        <v>96</v>
      </c>
      <c r="B34" s="159">
        <v>0.3</v>
      </c>
      <c r="C34" s="61"/>
    </row>
    <row r="35" spans="1:14" s="56" customFormat="1" ht="12.75">
      <c r="A35" s="62"/>
      <c r="B35" s="70"/>
      <c r="C35" s="68"/>
      <c r="D35" s="61"/>
    </row>
    <row r="36" spans="1:14" s="56" customFormat="1" ht="12.75">
      <c r="A36" s="366" t="s">
        <v>109</v>
      </c>
      <c r="B36" s="366"/>
      <c r="C36" s="81"/>
      <c r="D36" s="61"/>
    </row>
    <row r="37" spans="1:14" s="72" customFormat="1" ht="12.75">
      <c r="A37" s="71" t="s">
        <v>110</v>
      </c>
      <c r="B37" s="71"/>
      <c r="C37" s="82"/>
      <c r="D37" s="61"/>
      <c r="H37" s="56"/>
      <c r="I37" s="56"/>
      <c r="J37" s="56"/>
      <c r="K37" s="56"/>
      <c r="L37" s="56"/>
      <c r="M37" s="56"/>
      <c r="N37" s="56"/>
    </row>
    <row r="38" spans="1:14" s="56" customFormat="1" ht="12.75">
      <c r="A38" s="73" t="s">
        <v>41</v>
      </c>
      <c r="B38" s="74" t="s">
        <v>60</v>
      </c>
      <c r="C38" s="61" t="s">
        <v>57</v>
      </c>
    </row>
    <row r="39" spans="1:14" s="56" customFormat="1" ht="12.75">
      <c r="A39" s="73" t="s">
        <v>43</v>
      </c>
      <c r="B39" s="159">
        <v>0.06</v>
      </c>
      <c r="C39" s="61" t="s">
        <v>146</v>
      </c>
      <c r="N39" s="72"/>
    </row>
    <row r="40" spans="1:14" s="72" customFormat="1" ht="12.75">
      <c r="A40" s="72" t="s">
        <v>111</v>
      </c>
      <c r="C40" s="61"/>
      <c r="N40" s="56"/>
    </row>
    <row r="41" spans="1:14" s="56" customFormat="1" ht="12.75">
      <c r="A41" s="56" t="s">
        <v>41</v>
      </c>
      <c r="B41" s="74" t="s">
        <v>54</v>
      </c>
      <c r="C41" s="61" t="s">
        <v>56</v>
      </c>
    </row>
    <row r="42" spans="1:14" s="56" customFormat="1" ht="12.75">
      <c r="A42" s="56" t="s">
        <v>42</v>
      </c>
      <c r="B42" s="75">
        <v>0.09</v>
      </c>
      <c r="C42" s="61" t="s">
        <v>147</v>
      </c>
      <c r="N42" s="72"/>
    </row>
    <row r="43" spans="1:14" s="56" customFormat="1" ht="12.75">
      <c r="A43" s="72" t="s">
        <v>142</v>
      </c>
      <c r="C43" s="61"/>
      <c r="H43" s="72"/>
      <c r="I43" s="72"/>
      <c r="J43" s="72"/>
      <c r="K43" s="72"/>
      <c r="L43" s="72"/>
      <c r="M43" s="72"/>
    </row>
    <row r="44" spans="1:14" s="56" customFormat="1" ht="12.75">
      <c r="A44" s="56" t="s">
        <v>41</v>
      </c>
      <c r="B44" s="74" t="s">
        <v>54</v>
      </c>
      <c r="C44" s="61" t="s">
        <v>117</v>
      </c>
    </row>
    <row r="45" spans="1:14" s="56" customFormat="1" ht="12.75">
      <c r="A45" s="56" t="s">
        <v>112</v>
      </c>
      <c r="B45" s="75">
        <v>0.1</v>
      </c>
      <c r="C45" s="61" t="s">
        <v>58</v>
      </c>
    </row>
    <row r="46" spans="1:14" s="56" customFormat="1" ht="12.75">
      <c r="A46" s="56" t="s">
        <v>115</v>
      </c>
      <c r="B46" s="75" t="s">
        <v>239</v>
      </c>
      <c r="C46" s="61" t="s">
        <v>106</v>
      </c>
    </row>
    <row r="47" spans="1:14" s="56" customFormat="1" ht="12.75">
      <c r="A47" s="56" t="s">
        <v>240</v>
      </c>
      <c r="B47" s="75">
        <v>0.5</v>
      </c>
      <c r="C47" s="61" t="s">
        <v>116</v>
      </c>
    </row>
    <row r="48" spans="1:14" s="56" customFormat="1" ht="12.75">
      <c r="A48" s="72" t="s">
        <v>144</v>
      </c>
      <c r="B48" s="76"/>
      <c r="C48" s="61"/>
    </row>
    <row r="49" spans="1:14" s="56" customFormat="1" ht="12.75">
      <c r="A49" s="56" t="s">
        <v>41</v>
      </c>
      <c r="B49" s="75" t="s">
        <v>54</v>
      </c>
      <c r="C49" s="61"/>
    </row>
    <row r="50" spans="1:14" s="56" customFormat="1" ht="12.75">
      <c r="A50" s="72" t="s">
        <v>141</v>
      </c>
      <c r="C50" s="61"/>
    </row>
    <row r="51" spans="1:14" s="56" customFormat="1" ht="12.75">
      <c r="A51" s="56" t="s">
        <v>41</v>
      </c>
      <c r="B51" s="74" t="s">
        <v>54</v>
      </c>
      <c r="C51" s="61" t="s">
        <v>59</v>
      </c>
    </row>
    <row r="52" spans="1:14" s="56" customFormat="1" ht="12.75">
      <c r="A52" s="56" t="s">
        <v>51</v>
      </c>
      <c r="B52" s="69">
        <v>341.17</v>
      </c>
      <c r="C52" s="61" t="s">
        <v>148</v>
      </c>
    </row>
    <row r="53" spans="1:14" s="56" customFormat="1" ht="12.75">
      <c r="A53" s="56" t="s">
        <v>664</v>
      </c>
      <c r="B53" s="293"/>
      <c r="C53" s="61"/>
    </row>
    <row r="54" spans="1:14" s="56" customFormat="1" ht="12.75">
      <c r="A54" s="56" t="s">
        <v>41</v>
      </c>
      <c r="B54" s="69" t="s">
        <v>60</v>
      </c>
      <c r="C54" s="61"/>
    </row>
    <row r="55" spans="1:14" s="56" customFormat="1" ht="12.75">
      <c r="A55" s="56" t="s">
        <v>665</v>
      </c>
      <c r="B55" s="292">
        <v>0.02</v>
      </c>
      <c r="C55" s="61" t="s">
        <v>666</v>
      </c>
    </row>
    <row r="56" spans="1:14" s="280" customFormat="1" ht="12.75">
      <c r="A56" s="280" t="s">
        <v>669</v>
      </c>
      <c r="H56" s="72"/>
      <c r="I56" s="72"/>
      <c r="J56" s="72"/>
      <c r="K56" s="72"/>
      <c r="L56" s="72"/>
      <c r="M56" s="72"/>
      <c r="N56" s="72"/>
    </row>
    <row r="57" spans="1:14" ht="12.75">
      <c r="A57" s="4" t="s">
        <v>658</v>
      </c>
      <c r="B57" s="281" t="s">
        <v>54</v>
      </c>
      <c r="H57" s="56"/>
      <c r="I57" s="56"/>
      <c r="J57" s="56"/>
      <c r="K57" s="56"/>
      <c r="L57" s="56"/>
      <c r="M57" s="56"/>
      <c r="N57" s="56"/>
    </row>
    <row r="58" spans="1:14" ht="12.75">
      <c r="A58" s="4" t="s">
        <v>672</v>
      </c>
      <c r="B58" s="183">
        <v>140000</v>
      </c>
      <c r="C58" s="302" t="s">
        <v>670</v>
      </c>
      <c r="H58" s="56"/>
      <c r="I58" s="56"/>
      <c r="J58" s="56"/>
      <c r="K58" s="56"/>
      <c r="L58" s="56"/>
      <c r="M58" s="56"/>
    </row>
    <row r="59" spans="1:14">
      <c r="A59" s="301" t="s">
        <v>659</v>
      </c>
      <c r="B59" s="282">
        <v>0.15</v>
      </c>
      <c r="C59" s="302" t="s">
        <v>671</v>
      </c>
    </row>
    <row r="60" spans="1:14">
      <c r="A60" s="145"/>
    </row>
  </sheetData>
  <mergeCells count="3">
    <mergeCell ref="A36:B36"/>
    <mergeCell ref="A3:J3"/>
    <mergeCell ref="E29:J29"/>
  </mergeCells>
  <phoneticPr fontId="6" type="noConversion"/>
  <pageMargins left="0.7" right="0.7" top="0.75" bottom="0.75" header="0.5" footer="0.5"/>
  <pageSetup orientation="portrait" horizontalDpi="4294967292" verticalDpi="4294967292"/>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'Answer keys'!$A$2:$A$3</xm:f>
          </x14:formula1>
          <xm:sqref>B38 B41 B44 B51 B49 B13:B14 B57 B54 B30</xm:sqref>
        </x14:dataValidation>
        <x14:dataValidation type="list" allowBlank="1" showInputMessage="1" showErrorMessage="1">
          <x14:formula1>
            <xm:f>'Answer keys'!$B$2:$B$3</xm:f>
          </x14:formula1>
          <xm:sqref>B46</xm:sqref>
        </x14:dataValidation>
        <x14:dataValidation type="list" allowBlank="1" showInputMessage="1" showErrorMessage="1">
          <x14:formula1>
            <xm:f>'Global industry averages'!$A$2:$A$96</xm:f>
          </x14:formula1>
          <xm:sqref>B7</xm:sqref>
        </x14:dataValidation>
        <x14:dataValidation type="list" allowBlank="1" showInputMessage="1" showErrorMessage="1">
          <x14:formula1>
            <xm:f>'Country equity risk premiums'!$A$2:$A$145</xm:f>
          </x14:formula1>
          <xm:sqref>B5</xm:sqref>
        </x14:dataValidation>
        <x14:dataValidation type="list" allowBlank="1" showInputMessage="1" showErrorMessage="1">
          <x14:formula1>
            <xm:f>'Industry Averages(US)'!$A$2:$A$96</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A43" workbookViewId="0">
      <selection activeCell="D38" sqref="D38:D52"/>
    </sheetView>
  </sheetViews>
  <sheetFormatPr baseColWidth="10" defaultRowHeight="12"/>
  <sheetData>
    <row r="1" spans="1:10" ht="18.75">
      <c r="A1" s="6" t="s">
        <v>215</v>
      </c>
    </row>
    <row r="2" spans="1:10" ht="18.75">
      <c r="A2" s="6" t="s">
        <v>216</v>
      </c>
    </row>
    <row r="3" spans="1:10" s="128" customFormat="1" ht="16.5" thickBot="1">
      <c r="A3" s="127" t="s">
        <v>217</v>
      </c>
    </row>
    <row r="4" spans="1:10" s="129" customFormat="1" ht="13.5" thickBot="1">
      <c r="A4" s="8" t="s">
        <v>218</v>
      </c>
      <c r="B4" s="8"/>
      <c r="C4" s="237">
        <f>'Cost of capital worksheet'!B23</f>
        <v>1</v>
      </c>
      <c r="D4" s="8"/>
      <c r="E4" s="8"/>
      <c r="F4" s="8"/>
      <c r="G4" s="8"/>
      <c r="H4" s="8"/>
      <c r="I4" s="8"/>
      <c r="J4" s="8"/>
    </row>
    <row r="5" spans="1:10" s="129" customFormat="1" ht="13.5" thickBot="1">
      <c r="A5" s="8" t="s">
        <v>219</v>
      </c>
      <c r="B5" s="8"/>
      <c r="C5" s="8"/>
      <c r="D5" s="8"/>
      <c r="E5" s="112"/>
      <c r="F5" s="119">
        <f>IF('Input sheet'!B14="Yes",'Input sheet'!B9+'Operating lease converter'!F32,'Input sheet'!B9)</f>
        <v>1511.2267639441357</v>
      </c>
      <c r="G5" s="8" t="s">
        <v>220</v>
      </c>
      <c r="H5" s="8"/>
      <c r="I5" s="8"/>
      <c r="J5" s="8"/>
    </row>
    <row r="6" spans="1:10" s="129" customFormat="1" ht="13.5" thickBot="1">
      <c r="A6" s="8" t="s">
        <v>221</v>
      </c>
      <c r="B6" s="8"/>
      <c r="C6" s="8"/>
      <c r="D6" s="8"/>
      <c r="E6" s="8"/>
      <c r="F6" s="206">
        <f>IF('Input sheet'!B14="Yes",'Cost of capital worksheet'!B18+'Operating lease converter'!C28*'Operating lease converter'!C15,'Cost of capital worksheet'!B18)</f>
        <v>411.87003524225207</v>
      </c>
      <c r="G6" s="8" t="s">
        <v>222</v>
      </c>
      <c r="H6" s="8"/>
      <c r="I6" s="8"/>
      <c r="J6" s="8"/>
    </row>
    <row r="7" spans="1:10" s="129" customFormat="1" ht="13.5" thickBot="1">
      <c r="A7" s="8" t="s">
        <v>237</v>
      </c>
      <c r="B7" s="8"/>
      <c r="C7" s="8"/>
      <c r="D7" s="8"/>
      <c r="E7" s="8"/>
      <c r="F7" s="139">
        <f>'Input sheet'!B27</f>
        <v>2.5999999999999999E-3</v>
      </c>
      <c r="G7" s="8"/>
      <c r="H7" s="8"/>
      <c r="I7" s="8"/>
      <c r="J7" s="8"/>
    </row>
    <row r="8" spans="1:10" s="129" customFormat="1" ht="13.5" thickBot="1">
      <c r="A8" s="17" t="s">
        <v>125</v>
      </c>
      <c r="B8" s="8"/>
      <c r="C8" s="8"/>
      <c r="D8" s="8"/>
      <c r="E8" s="8"/>
      <c r="F8" s="112"/>
      <c r="G8" s="8"/>
      <c r="H8" s="8"/>
      <c r="I8" s="8"/>
      <c r="J8" s="8"/>
    </row>
    <row r="9" spans="1:10" s="129" customFormat="1" ht="13.5" thickBot="1">
      <c r="A9" s="8" t="s">
        <v>223</v>
      </c>
      <c r="B9" s="8"/>
      <c r="C9" s="8"/>
      <c r="D9" s="140">
        <f>IF(F6=0,1000000,IF(F5&lt;0,-100000,F5/F6))</f>
        <v>3.6691835643136028</v>
      </c>
      <c r="E9" s="8"/>
      <c r="F9" s="112"/>
      <c r="G9" s="8"/>
      <c r="H9" s="8"/>
      <c r="I9" s="8"/>
      <c r="J9" s="8"/>
    </row>
    <row r="10" spans="1:10" s="129" customFormat="1" ht="13.5" thickBot="1">
      <c r="A10" s="8" t="s">
        <v>224</v>
      </c>
      <c r="D10" s="141" t="str">
        <f>IF(C4=1,VLOOKUP(D9,A19:D33,3),(IF(C4=2,VLOOKUP(D9,A38:D52,3),VLOOKUP(D9,F19:I33,3))))</f>
        <v>A3/A-</v>
      </c>
      <c r="F10" s="16" t="s">
        <v>225</v>
      </c>
    </row>
    <row r="11" spans="1:10" s="129" customFormat="1" ht="13.5" thickBot="1">
      <c r="A11" s="8" t="s">
        <v>484</v>
      </c>
      <c r="D11" s="142">
        <f>IF(C4=1,VLOOKUP(D9,A19:D33,4),(IF(C4=2,VLOOKUP(D9,A38:D52,4),VLOOKUP(D9,F19:I33,4))))</f>
        <v>1.7500000000000002E-2</v>
      </c>
      <c r="F11" s="16" t="s">
        <v>226</v>
      </c>
    </row>
    <row r="12" spans="1:10" s="129" customFormat="1" ht="13.5" thickBot="1">
      <c r="A12" s="8" t="s">
        <v>485</v>
      </c>
      <c r="D12" s="142">
        <f>VLOOKUP('Input sheet'!B5,'Country equity risk premiums'!A2:C145,3)</f>
        <v>5.4999999999999997E-3</v>
      </c>
      <c r="F12" s="16"/>
    </row>
    <row r="13" spans="1:10" s="8" customFormat="1" ht="13.5" thickBot="1">
      <c r="A13" s="8" t="s">
        <v>227</v>
      </c>
      <c r="D13" s="143">
        <f>F7+D11+D12</f>
        <v>2.5599999999999998E-2</v>
      </c>
    </row>
    <row r="14" spans="1:10" s="8" customFormat="1" ht="12.75">
      <c r="D14" s="131"/>
    </row>
    <row r="15" spans="1:10" s="15" customFormat="1" ht="13.5">
      <c r="A15" s="15" t="s">
        <v>228</v>
      </c>
      <c r="D15" s="132"/>
    </row>
    <row r="16" spans="1:10" s="129" customFormat="1" ht="12.75">
      <c r="A16" s="17" t="s">
        <v>229</v>
      </c>
      <c r="F16"/>
      <c r="G16"/>
      <c r="H16"/>
      <c r="I16"/>
    </row>
    <row r="17" spans="1:10" s="129" customFormat="1" ht="12.75">
      <c r="A17" s="133" t="s">
        <v>230</v>
      </c>
      <c r="B17" s="133"/>
      <c r="C17" s="134"/>
      <c r="D17" s="134"/>
      <c r="F17"/>
      <c r="G17"/>
      <c r="H17"/>
      <c r="I17"/>
      <c r="J17" s="8"/>
    </row>
    <row r="18" spans="1:10" s="129" customFormat="1" ht="12.75">
      <c r="A18" s="117" t="s">
        <v>231</v>
      </c>
      <c r="B18" s="117" t="s">
        <v>232</v>
      </c>
      <c r="C18" s="117" t="s">
        <v>233</v>
      </c>
      <c r="D18" s="117" t="s">
        <v>234</v>
      </c>
      <c r="F18"/>
      <c r="G18"/>
      <c r="H18"/>
      <c r="I18"/>
    </row>
    <row r="19" spans="1:10" s="129" customFormat="1" ht="12.75">
      <c r="A19" s="30">
        <v>-100000</v>
      </c>
      <c r="B19" s="30">
        <v>0.19999900000000001</v>
      </c>
      <c r="C19" s="235" t="s">
        <v>468</v>
      </c>
      <c r="D19" s="290">
        <v>0.2</v>
      </c>
      <c r="F19"/>
      <c r="G19"/>
      <c r="H19"/>
      <c r="I19"/>
    </row>
    <row r="20" spans="1:10" s="129" customFormat="1" ht="12.75">
      <c r="A20" s="30">
        <v>0.2</v>
      </c>
      <c r="B20" s="30">
        <v>0.64999899999999999</v>
      </c>
      <c r="C20" s="235" t="s">
        <v>469</v>
      </c>
      <c r="D20" s="290">
        <v>0.16</v>
      </c>
      <c r="F20"/>
      <c r="G20"/>
      <c r="H20"/>
      <c r="I20"/>
    </row>
    <row r="21" spans="1:10" s="129" customFormat="1" ht="12.75">
      <c r="A21" s="30">
        <v>0.65</v>
      </c>
      <c r="B21" s="30">
        <v>0.79999900000000002</v>
      </c>
      <c r="C21" s="235" t="s">
        <v>470</v>
      </c>
      <c r="D21" s="290">
        <v>0.12</v>
      </c>
      <c r="F21"/>
      <c r="G21"/>
      <c r="H21"/>
      <c r="I21"/>
    </row>
    <row r="22" spans="1:10" s="129" customFormat="1" ht="12.75">
      <c r="A22" s="30">
        <v>0.8</v>
      </c>
      <c r="B22" s="30">
        <v>1.2499990000000001</v>
      </c>
      <c r="C22" s="235" t="s">
        <v>471</v>
      </c>
      <c r="D22" s="290">
        <v>0.09</v>
      </c>
      <c r="F22"/>
      <c r="G22"/>
      <c r="H22"/>
      <c r="I22"/>
    </row>
    <row r="23" spans="1:10" s="129" customFormat="1" ht="12.75">
      <c r="A23" s="30">
        <v>1.25</v>
      </c>
      <c r="B23" s="30">
        <v>1.4999990000000001</v>
      </c>
      <c r="C23" s="235" t="s">
        <v>472</v>
      </c>
      <c r="D23" s="290">
        <v>7.4999999999999997E-2</v>
      </c>
      <c r="F23"/>
      <c r="G23"/>
      <c r="H23"/>
      <c r="I23"/>
    </row>
    <row r="24" spans="1:10" s="129" customFormat="1" ht="12.75">
      <c r="A24" s="30">
        <v>1.5</v>
      </c>
      <c r="B24" s="30">
        <v>1.7499990000000001</v>
      </c>
      <c r="C24" s="235" t="s">
        <v>473</v>
      </c>
      <c r="D24" s="290">
        <v>6.5000000000000002E-2</v>
      </c>
      <c r="F24"/>
      <c r="G24"/>
      <c r="H24"/>
      <c r="I24"/>
    </row>
    <row r="25" spans="1:10" s="129" customFormat="1" ht="12.75">
      <c r="A25" s="30">
        <v>1.75</v>
      </c>
      <c r="B25" s="30">
        <v>1.9999990000000001</v>
      </c>
      <c r="C25" s="235" t="s">
        <v>474</v>
      </c>
      <c r="D25" s="290">
        <v>5.5E-2</v>
      </c>
      <c r="F25"/>
      <c r="G25"/>
      <c r="H25"/>
      <c r="I25"/>
    </row>
    <row r="26" spans="1:10" s="129" customFormat="1" ht="12.75">
      <c r="A26" s="30">
        <v>2</v>
      </c>
      <c r="B26" s="30">
        <v>2.2499999000000002</v>
      </c>
      <c r="C26" s="235" t="s">
        <v>475</v>
      </c>
      <c r="D26" s="290">
        <v>4.2500000000000003E-2</v>
      </c>
      <c r="F26"/>
      <c r="G26"/>
      <c r="H26"/>
      <c r="I26"/>
    </row>
    <row r="27" spans="1:10" s="129" customFormat="1" ht="12.75">
      <c r="A27" s="30">
        <v>2.25</v>
      </c>
      <c r="B27" s="30">
        <v>2.4999899999999999</v>
      </c>
      <c r="C27" s="235" t="s">
        <v>476</v>
      </c>
      <c r="D27" s="290">
        <v>3.2500000000000001E-2</v>
      </c>
      <c r="F27"/>
      <c r="G27"/>
      <c r="H27"/>
      <c r="I27"/>
    </row>
    <row r="28" spans="1:10" s="129" customFormat="1" ht="12.75">
      <c r="A28" s="30">
        <v>2.5</v>
      </c>
      <c r="B28" s="30">
        <v>2.9999989999999999</v>
      </c>
      <c r="C28" s="235" t="s">
        <v>477</v>
      </c>
      <c r="D28" s="290">
        <v>2.2499999999999999E-2</v>
      </c>
      <c r="F28"/>
      <c r="G28"/>
      <c r="H28"/>
      <c r="I28"/>
    </row>
    <row r="29" spans="1:10" s="129" customFormat="1" ht="12.75">
      <c r="A29" s="30">
        <v>3</v>
      </c>
      <c r="B29" s="30">
        <v>4.2499989999999999</v>
      </c>
      <c r="C29" s="235" t="s">
        <v>478</v>
      </c>
      <c r="D29" s="290">
        <v>1.7500000000000002E-2</v>
      </c>
      <c r="F29"/>
      <c r="G29"/>
      <c r="H29"/>
      <c r="I29"/>
    </row>
    <row r="30" spans="1:10" s="129" customFormat="1" ht="12.75">
      <c r="A30" s="30">
        <v>4.25</v>
      </c>
      <c r="B30" s="30">
        <v>5.4999989999999999</v>
      </c>
      <c r="C30" s="235" t="s">
        <v>479</v>
      </c>
      <c r="D30" s="290">
        <v>1.2500000000000001E-2</v>
      </c>
      <c r="F30"/>
      <c r="G30"/>
      <c r="H30"/>
      <c r="I30"/>
    </row>
    <row r="31" spans="1:10" s="129" customFormat="1" ht="12.75">
      <c r="A31" s="30">
        <v>5.5</v>
      </c>
      <c r="B31" s="30">
        <v>6.4999989999999999</v>
      </c>
      <c r="C31" s="235" t="s">
        <v>480</v>
      </c>
      <c r="D31" s="290">
        <v>1.0999999999999999E-2</v>
      </c>
      <c r="F31"/>
      <c r="G31"/>
      <c r="H31"/>
      <c r="I31"/>
    </row>
    <row r="32" spans="1:10" s="129" customFormat="1" ht="12.75">
      <c r="A32" s="30">
        <v>6.5</v>
      </c>
      <c r="B32" s="30">
        <v>8.4999990000000007</v>
      </c>
      <c r="C32" s="235" t="s">
        <v>481</v>
      </c>
      <c r="D32" s="290">
        <v>0.01</v>
      </c>
      <c r="F32"/>
      <c r="G32"/>
      <c r="H32"/>
      <c r="I32"/>
    </row>
    <row r="33" spans="1:9" s="129" customFormat="1" ht="12.75">
      <c r="A33" s="137">
        <v>8.5</v>
      </c>
      <c r="B33" s="30">
        <v>100000</v>
      </c>
      <c r="C33" s="235" t="s">
        <v>482</v>
      </c>
      <c r="D33" s="290">
        <v>7.4999999999999997E-3</v>
      </c>
      <c r="F33"/>
      <c r="G33"/>
      <c r="H33"/>
      <c r="I33"/>
    </row>
    <row r="34" spans="1:9" s="129" customFormat="1" ht="12.75"/>
    <row r="35" spans="1:9" s="129" customFormat="1" ht="12.75">
      <c r="A35" s="17" t="s">
        <v>236</v>
      </c>
    </row>
    <row r="36" spans="1:9" s="129" customFormat="1" ht="12.75">
      <c r="A36" s="133" t="s">
        <v>230</v>
      </c>
      <c r="B36" s="138"/>
      <c r="C36" s="30"/>
      <c r="D36" s="30"/>
    </row>
    <row r="37" spans="1:9" s="129" customFormat="1" ht="12.75">
      <c r="A37" s="30" t="s">
        <v>235</v>
      </c>
      <c r="B37" s="30" t="s">
        <v>232</v>
      </c>
      <c r="C37" s="30" t="s">
        <v>233</v>
      </c>
      <c r="D37" s="30" t="s">
        <v>234</v>
      </c>
    </row>
    <row r="38" spans="1:9" s="129" customFormat="1" ht="12.75">
      <c r="A38" s="30">
        <v>-100000</v>
      </c>
      <c r="B38" s="30">
        <v>0.49999900000000003</v>
      </c>
      <c r="C38" s="235" t="s">
        <v>468</v>
      </c>
      <c r="D38" s="290">
        <v>0.2</v>
      </c>
      <c r="G38" s="30" t="s">
        <v>233</v>
      </c>
      <c r="H38" s="30" t="s">
        <v>234</v>
      </c>
    </row>
    <row r="39" spans="1:9" s="129" customFormat="1" ht="12.75">
      <c r="A39" s="30">
        <v>0.5</v>
      </c>
      <c r="B39" s="30">
        <v>0.79999900000000002</v>
      </c>
      <c r="C39" s="235" t="s">
        <v>469</v>
      </c>
      <c r="D39" s="290">
        <v>0.16</v>
      </c>
      <c r="G39" s="235" t="s">
        <v>480</v>
      </c>
      <c r="H39" s="135">
        <v>8.9999999999999993E-3</v>
      </c>
    </row>
    <row r="40" spans="1:9" s="129" customFormat="1" ht="12.75">
      <c r="A40" s="30">
        <v>0.8</v>
      </c>
      <c r="B40" s="30">
        <v>1.2499990000000001</v>
      </c>
      <c r="C40" s="235" t="s">
        <v>470</v>
      </c>
      <c r="D40" s="290">
        <v>0.12</v>
      </c>
      <c r="G40" s="235" t="s">
        <v>479</v>
      </c>
      <c r="H40" s="136">
        <v>0.01</v>
      </c>
    </row>
    <row r="41" spans="1:9" s="129" customFormat="1" ht="12.75">
      <c r="A41" s="30">
        <v>1.25</v>
      </c>
      <c r="B41" s="30">
        <v>1.4999990000000001</v>
      </c>
      <c r="C41" s="235" t="s">
        <v>471</v>
      </c>
      <c r="D41" s="290">
        <v>0.09</v>
      </c>
      <c r="G41" s="235" t="s">
        <v>478</v>
      </c>
      <c r="H41" s="136">
        <v>1.2E-2</v>
      </c>
    </row>
    <row r="42" spans="1:9" s="129" customFormat="1" ht="12.75">
      <c r="A42" s="30">
        <v>1.5</v>
      </c>
      <c r="B42" s="30">
        <v>1.9999990000000001</v>
      </c>
      <c r="C42" s="235" t="s">
        <v>472</v>
      </c>
      <c r="D42" s="290">
        <v>7.4999999999999997E-2</v>
      </c>
      <c r="G42" s="235" t="s">
        <v>481</v>
      </c>
      <c r="H42" s="136">
        <v>7.0000000000000001E-3</v>
      </c>
    </row>
    <row r="43" spans="1:9" s="129" customFormat="1" ht="12.75">
      <c r="A43" s="30">
        <v>2</v>
      </c>
      <c r="B43" s="30">
        <v>2.4999989999999999</v>
      </c>
      <c r="C43" s="235" t="s">
        <v>473</v>
      </c>
      <c r="D43" s="290">
        <v>6.5000000000000002E-2</v>
      </c>
      <c r="G43" s="235" t="s">
        <v>482</v>
      </c>
      <c r="H43" s="136">
        <v>4.0000000000000001E-3</v>
      </c>
    </row>
    <row r="44" spans="1:9" s="129" customFormat="1" ht="12.75">
      <c r="A44" s="30">
        <v>2.5</v>
      </c>
      <c r="B44" s="30">
        <v>2.9999989999999999</v>
      </c>
      <c r="C44" s="235" t="s">
        <v>474</v>
      </c>
      <c r="D44" s="290">
        <v>5.5E-2</v>
      </c>
      <c r="G44" s="235" t="s">
        <v>474</v>
      </c>
      <c r="H44" s="136">
        <v>0.04</v>
      </c>
    </row>
    <row r="45" spans="1:9" s="129" customFormat="1" ht="12.75">
      <c r="A45" s="30">
        <v>3</v>
      </c>
      <c r="B45" s="30">
        <v>3.4999989999999999</v>
      </c>
      <c r="C45" s="235" t="s">
        <v>475</v>
      </c>
      <c r="D45" s="290">
        <v>4.2500000000000003E-2</v>
      </c>
      <c r="G45" s="235" t="s">
        <v>473</v>
      </c>
      <c r="H45" s="136">
        <v>0.05</v>
      </c>
    </row>
    <row r="46" spans="1:9" s="129" customFormat="1" ht="12.75">
      <c r="A46" s="30">
        <v>3.5</v>
      </c>
      <c r="B46" s="30">
        <v>3.9999999000000002</v>
      </c>
      <c r="C46" s="235" t="s">
        <v>476</v>
      </c>
      <c r="D46" s="290">
        <v>3.2500000000000001E-2</v>
      </c>
      <c r="G46" s="235" t="s">
        <v>472</v>
      </c>
      <c r="H46" s="136">
        <v>0.06</v>
      </c>
    </row>
    <row r="47" spans="1:9" s="129" customFormat="1" ht="12.75">
      <c r="A47" s="30">
        <v>4</v>
      </c>
      <c r="B47" s="30">
        <v>4.4999989999999999</v>
      </c>
      <c r="C47" s="235" t="s">
        <v>477</v>
      </c>
      <c r="D47" s="290">
        <v>2.2499999999999999E-2</v>
      </c>
      <c r="G47" s="235" t="s">
        <v>476</v>
      </c>
      <c r="H47" s="136">
        <v>2.75E-2</v>
      </c>
    </row>
    <row r="48" spans="1:9" s="129" customFormat="1" ht="12.75">
      <c r="A48" s="30">
        <v>4.5</v>
      </c>
      <c r="B48" s="30">
        <v>5.9999989999999999</v>
      </c>
      <c r="C48" s="235" t="s">
        <v>478</v>
      </c>
      <c r="D48" s="290">
        <v>1.7500000000000002E-2</v>
      </c>
      <c r="G48" s="235" t="s">
        <v>475</v>
      </c>
      <c r="H48" s="136">
        <v>3.2500000000000001E-2</v>
      </c>
    </row>
    <row r="49" spans="1:10" s="129" customFormat="1" ht="12.75">
      <c r="A49" s="30">
        <v>6</v>
      </c>
      <c r="B49" s="30">
        <v>7.4999989999999999</v>
      </c>
      <c r="C49" s="235" t="s">
        <v>479</v>
      </c>
      <c r="D49" s="290">
        <v>1.2500000000000001E-2</v>
      </c>
      <c r="G49" s="235" t="s">
        <v>477</v>
      </c>
      <c r="H49" s="136">
        <v>1.7500000000000002E-2</v>
      </c>
    </row>
    <row r="50" spans="1:10" s="129" customFormat="1" ht="12.75">
      <c r="A50" s="30">
        <v>7.5</v>
      </c>
      <c r="B50" s="30">
        <v>9.4999990000000007</v>
      </c>
      <c r="C50" s="235" t="s">
        <v>480</v>
      </c>
      <c r="D50" s="290">
        <v>1.0999999999999999E-2</v>
      </c>
      <c r="G50" s="235" t="s">
        <v>471</v>
      </c>
      <c r="H50" s="136">
        <v>7.0000000000000007E-2</v>
      </c>
    </row>
    <row r="51" spans="1:10" ht="12.75">
      <c r="A51" s="30">
        <v>9.5</v>
      </c>
      <c r="B51" s="30">
        <v>12.499999000000001</v>
      </c>
      <c r="C51" s="235" t="s">
        <v>481</v>
      </c>
      <c r="D51" s="290">
        <v>0.01</v>
      </c>
      <c r="F51" s="129"/>
      <c r="G51" s="235" t="s">
        <v>470</v>
      </c>
      <c r="H51" s="136">
        <v>0.08</v>
      </c>
      <c r="I51" s="129"/>
      <c r="J51" s="129"/>
    </row>
    <row r="52" spans="1:10" ht="12.75">
      <c r="A52" s="30">
        <v>12.5</v>
      </c>
      <c r="B52" s="30">
        <v>100000</v>
      </c>
      <c r="C52" s="235" t="s">
        <v>482</v>
      </c>
      <c r="D52" s="290">
        <v>7.4999999999999997E-3</v>
      </c>
      <c r="G52" s="235" t="s">
        <v>469</v>
      </c>
      <c r="H52" s="136">
        <v>0.1</v>
      </c>
    </row>
    <row r="53" spans="1:10" ht="12.75">
      <c r="G53" s="235" t="s">
        <v>468</v>
      </c>
      <c r="H53" s="136">
        <v>0.12</v>
      </c>
    </row>
  </sheetData>
  <pageMargins left="0.7" right="0.7" top="0.75" bottom="0.75" header="0.5" footer="0.5"/>
  <pageSetup orientation="portrait" horizontalDpi="4294967292" verticalDpi="429496729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pane xSplit="1" ySplit="1" topLeftCell="B90" activePane="bottomRight" state="frozen"/>
      <selection pane="topRight" activeCell="B1" sqref="B1"/>
      <selection pane="bottomLeft" activeCell="A2" sqref="A2"/>
      <selection pane="bottomRight" activeCell="A97" sqref="A97:XFD97"/>
    </sheetView>
  </sheetViews>
  <sheetFormatPr baseColWidth="10" defaultColWidth="11.42578125" defaultRowHeight="12"/>
  <cols>
    <col min="1" max="1" width="27" customWidth="1"/>
    <col min="2" max="3" width="12.42578125" style="181" customWidth="1"/>
    <col min="4" max="4" width="15.42578125" style="181" customWidth="1"/>
    <col min="5" max="19" width="12.42578125" style="181" customWidth="1"/>
    <col min="20" max="23" width="11.42578125" style="181"/>
  </cols>
  <sheetData>
    <row r="1" spans="1:26" s="2" customFormat="1" ht="60">
      <c r="A1" s="242" t="s">
        <v>99</v>
      </c>
      <c r="B1" s="243" t="s">
        <v>176</v>
      </c>
      <c r="C1" s="244" t="s">
        <v>164</v>
      </c>
      <c r="D1" s="243" t="s">
        <v>17</v>
      </c>
      <c r="E1" s="244" t="s">
        <v>183</v>
      </c>
      <c r="F1" s="243" t="s">
        <v>165</v>
      </c>
      <c r="G1" s="243" t="s">
        <v>213</v>
      </c>
      <c r="H1" s="243" t="s">
        <v>166</v>
      </c>
      <c r="I1" s="243" t="s">
        <v>167</v>
      </c>
      <c r="J1" s="243" t="s">
        <v>168</v>
      </c>
      <c r="K1" s="243" t="s">
        <v>169</v>
      </c>
      <c r="L1" s="243" t="s">
        <v>170</v>
      </c>
      <c r="M1" s="243" t="s">
        <v>149</v>
      </c>
      <c r="N1" s="245" t="s">
        <v>102</v>
      </c>
      <c r="O1" s="243" t="s">
        <v>171</v>
      </c>
      <c r="P1" s="243" t="s">
        <v>172</v>
      </c>
      <c r="Q1" s="243" t="s">
        <v>173</v>
      </c>
      <c r="R1" s="243" t="s">
        <v>174</v>
      </c>
      <c r="S1" s="243" t="s">
        <v>175</v>
      </c>
      <c r="T1" s="243" t="s">
        <v>531</v>
      </c>
      <c r="U1" s="243" t="s">
        <v>532</v>
      </c>
      <c r="V1" s="243" t="s">
        <v>533</v>
      </c>
      <c r="W1" s="243" t="s">
        <v>534</v>
      </c>
      <c r="X1" s="242" t="s">
        <v>495</v>
      </c>
      <c r="Y1" s="242" t="s">
        <v>535</v>
      </c>
      <c r="Z1" s="242" t="s">
        <v>536</v>
      </c>
    </row>
    <row r="2" spans="1:26" ht="12.75">
      <c r="A2" s="276" t="s">
        <v>100</v>
      </c>
      <c r="B2" s="277">
        <v>44</v>
      </c>
      <c r="C2" s="278">
        <v>-4.8393333333333335E-3</v>
      </c>
      <c r="D2" s="278">
        <v>0.11611214770470371</v>
      </c>
      <c r="E2" s="278">
        <v>0.59684133845948506</v>
      </c>
      <c r="F2" s="278">
        <v>0.31645930963776697</v>
      </c>
      <c r="G2" s="279">
        <v>0.73846637214088284</v>
      </c>
      <c r="H2" s="279">
        <v>1.0787380520266183</v>
      </c>
      <c r="I2" s="278">
        <v>8.7424283121597099E-2</v>
      </c>
      <c r="J2" s="278">
        <v>0.71032909249537945</v>
      </c>
      <c r="K2" s="278">
        <v>4.5200000000000004E-2</v>
      </c>
      <c r="L2" s="278">
        <v>0.36003272675004927</v>
      </c>
      <c r="M2" s="278">
        <v>6.5712767634621527E-2</v>
      </c>
      <c r="N2" s="279">
        <v>5.348699731261644</v>
      </c>
      <c r="O2" s="279">
        <v>1.6985542212711113</v>
      </c>
      <c r="P2" s="279">
        <v>8.9351984897581236</v>
      </c>
      <c r="Q2" s="279">
        <v>14.559508803726279</v>
      </c>
      <c r="R2" s="279">
        <v>6.8068240923104248</v>
      </c>
      <c r="S2" s="279">
        <v>110.60536744471389</v>
      </c>
      <c r="T2" s="278">
        <v>-5.4434911292029556E-3</v>
      </c>
      <c r="U2" s="278">
        <v>2.3082066010313058E-2</v>
      </c>
      <c r="V2" s="278">
        <v>9.6267290536702979E-3</v>
      </c>
      <c r="W2" s="278">
        <v>0.11342385882925392</v>
      </c>
      <c r="X2" s="278">
        <v>0.25955493788961309</v>
      </c>
      <c r="Y2" s="278">
        <v>0.6459511540189028</v>
      </c>
      <c r="Z2" s="278">
        <v>0.6459511540189028</v>
      </c>
    </row>
    <row r="3" spans="1:26" ht="12.75">
      <c r="A3" s="276" t="s">
        <v>548</v>
      </c>
      <c r="B3" s="277">
        <v>92</v>
      </c>
      <c r="C3" s="278">
        <v>4.6605862068965512E-2</v>
      </c>
      <c r="D3" s="278">
        <v>0.12450471063429</v>
      </c>
      <c r="E3" s="278">
        <v>0.30151789992333922</v>
      </c>
      <c r="F3" s="278">
        <v>0.28987105162401955</v>
      </c>
      <c r="G3" s="279">
        <v>1.1953920656189123</v>
      </c>
      <c r="H3" s="279">
        <v>1.3295169575705978</v>
      </c>
      <c r="I3" s="278">
        <v>0.10247101745423587</v>
      </c>
      <c r="J3" s="278">
        <v>0.46896672043669452</v>
      </c>
      <c r="K3" s="278">
        <v>3.5200000000000002E-2</v>
      </c>
      <c r="L3" s="278">
        <v>0.17010932150157251</v>
      </c>
      <c r="M3" s="278">
        <v>8.8632451071633228E-2</v>
      </c>
      <c r="N3" s="279">
        <v>2.7972140690347569</v>
      </c>
      <c r="O3" s="279">
        <v>1.5796532363870954</v>
      </c>
      <c r="P3" s="279">
        <v>10.331276604535567</v>
      </c>
      <c r="Q3" s="279">
        <v>12.761747883649281</v>
      </c>
      <c r="R3" s="279">
        <v>4.38812393432252</v>
      </c>
      <c r="S3" s="279">
        <v>31.254281922655814</v>
      </c>
      <c r="T3" s="278">
        <v>0.27608872573836024</v>
      </c>
      <c r="U3" s="278">
        <v>2.6426125207021131E-2</v>
      </c>
      <c r="V3" s="278">
        <v>4.1935072671155767E-2</v>
      </c>
      <c r="W3" s="278">
        <v>0.65318808203562628</v>
      </c>
      <c r="X3" s="278">
        <v>0.20187025441086814</v>
      </c>
      <c r="Y3" s="278">
        <v>0.35322673424781853</v>
      </c>
      <c r="Z3" s="278">
        <v>0.35322673424781859</v>
      </c>
    </row>
    <row r="4" spans="1:26" ht="12.75">
      <c r="A4" s="276" t="s">
        <v>549</v>
      </c>
      <c r="B4" s="277">
        <v>20</v>
      </c>
      <c r="C4" s="278">
        <v>9.3524999999999997E-2</v>
      </c>
      <c r="D4" s="278">
        <v>0.15266616604741687</v>
      </c>
      <c r="E4" s="278">
        <v>0.18567921666140619</v>
      </c>
      <c r="F4" s="278">
        <v>0.20973470324686941</v>
      </c>
      <c r="G4" s="279">
        <v>0.84529931162966976</v>
      </c>
      <c r="H4" s="279">
        <v>1.2682844827586206</v>
      </c>
      <c r="I4" s="278">
        <v>9.8797068965517237E-2</v>
      </c>
      <c r="J4" s="278">
        <v>0.51945706368951428</v>
      </c>
      <c r="K4" s="278">
        <v>4.02E-2</v>
      </c>
      <c r="L4" s="278">
        <v>0.41100939558033089</v>
      </c>
      <c r="M4" s="278">
        <v>6.8104091986289306E-2</v>
      </c>
      <c r="N4" s="279">
        <v>1.4892247394000691</v>
      </c>
      <c r="O4" s="279">
        <v>1.4819410646389195</v>
      </c>
      <c r="P4" s="279">
        <v>5.8007170378138389</v>
      </c>
      <c r="Q4" s="279">
        <v>9.7099107361307002</v>
      </c>
      <c r="R4" s="279">
        <v>3.4804155409171562</v>
      </c>
      <c r="S4" s="279">
        <v>12.011711164920712</v>
      </c>
      <c r="T4" s="278">
        <v>3.4834096463771863E-2</v>
      </c>
      <c r="U4" s="278">
        <v>0.10460164951500221</v>
      </c>
      <c r="V4" s="278">
        <v>6.1305911092450795E-2</v>
      </c>
      <c r="W4" s="278">
        <v>0.47189954543139218</v>
      </c>
      <c r="X4" s="278">
        <v>0.44129569994594542</v>
      </c>
      <c r="Y4" s="278">
        <v>6.7808540059120348E-2</v>
      </c>
      <c r="Z4" s="278">
        <v>6.7808540059120403E-2</v>
      </c>
    </row>
    <row r="5" spans="1:26" ht="12.75">
      <c r="A5" s="276" t="s">
        <v>550</v>
      </c>
      <c r="B5" s="277">
        <v>63</v>
      </c>
      <c r="C5" s="278">
        <v>0.1468372972972973</v>
      </c>
      <c r="D5" s="278">
        <v>0.12131193613189956</v>
      </c>
      <c r="E5" s="278">
        <v>0.159850905512989</v>
      </c>
      <c r="F5" s="278">
        <v>0.26858730452443957</v>
      </c>
      <c r="G5" s="279">
        <v>0.88175283038136143</v>
      </c>
      <c r="H5" s="279">
        <v>1.055835652349264</v>
      </c>
      <c r="I5" s="278">
        <v>8.6050139140955842E-2</v>
      </c>
      <c r="J5" s="278">
        <v>0.60619290863630659</v>
      </c>
      <c r="K5" s="278">
        <v>4.02E-2</v>
      </c>
      <c r="L5" s="278">
        <v>0.21787219270846409</v>
      </c>
      <c r="M5" s="278">
        <v>7.2557283931575511E-2</v>
      </c>
      <c r="N5" s="279">
        <v>1.5266229120560491</v>
      </c>
      <c r="O5" s="279">
        <v>1.9738696753824103</v>
      </c>
      <c r="P5" s="279">
        <v>10.838692682933795</v>
      </c>
      <c r="Q5" s="279">
        <v>16.389857412709539</v>
      </c>
      <c r="R5" s="279">
        <v>3.7318741753818085</v>
      </c>
      <c r="S5" s="279">
        <v>18.418072713863307</v>
      </c>
      <c r="T5" s="278">
        <v>0.27820204114688701</v>
      </c>
      <c r="U5" s="278">
        <v>3.44698235026751E-2</v>
      </c>
      <c r="V5" s="278">
        <v>6.0765920881461363E-2</v>
      </c>
      <c r="W5" s="278">
        <v>0.91815862087930189</v>
      </c>
      <c r="X5" s="278">
        <v>0.1450507887211375</v>
      </c>
      <c r="Y5" s="278">
        <v>0.34578898879828535</v>
      </c>
      <c r="Z5" s="278">
        <v>0.34578898879828535</v>
      </c>
    </row>
    <row r="6" spans="1:26" ht="12.75">
      <c r="A6" s="276" t="s">
        <v>551</v>
      </c>
      <c r="B6" s="277">
        <v>19</v>
      </c>
      <c r="C6" s="278">
        <v>0.27967142857142852</v>
      </c>
      <c r="D6" s="278">
        <v>4.6162613513357605E-2</v>
      </c>
      <c r="E6" s="278">
        <v>5.0638331441456949E-2</v>
      </c>
      <c r="F6" s="278">
        <v>0.28105330022521224</v>
      </c>
      <c r="G6" s="279">
        <v>0.47138066877424006</v>
      </c>
      <c r="H6" s="279">
        <v>0.95540613026819932</v>
      </c>
      <c r="I6" s="278">
        <v>8.0024367816091957E-2</v>
      </c>
      <c r="J6" s="278">
        <v>0.33708676261598347</v>
      </c>
      <c r="K6" s="278">
        <v>3.5200000000000002E-2</v>
      </c>
      <c r="L6" s="278">
        <v>0.56148841367427393</v>
      </c>
      <c r="M6" s="278">
        <v>4.6950247772548533E-2</v>
      </c>
      <c r="N6" s="279">
        <v>1.1890462714463605</v>
      </c>
      <c r="O6" s="279">
        <v>1.0402195701581045</v>
      </c>
      <c r="P6" s="279">
        <v>10.02584181105124</v>
      </c>
      <c r="Q6" s="279">
        <v>20.928792359612256</v>
      </c>
      <c r="R6" s="279">
        <v>2.2554051492552145</v>
      </c>
      <c r="S6" s="279">
        <v>12.186723368247414</v>
      </c>
      <c r="T6" s="278">
        <v>-1.3488663833357121E-2</v>
      </c>
      <c r="U6" s="278">
        <v>9.4069755692903503E-2</v>
      </c>
      <c r="V6" s="278">
        <v>0.10086055208088991</v>
      </c>
      <c r="W6" s="278">
        <v>3.2778798953947414</v>
      </c>
      <c r="X6" s="278">
        <v>0.14703961224155562</v>
      </c>
      <c r="Y6" s="278">
        <v>0.45176076009483107</v>
      </c>
      <c r="Z6" s="278">
        <v>0.45176076009483102</v>
      </c>
    </row>
    <row r="7" spans="1:26" ht="12.75">
      <c r="A7" s="276" t="s">
        <v>552</v>
      </c>
      <c r="B7" s="277">
        <v>65</v>
      </c>
      <c r="C7" s="278">
        <v>5.2560857142857145E-2</v>
      </c>
      <c r="D7" s="278">
        <v>7.6494180797406885E-2</v>
      </c>
      <c r="E7" s="278">
        <v>0.1838162512456584</v>
      </c>
      <c r="F7" s="278">
        <v>0.26336869708259592</v>
      </c>
      <c r="G7" s="279">
        <v>1.0847454262865814</v>
      </c>
      <c r="H7" s="279">
        <v>1.2855828698553953</v>
      </c>
      <c r="I7" s="278">
        <v>9.9834972191323715E-2</v>
      </c>
      <c r="J7" s="278">
        <v>0.5506473425020062</v>
      </c>
      <c r="K7" s="278">
        <v>4.02E-2</v>
      </c>
      <c r="L7" s="278">
        <v>0.24762771459433067</v>
      </c>
      <c r="M7" s="278">
        <v>8.108584666701292E-2</v>
      </c>
      <c r="N7" s="279">
        <v>2.6441396807247433</v>
      </c>
      <c r="O7" s="279">
        <v>0.7831433607748951</v>
      </c>
      <c r="P7" s="279">
        <v>7.3428130673414431</v>
      </c>
      <c r="Q7" s="279">
        <v>10.780991589320433</v>
      </c>
      <c r="R7" s="279">
        <v>2.55763178938219</v>
      </c>
      <c r="S7" s="279">
        <v>254.73693131655708</v>
      </c>
      <c r="T7" s="278">
        <v>0.1009662307742369</v>
      </c>
      <c r="U7" s="278">
        <v>3.9830447321734262E-2</v>
      </c>
      <c r="V7" s="278">
        <v>5.020631707153507E-2</v>
      </c>
      <c r="W7" s="278">
        <v>1.0820504063386629</v>
      </c>
      <c r="X7" s="278">
        <v>0.21810907881247088</v>
      </c>
      <c r="Y7" s="278">
        <v>0.18141360800266418</v>
      </c>
      <c r="Z7" s="278">
        <v>0.18141360800266415</v>
      </c>
    </row>
    <row r="8" spans="1:26" ht="12.75">
      <c r="A8" s="276" t="s">
        <v>553</v>
      </c>
      <c r="B8" s="277">
        <v>9</v>
      </c>
      <c r="C8" s="278">
        <v>0.12195555555555554</v>
      </c>
      <c r="D8" s="278">
        <v>-1.2326542197867451E-3</v>
      </c>
      <c r="E8" s="278">
        <v>-1.217422011748052E-4</v>
      </c>
      <c r="F8" s="278">
        <v>0.26730732941717017</v>
      </c>
      <c r="G8" s="279">
        <v>0.47353512676775578</v>
      </c>
      <c r="H8" s="279">
        <v>1.110528735632184</v>
      </c>
      <c r="I8" s="278">
        <v>8.9331724137931043E-2</v>
      </c>
      <c r="J8" s="278">
        <v>0.32768950968886518</v>
      </c>
      <c r="K8" s="278">
        <v>3.5200000000000002E-2</v>
      </c>
      <c r="L8" s="278">
        <v>0.68395359820317969</v>
      </c>
      <c r="M8" s="278">
        <v>4.2678069974150419E-2</v>
      </c>
      <c r="N8" s="279">
        <v>0.13314204749913741</v>
      </c>
      <c r="O8" s="279">
        <v>7.7436819259182359</v>
      </c>
      <c r="P8" s="279" t="s">
        <v>101</v>
      </c>
      <c r="Q8" s="279" t="s">
        <v>101</v>
      </c>
      <c r="R8" s="279">
        <v>0.95977081814295306</v>
      </c>
      <c r="S8" s="279">
        <v>13.433615754573914</v>
      </c>
      <c r="T8" s="278" t="s">
        <v>101</v>
      </c>
      <c r="U8" s="278">
        <v>1.3557067424058333E-2</v>
      </c>
      <c r="V8" s="278">
        <v>1.3557067424058333E-2</v>
      </c>
      <c r="W8" s="278" t="s">
        <v>101</v>
      </c>
      <c r="X8" s="278">
        <v>9.9222115524316701E-2</v>
      </c>
      <c r="Y8" s="278">
        <v>0.21282250842734826</v>
      </c>
      <c r="Z8" s="278">
        <v>0.21282250842734829</v>
      </c>
    </row>
    <row r="9" spans="1:26" ht="12.75">
      <c r="A9" s="276" t="s">
        <v>554</v>
      </c>
      <c r="B9" s="277">
        <v>644</v>
      </c>
      <c r="C9" s="278">
        <v>0.13288031602708789</v>
      </c>
      <c r="D9" s="278">
        <v>-1.2699764026681494E-3</v>
      </c>
      <c r="E9" s="278">
        <v>-2.3609760109127964E-4</v>
      </c>
      <c r="F9" s="278">
        <v>0.28078158122225427</v>
      </c>
      <c r="G9" s="279">
        <v>0.36327661295872771</v>
      </c>
      <c r="H9" s="279">
        <v>0.51118297133267054</v>
      </c>
      <c r="I9" s="278">
        <v>5.3370978279960235E-2</v>
      </c>
      <c r="J9" s="278">
        <v>0.28925289742969484</v>
      </c>
      <c r="K9" s="278">
        <v>3.5200000000000002E-2</v>
      </c>
      <c r="L9" s="278">
        <v>0.44006808879481252</v>
      </c>
      <c r="M9" s="278">
        <v>3.9178351906535125E-2</v>
      </c>
      <c r="N9" s="279">
        <v>0.24497462919109747</v>
      </c>
      <c r="O9" s="279">
        <v>5.4495267227033262</v>
      </c>
      <c r="P9" s="279" t="s">
        <v>101</v>
      </c>
      <c r="Q9" s="279" t="s">
        <v>101</v>
      </c>
      <c r="R9" s="279">
        <v>1.1557008391432382</v>
      </c>
      <c r="S9" s="279">
        <v>18.154892666628836</v>
      </c>
      <c r="T9" s="278" t="s">
        <v>101</v>
      </c>
      <c r="U9" s="278">
        <v>5.6912305621024159E-2</v>
      </c>
      <c r="V9" s="278">
        <v>-3.3195337766640604E-2</v>
      </c>
      <c r="W9" s="278" t="s">
        <v>101</v>
      </c>
      <c r="X9" s="278">
        <v>9.2277474882606708E-2</v>
      </c>
      <c r="Y9" s="278">
        <v>0.27686015254988455</v>
      </c>
      <c r="Z9" s="278">
        <v>0.27686015254988461</v>
      </c>
    </row>
    <row r="10" spans="1:26" ht="12.75">
      <c r="A10" s="276" t="s">
        <v>555</v>
      </c>
      <c r="B10" s="277">
        <v>22</v>
      </c>
      <c r="C10" s="278">
        <v>9.470333333333332E-2</v>
      </c>
      <c r="D10" s="278">
        <v>0.22903999176551046</v>
      </c>
      <c r="E10" s="278">
        <v>0.15849331108066342</v>
      </c>
      <c r="F10" s="278">
        <v>0.27105325521690476</v>
      </c>
      <c r="G10" s="279">
        <v>0.8180933816000725</v>
      </c>
      <c r="H10" s="279">
        <v>0.93828251663641882</v>
      </c>
      <c r="I10" s="278">
        <v>7.8996950998185128E-2</v>
      </c>
      <c r="J10" s="278">
        <v>0.58511364965244606</v>
      </c>
      <c r="K10" s="278">
        <v>4.02E-2</v>
      </c>
      <c r="L10" s="278">
        <v>0.15436514128240567</v>
      </c>
      <c r="M10" s="278">
        <v>7.0525862704202635E-2</v>
      </c>
      <c r="N10" s="279">
        <v>0.78002067740140668</v>
      </c>
      <c r="O10" s="279">
        <v>5.5297218586309791</v>
      </c>
      <c r="P10" s="279">
        <v>19.926304288922921</v>
      </c>
      <c r="Q10" s="279">
        <v>24.12658566543789</v>
      </c>
      <c r="R10" s="279">
        <v>4.4269335439617263</v>
      </c>
      <c r="S10" s="279">
        <v>38.201560491135929</v>
      </c>
      <c r="T10" s="278">
        <v>0.24555743336664951</v>
      </c>
      <c r="U10" s="278">
        <v>8.3527944176811156E-2</v>
      </c>
      <c r="V10" s="278">
        <v>0.12970661060559827</v>
      </c>
      <c r="W10" s="278">
        <v>0.85778891053701878</v>
      </c>
      <c r="X10" s="278">
        <v>0.13026839756324504</v>
      </c>
      <c r="Y10" s="278">
        <v>0.30963881775015273</v>
      </c>
      <c r="Z10" s="278">
        <v>0.30963881775015278</v>
      </c>
    </row>
    <row r="11" spans="1:26" ht="12.75">
      <c r="A11" s="276" t="s">
        <v>556</v>
      </c>
      <c r="B11" s="277">
        <v>43</v>
      </c>
      <c r="C11" s="278">
        <v>8.7964705882352945E-2</v>
      </c>
      <c r="D11" s="278">
        <v>0.18044616898496854</v>
      </c>
      <c r="E11" s="278">
        <v>0.22421933236723704</v>
      </c>
      <c r="F11" s="278">
        <v>0.27934645045094264</v>
      </c>
      <c r="G11" s="279">
        <v>0.98936155872391329</v>
      </c>
      <c r="H11" s="279">
        <v>1.1525281143212178</v>
      </c>
      <c r="I11" s="278">
        <v>9.1851686859273071E-2</v>
      </c>
      <c r="J11" s="278">
        <v>0.54550213031134431</v>
      </c>
      <c r="K11" s="278">
        <v>4.02E-2</v>
      </c>
      <c r="L11" s="278">
        <v>0.18683394331648659</v>
      </c>
      <c r="M11" s="278">
        <v>7.9197108715877623E-2</v>
      </c>
      <c r="N11" s="279">
        <v>1.3214631938363832</v>
      </c>
      <c r="O11" s="279">
        <v>3.5469362027485416</v>
      </c>
      <c r="P11" s="279">
        <v>15.824641552350874</v>
      </c>
      <c r="Q11" s="279">
        <v>19.657822180938314</v>
      </c>
      <c r="R11" s="279">
        <v>8.1306295171768586</v>
      </c>
      <c r="S11" s="279">
        <v>39.019986277349112</v>
      </c>
      <c r="T11" s="278">
        <v>1.0168252929767422E-2</v>
      </c>
      <c r="U11" s="278">
        <v>4.5627489468454616E-2</v>
      </c>
      <c r="V11" s="278">
        <v>6.5339303077309716E-2</v>
      </c>
      <c r="W11" s="278">
        <v>0.47103299307672664</v>
      </c>
      <c r="X11" s="278">
        <v>0.21981659427797612</v>
      </c>
      <c r="Y11" s="278">
        <v>0.83529798260613708</v>
      </c>
      <c r="Z11" s="278">
        <v>0.83529798260613708</v>
      </c>
    </row>
    <row r="12" spans="1:26" ht="12.75">
      <c r="A12" s="276" t="s">
        <v>557</v>
      </c>
      <c r="B12" s="277">
        <v>29</v>
      </c>
      <c r="C12" s="278">
        <v>9.1250499999999998E-2</v>
      </c>
      <c r="D12" s="278">
        <v>0.22593170920401368</v>
      </c>
      <c r="E12" s="278">
        <v>0.19376921975091635</v>
      </c>
      <c r="F12" s="278">
        <v>0.31093659949341579</v>
      </c>
      <c r="G12" s="279">
        <v>0.75366375204082192</v>
      </c>
      <c r="H12" s="279">
        <v>1.2912469135802471</v>
      </c>
      <c r="I12" s="278">
        <v>0.10017481481481483</v>
      </c>
      <c r="J12" s="278">
        <v>0.47220849997015885</v>
      </c>
      <c r="K12" s="278">
        <v>3.5200000000000002E-2</v>
      </c>
      <c r="L12" s="278">
        <v>0.486467426346753</v>
      </c>
      <c r="M12" s="278">
        <v>6.17172225115327E-2</v>
      </c>
      <c r="N12" s="279">
        <v>1.088267511940662</v>
      </c>
      <c r="O12" s="279">
        <v>2.9312765388753976</v>
      </c>
      <c r="P12" s="279">
        <v>9.5307961516717956</v>
      </c>
      <c r="Q12" s="279">
        <v>12.977636876351259</v>
      </c>
      <c r="R12" s="279">
        <v>2.3872032881955825</v>
      </c>
      <c r="S12" s="279">
        <v>24.163575667307342</v>
      </c>
      <c r="T12" s="278">
        <v>0.20466498036874581</v>
      </c>
      <c r="U12" s="278">
        <v>2.7838022121325367E-2</v>
      </c>
      <c r="V12" s="278">
        <v>6.1934626608591538E-2</v>
      </c>
      <c r="W12" s="278">
        <v>0.51940524268611676</v>
      </c>
      <c r="X12" s="278">
        <v>0.11729049638345163</v>
      </c>
      <c r="Y12" s="278">
        <v>0.20401971775195327</v>
      </c>
      <c r="Z12" s="278">
        <v>0.20401971775195327</v>
      </c>
    </row>
    <row r="13" spans="1:26" ht="12.75">
      <c r="A13" s="276" t="s">
        <v>558</v>
      </c>
      <c r="B13" s="277">
        <v>42</v>
      </c>
      <c r="C13" s="278">
        <v>5.5296666666666668E-2</v>
      </c>
      <c r="D13" s="278">
        <v>1.4197448221603816E-4</v>
      </c>
      <c r="E13" s="278">
        <v>2.5206323880202364E-5</v>
      </c>
      <c r="F13" s="278">
        <v>0.27815976066350001</v>
      </c>
      <c r="G13" s="279">
        <v>0.45570813127557197</v>
      </c>
      <c r="H13" s="279">
        <v>1.3484917676296984</v>
      </c>
      <c r="I13" s="278">
        <v>0.10360950605778189</v>
      </c>
      <c r="J13" s="278">
        <v>0.48047247103486707</v>
      </c>
      <c r="K13" s="278">
        <v>3.5200000000000002E-2</v>
      </c>
      <c r="L13" s="278">
        <v>0.74062640984042871</v>
      </c>
      <c r="M13" s="278">
        <v>4.2515599336696588E-2</v>
      </c>
      <c r="N13" s="279">
        <v>0.19956618993427741</v>
      </c>
      <c r="O13" s="279">
        <v>5.823858038800231</v>
      </c>
      <c r="P13" s="279" t="s">
        <v>101</v>
      </c>
      <c r="Q13" s="279" t="s">
        <v>101</v>
      </c>
      <c r="R13" s="279">
        <v>1.1579907795155997</v>
      </c>
      <c r="S13" s="279">
        <v>43.7817063538021</v>
      </c>
      <c r="T13" s="278" t="s">
        <v>101</v>
      </c>
      <c r="U13" s="278">
        <v>2.5613944848325926E-2</v>
      </c>
      <c r="V13" s="278">
        <v>3.4977238245562932E-2</v>
      </c>
      <c r="W13" s="278" t="s">
        <v>101</v>
      </c>
      <c r="X13" s="278">
        <v>7.9765767733723458E-2</v>
      </c>
      <c r="Y13" s="278">
        <v>0.25199700794880425</v>
      </c>
      <c r="Z13" s="278">
        <v>0.25199700794880431</v>
      </c>
    </row>
    <row r="14" spans="1:26" ht="12.75">
      <c r="A14" s="276" t="s">
        <v>559</v>
      </c>
      <c r="B14" s="277">
        <v>39</v>
      </c>
      <c r="C14" s="278">
        <v>9.3617777777777786E-2</v>
      </c>
      <c r="D14" s="278">
        <v>9.0977508787311742E-2</v>
      </c>
      <c r="E14" s="278">
        <v>0.15910130983600126</v>
      </c>
      <c r="F14" s="278">
        <v>0.3387408786187362</v>
      </c>
      <c r="G14" s="279">
        <v>0.98035236187052655</v>
      </c>
      <c r="H14" s="279">
        <v>1.1773270935960591</v>
      </c>
      <c r="I14" s="278">
        <v>9.3339625615763547E-2</v>
      </c>
      <c r="J14" s="278">
        <v>0.44273777007977072</v>
      </c>
      <c r="K14" s="278">
        <v>3.5200000000000002E-2</v>
      </c>
      <c r="L14" s="278">
        <v>0.24896253461429335</v>
      </c>
      <c r="M14" s="278">
        <v>7.5359644573567711E-2</v>
      </c>
      <c r="N14" s="279">
        <v>2.2541213090760577</v>
      </c>
      <c r="O14" s="279">
        <v>1.4651474665783091</v>
      </c>
      <c r="P14" s="279">
        <v>11.416885291987883</v>
      </c>
      <c r="Q14" s="279">
        <v>16.087633653289043</v>
      </c>
      <c r="R14" s="279">
        <v>4.056701231966688</v>
      </c>
      <c r="S14" s="279">
        <v>28.880493278854448</v>
      </c>
      <c r="T14" s="278">
        <v>0.16920011365609686</v>
      </c>
      <c r="U14" s="278">
        <v>3.0496983431890872E-2</v>
      </c>
      <c r="V14" s="278">
        <v>8.567547126795548E-2</v>
      </c>
      <c r="W14" s="278">
        <v>1.4360137529234049</v>
      </c>
      <c r="X14" s="278">
        <v>0.12635243361942575</v>
      </c>
      <c r="Y14" s="278">
        <v>0.24879182836640551</v>
      </c>
      <c r="Z14" s="278">
        <v>0.24879182836640545</v>
      </c>
    </row>
    <row r="15" spans="1:26" ht="12.75">
      <c r="A15" s="276" t="s">
        <v>560</v>
      </c>
      <c r="B15" s="277">
        <v>159</v>
      </c>
      <c r="C15" s="278">
        <v>6.0382435897435881E-2</v>
      </c>
      <c r="D15" s="278">
        <v>0.11103764073224674</v>
      </c>
      <c r="E15" s="278">
        <v>0.22408826449922928</v>
      </c>
      <c r="F15" s="278">
        <v>0.34868740894267763</v>
      </c>
      <c r="G15" s="279">
        <v>0.94982697833182328</v>
      </c>
      <c r="H15" s="279">
        <v>1.1891302412174194</v>
      </c>
      <c r="I15" s="278">
        <v>9.4047814473045152E-2</v>
      </c>
      <c r="J15" s="278">
        <v>0.50131629606481198</v>
      </c>
      <c r="K15" s="278">
        <v>4.02E-2</v>
      </c>
      <c r="L15" s="278">
        <v>0.26105331803451504</v>
      </c>
      <c r="M15" s="278">
        <v>7.5792926481954723E-2</v>
      </c>
      <c r="N15" s="279">
        <v>2.3390178231473442</v>
      </c>
      <c r="O15" s="279">
        <v>1.9153264594670423</v>
      </c>
      <c r="P15" s="279">
        <v>11.144446733688136</v>
      </c>
      <c r="Q15" s="279">
        <v>17.14865251859587</v>
      </c>
      <c r="R15" s="279">
        <v>3.8844027313917167</v>
      </c>
      <c r="S15" s="279">
        <v>25.69647708843414</v>
      </c>
      <c r="T15" s="278">
        <v>0.15679627548642364</v>
      </c>
      <c r="U15" s="278">
        <v>3.2233406049646127E-2</v>
      </c>
      <c r="V15" s="278">
        <v>7.2790939657739667E-2</v>
      </c>
      <c r="W15" s="278">
        <v>1.1438452782483395</v>
      </c>
      <c r="X15" s="278">
        <v>0.10000762844626339</v>
      </c>
      <c r="Y15" s="278">
        <v>0.42408280665730042</v>
      </c>
      <c r="Z15" s="278">
        <v>0.42408280665730036</v>
      </c>
    </row>
    <row r="16" spans="1:26" ht="12.75">
      <c r="A16" s="276" t="s">
        <v>561</v>
      </c>
      <c r="B16" s="277">
        <v>19</v>
      </c>
      <c r="C16" s="278">
        <v>6.0594999999999996E-2</v>
      </c>
      <c r="D16" s="278">
        <v>0.19942756885993665</v>
      </c>
      <c r="E16" s="278">
        <v>0.16037624783600896</v>
      </c>
      <c r="F16" s="278">
        <v>0.36309959898203131</v>
      </c>
      <c r="G16" s="279">
        <v>0.88527678728100334</v>
      </c>
      <c r="H16" s="279">
        <v>1.2313168103448278</v>
      </c>
      <c r="I16" s="278">
        <v>9.657900862068966E-2</v>
      </c>
      <c r="J16" s="278">
        <v>0.41582222479771819</v>
      </c>
      <c r="K16" s="278">
        <v>3.5200000000000002E-2</v>
      </c>
      <c r="L16" s="278">
        <v>0.33158665580245589</v>
      </c>
      <c r="M16" s="278">
        <v>7.1557808301986492E-2</v>
      </c>
      <c r="N16" s="279">
        <v>0.97100670820613422</v>
      </c>
      <c r="O16" s="279">
        <v>3.067034916700762</v>
      </c>
      <c r="P16" s="279">
        <v>9.32363160878473</v>
      </c>
      <c r="Q16" s="279">
        <v>15.156283905385768</v>
      </c>
      <c r="R16" s="279">
        <v>4.5723029041862127</v>
      </c>
      <c r="S16" s="279">
        <v>29.371452868378849</v>
      </c>
      <c r="T16" s="278">
        <v>9.4565688555836941E-2</v>
      </c>
      <c r="U16" s="278">
        <v>0.12055902296775559</v>
      </c>
      <c r="V16" s="278">
        <v>2.8909767035949748E-3</v>
      </c>
      <c r="W16" s="278">
        <v>2.4410617898300815E-2</v>
      </c>
      <c r="X16" s="278">
        <v>0.19574493344076149</v>
      </c>
      <c r="Y16" s="278">
        <v>0.43095060951181824</v>
      </c>
      <c r="Z16" s="278">
        <v>0.43095060951181829</v>
      </c>
    </row>
    <row r="17" spans="1:26" ht="12.75">
      <c r="A17" s="276" t="s">
        <v>562</v>
      </c>
      <c r="B17" s="277">
        <v>42</v>
      </c>
      <c r="C17" s="278">
        <v>5.9338235294117664E-2</v>
      </c>
      <c r="D17" s="278">
        <v>9.5659611981550888E-2</v>
      </c>
      <c r="E17" s="278">
        <v>0.12571373493792701</v>
      </c>
      <c r="F17" s="278">
        <v>0.32814994308478862</v>
      </c>
      <c r="G17" s="279">
        <v>0.80725696952017378</v>
      </c>
      <c r="H17" s="279">
        <v>1.1681739261947974</v>
      </c>
      <c r="I17" s="278">
        <v>9.279043557168784E-2</v>
      </c>
      <c r="J17" s="278">
        <v>0.54200103201300343</v>
      </c>
      <c r="K17" s="278">
        <v>4.02E-2</v>
      </c>
      <c r="L17" s="278">
        <v>0.38250877320785093</v>
      </c>
      <c r="M17" s="278">
        <v>6.6523391505512758E-2</v>
      </c>
      <c r="N17" s="279">
        <v>1.4320914246048253</v>
      </c>
      <c r="O17" s="279">
        <v>1.0591367829387413</v>
      </c>
      <c r="P17" s="279">
        <v>6.5872538888154804</v>
      </c>
      <c r="Q17" s="279">
        <v>10.932210897249504</v>
      </c>
      <c r="R17" s="279">
        <v>1.5897605364663834</v>
      </c>
      <c r="S17" s="279">
        <v>13.086852671356192</v>
      </c>
      <c r="T17" s="278">
        <v>0.19134712132067061</v>
      </c>
      <c r="U17" s="278">
        <v>7.6063807863027924E-2</v>
      </c>
      <c r="V17" s="278">
        <v>0.13789247968595336</v>
      </c>
      <c r="W17" s="278">
        <v>1.5705518729084094</v>
      </c>
      <c r="X17" s="278">
        <v>-6.2495083019213783E-2</v>
      </c>
      <c r="Y17" s="278">
        <v>3.134181343605416E-3</v>
      </c>
      <c r="Z17" s="278">
        <v>3.1341813436054355E-3</v>
      </c>
    </row>
    <row r="18" spans="1:26" ht="12.75">
      <c r="A18" s="276" t="s">
        <v>563</v>
      </c>
      <c r="B18" s="277">
        <v>9</v>
      </c>
      <c r="C18" s="278">
        <v>4.9931666666666666E-2</v>
      </c>
      <c r="D18" s="278">
        <v>0.11286247074529281</v>
      </c>
      <c r="E18" s="278">
        <v>0.12748997166579423</v>
      </c>
      <c r="F18" s="278">
        <v>0.28368900047073592</v>
      </c>
      <c r="G18" s="279">
        <v>1.2650470656106723</v>
      </c>
      <c r="H18" s="279">
        <v>1.5548620689655173</v>
      </c>
      <c r="I18" s="278">
        <v>0.11599172413793103</v>
      </c>
      <c r="J18" s="278">
        <v>0.40558134819610742</v>
      </c>
      <c r="K18" s="278">
        <v>3.5200000000000002E-2</v>
      </c>
      <c r="L18" s="278">
        <v>0.27679033351242455</v>
      </c>
      <c r="M18" s="278">
        <v>8.9732147972894374E-2</v>
      </c>
      <c r="N18" s="279">
        <v>1.3864434838162361</v>
      </c>
      <c r="O18" s="279">
        <v>1.5515831104861315</v>
      </c>
      <c r="P18" s="279">
        <v>9.0975339358278173</v>
      </c>
      <c r="Q18" s="279">
        <v>13.620899632558755</v>
      </c>
      <c r="R18" s="279">
        <v>3.0994605401677551</v>
      </c>
      <c r="S18" s="279">
        <v>25.399974864631172</v>
      </c>
      <c r="T18" s="278">
        <v>0.20975401318792306</v>
      </c>
      <c r="U18" s="278">
        <v>7.4513795761113027E-2</v>
      </c>
      <c r="V18" s="278">
        <v>0.1071660920823905</v>
      </c>
      <c r="W18" s="278">
        <v>1.3401965150337272</v>
      </c>
      <c r="X18" s="278">
        <v>0.17721613308205825</v>
      </c>
      <c r="Y18" s="278">
        <v>0.43956941265770372</v>
      </c>
      <c r="Z18" s="278">
        <v>0.43956941265770366</v>
      </c>
    </row>
    <row r="19" spans="1:26" ht="12.75">
      <c r="A19" s="276" t="s">
        <v>564</v>
      </c>
      <c r="B19" s="277">
        <v>104</v>
      </c>
      <c r="C19" s="278">
        <v>7.2050327868852446E-2</v>
      </c>
      <c r="D19" s="278">
        <v>0.14647884735295158</v>
      </c>
      <c r="E19" s="278">
        <v>0.20203511514327388</v>
      </c>
      <c r="F19" s="278">
        <v>0.22052081366376264</v>
      </c>
      <c r="G19" s="279">
        <v>1.0143943542009635</v>
      </c>
      <c r="H19" s="279">
        <v>1.2471817528735627</v>
      </c>
      <c r="I19" s="278">
        <v>9.7530905172413751E-2</v>
      </c>
      <c r="J19" s="278">
        <v>0.50429018093734157</v>
      </c>
      <c r="K19" s="278">
        <v>4.02E-2</v>
      </c>
      <c r="L19" s="278">
        <v>0.23884658922328711</v>
      </c>
      <c r="M19" s="278">
        <v>7.9996960860188551E-2</v>
      </c>
      <c r="N19" s="279">
        <v>1.5069881522402766</v>
      </c>
      <c r="O19" s="279">
        <v>2.1861668942793528</v>
      </c>
      <c r="P19" s="279">
        <v>10.675411146761309</v>
      </c>
      <c r="Q19" s="279">
        <v>14.808642200715624</v>
      </c>
      <c r="R19" s="279">
        <v>3.7133049041727055</v>
      </c>
      <c r="S19" s="279">
        <v>48.33414668320232</v>
      </c>
      <c r="T19" s="278">
        <v>0.20672665782981006</v>
      </c>
      <c r="U19" s="278">
        <v>6.4878059422914872E-2</v>
      </c>
      <c r="V19" s="278">
        <v>0.15916172432035103</v>
      </c>
      <c r="W19" s="278">
        <v>1.4554981369547302</v>
      </c>
      <c r="X19" s="278">
        <v>0.2178800759984357</v>
      </c>
      <c r="Y19" s="278">
        <v>0.29028849147852814</v>
      </c>
      <c r="Z19" s="278">
        <v>0.2902884914785282</v>
      </c>
    </row>
    <row r="20" spans="1:26" ht="12.75">
      <c r="A20" s="276" t="s">
        <v>565</v>
      </c>
      <c r="B20" s="277">
        <v>38</v>
      </c>
      <c r="C20" s="278">
        <v>7.3957142857142824E-3</v>
      </c>
      <c r="D20" s="278">
        <v>3.6628497873305217E-3</v>
      </c>
      <c r="E20" s="278">
        <v>2.1528686418970234E-3</v>
      </c>
      <c r="F20" s="278">
        <v>9.7515208377470432E-3</v>
      </c>
      <c r="G20" s="279">
        <v>0.38687819831720366</v>
      </c>
      <c r="H20" s="279">
        <v>1.487334051724138</v>
      </c>
      <c r="I20" s="278">
        <v>0.11194004310344828</v>
      </c>
      <c r="J20" s="278">
        <v>0.86776572605245472</v>
      </c>
      <c r="K20" s="278">
        <v>6.5200000000000008E-2</v>
      </c>
      <c r="L20" s="278">
        <v>0.75732820273117452</v>
      </c>
      <c r="M20" s="278">
        <v>5.6791370737107133E-2</v>
      </c>
      <c r="N20" s="279">
        <v>0.59790583022794763</v>
      </c>
      <c r="O20" s="279">
        <v>1.3542388084283392</v>
      </c>
      <c r="P20" s="279">
        <v>6.0356228469591118</v>
      </c>
      <c r="Q20" s="279">
        <v>184.30994163389849</v>
      </c>
      <c r="R20" s="279">
        <v>0.74703402475130232</v>
      </c>
      <c r="S20" s="279">
        <v>6.8442039725407779</v>
      </c>
      <c r="T20" s="278">
        <v>5.7035337501822048E-2</v>
      </c>
      <c r="U20" s="278">
        <v>0.12019596818924402</v>
      </c>
      <c r="V20" s="278">
        <v>-2.9654674216136725E-2</v>
      </c>
      <c r="W20" s="278">
        <v>-2.5211831529391087</v>
      </c>
      <c r="X20" s="278">
        <v>-0.31489797375741024</v>
      </c>
      <c r="Y20" s="278">
        <v>2.8883813059009316E-2</v>
      </c>
      <c r="Z20" s="278">
        <v>2.8883813059009333E-2</v>
      </c>
    </row>
    <row r="21" spans="1:26" ht="12.75">
      <c r="A21" s="276" t="s">
        <v>566</v>
      </c>
      <c r="B21" s="277">
        <v>118</v>
      </c>
      <c r="C21" s="278">
        <v>9.1289264705882348E-2</v>
      </c>
      <c r="D21" s="278">
        <v>8.8175510249536335E-2</v>
      </c>
      <c r="E21" s="278">
        <v>0.30099809269481909</v>
      </c>
      <c r="F21" s="278">
        <v>0.23220238444058605</v>
      </c>
      <c r="G21" s="279">
        <v>0.9999471342974805</v>
      </c>
      <c r="H21" s="279">
        <v>1.1708914942528734</v>
      </c>
      <c r="I21" s="278">
        <v>9.2953489655172403E-2</v>
      </c>
      <c r="J21" s="278">
        <v>0.51738681210820525</v>
      </c>
      <c r="K21" s="278">
        <v>4.02E-2</v>
      </c>
      <c r="L21" s="278">
        <v>0.22400247981341503</v>
      </c>
      <c r="M21" s="278">
        <v>7.7534617278202739E-2</v>
      </c>
      <c r="N21" s="279">
        <v>3.9189808474470871</v>
      </c>
      <c r="O21" s="279">
        <v>0.97059323413338694</v>
      </c>
      <c r="P21" s="279">
        <v>8.2695400274648279</v>
      </c>
      <c r="Q21" s="279">
        <v>10.891593779304888</v>
      </c>
      <c r="R21" s="279">
        <v>4.429649526606406</v>
      </c>
      <c r="S21" s="279">
        <v>31.904670452385208</v>
      </c>
      <c r="T21" s="278">
        <v>0.11104254177279237</v>
      </c>
      <c r="U21" s="278">
        <v>1.7771216562610461E-2</v>
      </c>
      <c r="V21" s="278">
        <v>3.1551442351792303E-2</v>
      </c>
      <c r="W21" s="278">
        <v>0.43985976620181344</v>
      </c>
      <c r="X21" s="278">
        <v>0.32230082955632056</v>
      </c>
      <c r="Y21" s="278">
        <v>0.28325176534602686</v>
      </c>
      <c r="Z21" s="278">
        <v>0.28325176534602692</v>
      </c>
    </row>
    <row r="22" spans="1:26" ht="12.75">
      <c r="A22" s="276" t="s">
        <v>567</v>
      </c>
      <c r="B22" s="277">
        <v>64</v>
      </c>
      <c r="C22" s="278">
        <v>3.97972972972973E-2</v>
      </c>
      <c r="D22" s="278">
        <v>0.19855116010727586</v>
      </c>
      <c r="E22" s="278">
        <v>0.35699284373300821</v>
      </c>
      <c r="F22" s="278">
        <v>0.24143154277472786</v>
      </c>
      <c r="G22" s="279">
        <v>1.2196782510882951</v>
      </c>
      <c r="H22" s="279">
        <v>1.3288359096313915</v>
      </c>
      <c r="I22" s="278">
        <v>0.10243015457788349</v>
      </c>
      <c r="J22" s="278">
        <v>0.63911411057069178</v>
      </c>
      <c r="K22" s="278">
        <v>4.02E-2</v>
      </c>
      <c r="L22" s="278">
        <v>0.15715493377571216</v>
      </c>
      <c r="M22" s="278">
        <v>9.0123327421230429E-2</v>
      </c>
      <c r="N22" s="279">
        <v>1.8997390312660039</v>
      </c>
      <c r="O22" s="279">
        <v>1.7623564485975467</v>
      </c>
      <c r="P22" s="279">
        <v>6.9713825191390013</v>
      </c>
      <c r="Q22" s="279">
        <v>9.0343645724124055</v>
      </c>
      <c r="R22" s="279">
        <v>3.2241181879858081</v>
      </c>
      <c r="S22" s="279">
        <v>32.928463699150711</v>
      </c>
      <c r="T22" s="278">
        <v>4.9657196589697077E-2</v>
      </c>
      <c r="U22" s="278">
        <v>4.5125362712660051E-2</v>
      </c>
      <c r="V22" s="278">
        <v>6.4328268834674449E-2</v>
      </c>
      <c r="W22" s="278">
        <v>0.33615953906961743</v>
      </c>
      <c r="X22" s="278">
        <v>0.27525493488340275</v>
      </c>
      <c r="Y22" s="278">
        <v>0.23507439484858558</v>
      </c>
      <c r="Z22" s="278">
        <v>0.23507439484858561</v>
      </c>
    </row>
    <row r="23" spans="1:26" ht="12.75">
      <c r="A23" s="276" t="s">
        <v>568</v>
      </c>
      <c r="B23" s="277">
        <v>52</v>
      </c>
      <c r="C23" s="278">
        <v>0.11616029411764703</v>
      </c>
      <c r="D23" s="278">
        <v>0.10442545912646156</v>
      </c>
      <c r="E23" s="278">
        <v>0.12181240029397647</v>
      </c>
      <c r="F23" s="278">
        <v>0.2900473597156743</v>
      </c>
      <c r="G23" s="279">
        <v>1.178961428130513</v>
      </c>
      <c r="H23" s="279">
        <v>1.6491708812260539</v>
      </c>
      <c r="I23" s="278">
        <v>0.12165025287356324</v>
      </c>
      <c r="J23" s="278">
        <v>0.42413870439103213</v>
      </c>
      <c r="K23" s="278">
        <v>3.5200000000000002E-2</v>
      </c>
      <c r="L23" s="278">
        <v>0.37139267939490705</v>
      </c>
      <c r="M23" s="278">
        <v>8.431405289860304E-2</v>
      </c>
      <c r="N23" s="279">
        <v>1.4034221493928838</v>
      </c>
      <c r="O23" s="279">
        <v>1.2511036198048568</v>
      </c>
      <c r="P23" s="279">
        <v>8.3732969741665055</v>
      </c>
      <c r="Q23" s="279">
        <v>12.027370727209396</v>
      </c>
      <c r="R23" s="279">
        <v>2.4737216336270231</v>
      </c>
      <c r="S23" s="279">
        <v>35.85286220552225</v>
      </c>
      <c r="T23" s="278">
        <v>0.16642431153039541</v>
      </c>
      <c r="U23" s="278">
        <v>5.5811505613319004E-2</v>
      </c>
      <c r="V23" s="278">
        <v>6.5777930828524137E-2</v>
      </c>
      <c r="W23" s="278">
        <v>0.88494769522411099</v>
      </c>
      <c r="X23" s="278">
        <v>0.1461535487627349</v>
      </c>
      <c r="Y23" s="278">
        <v>0.44482605940070508</v>
      </c>
      <c r="Z23" s="278">
        <v>0.44482605940070508</v>
      </c>
    </row>
    <row r="24" spans="1:26" ht="12.75">
      <c r="A24" s="276" t="s">
        <v>569</v>
      </c>
      <c r="B24" s="277">
        <v>26</v>
      </c>
      <c r="C24" s="278">
        <v>5.996799999999998E-2</v>
      </c>
      <c r="D24" s="278">
        <v>0.15656950090346713</v>
      </c>
      <c r="E24" s="278">
        <v>7.7064029910767648E-2</v>
      </c>
      <c r="F24" s="278">
        <v>0.36940736988983403</v>
      </c>
      <c r="G24" s="279">
        <v>0.73570562914411197</v>
      </c>
      <c r="H24" s="279">
        <v>1.0084038662486938</v>
      </c>
      <c r="I24" s="278">
        <v>8.3204231974921633E-2</v>
      </c>
      <c r="J24" s="278">
        <v>0.27371695039452609</v>
      </c>
      <c r="K24" s="278">
        <v>3.5200000000000002E-2</v>
      </c>
      <c r="L24" s="278">
        <v>0.35783039333930194</v>
      </c>
      <c r="M24" s="278">
        <v>6.0988606827166968E-2</v>
      </c>
      <c r="N24" s="279">
        <v>0.58042226055327883</v>
      </c>
      <c r="O24" s="279">
        <v>2.7364300238334902</v>
      </c>
      <c r="P24" s="279">
        <v>12.710572262285599</v>
      </c>
      <c r="Q24" s="279">
        <v>17.474129268244688</v>
      </c>
      <c r="R24" s="279">
        <v>1.8587680620907208</v>
      </c>
      <c r="S24" s="279">
        <v>24.794311771973213</v>
      </c>
      <c r="T24" s="278">
        <v>5.6784599847785992E-2</v>
      </c>
      <c r="U24" s="278">
        <v>7.9729058005177891E-2</v>
      </c>
      <c r="V24" s="278">
        <v>0.15631418113314013</v>
      </c>
      <c r="W24" s="278">
        <v>1.5987406424742592</v>
      </c>
      <c r="X24" s="278">
        <v>5.6739036622842132E-2</v>
      </c>
      <c r="Y24" s="278">
        <v>0.50079747031068145</v>
      </c>
      <c r="Z24" s="278">
        <v>0.50079747031068145</v>
      </c>
    </row>
    <row r="25" spans="1:26" ht="12.75">
      <c r="A25" s="276" t="s">
        <v>570</v>
      </c>
      <c r="B25" s="277">
        <v>411</v>
      </c>
      <c r="C25" s="278">
        <v>0.20295581196581211</v>
      </c>
      <c r="D25" s="278">
        <v>0.35172215928739864</v>
      </c>
      <c r="E25" s="278">
        <v>0.20331105242332265</v>
      </c>
      <c r="F25" s="278">
        <v>0.20384906696767721</v>
      </c>
      <c r="G25" s="279">
        <v>1.1948507312665528</v>
      </c>
      <c r="H25" s="279">
        <v>1.2818401979565774</v>
      </c>
      <c r="I25" s="278">
        <v>9.9610411877394639E-2</v>
      </c>
      <c r="J25" s="278">
        <v>0.88888084402155099</v>
      </c>
      <c r="K25" s="278">
        <v>6.5200000000000008E-2</v>
      </c>
      <c r="L25" s="278">
        <v>0.12502709591267827</v>
      </c>
      <c r="M25" s="278">
        <v>9.2047471349802207E-2</v>
      </c>
      <c r="N25" s="279">
        <v>0.58726920865428101</v>
      </c>
      <c r="O25" s="279">
        <v>8.3207039352192957</v>
      </c>
      <c r="P25" s="279">
        <v>13.596235885345296</v>
      </c>
      <c r="Q25" s="279">
        <v>21.018842733464307</v>
      </c>
      <c r="R25" s="279">
        <v>7.5006319312331327</v>
      </c>
      <c r="S25" s="279">
        <v>79.139599604842644</v>
      </c>
      <c r="T25" s="278">
        <v>0.203282846054119</v>
      </c>
      <c r="U25" s="278">
        <v>4.6824987355612642E-2</v>
      </c>
      <c r="V25" s="278">
        <v>0.32649468554657723</v>
      </c>
      <c r="W25" s="278">
        <v>1.707435236064172</v>
      </c>
      <c r="X25" s="278">
        <v>0.22346809873569881</v>
      </c>
      <c r="Y25" s="278">
        <v>0.32015757330471634</v>
      </c>
      <c r="Z25" s="278">
        <v>0.32015757330471639</v>
      </c>
    </row>
    <row r="26" spans="1:26" ht="12.75">
      <c r="A26" s="276" t="s">
        <v>571</v>
      </c>
      <c r="B26" s="277">
        <v>157</v>
      </c>
      <c r="C26" s="278">
        <v>0.16563883720930231</v>
      </c>
      <c r="D26" s="278">
        <v>0.24927606217836834</v>
      </c>
      <c r="E26" s="278">
        <v>0.15191231371629962</v>
      </c>
      <c r="F26" s="278">
        <v>0.25229427226760559</v>
      </c>
      <c r="G26" s="279">
        <v>0.93900977082358394</v>
      </c>
      <c r="H26" s="279">
        <v>1.0171867593335115</v>
      </c>
      <c r="I26" s="278">
        <v>8.3731205560010694E-2</v>
      </c>
      <c r="J26" s="278">
        <v>0.77304916882565777</v>
      </c>
      <c r="K26" s="278">
        <v>4.5200000000000004E-2</v>
      </c>
      <c r="L26" s="278">
        <v>0.11514073829611902</v>
      </c>
      <c r="M26" s="278">
        <v>7.7212949555997709E-2</v>
      </c>
      <c r="N26" s="279">
        <v>0.63312297248510274</v>
      </c>
      <c r="O26" s="279">
        <v>4.7558776252046737</v>
      </c>
      <c r="P26" s="279">
        <v>13.627031590387197</v>
      </c>
      <c r="Q26" s="279">
        <v>19.353171965883107</v>
      </c>
      <c r="R26" s="279">
        <v>4.0464868624320349</v>
      </c>
      <c r="S26" s="279">
        <v>41.824544995004089</v>
      </c>
      <c r="T26" s="278">
        <v>0.25277052575057896</v>
      </c>
      <c r="U26" s="278">
        <v>4.1466323646538933E-2</v>
      </c>
      <c r="V26" s="278">
        <v>0.20210973959115217</v>
      </c>
      <c r="W26" s="278">
        <v>1.212459171101153</v>
      </c>
      <c r="X26" s="278">
        <v>0.15210959428224505</v>
      </c>
      <c r="Y26" s="278">
        <v>0.69175730596281915</v>
      </c>
      <c r="Z26" s="278">
        <v>0.69175730596281915</v>
      </c>
    </row>
    <row r="27" spans="1:26" ht="12.75">
      <c r="A27" s="276" t="s">
        <v>572</v>
      </c>
      <c r="B27" s="277">
        <v>40</v>
      </c>
      <c r="C27" s="278">
        <v>-2.0763157894736848E-2</v>
      </c>
      <c r="D27" s="278">
        <v>7.9983220337668512E-2</v>
      </c>
      <c r="E27" s="278">
        <v>9.6280503941506737E-2</v>
      </c>
      <c r="F27" s="278">
        <v>0.40491055464102155</v>
      </c>
      <c r="G27" s="279">
        <v>0.85929643152261603</v>
      </c>
      <c r="H27" s="279">
        <v>1.0528460375075621</v>
      </c>
      <c r="I27" s="278">
        <v>8.5870762250453717E-2</v>
      </c>
      <c r="J27" s="278">
        <v>0.59616370776507299</v>
      </c>
      <c r="K27" s="278">
        <v>4.02E-2</v>
      </c>
      <c r="L27" s="278">
        <v>0.3161787535912588</v>
      </c>
      <c r="M27" s="278">
        <v>6.6346483208795104E-2</v>
      </c>
      <c r="N27" s="279">
        <v>1.3682637367262913</v>
      </c>
      <c r="O27" s="279">
        <v>1.3717491925931489</v>
      </c>
      <c r="P27" s="279">
        <v>6.9619423371265921</v>
      </c>
      <c r="Q27" s="279">
        <v>16.422085680941414</v>
      </c>
      <c r="R27" s="279">
        <v>1.7875684709894557</v>
      </c>
      <c r="S27" s="279">
        <v>22.741552422584416</v>
      </c>
      <c r="T27" s="278">
        <v>0.11226171613595194</v>
      </c>
      <c r="U27" s="278">
        <v>5.0269276684520345E-2</v>
      </c>
      <c r="V27" s="278">
        <v>5.4098977129112269E-2</v>
      </c>
      <c r="W27" s="278">
        <v>1.1809973519395445</v>
      </c>
      <c r="X27" s="278">
        <v>7.8688518798377127E-3</v>
      </c>
      <c r="Y27" s="278">
        <v>1.0733527893141768</v>
      </c>
      <c r="Z27" s="278">
        <v>1.0733527893141768</v>
      </c>
    </row>
    <row r="28" spans="1:26" ht="12.75">
      <c r="A28" s="276" t="s">
        <v>573</v>
      </c>
      <c r="B28" s="277">
        <v>120</v>
      </c>
      <c r="C28" s="278">
        <v>0.11635999999999999</v>
      </c>
      <c r="D28" s="278">
        <v>0.11452523380027566</v>
      </c>
      <c r="E28" s="278">
        <v>0.24347039293121886</v>
      </c>
      <c r="F28" s="278">
        <v>0.32039343626865041</v>
      </c>
      <c r="G28" s="279">
        <v>1.0305869828588605</v>
      </c>
      <c r="H28" s="279">
        <v>1.1497065830721005</v>
      </c>
      <c r="I28" s="278">
        <v>9.1682394984326024E-2</v>
      </c>
      <c r="J28" s="278">
        <v>0.71039055553679942</v>
      </c>
      <c r="K28" s="278">
        <v>4.5200000000000004E-2</v>
      </c>
      <c r="L28" s="278">
        <v>0.17972029900562239</v>
      </c>
      <c r="M28" s="278">
        <v>8.0079222053223861E-2</v>
      </c>
      <c r="N28" s="279">
        <v>2.275060520153187</v>
      </c>
      <c r="O28" s="279">
        <v>1.7939287664872956</v>
      </c>
      <c r="P28" s="279">
        <v>9.8685732780072737</v>
      </c>
      <c r="Q28" s="279">
        <v>14.357350793966708</v>
      </c>
      <c r="R28" s="279">
        <v>3.452859143316525</v>
      </c>
      <c r="S28" s="279">
        <v>25.865763213454692</v>
      </c>
      <c r="T28" s="278">
        <v>0.20272641012198994</v>
      </c>
      <c r="U28" s="278">
        <v>5.9112385301806056E-2</v>
      </c>
      <c r="V28" s="278">
        <v>9.8762792605727429E-2</v>
      </c>
      <c r="W28" s="278">
        <v>1.3949287295719888</v>
      </c>
      <c r="X28" s="278">
        <v>0.15433753241909345</v>
      </c>
      <c r="Y28" s="278">
        <v>0.44321944775949684</v>
      </c>
      <c r="Z28" s="278">
        <v>0.44321944775949684</v>
      </c>
    </row>
    <row r="29" spans="1:26" ht="12.75">
      <c r="A29" s="276" t="s">
        <v>574</v>
      </c>
      <c r="B29" s="277">
        <v>25</v>
      </c>
      <c r="C29" s="278">
        <v>6.4041666666666663E-2</v>
      </c>
      <c r="D29" s="278">
        <v>9.840291877870079E-2</v>
      </c>
      <c r="E29" s="278">
        <v>0.20176415177315551</v>
      </c>
      <c r="F29" s="278">
        <v>0.25784634725143057</v>
      </c>
      <c r="G29" s="279">
        <v>1.164240864957417</v>
      </c>
      <c r="H29" s="279">
        <v>1.2307431284357822</v>
      </c>
      <c r="I29" s="278">
        <v>9.654458770614692E-2</v>
      </c>
      <c r="J29" s="278">
        <v>0.6342445944963897</v>
      </c>
      <c r="K29" s="278">
        <v>4.02E-2</v>
      </c>
      <c r="L29" s="278">
        <v>0.12898350705017525</v>
      </c>
      <c r="M29" s="278">
        <v>8.7203010387145077E-2</v>
      </c>
      <c r="N29" s="279">
        <v>2.2442939159327455</v>
      </c>
      <c r="O29" s="279">
        <v>1.1893680049728641</v>
      </c>
      <c r="P29" s="279">
        <v>9.1514396313277722</v>
      </c>
      <c r="Q29" s="279">
        <v>13.149372471137522</v>
      </c>
      <c r="R29" s="279">
        <v>2.7221581762735609</v>
      </c>
      <c r="S29" s="279">
        <v>20.811468484224783</v>
      </c>
      <c r="T29" s="278">
        <v>0.18810991907872993</v>
      </c>
      <c r="U29" s="278">
        <v>2.9790698338726728E-2</v>
      </c>
      <c r="V29" s="278">
        <v>0.10430053906705899</v>
      </c>
      <c r="W29" s="278">
        <v>1.9086438975651638</v>
      </c>
      <c r="X29" s="278">
        <v>0.17741524889978388</v>
      </c>
      <c r="Y29" s="278">
        <v>0.18021047270861867</v>
      </c>
      <c r="Z29" s="278">
        <v>0.18021047270861867</v>
      </c>
    </row>
    <row r="30" spans="1:26" ht="12.75">
      <c r="A30" s="276" t="s">
        <v>575</v>
      </c>
      <c r="B30" s="277">
        <v>167</v>
      </c>
      <c r="C30" s="278">
        <v>5.6084513274336285E-2</v>
      </c>
      <c r="D30" s="278">
        <v>9.850884235754305E-2</v>
      </c>
      <c r="E30" s="278">
        <v>0.12501805053820983</v>
      </c>
      <c r="F30" s="278">
        <v>0.21448134726820137</v>
      </c>
      <c r="G30" s="279">
        <v>0.97977327153557281</v>
      </c>
      <c r="H30" s="279">
        <v>1.0250152261531584</v>
      </c>
      <c r="I30" s="278">
        <v>8.4200913569189503E-2</v>
      </c>
      <c r="J30" s="278">
        <v>0.59343982629401693</v>
      </c>
      <c r="K30" s="278">
        <v>4.02E-2</v>
      </c>
      <c r="L30" s="278">
        <v>0.16522560264295694</v>
      </c>
      <c r="M30" s="278">
        <v>7.4274008417380771E-2</v>
      </c>
      <c r="N30" s="279">
        <v>1.3955028369235021</v>
      </c>
      <c r="O30" s="279">
        <v>1.4576547855683386</v>
      </c>
      <c r="P30" s="279">
        <v>9.4820513712570875</v>
      </c>
      <c r="Q30" s="279">
        <v>15.293119614054149</v>
      </c>
      <c r="R30" s="279">
        <v>2.0136935617520018</v>
      </c>
      <c r="S30" s="279">
        <v>42.268666246840318</v>
      </c>
      <c r="T30" s="278">
        <v>0.21070066675824792</v>
      </c>
      <c r="U30" s="278">
        <v>4.8757985359928445E-2</v>
      </c>
      <c r="V30" s="278">
        <v>0.12069472239900951</v>
      </c>
      <c r="W30" s="278">
        <v>1.7225033459110102</v>
      </c>
      <c r="X30" s="278">
        <v>0.10420953826235377</v>
      </c>
      <c r="Y30" s="278">
        <v>0.19953190671427123</v>
      </c>
      <c r="Z30" s="278">
        <v>0.19953190671427123</v>
      </c>
    </row>
    <row r="31" spans="1:26" ht="12.75">
      <c r="A31" s="276" t="s">
        <v>576</v>
      </c>
      <c r="B31" s="277">
        <v>51</v>
      </c>
      <c r="C31" s="278">
        <v>9.452413793103448E-2</v>
      </c>
      <c r="D31" s="278">
        <v>3.6571937217676632E-2</v>
      </c>
      <c r="E31" s="278">
        <v>0.1519800619615943</v>
      </c>
      <c r="F31" s="278">
        <v>0.31489051006250934</v>
      </c>
      <c r="G31" s="279">
        <v>1.0654127428021691</v>
      </c>
      <c r="H31" s="279">
        <v>1.3162831339432322</v>
      </c>
      <c r="I31" s="278">
        <v>0.10167698803659392</v>
      </c>
      <c r="J31" s="278">
        <v>0.57015166233796477</v>
      </c>
      <c r="K31" s="278">
        <v>4.02E-2</v>
      </c>
      <c r="L31" s="278">
        <v>0.29532616956810226</v>
      </c>
      <c r="M31" s="278">
        <v>7.877237983650752E-2</v>
      </c>
      <c r="N31" s="279">
        <v>4.7027942998869783</v>
      </c>
      <c r="O31" s="279">
        <v>0.50484175676142284</v>
      </c>
      <c r="P31" s="279">
        <v>7.5166987791947841</v>
      </c>
      <c r="Q31" s="279">
        <v>13.682676996730279</v>
      </c>
      <c r="R31" s="279">
        <v>1.4837584598870646</v>
      </c>
      <c r="S31" s="279">
        <v>21.993447343174811</v>
      </c>
      <c r="T31" s="278">
        <v>0.14996303706131467</v>
      </c>
      <c r="U31" s="278">
        <v>1.46440690774852E-2</v>
      </c>
      <c r="V31" s="278">
        <v>4.7889040556945192E-2</v>
      </c>
      <c r="W31" s="278">
        <v>1.7031712989222203</v>
      </c>
      <c r="X31" s="278">
        <v>1.7402430993478303E-2</v>
      </c>
      <c r="Y31" s="278">
        <v>0.45538598183680729</v>
      </c>
      <c r="Z31" s="278">
        <v>0.45538598183680734</v>
      </c>
    </row>
    <row r="32" spans="1:26" ht="12.75">
      <c r="A32" s="276" t="s">
        <v>577</v>
      </c>
      <c r="B32" s="277">
        <v>84</v>
      </c>
      <c r="C32" s="278">
        <v>0.11496083333333332</v>
      </c>
      <c r="D32" s="278">
        <v>0.21386947258916972</v>
      </c>
      <c r="E32" s="278">
        <v>0.33004715408573698</v>
      </c>
      <c r="F32" s="278">
        <v>0.26775691254640993</v>
      </c>
      <c r="G32" s="279">
        <v>0.97829234899628914</v>
      </c>
      <c r="H32" s="279">
        <v>1.2130703177822857</v>
      </c>
      <c r="I32" s="278">
        <v>9.5484219066937132E-2</v>
      </c>
      <c r="J32" s="278">
        <v>0.63162661219507055</v>
      </c>
      <c r="K32" s="278">
        <v>4.02E-2</v>
      </c>
      <c r="L32" s="278">
        <v>0.23042282082552859</v>
      </c>
      <c r="M32" s="278">
        <v>7.9040274403522515E-2</v>
      </c>
      <c r="N32" s="279">
        <v>1.5951043034812931</v>
      </c>
      <c r="O32" s="279">
        <v>2.8527853693917833</v>
      </c>
      <c r="P32" s="279">
        <v>10.364015191784963</v>
      </c>
      <c r="Q32" s="279">
        <v>13.205137038023704</v>
      </c>
      <c r="R32" s="279">
        <v>3.203575665053171</v>
      </c>
      <c r="S32" s="279">
        <v>372.56982339300049</v>
      </c>
      <c r="T32" s="278">
        <v>0.1205762239871975</v>
      </c>
      <c r="U32" s="278">
        <v>4.4031620185169651E-2</v>
      </c>
      <c r="V32" s="278">
        <v>1.5918250066418688E-2</v>
      </c>
      <c r="W32" s="278">
        <v>0.80698658035756787</v>
      </c>
      <c r="X32" s="278">
        <v>0.21918575215296215</v>
      </c>
      <c r="Y32" s="278">
        <v>0.27505348999150325</v>
      </c>
      <c r="Z32" s="278">
        <v>0.27505348999150325</v>
      </c>
    </row>
    <row r="33" spans="1:26" ht="12.75">
      <c r="A33" s="276" t="s">
        <v>578</v>
      </c>
      <c r="B33" s="277">
        <v>97</v>
      </c>
      <c r="C33" s="278">
        <v>0.16669235294117651</v>
      </c>
      <c r="D33" s="278">
        <v>0.12034776729979932</v>
      </c>
      <c r="E33" s="278">
        <v>0.18311604930439829</v>
      </c>
      <c r="F33" s="278">
        <v>0.29348188726170671</v>
      </c>
      <c r="G33" s="279">
        <v>0.82195580918899658</v>
      </c>
      <c r="H33" s="279">
        <v>1.1048646083934777</v>
      </c>
      <c r="I33" s="278">
        <v>8.8991876503608652E-2</v>
      </c>
      <c r="J33" s="278">
        <v>0.65514429008931474</v>
      </c>
      <c r="K33" s="278">
        <v>4.5200000000000004E-2</v>
      </c>
      <c r="L33" s="278">
        <v>0.27955330669983952</v>
      </c>
      <c r="M33" s="278">
        <v>7.1695388835300744E-2</v>
      </c>
      <c r="N33" s="279">
        <v>1.6436848892082405</v>
      </c>
      <c r="O33" s="279">
        <v>2.2398312374019613</v>
      </c>
      <c r="P33" s="279">
        <v>10.128519003983751</v>
      </c>
      <c r="Q33" s="279">
        <v>18.585438268642417</v>
      </c>
      <c r="R33" s="279">
        <v>3.1472831083288151</v>
      </c>
      <c r="S33" s="279">
        <v>56.016132512609133</v>
      </c>
      <c r="T33" s="278">
        <v>0.1104146283875346</v>
      </c>
      <c r="U33" s="278">
        <v>7.3668643656051302E-2</v>
      </c>
      <c r="V33" s="278">
        <v>4.4718012212186319E-2</v>
      </c>
      <c r="W33" s="278">
        <v>0.62810655733758725</v>
      </c>
      <c r="X33" s="278">
        <v>8.2076082085894161E-2</v>
      </c>
      <c r="Y33" s="278">
        <v>0.73903983908292725</v>
      </c>
      <c r="Z33" s="278">
        <v>0.73903983908292725</v>
      </c>
    </row>
    <row r="34" spans="1:26" ht="12.75">
      <c r="A34" s="276" t="s">
        <v>579</v>
      </c>
      <c r="B34" s="277">
        <v>37</v>
      </c>
      <c r="C34" s="278">
        <v>0.13169937500000001</v>
      </c>
      <c r="D34" s="278">
        <v>4.8852798478837889E-2</v>
      </c>
      <c r="E34" s="278">
        <v>7.4262012483501658E-2</v>
      </c>
      <c r="F34" s="278">
        <v>0.30146668940212074</v>
      </c>
      <c r="G34" s="279">
        <v>0.77419510664876223</v>
      </c>
      <c r="H34" s="279">
        <v>1.2498723741577489</v>
      </c>
      <c r="I34" s="278">
        <v>9.7692342449464925E-2</v>
      </c>
      <c r="J34" s="278">
        <v>0.48686296250761596</v>
      </c>
      <c r="K34" s="278">
        <v>3.5200000000000002E-2</v>
      </c>
      <c r="L34" s="278">
        <v>0.43093985913059285</v>
      </c>
      <c r="M34" s="278">
        <v>6.4694267980992995E-2</v>
      </c>
      <c r="N34" s="279">
        <v>1.6761688593491699</v>
      </c>
      <c r="O34" s="279">
        <v>0.74386395504353364</v>
      </c>
      <c r="P34" s="279">
        <v>10.044966901488776</v>
      </c>
      <c r="Q34" s="279">
        <v>15.148105275566257</v>
      </c>
      <c r="R34" s="279">
        <v>1.728036414644059</v>
      </c>
      <c r="S34" s="279">
        <v>19.288641747954998</v>
      </c>
      <c r="T34" s="278">
        <v>0.12090502099290253</v>
      </c>
      <c r="U34" s="278">
        <v>3.3275227791970424E-2</v>
      </c>
      <c r="V34" s="278">
        <v>5.4310451506677057E-2</v>
      </c>
      <c r="W34" s="278">
        <v>1.7937121597698844</v>
      </c>
      <c r="X34" s="278">
        <v>0.10455747664100024</v>
      </c>
      <c r="Y34" s="278">
        <v>0.35854537180714136</v>
      </c>
      <c r="Z34" s="278">
        <v>0.35854537180714141</v>
      </c>
    </row>
    <row r="35" spans="1:26" ht="12.75">
      <c r="A35" s="276" t="s">
        <v>580</v>
      </c>
      <c r="B35" s="277">
        <v>272</v>
      </c>
      <c r="C35" s="278">
        <v>0.12284095808383239</v>
      </c>
      <c r="D35" s="278">
        <v>5.8788430899593486E-2</v>
      </c>
      <c r="E35" s="278">
        <v>1.5225186309279467E-3</v>
      </c>
      <c r="F35" s="278">
        <v>0.33123156677087701</v>
      </c>
      <c r="G35" s="279">
        <v>5.58494718753152E-2</v>
      </c>
      <c r="H35" s="279">
        <v>0.64839873788595903</v>
      </c>
      <c r="I35" s="278">
        <v>6.1603924273157543E-2</v>
      </c>
      <c r="J35" s="278">
        <v>0.34969229178039302</v>
      </c>
      <c r="K35" s="278">
        <v>3.5200000000000002E-2</v>
      </c>
      <c r="L35" s="278">
        <v>0.93049332926831141</v>
      </c>
      <c r="M35" s="278">
        <v>2.3933902794380978E-2</v>
      </c>
      <c r="N35" s="279">
        <v>3.1852988217444735E-2</v>
      </c>
      <c r="O35" s="279">
        <v>33.155455745133267</v>
      </c>
      <c r="P35" s="279" t="s">
        <v>101</v>
      </c>
      <c r="Q35" s="279" t="s">
        <v>101</v>
      </c>
      <c r="R35" s="279">
        <v>1.7256633970548645</v>
      </c>
      <c r="S35" s="279">
        <v>66.901363787562417</v>
      </c>
      <c r="T35" s="278" t="s">
        <v>101</v>
      </c>
      <c r="U35" s="278">
        <v>7.9528345533946734E-2</v>
      </c>
      <c r="V35" s="278">
        <v>0.12200581560697965</v>
      </c>
      <c r="W35" s="278">
        <v>3.3865766963307289</v>
      </c>
      <c r="X35" s="278">
        <v>-1.2019244249844827E-2</v>
      </c>
      <c r="Y35" s="278">
        <v>0.1377580249513001</v>
      </c>
      <c r="Z35" s="278">
        <v>0.13775802495130007</v>
      </c>
    </row>
    <row r="36" spans="1:26" ht="12.75">
      <c r="A36" s="276" t="s">
        <v>581</v>
      </c>
      <c r="B36" s="277">
        <v>89</v>
      </c>
      <c r="C36" s="278">
        <v>0.12050645833333334</v>
      </c>
      <c r="D36" s="278">
        <v>0.11610653001386752</v>
      </c>
      <c r="E36" s="278">
        <v>0.23127279048518368</v>
      </c>
      <c r="F36" s="278">
        <v>0.23293357327476669</v>
      </c>
      <c r="G36" s="279">
        <v>0.7416481757000527</v>
      </c>
      <c r="H36" s="279">
        <v>0.88600885368126747</v>
      </c>
      <c r="I36" s="278">
        <v>7.5860531220876048E-2</v>
      </c>
      <c r="J36" s="278">
        <v>0.38293167726260141</v>
      </c>
      <c r="K36" s="278">
        <v>3.5200000000000002E-2</v>
      </c>
      <c r="L36" s="278">
        <v>0.20737028985459252</v>
      </c>
      <c r="M36" s="278">
        <v>6.4508971394808615E-2</v>
      </c>
      <c r="N36" s="279">
        <v>2.3181992559248004</v>
      </c>
      <c r="O36" s="279">
        <v>2.2250505048174642</v>
      </c>
      <c r="P36" s="279">
        <v>14.931052093408866</v>
      </c>
      <c r="Q36" s="279">
        <v>19.162124037723856</v>
      </c>
      <c r="R36" s="279">
        <v>2.7088261844965831</v>
      </c>
      <c r="S36" s="279">
        <v>64.359772941252587</v>
      </c>
      <c r="T36" s="278">
        <v>8.7091506376923172E-2</v>
      </c>
      <c r="U36" s="278">
        <v>3.5069607428263434E-2</v>
      </c>
      <c r="V36" s="278">
        <v>0.10000150753114749</v>
      </c>
      <c r="W36" s="278">
        <v>1.0273101812596062</v>
      </c>
      <c r="X36" s="278">
        <v>0.17568117948276987</v>
      </c>
      <c r="Y36" s="278">
        <v>0.40216880047366227</v>
      </c>
      <c r="Z36" s="278">
        <v>0.40216880047366232</v>
      </c>
    </row>
    <row r="37" spans="1:26" ht="12.75">
      <c r="A37" s="276" t="s">
        <v>582</v>
      </c>
      <c r="B37" s="277">
        <v>14</v>
      </c>
      <c r="C37" s="278">
        <v>9.3299999999999994E-2</v>
      </c>
      <c r="D37" s="278">
        <v>2.9046927354065017E-2</v>
      </c>
      <c r="E37" s="278">
        <v>0.17943809666952226</v>
      </c>
      <c r="F37" s="278">
        <v>0.33858531679517262</v>
      </c>
      <c r="G37" s="279">
        <v>0.61083825745632381</v>
      </c>
      <c r="H37" s="279">
        <v>0.72992720306513414</v>
      </c>
      <c r="I37" s="278">
        <v>6.6495632183908054E-2</v>
      </c>
      <c r="J37" s="278">
        <v>0.54488215487367508</v>
      </c>
      <c r="K37" s="278">
        <v>4.02E-2</v>
      </c>
      <c r="L37" s="278">
        <v>0.19980254223873106</v>
      </c>
      <c r="M37" s="278">
        <v>5.8028873144589835E-2</v>
      </c>
      <c r="N37" s="279">
        <v>7.3409107091055219</v>
      </c>
      <c r="O37" s="279">
        <v>0.42737026242430992</v>
      </c>
      <c r="P37" s="279">
        <v>10.150842657741395</v>
      </c>
      <c r="Q37" s="279">
        <v>14.674475398533096</v>
      </c>
      <c r="R37" s="279">
        <v>3.2838454070708316</v>
      </c>
      <c r="S37" s="279">
        <v>24.434706863280841</v>
      </c>
      <c r="T37" s="278">
        <v>7.7930143433339996E-2</v>
      </c>
      <c r="U37" s="278">
        <v>1.2792150567863182E-2</v>
      </c>
      <c r="V37" s="278">
        <v>1.7526921973253552E-2</v>
      </c>
      <c r="W37" s="278">
        <v>1.0876815911259119</v>
      </c>
      <c r="X37" s="278">
        <v>0.1114035934613702</v>
      </c>
      <c r="Y37" s="278">
        <v>0.76162663086097515</v>
      </c>
      <c r="Z37" s="278">
        <v>0.76162663086097515</v>
      </c>
    </row>
    <row r="38" spans="1:26" ht="12.75">
      <c r="A38" s="276" t="s">
        <v>583</v>
      </c>
      <c r="B38" s="277">
        <v>30</v>
      </c>
      <c r="C38" s="278">
        <v>6.3005555555555579E-2</v>
      </c>
      <c r="D38" s="278">
        <v>8.2970402328902348E-2</v>
      </c>
      <c r="E38" s="278">
        <v>0.1506958473536899</v>
      </c>
      <c r="F38" s="278">
        <v>0.22852327776672329</v>
      </c>
      <c r="G38" s="279">
        <v>1.003465779242618</v>
      </c>
      <c r="H38" s="279">
        <v>1.2302536662703132</v>
      </c>
      <c r="I38" s="278">
        <v>9.6515219976218786E-2</v>
      </c>
      <c r="J38" s="278">
        <v>0.44492679059708762</v>
      </c>
      <c r="K38" s="278">
        <v>3.5200000000000002E-2</v>
      </c>
      <c r="L38" s="278">
        <v>0.23632022156804552</v>
      </c>
      <c r="M38" s="278">
        <v>7.8697804886267222E-2</v>
      </c>
      <c r="N38" s="279">
        <v>2.1521152171098259</v>
      </c>
      <c r="O38" s="279">
        <v>1.2573815147360903</v>
      </c>
      <c r="P38" s="279">
        <v>9.9741535866984883</v>
      </c>
      <c r="Q38" s="279">
        <v>15.026736968151845</v>
      </c>
      <c r="R38" s="279">
        <v>2.8402760313346849</v>
      </c>
      <c r="S38" s="279">
        <v>20.102042670393477</v>
      </c>
      <c r="T38" s="278">
        <v>0.13846400805953124</v>
      </c>
      <c r="U38" s="278">
        <v>3.5024207593212869E-2</v>
      </c>
      <c r="V38" s="278">
        <v>9.5738682667600744E-2</v>
      </c>
      <c r="W38" s="278">
        <v>1.5457516112363858</v>
      </c>
      <c r="X38" s="278">
        <v>0.13561101285170327</v>
      </c>
      <c r="Y38" s="278">
        <v>0.24535545471010331</v>
      </c>
      <c r="Z38" s="278">
        <v>0.24535545471010334</v>
      </c>
    </row>
    <row r="39" spans="1:26" ht="12.75">
      <c r="A39" s="276" t="s">
        <v>584</v>
      </c>
      <c r="B39" s="277">
        <v>28</v>
      </c>
      <c r="C39" s="278">
        <v>0.36785000000000001</v>
      </c>
      <c r="D39" s="278">
        <v>0.13423328315965632</v>
      </c>
      <c r="E39" s="278">
        <v>2.8058671637783923E-2</v>
      </c>
      <c r="F39" s="278">
        <v>8.4133681948794947E-2</v>
      </c>
      <c r="G39" s="279">
        <v>0.84213429384042704</v>
      </c>
      <c r="H39" s="279">
        <v>1.6237662835249043</v>
      </c>
      <c r="I39" s="278">
        <v>0.12012597701149424</v>
      </c>
      <c r="J39" s="278">
        <v>0.62364848607680723</v>
      </c>
      <c r="K39" s="278">
        <v>4.02E-2</v>
      </c>
      <c r="L39" s="278">
        <v>0.57066330407197507</v>
      </c>
      <c r="M39" s="278">
        <v>6.5338888959456859E-2</v>
      </c>
      <c r="N39" s="279">
        <v>0.21065775422020444</v>
      </c>
      <c r="O39" s="279">
        <v>7.8617632801735198</v>
      </c>
      <c r="P39" s="279">
        <v>11.571072394813758</v>
      </c>
      <c r="Q39" s="279">
        <v>51.020694813583347</v>
      </c>
      <c r="R39" s="279">
        <v>0.72885862960849723</v>
      </c>
      <c r="S39" s="279">
        <v>90.275653333190277</v>
      </c>
      <c r="T39" s="278">
        <v>0.13164612697696448</v>
      </c>
      <c r="U39" s="278">
        <v>1.7141600669973196</v>
      </c>
      <c r="V39" s="278">
        <v>2.4321571836651978</v>
      </c>
      <c r="W39" s="278">
        <v>20.696758197020259</v>
      </c>
      <c r="X39" s="278">
        <v>-4.057751699023196E-2</v>
      </c>
      <c r="Y39" s="278">
        <v>2.1564993564993563E-2</v>
      </c>
      <c r="Z39" s="278">
        <v>2.1564993564993529E-2</v>
      </c>
    </row>
    <row r="40" spans="1:26" ht="12.75">
      <c r="A40" s="276" t="s">
        <v>585</v>
      </c>
      <c r="B40" s="277">
        <v>254</v>
      </c>
      <c r="C40" s="278">
        <v>0.11979447761194036</v>
      </c>
      <c r="D40" s="278">
        <v>0.16883639180763946</v>
      </c>
      <c r="E40" s="278">
        <v>0.16746973279909438</v>
      </c>
      <c r="F40" s="278">
        <v>0.21669006150593306</v>
      </c>
      <c r="G40" s="279">
        <v>0.91697354099694839</v>
      </c>
      <c r="H40" s="279">
        <v>1.0265938528533092</v>
      </c>
      <c r="I40" s="278">
        <v>8.4295631171198551E-2</v>
      </c>
      <c r="J40" s="278">
        <v>0.62157128261956018</v>
      </c>
      <c r="K40" s="278">
        <v>4.02E-2</v>
      </c>
      <c r="L40" s="278">
        <v>0.16316664034148351</v>
      </c>
      <c r="M40" s="278">
        <v>7.4476975602565831E-2</v>
      </c>
      <c r="N40" s="279">
        <v>1.0579242879828403</v>
      </c>
      <c r="O40" s="279">
        <v>3.7516399566434497</v>
      </c>
      <c r="P40" s="279">
        <v>14.265630243617171</v>
      </c>
      <c r="Q40" s="279">
        <v>21.693391011721552</v>
      </c>
      <c r="R40" s="279">
        <v>3.8408125414891012</v>
      </c>
      <c r="S40" s="279">
        <v>72.596752080350015</v>
      </c>
      <c r="T40" s="278">
        <v>0.26493022254194237</v>
      </c>
      <c r="U40" s="278">
        <v>5.684660726212195E-2</v>
      </c>
      <c r="V40" s="278">
        <v>0.22169435010822316</v>
      </c>
      <c r="W40" s="278">
        <v>1.8332137675235081</v>
      </c>
      <c r="X40" s="278">
        <v>0.10330733392058412</v>
      </c>
      <c r="Y40" s="278">
        <v>0.42162510170376644</v>
      </c>
      <c r="Z40" s="278">
        <v>0.42162510170376644</v>
      </c>
    </row>
    <row r="41" spans="1:26" ht="12.75">
      <c r="A41" s="276" t="s">
        <v>586</v>
      </c>
      <c r="B41" s="277">
        <v>127</v>
      </c>
      <c r="C41" s="278">
        <v>6.4558405797101454E-2</v>
      </c>
      <c r="D41" s="278">
        <v>4.7503311670740039E-2</v>
      </c>
      <c r="E41" s="278">
        <v>0.41499554383319731</v>
      </c>
      <c r="F41" s="278">
        <v>0.40818414813510079</v>
      </c>
      <c r="G41" s="279">
        <v>0.8905148234023309</v>
      </c>
      <c r="H41" s="279">
        <v>1.0496146452635753</v>
      </c>
      <c r="I41" s="278">
        <v>8.5676878715814517E-2</v>
      </c>
      <c r="J41" s="278">
        <v>0.54317099969452376</v>
      </c>
      <c r="K41" s="278">
        <v>4.02E-2</v>
      </c>
      <c r="L41" s="278">
        <v>0.22250400675225415</v>
      </c>
      <c r="M41" s="278">
        <v>7.1980226558383237E-2</v>
      </c>
      <c r="N41" s="279">
        <v>10.139765498802689</v>
      </c>
      <c r="O41" s="279">
        <v>0.59805931595778439</v>
      </c>
      <c r="P41" s="279">
        <v>10.060796549494015</v>
      </c>
      <c r="Q41" s="279">
        <v>12.543626237936724</v>
      </c>
      <c r="R41" s="279">
        <v>3.0910072716470869</v>
      </c>
      <c r="S41" s="279">
        <v>40.297268685069305</v>
      </c>
      <c r="T41" s="278">
        <v>-3.4162923149459824E-2</v>
      </c>
      <c r="U41" s="278">
        <v>7.1231049301103246E-3</v>
      </c>
      <c r="V41" s="278">
        <v>3.2436291145961027E-2</v>
      </c>
      <c r="W41" s="278">
        <v>1.276240942735944</v>
      </c>
      <c r="X41" s="278">
        <v>0.1457460822977637</v>
      </c>
      <c r="Y41" s="278">
        <v>0.17962150601567056</v>
      </c>
      <c r="Z41" s="278">
        <v>0.17962150601567051</v>
      </c>
    </row>
    <row r="42" spans="1:26" ht="12.75">
      <c r="A42" s="276" t="s">
        <v>587</v>
      </c>
      <c r="B42" s="277">
        <v>126</v>
      </c>
      <c r="C42" s="278">
        <v>0.20060619047619035</v>
      </c>
      <c r="D42" s="278">
        <v>0.13202538993828192</v>
      </c>
      <c r="E42" s="278">
        <v>0.14344724170820464</v>
      </c>
      <c r="F42" s="278">
        <v>0.16575663001118832</v>
      </c>
      <c r="G42" s="279">
        <v>0.98673088276303866</v>
      </c>
      <c r="H42" s="279">
        <v>1.109548514031272</v>
      </c>
      <c r="I42" s="278">
        <v>8.9272910841876316E-2</v>
      </c>
      <c r="J42" s="278">
        <v>0.60518970202365763</v>
      </c>
      <c r="K42" s="278">
        <v>4.02E-2</v>
      </c>
      <c r="L42" s="278">
        <v>0.1503626666568883</v>
      </c>
      <c r="M42" s="278">
        <v>7.9476345427233308E-2</v>
      </c>
      <c r="N42" s="279">
        <v>1.1673136659092975</v>
      </c>
      <c r="O42" s="279">
        <v>4.0178246472179451</v>
      </c>
      <c r="P42" s="279">
        <v>17.935051754602803</v>
      </c>
      <c r="Q42" s="279">
        <v>29.925071925487241</v>
      </c>
      <c r="R42" s="279">
        <v>4.2404367098371072</v>
      </c>
      <c r="S42" s="279">
        <v>65.642937403989166</v>
      </c>
      <c r="T42" s="278">
        <v>0.24096223286820687</v>
      </c>
      <c r="U42" s="278">
        <v>3.3473500024054137E-2</v>
      </c>
      <c r="V42" s="278">
        <v>7.39320934157561E-2</v>
      </c>
      <c r="W42" s="278">
        <v>0.89440240482143252</v>
      </c>
      <c r="X42" s="278">
        <v>0.11789373496306871</v>
      </c>
      <c r="Y42" s="278">
        <v>9.4431395962966763E-2</v>
      </c>
      <c r="Z42" s="278">
        <v>9.4431395962966791E-2</v>
      </c>
    </row>
    <row r="43" spans="1:26" ht="12.75">
      <c r="A43" s="276" t="s">
        <v>588</v>
      </c>
      <c r="B43" s="277">
        <v>34</v>
      </c>
      <c r="C43" s="278">
        <v>0.15331578947368421</v>
      </c>
      <c r="D43" s="278">
        <v>9.955744456049502E-2</v>
      </c>
      <c r="E43" s="278">
        <v>8.4470998421373455E-2</v>
      </c>
      <c r="F43" s="278">
        <v>0.32719128366931399</v>
      </c>
      <c r="G43" s="279">
        <v>0.81073152617680166</v>
      </c>
      <c r="H43" s="279">
        <v>1.1224885057471263</v>
      </c>
      <c r="I43" s="278">
        <v>9.0049310344827577E-2</v>
      </c>
      <c r="J43" s="278">
        <v>0.41711357006109706</v>
      </c>
      <c r="K43" s="278">
        <v>3.5200000000000002E-2</v>
      </c>
      <c r="L43" s="278">
        <v>0.37835167140296594</v>
      </c>
      <c r="M43" s="278">
        <v>6.3969790567208307E-2</v>
      </c>
      <c r="N43" s="279">
        <v>1.0848901764503189</v>
      </c>
      <c r="O43" s="279">
        <v>1.4639202576662969</v>
      </c>
      <c r="P43" s="279">
        <v>13.688534966525213</v>
      </c>
      <c r="Q43" s="279">
        <v>14.656798614999193</v>
      </c>
      <c r="R43" s="279">
        <v>1.5969511054874064</v>
      </c>
      <c r="S43" s="279">
        <v>15.59057911742809</v>
      </c>
      <c r="T43" s="278">
        <v>0.79713303752923514</v>
      </c>
      <c r="U43" s="278">
        <v>3.5898934721882007E-3</v>
      </c>
      <c r="V43" s="278">
        <v>1.0503365422146076E-2</v>
      </c>
      <c r="W43" s="278">
        <v>1.2649992307322044</v>
      </c>
      <c r="X43" s="278">
        <v>0.1600884740665231</v>
      </c>
      <c r="Y43" s="278">
        <v>5.6327324524556813E-2</v>
      </c>
      <c r="Z43" s="278">
        <v>5.6327324524556799E-2</v>
      </c>
    </row>
    <row r="44" spans="1:26" ht="12.75">
      <c r="A44" s="276" t="s">
        <v>589</v>
      </c>
      <c r="B44" s="277">
        <v>58</v>
      </c>
      <c r="C44" s="278">
        <v>0.14564375000000002</v>
      </c>
      <c r="D44" s="278">
        <v>0.12926447116945119</v>
      </c>
      <c r="E44" s="278">
        <v>9.4999096754144266E-2</v>
      </c>
      <c r="F44" s="278">
        <v>0.23902690046704117</v>
      </c>
      <c r="G44" s="279">
        <v>0.44125508081978904</v>
      </c>
      <c r="H44" s="279">
        <v>0.81929885057471274</v>
      </c>
      <c r="I44" s="278">
        <v>7.1857931034482764E-2</v>
      </c>
      <c r="J44" s="278">
        <v>0.36491763342440864</v>
      </c>
      <c r="K44" s="278">
        <v>3.5200000000000002E-2</v>
      </c>
      <c r="L44" s="278">
        <v>0.4961135694446191</v>
      </c>
      <c r="M44" s="278">
        <v>4.6686154962730604E-2</v>
      </c>
      <c r="N44" s="279">
        <v>0.82031202518232238</v>
      </c>
      <c r="O44" s="279">
        <v>2.3823277237790172</v>
      </c>
      <c r="P44" s="279">
        <v>10.685534150696153</v>
      </c>
      <c r="Q44" s="279">
        <v>18.385101068374148</v>
      </c>
      <c r="R44" s="279">
        <v>2.2033630799052903</v>
      </c>
      <c r="S44" s="279">
        <v>38.979366000116727</v>
      </c>
      <c r="T44" s="278">
        <v>0.19759255157656574</v>
      </c>
      <c r="U44" s="278">
        <v>4.7601770631629181E-2</v>
      </c>
      <c r="V44" s="278">
        <v>8.1454894394184171E-2</v>
      </c>
      <c r="W44" s="278">
        <v>1.2506273489804076</v>
      </c>
      <c r="X44" s="278">
        <v>9.9757567297779126E-2</v>
      </c>
      <c r="Y44" s="278">
        <v>1.1047256050866221</v>
      </c>
      <c r="Z44" s="278">
        <v>1.1047256050866221</v>
      </c>
    </row>
    <row r="45" spans="1:26" ht="12.75">
      <c r="A45" s="276" t="s">
        <v>590</v>
      </c>
      <c r="B45" s="277">
        <v>73</v>
      </c>
      <c r="C45" s="278">
        <v>7.6097948717948713E-2</v>
      </c>
      <c r="D45" s="278">
        <v>0.16455723706266129</v>
      </c>
      <c r="E45" s="278">
        <v>9.4053627225214542E-2</v>
      </c>
      <c r="F45" s="278">
        <v>0.15615218919355636</v>
      </c>
      <c r="G45" s="279">
        <v>0.67915578788885134</v>
      </c>
      <c r="H45" s="279">
        <v>0.97142212227219693</v>
      </c>
      <c r="I45" s="278">
        <v>8.0985327336331819E-2</v>
      </c>
      <c r="J45" s="278">
        <v>0.46745794958107029</v>
      </c>
      <c r="K45" s="278">
        <v>3.5200000000000002E-2</v>
      </c>
      <c r="L45" s="278">
        <v>0.35655311570143006</v>
      </c>
      <c r="M45" s="278">
        <v>5.9640158352076714E-2</v>
      </c>
      <c r="N45" s="279">
        <v>0.6443049652475773</v>
      </c>
      <c r="O45" s="279">
        <v>3.2982391754822</v>
      </c>
      <c r="P45" s="279">
        <v>11.885324158285641</v>
      </c>
      <c r="Q45" s="279">
        <v>20.049549177266002</v>
      </c>
      <c r="R45" s="279">
        <v>3.1303456179928353</v>
      </c>
      <c r="S45" s="279">
        <v>185.88915781089352</v>
      </c>
      <c r="T45" s="278">
        <v>4.8257454830383212E-2</v>
      </c>
      <c r="U45" s="278">
        <v>0.10768203282058907</v>
      </c>
      <c r="V45" s="278">
        <v>8.3589577759757547E-2</v>
      </c>
      <c r="W45" s="278">
        <v>0.66472278055571188</v>
      </c>
      <c r="X45" s="278">
        <v>0.20352838912773094</v>
      </c>
      <c r="Y45" s="278">
        <v>0.4288064128390206</v>
      </c>
      <c r="Z45" s="278">
        <v>0.42880641283902055</v>
      </c>
    </row>
    <row r="46" spans="1:26" ht="12.75">
      <c r="A46" s="276" t="s">
        <v>591</v>
      </c>
      <c r="B46" s="277">
        <v>134</v>
      </c>
      <c r="C46" s="278">
        <v>8.441590163934426E-2</v>
      </c>
      <c r="D46" s="278">
        <v>0.17108696945219698</v>
      </c>
      <c r="E46" s="278">
        <v>0.29006234699140832</v>
      </c>
      <c r="F46" s="278">
        <v>0.33117512587818704</v>
      </c>
      <c r="G46" s="279">
        <v>0.9149796629650655</v>
      </c>
      <c r="H46" s="279">
        <v>1.0472515325670497</v>
      </c>
      <c r="I46" s="278">
        <v>8.5535091954022979E-2</v>
      </c>
      <c r="J46" s="278">
        <v>0.62017988208335739</v>
      </c>
      <c r="K46" s="278">
        <v>4.02E-2</v>
      </c>
      <c r="L46" s="278">
        <v>0.16682952715013324</v>
      </c>
      <c r="M46" s="278">
        <v>7.5289241203451374E-2</v>
      </c>
      <c r="N46" s="279">
        <v>1.8598277202057116</v>
      </c>
      <c r="O46" s="279">
        <v>2.8041285709589521</v>
      </c>
      <c r="P46" s="279">
        <v>12.960304006155969</v>
      </c>
      <c r="Q46" s="279">
        <v>16.343625035544985</v>
      </c>
      <c r="R46" s="279">
        <v>5.3742127687756343</v>
      </c>
      <c r="S46" s="279">
        <v>30.369989056798811</v>
      </c>
      <c r="T46" s="278">
        <v>0.14124273788945962</v>
      </c>
      <c r="U46" s="278">
        <v>4.0582830441700857E-2</v>
      </c>
      <c r="V46" s="278">
        <v>6.5836591622821877E-2</v>
      </c>
      <c r="W46" s="278">
        <v>0.52025361653932967</v>
      </c>
      <c r="X46" s="278">
        <v>0.13462764603181518</v>
      </c>
      <c r="Y46" s="278">
        <v>0.91905535403901062</v>
      </c>
      <c r="Z46" s="278">
        <v>0.91905535403901062</v>
      </c>
    </row>
    <row r="47" spans="1:26" ht="12.75">
      <c r="A47" s="276" t="s">
        <v>592</v>
      </c>
      <c r="B47" s="277">
        <v>70</v>
      </c>
      <c r="C47" s="278">
        <v>9.4615106382978736E-2</v>
      </c>
      <c r="D47" s="278">
        <v>0.23273453068854169</v>
      </c>
      <c r="E47" s="278">
        <v>0.37612042099480003</v>
      </c>
      <c r="F47" s="278">
        <v>0.28084109435019444</v>
      </c>
      <c r="G47" s="279">
        <v>0.91756695796828625</v>
      </c>
      <c r="H47" s="279">
        <v>1.0004082255747124</v>
      </c>
      <c r="I47" s="278">
        <v>8.2724493534482746E-2</v>
      </c>
      <c r="J47" s="278">
        <v>0.40737772738576628</v>
      </c>
      <c r="K47" s="278">
        <v>3.5200000000000002E-2</v>
      </c>
      <c r="L47" s="278">
        <v>0.13435792637194274</v>
      </c>
      <c r="M47" s="278">
        <v>7.4447441527995886E-2</v>
      </c>
      <c r="N47" s="279">
        <v>1.9325769712683909</v>
      </c>
      <c r="O47" s="279">
        <v>4.6355836649334501</v>
      </c>
      <c r="P47" s="279">
        <v>15.71821612936442</v>
      </c>
      <c r="Q47" s="279">
        <v>19.904307926545513</v>
      </c>
      <c r="R47" s="279">
        <v>5.7615262576801234</v>
      </c>
      <c r="S47" s="279">
        <v>26.220660419135296</v>
      </c>
      <c r="T47" s="278">
        <v>1.615649973243749E-2</v>
      </c>
      <c r="U47" s="278">
        <v>3.4534777413224235E-2</v>
      </c>
      <c r="V47" s="278">
        <v>6.3448560173198221E-2</v>
      </c>
      <c r="W47" s="278">
        <v>0.37475524980112995</v>
      </c>
      <c r="X47" s="278">
        <v>0.23779842814977253</v>
      </c>
      <c r="Y47" s="278">
        <v>0.23806943016390336</v>
      </c>
      <c r="Z47" s="278">
        <v>0.23806943016390336</v>
      </c>
    </row>
    <row r="48" spans="1:26" ht="12.75">
      <c r="A48" s="276" t="s">
        <v>593</v>
      </c>
      <c r="B48" s="277">
        <v>20</v>
      </c>
      <c r="C48" s="278">
        <v>3.491176470588235E-2</v>
      </c>
      <c r="D48" s="278">
        <v>0.13234443525972159</v>
      </c>
      <c r="E48" s="278">
        <v>6.2607037425570597E-2</v>
      </c>
      <c r="F48" s="278">
        <v>0.27687748977527654</v>
      </c>
      <c r="G48" s="279">
        <v>0.81929059452472941</v>
      </c>
      <c r="H48" s="279">
        <v>1.0415208711433759</v>
      </c>
      <c r="I48" s="278">
        <v>8.5191252268602552E-2</v>
      </c>
      <c r="J48" s="278">
        <v>0.33566138685125152</v>
      </c>
      <c r="K48" s="278">
        <v>3.5200000000000002E-2</v>
      </c>
      <c r="L48" s="278">
        <v>0.29953989605303838</v>
      </c>
      <c r="M48" s="278">
        <v>6.5999356024077332E-2</v>
      </c>
      <c r="N48" s="279">
        <v>0.60431582718431187</v>
      </c>
      <c r="O48" s="279">
        <v>1.5839474994210458</v>
      </c>
      <c r="P48" s="279">
        <v>8.2657885650649554</v>
      </c>
      <c r="Q48" s="279">
        <v>11.973493875581763</v>
      </c>
      <c r="R48" s="279">
        <v>0.90628229060353349</v>
      </c>
      <c r="S48" s="279">
        <v>24.848856884912248</v>
      </c>
      <c r="T48" s="278">
        <v>0.36563719942605716</v>
      </c>
      <c r="U48" s="278">
        <v>2.2627541501073593E-2</v>
      </c>
      <c r="V48" s="278">
        <v>3.1455976542029196E-2</v>
      </c>
      <c r="W48" s="278">
        <v>0.31198454903117079</v>
      </c>
      <c r="X48" s="278">
        <v>4.6735517486074317E-2</v>
      </c>
      <c r="Y48" s="278">
        <v>0.27930588801776757</v>
      </c>
      <c r="Z48" s="278">
        <v>0.27930588801776757</v>
      </c>
    </row>
    <row r="49" spans="1:26" ht="12.75">
      <c r="A49" s="276" t="s">
        <v>594</v>
      </c>
      <c r="B49" s="277">
        <v>25</v>
      </c>
      <c r="C49" s="278">
        <v>2.8254285714285718E-2</v>
      </c>
      <c r="D49" s="278">
        <v>0.14223739258700374</v>
      </c>
      <c r="E49" s="278">
        <v>8.5595431847113101E-2</v>
      </c>
      <c r="F49" s="278">
        <v>0.28481211699891407</v>
      </c>
      <c r="G49" s="279">
        <v>0.91067854389207092</v>
      </c>
      <c r="H49" s="279">
        <v>1.2830771072796934</v>
      </c>
      <c r="I49" s="278">
        <v>9.9684626436781595E-2</v>
      </c>
      <c r="J49" s="278">
        <v>0.35590747494802522</v>
      </c>
      <c r="K49" s="278">
        <v>3.5200000000000002E-2</v>
      </c>
      <c r="L49" s="278">
        <v>0.44155180344637024</v>
      </c>
      <c r="M49" s="278">
        <v>6.4994273946530304E-2</v>
      </c>
      <c r="N49" s="279">
        <v>0.75499544491104831</v>
      </c>
      <c r="O49" s="279">
        <v>1.2895761432264066</v>
      </c>
      <c r="P49" s="279">
        <v>8.379794116685245</v>
      </c>
      <c r="Q49" s="279">
        <v>9.0472066394565083</v>
      </c>
      <c r="R49" s="279">
        <v>0.95441175951484114</v>
      </c>
      <c r="S49" s="279">
        <v>13.983875294753688</v>
      </c>
      <c r="T49" s="278">
        <v>8.5047054703369096E-2</v>
      </c>
      <c r="U49" s="278">
        <v>1.3679344400084053E-3</v>
      </c>
      <c r="V49" s="278">
        <v>1.5056291004179212E-3</v>
      </c>
      <c r="W49" s="278">
        <v>4.9591597545320047E-2</v>
      </c>
      <c r="X49" s="278">
        <v>8.6820388916738295E-2</v>
      </c>
      <c r="Y49" s="278">
        <v>0.2725798619341705</v>
      </c>
      <c r="Z49" s="278">
        <v>0.2725798619341705</v>
      </c>
    </row>
    <row r="50" spans="1:26" ht="12.75">
      <c r="A50" s="276" t="s">
        <v>595</v>
      </c>
      <c r="B50" s="277">
        <v>53</v>
      </c>
      <c r="C50" s="278">
        <v>8.0599767441860454E-2</v>
      </c>
      <c r="D50" s="278">
        <v>0.14722638811151911</v>
      </c>
      <c r="E50" s="278">
        <v>0.11694533074548917</v>
      </c>
      <c r="F50" s="278">
        <v>0.28709220364559584</v>
      </c>
      <c r="G50" s="279">
        <v>0.75385679969929598</v>
      </c>
      <c r="H50" s="279">
        <v>0.89603358124859167</v>
      </c>
      <c r="I50" s="278">
        <v>7.6462014874915496E-2</v>
      </c>
      <c r="J50" s="278">
        <v>0.32925960340735677</v>
      </c>
      <c r="K50" s="278">
        <v>3.5200000000000002E-2</v>
      </c>
      <c r="L50" s="278">
        <v>0.23892113527719169</v>
      </c>
      <c r="M50" s="278">
        <v>6.3239637852473454E-2</v>
      </c>
      <c r="N50" s="279">
        <v>1.0164692492410123</v>
      </c>
      <c r="O50" s="279">
        <v>1.4104776790220659</v>
      </c>
      <c r="P50" s="279">
        <v>8.5346278353704772</v>
      </c>
      <c r="Q50" s="279">
        <v>9.5447870187727464</v>
      </c>
      <c r="R50" s="279">
        <v>1.3784354768794442</v>
      </c>
      <c r="S50" s="279">
        <v>21.597819827167818</v>
      </c>
      <c r="T50" s="278">
        <v>-0.21089241323445146</v>
      </c>
      <c r="U50" s="278">
        <v>8.3601939427583871E-3</v>
      </c>
      <c r="V50" s="278">
        <v>1.0682191819139687E-2</v>
      </c>
      <c r="W50" s="278">
        <v>0.1547523510234973</v>
      </c>
      <c r="X50" s="278">
        <v>0.11910543297185991</v>
      </c>
      <c r="Y50" s="278">
        <v>0.24355482046962165</v>
      </c>
      <c r="Z50" s="278">
        <v>0.24355482046962162</v>
      </c>
    </row>
    <row r="51" spans="1:26" ht="12.75">
      <c r="A51" s="276" t="s">
        <v>596</v>
      </c>
      <c r="B51" s="277">
        <v>145</v>
      </c>
      <c r="C51" s="278">
        <v>0.13387887096774198</v>
      </c>
      <c r="D51" s="278">
        <v>0.19654873312137797</v>
      </c>
      <c r="E51" s="278">
        <v>6.2325031399651773E-2</v>
      </c>
      <c r="F51" s="278">
        <v>0.21138096334841455</v>
      </c>
      <c r="G51" s="279">
        <v>0.80698183301141047</v>
      </c>
      <c r="H51" s="279">
        <v>1.173191260225743</v>
      </c>
      <c r="I51" s="278">
        <v>9.3091475613544583E-2</v>
      </c>
      <c r="J51" s="278">
        <v>0.37840875545878982</v>
      </c>
      <c r="K51" s="278">
        <v>3.5200000000000002E-2</v>
      </c>
      <c r="L51" s="278">
        <v>0.43300230409412827</v>
      </c>
      <c r="M51" s="278">
        <v>6.1927660843825415E-2</v>
      </c>
      <c r="N51" s="279">
        <v>0.34426526683667619</v>
      </c>
      <c r="O51" s="279">
        <v>4.3843911034831313</v>
      </c>
      <c r="P51" s="279">
        <v>18.347042968876206</v>
      </c>
      <c r="Q51" s="279">
        <v>21.265617858434727</v>
      </c>
      <c r="R51" s="279">
        <v>1.1062803437772826</v>
      </c>
      <c r="S51" s="279">
        <v>24.483261738300097</v>
      </c>
      <c r="T51" s="278" t="s">
        <v>101</v>
      </c>
      <c r="U51" s="278">
        <v>2.6124907831154474E-2</v>
      </c>
      <c r="V51" s="278">
        <v>2.2689486324245289E-2</v>
      </c>
      <c r="W51" s="278">
        <v>0.32292818882311414</v>
      </c>
      <c r="X51" s="278">
        <v>0.11178464750814164</v>
      </c>
      <c r="Y51" s="278">
        <v>0.63040871972287316</v>
      </c>
      <c r="Z51" s="278">
        <v>0.63040871972287316</v>
      </c>
    </row>
    <row r="52" spans="1:26" ht="12.75">
      <c r="A52" s="276" t="s">
        <v>597</v>
      </c>
      <c r="B52" s="277">
        <v>130</v>
      </c>
      <c r="C52" s="278">
        <v>5.9958589743589724E-2</v>
      </c>
      <c r="D52" s="278">
        <v>0.12832328958844891</v>
      </c>
      <c r="E52" s="278">
        <v>0.225353454880832</v>
      </c>
      <c r="F52" s="278">
        <v>0.2900357874868072</v>
      </c>
      <c r="G52" s="279">
        <v>1.2286140493062305</v>
      </c>
      <c r="H52" s="279">
        <v>1.4350244373611516</v>
      </c>
      <c r="I52" s="278">
        <v>0.10880146624166909</v>
      </c>
      <c r="J52" s="278">
        <v>0.46073118185320422</v>
      </c>
      <c r="K52" s="278">
        <v>3.5200000000000002E-2</v>
      </c>
      <c r="L52" s="278">
        <v>0.21613822824189061</v>
      </c>
      <c r="M52" s="278">
        <v>8.9850149478543584E-2</v>
      </c>
      <c r="N52" s="279">
        <v>2.0717124491203491</v>
      </c>
      <c r="O52" s="279">
        <v>1.6229819585418301</v>
      </c>
      <c r="P52" s="279">
        <v>9.5966938446807504</v>
      </c>
      <c r="Q52" s="279">
        <v>12.604532614085644</v>
      </c>
      <c r="R52" s="279">
        <v>2.9971076546367934</v>
      </c>
      <c r="S52" s="279">
        <v>28.012638150982465</v>
      </c>
      <c r="T52" s="278">
        <v>0.22804048424108564</v>
      </c>
      <c r="U52" s="278">
        <v>2.9025027508605156E-2</v>
      </c>
      <c r="V52" s="278">
        <v>5.9739187573841508E-2</v>
      </c>
      <c r="W52" s="278">
        <v>0.66544353006512069</v>
      </c>
      <c r="X52" s="278">
        <v>0.12756653503230539</v>
      </c>
      <c r="Y52" s="278">
        <v>0.37583579548967394</v>
      </c>
      <c r="Z52" s="278">
        <v>0.37583579548967394</v>
      </c>
    </row>
    <row r="53" spans="1:26" ht="12.75">
      <c r="A53" s="276" t="s">
        <v>598</v>
      </c>
      <c r="B53" s="277">
        <v>114</v>
      </c>
      <c r="C53" s="278">
        <v>0.32834333333333332</v>
      </c>
      <c r="D53" s="278">
        <v>0.11154378152450048</v>
      </c>
      <c r="E53" s="278">
        <v>8.2903372683773735E-2</v>
      </c>
      <c r="F53" s="278">
        <v>0.3666750060683116</v>
      </c>
      <c r="G53" s="279">
        <v>0.87412275998567224</v>
      </c>
      <c r="H53" s="279">
        <v>1.5545566343042072</v>
      </c>
      <c r="I53" s="278">
        <v>0.11597339805825242</v>
      </c>
      <c r="J53" s="278">
        <v>0.91021739409237379</v>
      </c>
      <c r="K53" s="278">
        <v>7.7700000000000005E-2</v>
      </c>
      <c r="L53" s="278">
        <v>0.46165723947182574</v>
      </c>
      <c r="M53" s="278">
        <v>8.395589976268894E-2</v>
      </c>
      <c r="N53" s="279">
        <v>0.75391433374714201</v>
      </c>
      <c r="O53" s="279">
        <v>1.5866377074580711</v>
      </c>
      <c r="P53" s="279">
        <v>6.6232179628406964</v>
      </c>
      <c r="Q53" s="279">
        <v>13.521525834348861</v>
      </c>
      <c r="R53" s="279">
        <v>1.2111054910605663</v>
      </c>
      <c r="S53" s="279">
        <v>24.168871601712958</v>
      </c>
      <c r="T53" s="278">
        <v>0.13139162971186999</v>
      </c>
      <c r="U53" s="278">
        <v>0.17965190310739099</v>
      </c>
      <c r="V53" s="278">
        <v>0.12900891170513634</v>
      </c>
      <c r="W53" s="278">
        <v>1.550850021243956</v>
      </c>
      <c r="X53" s="278">
        <v>-0.23486328834199438</v>
      </c>
      <c r="Y53" s="278">
        <v>2.1173706700330511E-3</v>
      </c>
      <c r="Z53" s="278">
        <v>2.1173706700330364E-3</v>
      </c>
    </row>
    <row r="54" spans="1:26" ht="12.75">
      <c r="A54" s="276" t="s">
        <v>599</v>
      </c>
      <c r="B54" s="277">
        <v>24</v>
      </c>
      <c r="C54" s="278">
        <v>1.4800625000000001E-2</v>
      </c>
      <c r="D54" s="278">
        <v>0.10613541177062651</v>
      </c>
      <c r="E54" s="278">
        <v>0.23021392094718579</v>
      </c>
      <c r="F54" s="278">
        <v>0.34130431562680513</v>
      </c>
      <c r="G54" s="279">
        <v>1.2940648547983142</v>
      </c>
      <c r="H54" s="279">
        <v>1.8153683158420792</v>
      </c>
      <c r="I54" s="278">
        <v>0.13162209895052476</v>
      </c>
      <c r="J54" s="278">
        <v>0.41575890659924619</v>
      </c>
      <c r="K54" s="278">
        <v>3.5200000000000002E-2</v>
      </c>
      <c r="L54" s="278">
        <v>0.37718075423230929</v>
      </c>
      <c r="M54" s="278">
        <v>8.9942833924112564E-2</v>
      </c>
      <c r="N54" s="279">
        <v>2.6816713012803395</v>
      </c>
      <c r="O54" s="279">
        <v>1.077466282696846</v>
      </c>
      <c r="P54" s="279">
        <v>7.3893055665694645</v>
      </c>
      <c r="Q54" s="279">
        <v>10.165598437186945</v>
      </c>
      <c r="R54" s="279">
        <v>3.8119294346730999</v>
      </c>
      <c r="S54" s="279">
        <v>13.859554734580339</v>
      </c>
      <c r="T54" s="278">
        <v>9.9873545436200986E-2</v>
      </c>
      <c r="U54" s="278">
        <v>3.0270753623303098E-2</v>
      </c>
      <c r="V54" s="278">
        <v>6.1242174733618475E-2</v>
      </c>
      <c r="W54" s="278">
        <v>0.97547212766280122</v>
      </c>
      <c r="X54" s="278">
        <v>0.29359277774001596</v>
      </c>
      <c r="Y54" s="278">
        <v>0.33111990402626645</v>
      </c>
      <c r="Z54" s="278">
        <v>0.33111990402626645</v>
      </c>
    </row>
    <row r="55" spans="1:26" ht="12.75">
      <c r="A55" s="276" t="s">
        <v>600</v>
      </c>
      <c r="B55" s="277">
        <v>7</v>
      </c>
      <c r="C55" s="278">
        <v>-5.0366666666666664E-2</v>
      </c>
      <c r="D55" s="278">
        <v>3.2886810808987303E-2</v>
      </c>
      <c r="E55" s="278">
        <v>2.9531447608773242E-2</v>
      </c>
      <c r="F55" s="278">
        <v>0.28008666535355525</v>
      </c>
      <c r="G55" s="279">
        <v>1.3768945488985402</v>
      </c>
      <c r="H55" s="279">
        <v>1.5362471264367816</v>
      </c>
      <c r="I55" s="278">
        <v>0.11487482758620689</v>
      </c>
      <c r="J55" s="278">
        <v>0.50243840762969005</v>
      </c>
      <c r="K55" s="278">
        <v>4.02E-2</v>
      </c>
      <c r="L55" s="278">
        <v>0.14160206444922721</v>
      </c>
      <c r="M55" s="278">
        <v>0.10202375664126632</v>
      </c>
      <c r="N55" s="279">
        <v>0.97784761082782168</v>
      </c>
      <c r="O55" s="279">
        <v>1.4753869151733552</v>
      </c>
      <c r="P55" s="279">
        <v>9.0186484941063512</v>
      </c>
      <c r="Q55" s="279">
        <v>44.71164890042192</v>
      </c>
      <c r="R55" s="279">
        <v>1.4884596094884361</v>
      </c>
      <c r="S55" s="279">
        <v>17.958909254945034</v>
      </c>
      <c r="T55" s="278">
        <v>3.8184535263098861E-2</v>
      </c>
      <c r="U55" s="278">
        <v>0.16791681904406097</v>
      </c>
      <c r="V55" s="278">
        <v>4.0860979914407125E-2</v>
      </c>
      <c r="W55" s="278">
        <v>2.7961753754015848</v>
      </c>
      <c r="X55" s="278">
        <v>5.8392905412527986E-2</v>
      </c>
      <c r="Y55" s="278">
        <v>0.99935942518489318</v>
      </c>
      <c r="Z55" s="278">
        <v>0.99935942518489318</v>
      </c>
    </row>
    <row r="56" spans="1:26" ht="12.75">
      <c r="A56" s="276" t="s">
        <v>601</v>
      </c>
      <c r="B56" s="277">
        <v>351</v>
      </c>
      <c r="C56" s="278">
        <v>0.10457986486486481</v>
      </c>
      <c r="D56" s="278">
        <v>-0.12305717890978604</v>
      </c>
      <c r="E56" s="278">
        <v>-3.9332888850467436E-2</v>
      </c>
      <c r="F56" s="278">
        <v>0.31787666347499327</v>
      </c>
      <c r="G56" s="279">
        <v>0.94743762340513227</v>
      </c>
      <c r="H56" s="279">
        <v>1.6298061400609603</v>
      </c>
      <c r="I56" s="278">
        <v>0.12048836840365761</v>
      </c>
      <c r="J56" s="278">
        <v>0.80217628593890888</v>
      </c>
      <c r="K56" s="278">
        <v>6.5200000000000008E-2</v>
      </c>
      <c r="L56" s="278">
        <v>0.45198603130885001</v>
      </c>
      <c r="M56" s="278">
        <v>8.371100249481199E-2</v>
      </c>
      <c r="N56" s="279">
        <v>0.32919469275957991</v>
      </c>
      <c r="O56" s="279">
        <v>3.0678558993379452</v>
      </c>
      <c r="P56" s="279">
        <v>5.5920294076603323</v>
      </c>
      <c r="Q56" s="279" t="s">
        <v>101</v>
      </c>
      <c r="R56" s="279">
        <v>1.1410846052081534</v>
      </c>
      <c r="S56" s="279">
        <v>18.941951655155595</v>
      </c>
      <c r="T56" s="278">
        <v>5.9667147017687376E-2</v>
      </c>
      <c r="U56" s="278">
        <v>0.68018941347811335</v>
      </c>
      <c r="V56" s="278">
        <v>8.2469321626158554E-2</v>
      </c>
      <c r="W56" s="278" t="s">
        <v>101</v>
      </c>
      <c r="X56" s="278">
        <v>-0.27526836211626782</v>
      </c>
      <c r="Y56" s="278">
        <v>4.8533196085818117E-3</v>
      </c>
      <c r="Z56" s="278">
        <v>4.8533196085818187E-3</v>
      </c>
    </row>
    <row r="57" spans="1:26" ht="12.75">
      <c r="A57" s="276" t="s">
        <v>602</v>
      </c>
      <c r="B57" s="277">
        <v>79</v>
      </c>
      <c r="C57" s="278">
        <v>0.12898944444444443</v>
      </c>
      <c r="D57" s="278">
        <v>0.10105962467597684</v>
      </c>
      <c r="E57" s="278">
        <v>9.2063475992478938E-2</v>
      </c>
      <c r="F57" s="278">
        <v>9.0141626455390395E-2</v>
      </c>
      <c r="G57" s="279">
        <v>0.65372935713088309</v>
      </c>
      <c r="H57" s="279">
        <v>1.2236714285714283</v>
      </c>
      <c r="I57" s="278">
        <v>9.61202857142857E-2</v>
      </c>
      <c r="J57" s="278">
        <v>0.47815042594793106</v>
      </c>
      <c r="K57" s="278">
        <v>3.5200000000000002E-2</v>
      </c>
      <c r="L57" s="278">
        <v>0.48548506190232804</v>
      </c>
      <c r="M57" s="278">
        <v>5.9708767361593411E-2</v>
      </c>
      <c r="N57" s="279">
        <v>0.96501328733840053</v>
      </c>
      <c r="O57" s="279">
        <v>2.0957958246447825</v>
      </c>
      <c r="P57" s="279">
        <v>11.806397478505797</v>
      </c>
      <c r="Q57" s="279">
        <v>19.277868573318589</v>
      </c>
      <c r="R57" s="279">
        <v>1.1863067319841192</v>
      </c>
      <c r="S57" s="279">
        <v>26.548016505768057</v>
      </c>
      <c r="T57" s="278">
        <v>2.4270170637111128E-2</v>
      </c>
      <c r="U57" s="278">
        <v>0.20238001215593301</v>
      </c>
      <c r="V57" s="278">
        <v>0.23048574201652083</v>
      </c>
      <c r="W57" s="278">
        <v>2.4790203266197235</v>
      </c>
      <c r="X57" s="278">
        <v>7.520780934886169E-2</v>
      </c>
      <c r="Y57" s="278">
        <v>2.2573232315642802</v>
      </c>
      <c r="Z57" s="278">
        <v>2.2573232315642802</v>
      </c>
    </row>
    <row r="58" spans="1:26" ht="12.75">
      <c r="A58" s="276" t="s">
        <v>603</v>
      </c>
      <c r="B58" s="277">
        <v>143</v>
      </c>
      <c r="C58" s="278">
        <v>0.11532546666666667</v>
      </c>
      <c r="D58" s="278">
        <v>6.987149087778434E-2</v>
      </c>
      <c r="E58" s="278">
        <v>0.16193932770572031</v>
      </c>
      <c r="F58" s="278">
        <v>0.29920698334446066</v>
      </c>
      <c r="G58" s="279">
        <v>1.410476112201879</v>
      </c>
      <c r="H58" s="279">
        <v>1.7424245153542628</v>
      </c>
      <c r="I58" s="278">
        <v>0.12724547092125577</v>
      </c>
      <c r="J58" s="278">
        <v>0.69616912274121645</v>
      </c>
      <c r="K58" s="278">
        <v>4.5200000000000004E-2</v>
      </c>
      <c r="L58" s="278">
        <v>0.28098404068534805</v>
      </c>
      <c r="M58" s="278">
        <v>9.9111811526278001E-2</v>
      </c>
      <c r="N58" s="279">
        <v>2.5630560061560383</v>
      </c>
      <c r="O58" s="279">
        <v>0.62510868924745588</v>
      </c>
      <c r="P58" s="279">
        <v>5.7692297864889834</v>
      </c>
      <c r="Q58" s="279">
        <v>8.8719517963793511</v>
      </c>
      <c r="R58" s="279">
        <v>1.422667295539253</v>
      </c>
      <c r="S58" s="279">
        <v>27.193876985109259</v>
      </c>
      <c r="T58" s="278">
        <v>0.10261809456343488</v>
      </c>
      <c r="U58" s="278">
        <v>4.4976603037822513E-2</v>
      </c>
      <c r="V58" s="278">
        <v>3.2481436973961338E-2</v>
      </c>
      <c r="W58" s="278">
        <v>0.53311582099392829</v>
      </c>
      <c r="X58" s="278">
        <v>8.2640192311378313E-2</v>
      </c>
      <c r="Y58" s="278">
        <v>0.51810221021790204</v>
      </c>
      <c r="Z58" s="278">
        <v>0.51810221021790204</v>
      </c>
    </row>
    <row r="59" spans="1:26" ht="12.75">
      <c r="A59" s="276" t="s">
        <v>604</v>
      </c>
      <c r="B59" s="277">
        <v>25</v>
      </c>
      <c r="C59" s="278">
        <v>4.4509444444444449E-2</v>
      </c>
      <c r="D59" s="278">
        <v>0.10078959783334858</v>
      </c>
      <c r="E59" s="278">
        <v>0.17098123767411805</v>
      </c>
      <c r="F59" s="278">
        <v>0.30470029152190409</v>
      </c>
      <c r="G59" s="279">
        <v>0.90706844247421869</v>
      </c>
      <c r="H59" s="279">
        <v>1.2638866995073894</v>
      </c>
      <c r="I59" s="278">
        <v>9.8533201970443365E-2</v>
      </c>
      <c r="J59" s="278">
        <v>0.32099293740694312</v>
      </c>
      <c r="K59" s="278">
        <v>3.5200000000000002E-2</v>
      </c>
      <c r="L59" s="278">
        <v>0.35372212932628844</v>
      </c>
      <c r="M59" s="278">
        <v>7.1150439331492107E-2</v>
      </c>
      <c r="N59" s="279">
        <v>2.1584445488740247</v>
      </c>
      <c r="O59" s="279">
        <v>1.4410672953547647</v>
      </c>
      <c r="P59" s="279">
        <v>9.4514455713518366</v>
      </c>
      <c r="Q59" s="279">
        <v>14.291862704423705</v>
      </c>
      <c r="R59" s="279">
        <v>3.3066181189372648</v>
      </c>
      <c r="S59" s="279">
        <v>32.95552030022354</v>
      </c>
      <c r="T59" s="278">
        <v>0.10069635824172275</v>
      </c>
      <c r="U59" s="278">
        <v>4.5649887239074115E-2</v>
      </c>
      <c r="V59" s="278">
        <v>8.1590384286602591E-2</v>
      </c>
      <c r="W59" s="278">
        <v>1.0290893768167864</v>
      </c>
      <c r="X59" s="278">
        <v>0.16994238527380248</v>
      </c>
      <c r="Y59" s="278">
        <v>0.35847556639768774</v>
      </c>
      <c r="Z59" s="278">
        <v>0.35847556639768774</v>
      </c>
    </row>
    <row r="60" spans="1:26" ht="12.75">
      <c r="A60" s="276" t="s">
        <v>605</v>
      </c>
      <c r="B60" s="277">
        <v>20</v>
      </c>
      <c r="C60" s="278">
        <v>7.6253076923076923E-2</v>
      </c>
      <c r="D60" s="278">
        <v>8.2249561297819879E-2</v>
      </c>
      <c r="E60" s="278">
        <v>0.11921492243019582</v>
      </c>
      <c r="F60" s="278">
        <v>0.29503906708025551</v>
      </c>
      <c r="G60" s="279">
        <v>0.89356619047385455</v>
      </c>
      <c r="H60" s="279">
        <v>1.5158620689655173</v>
      </c>
      <c r="I60" s="278">
        <v>0.11365172413793104</v>
      </c>
      <c r="J60" s="278">
        <v>0.38529668724707539</v>
      </c>
      <c r="K60" s="278">
        <v>3.5200000000000002E-2</v>
      </c>
      <c r="L60" s="278">
        <v>0.47107607000077584</v>
      </c>
      <c r="M60" s="278">
        <v>7.0062243180638556E-2</v>
      </c>
      <c r="N60" s="279">
        <v>1.7234139870086924</v>
      </c>
      <c r="O60" s="279">
        <v>1.2698401881230612</v>
      </c>
      <c r="P60" s="279">
        <v>9.0807104813115096</v>
      </c>
      <c r="Q60" s="279">
        <v>15.411769505931497</v>
      </c>
      <c r="R60" s="279">
        <v>3.2589369496217446</v>
      </c>
      <c r="S60" s="279">
        <v>48.075846540547609</v>
      </c>
      <c r="T60" s="278">
        <v>0.15690491863470207</v>
      </c>
      <c r="U60" s="278">
        <v>5.4099073559422416E-2</v>
      </c>
      <c r="V60" s="278">
        <v>2.3555933317375349E-2</v>
      </c>
      <c r="W60" s="278">
        <v>0.47768055810650739</v>
      </c>
      <c r="X60" s="278">
        <v>6.3398997096924758E-2</v>
      </c>
      <c r="Y60" s="278">
        <v>1.1308301554708131</v>
      </c>
      <c r="Z60" s="278">
        <v>1.1308301554708131</v>
      </c>
    </row>
    <row r="61" spans="1:26" ht="12.75">
      <c r="A61" s="276" t="s">
        <v>606</v>
      </c>
      <c r="B61" s="277">
        <v>73</v>
      </c>
      <c r="C61" s="278">
        <v>2.995934426229507E-2</v>
      </c>
      <c r="D61" s="278">
        <v>0.18178467469287812</v>
      </c>
      <c r="E61" s="278">
        <v>7.199536034262638E-2</v>
      </c>
      <c r="F61" s="278">
        <v>0.31593714281956664</v>
      </c>
      <c r="G61" s="279">
        <v>0.49888085289261619</v>
      </c>
      <c r="H61" s="279">
        <v>0.79734110885733622</v>
      </c>
      <c r="I61" s="278">
        <v>7.054046653144018E-2</v>
      </c>
      <c r="J61" s="278">
        <v>0.29310365877915995</v>
      </c>
      <c r="K61" s="278">
        <v>3.5200000000000002E-2</v>
      </c>
      <c r="L61" s="278">
        <v>0.45486968171225656</v>
      </c>
      <c r="M61" s="278">
        <v>4.8060594650212757E-2</v>
      </c>
      <c r="N61" s="279">
        <v>0.51684324275302862</v>
      </c>
      <c r="O61" s="279">
        <v>2.7859978572606106</v>
      </c>
      <c r="P61" s="279">
        <v>8.9174075191010314</v>
      </c>
      <c r="Q61" s="279">
        <v>15.32441392437063</v>
      </c>
      <c r="R61" s="279">
        <v>1.5964701251353337</v>
      </c>
      <c r="S61" s="279">
        <v>21.383736142274252</v>
      </c>
      <c r="T61" s="278">
        <v>0.10818762459672764</v>
      </c>
      <c r="U61" s="278">
        <v>0.22854956311009636</v>
      </c>
      <c r="V61" s="278">
        <v>0.16683696598629502</v>
      </c>
      <c r="W61" s="278">
        <v>1.304286709140839</v>
      </c>
      <c r="X61" s="278">
        <v>8.5469399336896276E-2</v>
      </c>
      <c r="Y61" s="278">
        <v>0.68675157320043145</v>
      </c>
      <c r="Z61" s="278">
        <v>0.68675157320043145</v>
      </c>
    </row>
    <row r="62" spans="1:26" ht="12.75">
      <c r="A62" s="276" t="s">
        <v>607</v>
      </c>
      <c r="B62" s="277">
        <v>113</v>
      </c>
      <c r="C62" s="278">
        <v>9.1117999999999991E-2</v>
      </c>
      <c r="D62" s="278">
        <v>0.21548774177228755</v>
      </c>
      <c r="E62" s="278">
        <v>9.3399860305051971E-2</v>
      </c>
      <c r="F62" s="278">
        <v>0.47234197202867306</v>
      </c>
      <c r="G62" s="279">
        <v>1.0348311060447721</v>
      </c>
      <c r="H62" s="279">
        <v>1.2930626710454294</v>
      </c>
      <c r="I62" s="278">
        <v>0.10028376026272576</v>
      </c>
      <c r="J62" s="278">
        <v>0.93129119162425056</v>
      </c>
      <c r="K62" s="278">
        <v>7.7700000000000005E-2</v>
      </c>
      <c r="L62" s="278">
        <v>0.33347773259780322</v>
      </c>
      <c r="M62" s="278">
        <v>8.2388091167639885E-2</v>
      </c>
      <c r="N62" s="279">
        <v>0.44055880759133897</v>
      </c>
      <c r="O62" s="279">
        <v>1.9709519148389709</v>
      </c>
      <c r="P62" s="279">
        <v>4.761478093130477</v>
      </c>
      <c r="Q62" s="279">
        <v>8.682221947235778</v>
      </c>
      <c r="R62" s="279">
        <v>0.72829259423408177</v>
      </c>
      <c r="S62" s="279">
        <v>12.889672873325827</v>
      </c>
      <c r="T62" s="278">
        <v>0.1507450547241887</v>
      </c>
      <c r="U62" s="278">
        <v>0.29652404019548173</v>
      </c>
      <c r="V62" s="278">
        <v>0.21764523339442959</v>
      </c>
      <c r="W62" s="278">
        <v>2.1815084611346935</v>
      </c>
      <c r="X62" s="278">
        <v>-4.4046440588616308E-2</v>
      </c>
      <c r="Y62" s="278">
        <v>2.4290996992920515E-3</v>
      </c>
      <c r="Z62" s="278">
        <v>2.4290996992920588E-3</v>
      </c>
    </row>
    <row r="63" spans="1:26" ht="12.75">
      <c r="A63" s="276" t="s">
        <v>608</v>
      </c>
      <c r="B63" s="277">
        <v>39</v>
      </c>
      <c r="C63" s="278">
        <v>2.1931500000000003E-2</v>
      </c>
      <c r="D63" s="278">
        <v>8.2698764724735807E-2</v>
      </c>
      <c r="E63" s="278">
        <v>0.13242949648843941</v>
      </c>
      <c r="F63" s="278">
        <v>0.18222824919580446</v>
      </c>
      <c r="G63" s="279">
        <v>1.0689823736618371</v>
      </c>
      <c r="H63" s="279">
        <v>1.4458879310344832</v>
      </c>
      <c r="I63" s="278">
        <v>0.10945327586206899</v>
      </c>
      <c r="J63" s="278">
        <v>0.51596243857593571</v>
      </c>
      <c r="K63" s="278">
        <v>4.02E-2</v>
      </c>
      <c r="L63" s="278">
        <v>0.33141778770061636</v>
      </c>
      <c r="M63" s="278">
        <v>8.1172310358615676E-2</v>
      </c>
      <c r="N63" s="279">
        <v>1.8530747104489089</v>
      </c>
      <c r="O63" s="279">
        <v>1.3526362454156644</v>
      </c>
      <c r="P63" s="279">
        <v>8.8455226346470575</v>
      </c>
      <c r="Q63" s="279">
        <v>16.440385039997675</v>
      </c>
      <c r="R63" s="279">
        <v>1.7531583502168442</v>
      </c>
      <c r="S63" s="279">
        <v>46.124684332560363</v>
      </c>
      <c r="T63" s="278">
        <v>0.11802274844633108</v>
      </c>
      <c r="U63" s="278">
        <v>3.6404283631515627E-2</v>
      </c>
      <c r="V63" s="278">
        <v>5.9739660845758765E-3</v>
      </c>
      <c r="W63" s="278">
        <v>9.9045370292351595E-2</v>
      </c>
      <c r="X63" s="278">
        <v>4.1802264205795088E-2</v>
      </c>
      <c r="Y63" s="278">
        <v>1.1287741318391449</v>
      </c>
      <c r="Z63" s="278">
        <v>1.1287741318391449</v>
      </c>
    </row>
    <row r="64" spans="1:26" ht="12.75">
      <c r="A64" s="276" t="s">
        <v>609</v>
      </c>
      <c r="B64" s="277">
        <v>221</v>
      </c>
      <c r="C64" s="278">
        <v>0.12805992957746487</v>
      </c>
      <c r="D64" s="278">
        <v>0.22183320872445092</v>
      </c>
      <c r="E64" s="278">
        <v>2.7270455835469182E-2</v>
      </c>
      <c r="F64" s="278">
        <v>2.9279616266928151E-2</v>
      </c>
      <c r="G64" s="279">
        <v>0.41289220238853069</v>
      </c>
      <c r="H64" s="279">
        <v>0.7644639080459773</v>
      </c>
      <c r="I64" s="278">
        <v>6.8567834482758633E-2</v>
      </c>
      <c r="J64" s="278">
        <v>0.25709291506981896</v>
      </c>
      <c r="K64" s="278">
        <v>3.5200000000000002E-2</v>
      </c>
      <c r="L64" s="278">
        <v>0.47316485593147245</v>
      </c>
      <c r="M64" s="278">
        <v>4.611718671546379E-2</v>
      </c>
      <c r="N64" s="279">
        <v>0.12566605937947209</v>
      </c>
      <c r="O64" s="279">
        <v>12.021492333472162</v>
      </c>
      <c r="P64" s="279">
        <v>21.464463136095087</v>
      </c>
      <c r="Q64" s="279">
        <v>48.193339747267316</v>
      </c>
      <c r="R64" s="279">
        <v>2.0610376778527035</v>
      </c>
      <c r="S64" s="279">
        <v>82.140090429595219</v>
      </c>
      <c r="T64" s="278">
        <v>0.55262803796862292</v>
      </c>
      <c r="U64" s="278">
        <v>4.5747524127615895E-2</v>
      </c>
      <c r="V64" s="278">
        <v>-1.3181571720439654E-2</v>
      </c>
      <c r="W64" s="278">
        <v>-3.7080281791477515E-2</v>
      </c>
      <c r="X64" s="278">
        <v>7.4834984033017582E-2</v>
      </c>
      <c r="Y64" s="278">
        <v>1.3781762873758869</v>
      </c>
      <c r="Z64" s="278">
        <v>1.3781762873758869</v>
      </c>
    </row>
    <row r="65" spans="1:26" ht="12.75">
      <c r="A65" s="276" t="s">
        <v>610</v>
      </c>
      <c r="B65" s="277">
        <v>21</v>
      </c>
      <c r="C65" s="278">
        <v>0.35333333333333333</v>
      </c>
      <c r="D65" s="278">
        <v>-2.9762158733310933E-2</v>
      </c>
      <c r="E65" s="278">
        <v>-8.4691273797412418E-3</v>
      </c>
      <c r="F65" s="278">
        <v>0.17345537757437071</v>
      </c>
      <c r="G65" s="279">
        <v>0.92994011768456197</v>
      </c>
      <c r="H65" s="279">
        <v>1.4071926977687628</v>
      </c>
      <c r="I65" s="278">
        <v>0.10713156186612575</v>
      </c>
      <c r="J65" s="278">
        <v>0.3614803786959912</v>
      </c>
      <c r="K65" s="278">
        <v>3.5200000000000002E-2</v>
      </c>
      <c r="L65" s="278">
        <v>0.38607887792935236</v>
      </c>
      <c r="M65" s="278">
        <v>7.3924314571900851E-2</v>
      </c>
      <c r="N65" s="279">
        <v>0.28760538528173268</v>
      </c>
      <c r="O65" s="279">
        <v>5.7460921324729961</v>
      </c>
      <c r="P65" s="279">
        <v>28.574525637601202</v>
      </c>
      <c r="Q65" s="279" t="s">
        <v>101</v>
      </c>
      <c r="R65" s="279">
        <v>1.3668584719185239</v>
      </c>
      <c r="S65" s="279">
        <v>327.1614537482879</v>
      </c>
      <c r="T65" s="278">
        <v>0.9326763498579097</v>
      </c>
      <c r="U65" s="278">
        <v>8.9586990843069148E-2</v>
      </c>
      <c r="V65" s="278">
        <v>-1.1177139248500183E-2</v>
      </c>
      <c r="W65" s="278" t="s">
        <v>101</v>
      </c>
      <c r="X65" s="278">
        <v>-1.2894942800881546E-2</v>
      </c>
      <c r="Y65" s="278">
        <v>0</v>
      </c>
      <c r="Z65" s="278">
        <v>0</v>
      </c>
    </row>
    <row r="66" spans="1:26" ht="12.75">
      <c r="A66" s="276" t="s">
        <v>611</v>
      </c>
      <c r="B66" s="277">
        <v>12</v>
      </c>
      <c r="C66" s="278">
        <v>8.6823333333333322E-2</v>
      </c>
      <c r="D66" s="278">
        <v>0.14739000166068297</v>
      </c>
      <c r="E66" s="278">
        <v>3.1313401260093417E-2</v>
      </c>
      <c r="F66" s="278">
        <v>0.23325202790855973</v>
      </c>
      <c r="G66" s="279">
        <v>1.0263402703399036</v>
      </c>
      <c r="H66" s="279">
        <v>1.2161222570532915</v>
      </c>
      <c r="I66" s="278">
        <v>9.5667335423197483E-2</v>
      </c>
      <c r="J66" s="278">
        <v>0.40755913356232765</v>
      </c>
      <c r="K66" s="278">
        <v>3.5200000000000002E-2</v>
      </c>
      <c r="L66" s="278">
        <v>0.20299812584994034</v>
      </c>
      <c r="M66" s="278">
        <v>8.0534366045181521E-2</v>
      </c>
      <c r="N66" s="279">
        <v>0.23536169260175563</v>
      </c>
      <c r="O66" s="279">
        <v>5.580051556641811</v>
      </c>
      <c r="P66" s="279">
        <v>14.812758139591059</v>
      </c>
      <c r="Q66" s="279">
        <v>24.52199203602401</v>
      </c>
      <c r="R66" s="279">
        <v>1.6948896594459493</v>
      </c>
      <c r="S66" s="279">
        <v>71.617619029529408</v>
      </c>
      <c r="T66" s="278">
        <v>0.17291392801251959</v>
      </c>
      <c r="U66" s="278">
        <v>9.410537297861242E-2</v>
      </c>
      <c r="V66" s="278">
        <v>0.21193322900365155</v>
      </c>
      <c r="W66" s="278">
        <v>1.7058398707330178</v>
      </c>
      <c r="X66" s="278">
        <v>1.697366170518981E-2</v>
      </c>
      <c r="Y66" s="278">
        <v>4.4936684610816311</v>
      </c>
      <c r="Z66" s="278">
        <v>4.4936684610816311</v>
      </c>
    </row>
    <row r="67" spans="1:26" ht="12.75">
      <c r="A67" s="276" t="s">
        <v>612</v>
      </c>
      <c r="B67" s="277">
        <v>55</v>
      </c>
      <c r="C67" s="278">
        <v>0.113049</v>
      </c>
      <c r="D67" s="278">
        <v>0.1049247862264958</v>
      </c>
      <c r="E67" s="278">
        <v>0.10524838114320878</v>
      </c>
      <c r="F67" s="278">
        <v>0.31988052993088495</v>
      </c>
      <c r="G67" s="279">
        <v>0.99190805395484083</v>
      </c>
      <c r="H67" s="279">
        <v>1.4950789924186838</v>
      </c>
      <c r="I67" s="278">
        <v>0.11240473954512102</v>
      </c>
      <c r="J67" s="278">
        <v>0.43438119663280778</v>
      </c>
      <c r="K67" s="278">
        <v>3.5200000000000002E-2</v>
      </c>
      <c r="L67" s="278">
        <v>0.39223873933784581</v>
      </c>
      <c r="M67" s="278">
        <v>7.6599328385159149E-2</v>
      </c>
      <c r="N67" s="279">
        <v>1.1295256018832986</v>
      </c>
      <c r="O67" s="279">
        <v>2.328792544673512</v>
      </c>
      <c r="P67" s="279">
        <v>13.416050691708509</v>
      </c>
      <c r="Q67" s="279">
        <v>21.97059826956119</v>
      </c>
      <c r="R67" s="279">
        <v>2.2156893889606577</v>
      </c>
      <c r="S67" s="279">
        <v>81.308684353029264</v>
      </c>
      <c r="T67" s="278">
        <v>0.12352579962163099</v>
      </c>
      <c r="U67" s="278">
        <v>3.292419656562879E-2</v>
      </c>
      <c r="V67" s="278">
        <v>7.5080616170407843E-2</v>
      </c>
      <c r="W67" s="278">
        <v>1.1503924467805302</v>
      </c>
      <c r="X67" s="278">
        <v>0.13662402801412379</v>
      </c>
      <c r="Y67" s="278">
        <v>0.10077384134062985</v>
      </c>
      <c r="Z67" s="278">
        <v>0.10077384134062983</v>
      </c>
    </row>
    <row r="68" spans="1:26" ht="12.75">
      <c r="A68" s="276" t="s">
        <v>613</v>
      </c>
      <c r="B68" s="277">
        <v>65</v>
      </c>
      <c r="C68" s="278">
        <v>5.2386562500000011E-2</v>
      </c>
      <c r="D68" s="278">
        <v>0.11884054764729975</v>
      </c>
      <c r="E68" s="278">
        <v>0.14802989346499504</v>
      </c>
      <c r="F68" s="278">
        <v>0.29771063754924798</v>
      </c>
      <c r="G68" s="279">
        <v>0.74786144631426577</v>
      </c>
      <c r="H68" s="279">
        <v>0.9145350052246608</v>
      </c>
      <c r="I68" s="278">
        <v>7.757210031347965E-2</v>
      </c>
      <c r="J68" s="278">
        <v>0.45474220829323614</v>
      </c>
      <c r="K68" s="278">
        <v>3.5200000000000002E-2</v>
      </c>
      <c r="L68" s="278">
        <v>0.24018458198898326</v>
      </c>
      <c r="M68" s="278">
        <v>6.4013176197286387E-2</v>
      </c>
      <c r="N68" s="279">
        <v>1.4026579181626446</v>
      </c>
      <c r="O68" s="279">
        <v>1.9497851231085337</v>
      </c>
      <c r="P68" s="279">
        <v>10.422852635977204</v>
      </c>
      <c r="Q68" s="279">
        <v>16.548157530190171</v>
      </c>
      <c r="R68" s="279">
        <v>3.7552184557445041</v>
      </c>
      <c r="S68" s="279">
        <v>34.190898432460024</v>
      </c>
      <c r="T68" s="278">
        <v>0.20867489886441795</v>
      </c>
      <c r="U68" s="278">
        <v>5.3442338222477279E-2</v>
      </c>
      <c r="V68" s="278">
        <v>5.7542388421880822E-2</v>
      </c>
      <c r="W68" s="278">
        <v>0.69799495974753856</v>
      </c>
      <c r="X68" s="278">
        <v>0.11209769908004047</v>
      </c>
      <c r="Y68" s="278">
        <v>1.1975828682928689</v>
      </c>
      <c r="Z68" s="278">
        <v>1.1975828682928689</v>
      </c>
    </row>
    <row r="69" spans="1:26" ht="12.75">
      <c r="A69" s="276" t="s">
        <v>614</v>
      </c>
      <c r="B69" s="277">
        <v>3</v>
      </c>
      <c r="C69" s="278">
        <v>0.20119999999999996</v>
      </c>
      <c r="D69" s="278">
        <v>0.11412628651160808</v>
      </c>
      <c r="E69" s="278">
        <v>7.8847699653801034E-2</v>
      </c>
      <c r="F69" s="278">
        <v>0.30774181092734409</v>
      </c>
      <c r="G69" s="279">
        <v>0.89151933255027671</v>
      </c>
      <c r="H69" s="279">
        <v>1.0279616858237548</v>
      </c>
      <c r="I69" s="278">
        <v>8.4377701149425291E-2</v>
      </c>
      <c r="J69" s="278">
        <v>0.29153746016868598</v>
      </c>
      <c r="K69" s="278">
        <v>3.5200000000000002E-2</v>
      </c>
      <c r="L69" s="278">
        <v>0.28303684613224456</v>
      </c>
      <c r="M69" s="278">
        <v>6.6473440922515892E-2</v>
      </c>
      <c r="N69" s="279">
        <v>0.86765620593841042</v>
      </c>
      <c r="O69" s="279">
        <v>1.0910022072618073</v>
      </c>
      <c r="P69" s="279">
        <v>7.8946601886284942</v>
      </c>
      <c r="Q69" s="279">
        <v>9.2511983673885982</v>
      </c>
      <c r="R69" s="279">
        <v>0.94768844571508259</v>
      </c>
      <c r="S69" s="279">
        <v>12.155131070880326</v>
      </c>
      <c r="T69" s="278">
        <v>1.6840903648643792E-2</v>
      </c>
      <c r="U69" s="278">
        <v>5.8979245734829579E-3</v>
      </c>
      <c r="V69" s="278">
        <v>2.2731611629211453E-2</v>
      </c>
      <c r="W69" s="278">
        <v>0.41779545393320289</v>
      </c>
      <c r="X69" s="278">
        <v>6.993485250155114E-2</v>
      </c>
      <c r="Y69" s="278">
        <v>9.2549652182679701E-2</v>
      </c>
      <c r="Z69" s="278">
        <v>9.2549652182679742E-2</v>
      </c>
    </row>
    <row r="70" spans="1:26" ht="12.75">
      <c r="A70" s="276" t="s">
        <v>615</v>
      </c>
      <c r="B70" s="277">
        <v>83</v>
      </c>
      <c r="C70" s="278">
        <v>9.7627111111111095E-2</v>
      </c>
      <c r="D70" s="278">
        <v>0.13698482121049751</v>
      </c>
      <c r="E70" s="278">
        <v>0.15872866146667422</v>
      </c>
      <c r="F70" s="278">
        <v>0.31169929638276528</v>
      </c>
      <c r="G70" s="279">
        <v>0.64108704213975221</v>
      </c>
      <c r="H70" s="279">
        <v>0.75958348457350289</v>
      </c>
      <c r="I70" s="278">
        <v>6.827500907441017E-2</v>
      </c>
      <c r="J70" s="278">
        <v>0.40667328989131618</v>
      </c>
      <c r="K70" s="278">
        <v>3.5200000000000002E-2</v>
      </c>
      <c r="L70" s="278">
        <v>0.2053876201315217</v>
      </c>
      <c r="M70" s="278">
        <v>5.8589953983336752E-2</v>
      </c>
      <c r="N70" s="279">
        <v>1.4225427514754048</v>
      </c>
      <c r="O70" s="279">
        <v>3.0682603596225566</v>
      </c>
      <c r="P70" s="279">
        <v>12.681816088922492</v>
      </c>
      <c r="Q70" s="279">
        <v>22.352154296660721</v>
      </c>
      <c r="R70" s="279">
        <v>10.483290296144498</v>
      </c>
      <c r="S70" s="279">
        <v>29.839311073101289</v>
      </c>
      <c r="T70" s="278">
        <v>1.869780182357831E-2</v>
      </c>
      <c r="U70" s="278">
        <v>6.3236960257358671E-2</v>
      </c>
      <c r="V70" s="278">
        <v>4.1893399663817145E-2</v>
      </c>
      <c r="W70" s="278">
        <v>0.45102440867262211</v>
      </c>
      <c r="X70" s="278">
        <v>0.31917671340158277</v>
      </c>
      <c r="Y70" s="278">
        <v>0.51764036061250096</v>
      </c>
      <c r="Z70" s="278">
        <v>0.51764036061250096</v>
      </c>
    </row>
    <row r="71" spans="1:26" ht="12.75">
      <c r="A71" s="276" t="s">
        <v>616</v>
      </c>
      <c r="B71" s="277">
        <v>26</v>
      </c>
      <c r="C71" s="278">
        <v>8.7125000000000008E-2</v>
      </c>
      <c r="D71" s="278">
        <v>5.7554917951962208E-2</v>
      </c>
      <c r="E71" s="278">
        <v>0.12570902700728456</v>
      </c>
      <c r="F71" s="278">
        <v>0.36487622070642761</v>
      </c>
      <c r="G71" s="279">
        <v>0.75515362761958049</v>
      </c>
      <c r="H71" s="279">
        <v>1.0602850574712641</v>
      </c>
      <c r="I71" s="278">
        <v>8.6317103448275839E-2</v>
      </c>
      <c r="J71" s="278">
        <v>0.46340364772099302</v>
      </c>
      <c r="K71" s="278">
        <v>3.5200000000000002E-2</v>
      </c>
      <c r="L71" s="278">
        <v>0.34708152368214212</v>
      </c>
      <c r="M71" s="278">
        <v>6.3688393443786018E-2</v>
      </c>
      <c r="N71" s="279">
        <v>2.7711274752501853</v>
      </c>
      <c r="O71" s="279">
        <v>0.9992358426137683</v>
      </c>
      <c r="P71" s="279">
        <v>11.49045033429843</v>
      </c>
      <c r="Q71" s="279">
        <v>17.358800299986765</v>
      </c>
      <c r="R71" s="279">
        <v>5.9028453914783903</v>
      </c>
      <c r="S71" s="279">
        <v>16.556236376057853</v>
      </c>
      <c r="T71" s="278">
        <v>0.11133365343292631</v>
      </c>
      <c r="U71" s="278">
        <v>2.1252352279419382E-2</v>
      </c>
      <c r="V71" s="278">
        <v>3.202118709843723E-2</v>
      </c>
      <c r="W71" s="278">
        <v>1.1887579242220874</v>
      </c>
      <c r="X71" s="278">
        <v>0.33903850097077426</v>
      </c>
      <c r="Y71" s="278">
        <v>3.5543386201511741E-2</v>
      </c>
      <c r="Z71" s="278">
        <v>3.5543386201511762E-2</v>
      </c>
    </row>
    <row r="72" spans="1:26" ht="12.75">
      <c r="A72" s="276" t="s">
        <v>617</v>
      </c>
      <c r="B72" s="277">
        <v>5</v>
      </c>
      <c r="C72" s="278">
        <v>6.643333333333333E-2</v>
      </c>
      <c r="D72" s="278">
        <v>0.1067174997237807</v>
      </c>
      <c r="E72" s="278">
        <v>0.21616260683483443</v>
      </c>
      <c r="F72" s="278">
        <v>0.36582454973393363</v>
      </c>
      <c r="G72" s="279">
        <v>1.3061751563837096</v>
      </c>
      <c r="H72" s="279">
        <v>1.471377011494253</v>
      </c>
      <c r="I72" s="278">
        <v>0.11098262068965517</v>
      </c>
      <c r="J72" s="278">
        <v>0.50340729583994359</v>
      </c>
      <c r="K72" s="278">
        <v>4.02E-2</v>
      </c>
      <c r="L72" s="278">
        <v>0.15776833780744984</v>
      </c>
      <c r="M72" s="278">
        <v>9.7278449405849274E-2</v>
      </c>
      <c r="N72" s="279">
        <v>2.6367340717188008</v>
      </c>
      <c r="O72" s="279">
        <v>1.8946144178232507</v>
      </c>
      <c r="P72" s="279">
        <v>13.026813284796326</v>
      </c>
      <c r="Q72" s="279">
        <v>17.753683796885181</v>
      </c>
      <c r="R72" s="279">
        <v>14.320455518044788</v>
      </c>
      <c r="S72" s="279">
        <v>37.89494573133689</v>
      </c>
      <c r="T72" s="278">
        <v>7.077459342184729E-2</v>
      </c>
      <c r="U72" s="278">
        <v>1.8377561163262095E-2</v>
      </c>
      <c r="V72" s="278">
        <v>9.6287498604499863E-3</v>
      </c>
      <c r="W72" s="278">
        <v>8.2126254470551385E-2</v>
      </c>
      <c r="X72" s="278">
        <v>0.45639491157077794</v>
      </c>
      <c r="Y72" s="278">
        <v>0.38720856994675124</v>
      </c>
      <c r="Z72" s="278">
        <v>0.38720856994675124</v>
      </c>
    </row>
    <row r="73" spans="1:26" ht="12.75">
      <c r="A73" s="276" t="s">
        <v>618</v>
      </c>
      <c r="B73" s="277">
        <v>83</v>
      </c>
      <c r="C73" s="278">
        <v>0.13288456521739131</v>
      </c>
      <c r="D73" s="278">
        <v>8.8407042450350984E-2</v>
      </c>
      <c r="E73" s="278">
        <v>0.13735512199078315</v>
      </c>
      <c r="F73" s="278">
        <v>0.35070972160150421</v>
      </c>
      <c r="G73" s="279">
        <v>0.82697172935780039</v>
      </c>
      <c r="H73" s="279">
        <v>1.220994981382548</v>
      </c>
      <c r="I73" s="278">
        <v>9.5959698882952874E-2</v>
      </c>
      <c r="J73" s="278">
        <v>0.52360660821300975</v>
      </c>
      <c r="K73" s="278">
        <v>4.02E-2</v>
      </c>
      <c r="L73" s="278">
        <v>0.37631590124059988</v>
      </c>
      <c r="M73" s="278">
        <v>6.8925277852961153E-2</v>
      </c>
      <c r="N73" s="279">
        <v>1.8588719024832401</v>
      </c>
      <c r="O73" s="279">
        <v>1.1708705685767191</v>
      </c>
      <c r="P73" s="279">
        <v>10.716733587291792</v>
      </c>
      <c r="Q73" s="279">
        <v>13.20677214878158</v>
      </c>
      <c r="R73" s="279">
        <v>2.8015800957296659</v>
      </c>
      <c r="S73" s="279">
        <v>28.791949683671522</v>
      </c>
      <c r="T73" s="278">
        <v>0.17852723144912855</v>
      </c>
      <c r="U73" s="278">
        <v>7.2773719263534473E-2</v>
      </c>
      <c r="V73" s="278">
        <v>7.4301291067625286E-2</v>
      </c>
      <c r="W73" s="278">
        <v>1.2118407439845491</v>
      </c>
      <c r="X73" s="278">
        <v>0.14959599835969589</v>
      </c>
      <c r="Y73" s="278">
        <v>0.31510835210167287</v>
      </c>
      <c r="Z73" s="278">
        <v>0.31510835210167287</v>
      </c>
    </row>
    <row r="74" spans="1:26" ht="12.75">
      <c r="A74" s="276" t="s">
        <v>619</v>
      </c>
      <c r="B74" s="277">
        <v>19</v>
      </c>
      <c r="C74" s="278">
        <v>3.6188235294117653E-2</v>
      </c>
      <c r="D74" s="278">
        <v>4.8085745478105124E-2</v>
      </c>
      <c r="E74" s="278">
        <v>0.12461380287155817</v>
      </c>
      <c r="F74" s="278">
        <v>0.33501661680760281</v>
      </c>
      <c r="G74" s="279">
        <v>0.92395978175189775</v>
      </c>
      <c r="H74" s="279">
        <v>1.1611768837803322</v>
      </c>
      <c r="I74" s="278">
        <v>9.2370613026819925E-2</v>
      </c>
      <c r="J74" s="278">
        <v>0.46871217932072784</v>
      </c>
      <c r="K74" s="278">
        <v>3.5200000000000002E-2</v>
      </c>
      <c r="L74" s="278">
        <v>0.2831103928321585</v>
      </c>
      <c r="M74" s="278">
        <v>7.2198823983264826E-2</v>
      </c>
      <c r="N74" s="279">
        <v>3.4438112185780816</v>
      </c>
      <c r="O74" s="279">
        <v>0.64479566905757368</v>
      </c>
      <c r="P74" s="279">
        <v>7.9151921895643165</v>
      </c>
      <c r="Q74" s="279">
        <v>13.237599708270658</v>
      </c>
      <c r="R74" s="279">
        <v>3.0214570953046889</v>
      </c>
      <c r="S74" s="279">
        <v>22.738204312473087</v>
      </c>
      <c r="T74" s="278">
        <v>3.9428784396337721E-2</v>
      </c>
      <c r="U74" s="278">
        <v>2.5190943989563144E-2</v>
      </c>
      <c r="V74" s="278">
        <v>2.7441235984855702E-2</v>
      </c>
      <c r="W74" s="278">
        <v>0.79969137782904021</v>
      </c>
      <c r="X74" s="278">
        <v>0.15148324640000835</v>
      </c>
      <c r="Y74" s="278">
        <v>0.47302817572192124</v>
      </c>
      <c r="Z74" s="278">
        <v>0.47302817572192124</v>
      </c>
    </row>
    <row r="75" spans="1:26" ht="12.75">
      <c r="A75" s="276" t="s">
        <v>620</v>
      </c>
      <c r="B75" s="277">
        <v>17</v>
      </c>
      <c r="C75" s="278">
        <v>4.1677777777777786E-2</v>
      </c>
      <c r="D75" s="278">
        <v>2.9043704774266564E-2</v>
      </c>
      <c r="E75" s="278">
        <v>9.6214974573869058E-2</v>
      </c>
      <c r="F75" s="278">
        <v>0.3563550884696004</v>
      </c>
      <c r="G75" s="279">
        <v>0.77420202557119511</v>
      </c>
      <c r="H75" s="279">
        <v>1.0387248140635565</v>
      </c>
      <c r="I75" s="278">
        <v>8.5023488843813388E-2</v>
      </c>
      <c r="J75" s="278">
        <v>0.51568265585000028</v>
      </c>
      <c r="K75" s="278">
        <v>4.02E-2</v>
      </c>
      <c r="L75" s="278">
        <v>0.31922457449347375</v>
      </c>
      <c r="M75" s="278">
        <v>6.5581598532479038E-2</v>
      </c>
      <c r="N75" s="279">
        <v>4.3338106087564876</v>
      </c>
      <c r="O75" s="279">
        <v>0.59074669955374004</v>
      </c>
      <c r="P75" s="279">
        <v>8.779112134696371</v>
      </c>
      <c r="Q75" s="279">
        <v>20.338296265452943</v>
      </c>
      <c r="R75" s="279">
        <v>4.9235774699955686</v>
      </c>
      <c r="S75" s="279">
        <v>26.881216047109138</v>
      </c>
      <c r="T75" s="278">
        <v>4.1606787875313649E-3</v>
      </c>
      <c r="U75" s="278">
        <v>3.2195710940844946E-2</v>
      </c>
      <c r="V75" s="278">
        <v>1.8233812423378733E-2</v>
      </c>
      <c r="W75" s="278">
        <v>0.98192888388566157</v>
      </c>
      <c r="X75" s="278">
        <v>0.26761593922235588</v>
      </c>
      <c r="Y75" s="278">
        <v>0.19619741124820225</v>
      </c>
      <c r="Z75" s="278">
        <v>0.19619741124820222</v>
      </c>
    </row>
    <row r="76" spans="1:26" ht="12.75">
      <c r="A76" s="276" t="s">
        <v>621</v>
      </c>
      <c r="B76" s="277">
        <v>39</v>
      </c>
      <c r="C76" s="278">
        <v>0.13186500000000001</v>
      </c>
      <c r="D76" s="278">
        <v>4.4781539942429394E-2</v>
      </c>
      <c r="E76" s="278">
        <v>0.20811569519742856</v>
      </c>
      <c r="F76" s="278">
        <v>0.28716516584054486</v>
      </c>
      <c r="G76" s="279">
        <v>1.5262047196408781</v>
      </c>
      <c r="H76" s="279">
        <v>1.575276819923372</v>
      </c>
      <c r="I76" s="278">
        <v>0.11721660919540232</v>
      </c>
      <c r="J76" s="278">
        <v>0.50541553138795492</v>
      </c>
      <c r="K76" s="278">
        <v>4.02E-2</v>
      </c>
      <c r="L76" s="278">
        <v>7.8290817243427527E-2</v>
      </c>
      <c r="M76" s="278">
        <v>0.10992799957890227</v>
      </c>
      <c r="N76" s="279">
        <v>5.1988264029939995</v>
      </c>
      <c r="O76" s="279">
        <v>3.6054151072093252</v>
      </c>
      <c r="P76" s="279">
        <v>35.073786537785871</v>
      </c>
      <c r="Q76" s="279">
        <v>82.84940236748821</v>
      </c>
      <c r="R76" s="279">
        <v>12.735782182361977</v>
      </c>
      <c r="S76" s="279">
        <v>104.31771380529865</v>
      </c>
      <c r="T76" s="278">
        <v>2.2589124925953379E-3</v>
      </c>
      <c r="U76" s="278">
        <v>4.2705768554902775E-2</v>
      </c>
      <c r="V76" s="278">
        <v>6.4376230611777163E-2</v>
      </c>
      <c r="W76" s="278">
        <v>2.2142613337222898</v>
      </c>
      <c r="X76" s="278">
        <v>0.15962724924041694</v>
      </c>
      <c r="Y76" s="278">
        <v>3.5564474356506226E-2</v>
      </c>
      <c r="Z76" s="278">
        <v>3.5564474356506226E-2</v>
      </c>
    </row>
    <row r="77" spans="1:26" ht="12.75">
      <c r="A77" s="276" t="s">
        <v>622</v>
      </c>
      <c r="B77" s="277">
        <v>124</v>
      </c>
      <c r="C77" s="278">
        <v>4.6547468354430403E-2</v>
      </c>
      <c r="D77" s="278">
        <v>6.5311165512949895E-2</v>
      </c>
      <c r="E77" s="278">
        <v>0.12905417461622926</v>
      </c>
      <c r="F77" s="278">
        <v>0.34745051079449518</v>
      </c>
      <c r="G77" s="279">
        <v>0.80953553926600408</v>
      </c>
      <c r="H77" s="279">
        <v>1.0734086617405583</v>
      </c>
      <c r="I77" s="278">
        <v>8.7104519704433489E-2</v>
      </c>
      <c r="J77" s="278">
        <v>0.50690287488033758</v>
      </c>
      <c r="K77" s="278">
        <v>4.02E-2</v>
      </c>
      <c r="L77" s="278">
        <v>0.31825426917768324</v>
      </c>
      <c r="M77" s="278">
        <v>6.705942741639162E-2</v>
      </c>
      <c r="N77" s="279">
        <v>2.4675759313711092</v>
      </c>
      <c r="O77" s="279">
        <v>1.1215533488054279</v>
      </c>
      <c r="P77" s="279">
        <v>8.8090441563085218</v>
      </c>
      <c r="Q77" s="279">
        <v>17.189791842441096</v>
      </c>
      <c r="R77" s="279">
        <v>3.5104818107659352</v>
      </c>
      <c r="S77" s="279">
        <v>28.429506804182761</v>
      </c>
      <c r="T77" s="278">
        <v>9.6321935925704788E-2</v>
      </c>
      <c r="U77" s="278">
        <v>2.3707310118362013E-2</v>
      </c>
      <c r="V77" s="278">
        <v>4.9743541578597082E-2</v>
      </c>
      <c r="W77" s="278">
        <v>1.2188641769463602</v>
      </c>
      <c r="X77" s="278">
        <v>0.19732995415879231</v>
      </c>
      <c r="Y77" s="278">
        <v>0.27031968238813797</v>
      </c>
      <c r="Z77" s="278">
        <v>0.27031968238813797</v>
      </c>
    </row>
    <row r="78" spans="1:26" ht="12.75">
      <c r="A78" s="276" t="s">
        <v>623</v>
      </c>
      <c r="B78" s="277">
        <v>4</v>
      </c>
      <c r="C78" s="278">
        <v>9.2075000000000004E-3</v>
      </c>
      <c r="D78" s="278">
        <v>0.11039827439220279</v>
      </c>
      <c r="E78" s="278">
        <v>0.20047017341881176</v>
      </c>
      <c r="F78" s="278">
        <v>7.3786013459808689E-2</v>
      </c>
      <c r="G78" s="279">
        <v>1.1764476807254525</v>
      </c>
      <c r="H78" s="279">
        <v>1.6598419540229887</v>
      </c>
      <c r="I78" s="278">
        <v>0.12229051724137932</v>
      </c>
      <c r="J78" s="278">
        <v>0.38001048342088734</v>
      </c>
      <c r="K78" s="278">
        <v>3.5200000000000002E-2</v>
      </c>
      <c r="L78" s="278">
        <v>0.39488154215908094</v>
      </c>
      <c r="M78" s="278">
        <v>8.2340147372071557E-2</v>
      </c>
      <c r="N78" s="279">
        <v>2.0081868376296339</v>
      </c>
      <c r="O78" s="279">
        <v>0.84191571482164274</v>
      </c>
      <c r="P78" s="279">
        <v>5.1743710700869228</v>
      </c>
      <c r="Q78" s="279">
        <v>7.6468035540920525</v>
      </c>
      <c r="R78" s="279">
        <v>1.9180904175230531</v>
      </c>
      <c r="S78" s="279">
        <v>95.300357758281805</v>
      </c>
      <c r="T78" s="278">
        <v>0.15241084243228017</v>
      </c>
      <c r="U78" s="278">
        <v>5.5865363846851049E-2</v>
      </c>
      <c r="V78" s="278">
        <v>5.6166875594232425E-2</v>
      </c>
      <c r="W78" s="278">
        <v>0.38227920259086073</v>
      </c>
      <c r="X78" s="278">
        <v>4.8524055284657032E-3</v>
      </c>
      <c r="Y78" s="278">
        <v>2.951729235027099E-2</v>
      </c>
      <c r="Z78" s="278">
        <v>2.9517292350271007E-2</v>
      </c>
    </row>
    <row r="79" spans="1:26" ht="12.75">
      <c r="A79" s="276" t="s">
        <v>624</v>
      </c>
      <c r="B79" s="277">
        <v>87</v>
      </c>
      <c r="C79" s="278">
        <v>0.12668253968253967</v>
      </c>
      <c r="D79" s="278">
        <v>0.20655870711748617</v>
      </c>
      <c r="E79" s="278">
        <v>0.13347772757946735</v>
      </c>
      <c r="F79" s="278">
        <v>0.1927184711838999</v>
      </c>
      <c r="G79" s="279">
        <v>1.3173693176974108</v>
      </c>
      <c r="H79" s="279">
        <v>1.3866053178230167</v>
      </c>
      <c r="I79" s="278">
        <v>0.10589631906938099</v>
      </c>
      <c r="J79" s="278">
        <v>0.51244492224684746</v>
      </c>
      <c r="K79" s="278">
        <v>4.02E-2</v>
      </c>
      <c r="L79" s="278">
        <v>0.11168906243034374</v>
      </c>
      <c r="M79" s="278">
        <v>9.6762798663517197E-2</v>
      </c>
      <c r="N79" s="279">
        <v>0.71212869225733211</v>
      </c>
      <c r="O79" s="279">
        <v>3.1495561950534277</v>
      </c>
      <c r="P79" s="279">
        <v>9.5636491142362328</v>
      </c>
      <c r="Q79" s="279">
        <v>15.438040124468637</v>
      </c>
      <c r="R79" s="279">
        <v>2.9836101565358026</v>
      </c>
      <c r="S79" s="279">
        <v>70.948714290648368</v>
      </c>
      <c r="T79" s="278">
        <v>0.20622427358513737</v>
      </c>
      <c r="U79" s="278">
        <v>7.422135502914104E-2</v>
      </c>
      <c r="V79" s="278">
        <v>9.2965944257600241E-2</v>
      </c>
      <c r="W79" s="278">
        <v>0.63512421083765302</v>
      </c>
      <c r="X79" s="278">
        <v>0.1581348461691548</v>
      </c>
      <c r="Y79" s="278">
        <v>0.39728759762764754</v>
      </c>
      <c r="Z79" s="278">
        <v>0.39728759762764754</v>
      </c>
    </row>
    <row r="80" spans="1:26" ht="12.75">
      <c r="A80" s="276" t="s">
        <v>625</v>
      </c>
      <c r="B80" s="277">
        <v>46</v>
      </c>
      <c r="C80" s="278">
        <v>3.8196176470588233E-2</v>
      </c>
      <c r="D80" s="278">
        <v>0.13154253416043052</v>
      </c>
      <c r="E80" s="278">
        <v>9.9806705660017217E-2</v>
      </c>
      <c r="F80" s="278">
        <v>0.15514122746282591</v>
      </c>
      <c r="G80" s="279">
        <v>1.2230546079999403</v>
      </c>
      <c r="H80" s="279">
        <v>1.3981662835249042</v>
      </c>
      <c r="I80" s="278">
        <v>0.10658997701149425</v>
      </c>
      <c r="J80" s="278">
        <v>0.5420943429242997</v>
      </c>
      <c r="K80" s="278">
        <v>4.02E-2</v>
      </c>
      <c r="L80" s="278">
        <v>0.27309446555616418</v>
      </c>
      <c r="M80" s="278">
        <v>8.4067882715111092E-2</v>
      </c>
      <c r="N80" s="279">
        <v>0.85303942492159435</v>
      </c>
      <c r="O80" s="279">
        <v>2.3530723285093726</v>
      </c>
      <c r="P80" s="279">
        <v>11.544262349496439</v>
      </c>
      <c r="Q80" s="279">
        <v>18.065107929480373</v>
      </c>
      <c r="R80" s="279">
        <v>2.2742273156968635</v>
      </c>
      <c r="S80" s="279">
        <v>241.4432675855806</v>
      </c>
      <c r="T80" s="278">
        <v>0.24948604922021989</v>
      </c>
      <c r="U80" s="278">
        <v>0.13556211694206649</v>
      </c>
      <c r="V80" s="278">
        <v>0.22979303071318152</v>
      </c>
      <c r="W80" s="278">
        <v>2.5294911558210904</v>
      </c>
      <c r="X80" s="278">
        <v>6.2290247926022439E-2</v>
      </c>
      <c r="Y80" s="278">
        <v>0.60154229084676003</v>
      </c>
      <c r="Z80" s="278">
        <v>0.60154229084676003</v>
      </c>
    </row>
    <row r="81" spans="1:26" ht="12.75">
      <c r="A81" s="276" t="s">
        <v>626</v>
      </c>
      <c r="B81" s="277">
        <v>11</v>
      </c>
      <c r="C81" s="278">
        <v>-3.4485714285714279E-2</v>
      </c>
      <c r="D81" s="278">
        <v>9.9182037607403614E-2</v>
      </c>
      <c r="E81" s="278">
        <v>6.4192972725804279E-2</v>
      </c>
      <c r="F81" s="278">
        <v>0.11403588600203243</v>
      </c>
      <c r="G81" s="279">
        <v>0.84196525499931285</v>
      </c>
      <c r="H81" s="279">
        <v>1.2424781609195403</v>
      </c>
      <c r="I81" s="278">
        <v>9.7248689655172416E-2</v>
      </c>
      <c r="J81" s="278">
        <v>0.60886110813732008</v>
      </c>
      <c r="K81" s="278">
        <v>4.02E-2</v>
      </c>
      <c r="L81" s="278">
        <v>0.36283796196297624</v>
      </c>
      <c r="M81" s="278">
        <v>7.0714824939666673E-2</v>
      </c>
      <c r="N81" s="279">
        <v>0.73397341668808203</v>
      </c>
      <c r="O81" s="279">
        <v>1.50848264654988</v>
      </c>
      <c r="P81" s="279">
        <v>6.3999053864717697</v>
      </c>
      <c r="Q81" s="279">
        <v>13.511850983433355</v>
      </c>
      <c r="R81" s="279">
        <v>1.0491653326766002</v>
      </c>
      <c r="S81" s="279">
        <v>10.754378980653179</v>
      </c>
      <c r="T81" s="278">
        <v>0.10421178542037478</v>
      </c>
      <c r="U81" s="278">
        <v>0.12370213010277316</v>
      </c>
      <c r="V81" s="278">
        <v>6.1779870241717862E-2</v>
      </c>
      <c r="W81" s="278">
        <v>2.0439954364342978</v>
      </c>
      <c r="X81" s="278">
        <v>0.26476971795934584</v>
      </c>
      <c r="Y81" s="278">
        <v>2.6908717260125919E-2</v>
      </c>
      <c r="Z81" s="278">
        <v>2.6908717260125892E-2</v>
      </c>
    </row>
    <row r="82" spans="1:26" ht="12.75">
      <c r="A82" s="276" t="s">
        <v>627</v>
      </c>
      <c r="B82" s="277">
        <v>11</v>
      </c>
      <c r="C82" s="278">
        <v>0.10395000000000001</v>
      </c>
      <c r="D82" s="278">
        <v>0.12586793041950003</v>
      </c>
      <c r="E82" s="278">
        <v>0.22407377750341895</v>
      </c>
      <c r="F82" s="278">
        <v>0.20824805452890807</v>
      </c>
      <c r="G82" s="279">
        <v>0.80872809413738767</v>
      </c>
      <c r="H82" s="279">
        <v>0.82087011494252882</v>
      </c>
      <c r="I82" s="278">
        <v>7.1952206896551726E-2</v>
      </c>
      <c r="J82" s="278">
        <v>0.39023714792414144</v>
      </c>
      <c r="K82" s="278">
        <v>3.5200000000000002E-2</v>
      </c>
      <c r="L82" s="278">
        <v>6.360788064203772E-2</v>
      </c>
      <c r="M82" s="278">
        <v>6.8718877947504503E-2</v>
      </c>
      <c r="N82" s="279">
        <v>2.1730053059450487</v>
      </c>
      <c r="O82" s="279">
        <v>2.9169299823491488</v>
      </c>
      <c r="P82" s="279">
        <v>17.252634650476896</v>
      </c>
      <c r="Q82" s="279">
        <v>23.224000746676651</v>
      </c>
      <c r="R82" s="279">
        <v>6.5903383009076526</v>
      </c>
      <c r="S82" s="279">
        <v>16.348406753991362</v>
      </c>
      <c r="T82" s="278">
        <v>0.21742924426805649</v>
      </c>
      <c r="U82" s="278">
        <v>5.5134243431276446E-3</v>
      </c>
      <c r="V82" s="278">
        <v>5.5565543787505821E-3</v>
      </c>
      <c r="W82" s="278">
        <v>0.10033818813659481</v>
      </c>
      <c r="X82" s="278">
        <v>0.25953093713324021</v>
      </c>
      <c r="Y82" s="278">
        <v>0.2439064857145872</v>
      </c>
      <c r="Z82" s="278">
        <v>0.24390648571458717</v>
      </c>
    </row>
    <row r="83" spans="1:26" ht="12.75">
      <c r="A83" s="276" t="s">
        <v>628</v>
      </c>
      <c r="B83" s="277">
        <v>17</v>
      </c>
      <c r="C83" s="278">
        <v>-0.14142000000000002</v>
      </c>
      <c r="D83" s="278">
        <v>0.19412334362354644</v>
      </c>
      <c r="E83" s="278">
        <v>0.24518552631402252</v>
      </c>
      <c r="F83" s="278">
        <v>0.13743864346273985</v>
      </c>
      <c r="G83" s="279">
        <v>1.4648194936696251</v>
      </c>
      <c r="H83" s="279">
        <v>1.4169708222811672</v>
      </c>
      <c r="I83" s="278">
        <v>0.10771824933687003</v>
      </c>
      <c r="J83" s="278">
        <v>0.54175053756397884</v>
      </c>
      <c r="K83" s="278">
        <v>4.02E-2</v>
      </c>
      <c r="L83" s="278">
        <v>9.2768462911630559E-2</v>
      </c>
      <c r="M83" s="278">
        <v>9.9962968243785352E-2</v>
      </c>
      <c r="N83" s="279">
        <v>1.282274046151155</v>
      </c>
      <c r="O83" s="279">
        <v>4.5804447260826819</v>
      </c>
      <c r="P83" s="279">
        <v>17.792784029013134</v>
      </c>
      <c r="Q83" s="279">
        <v>23.131339682370712</v>
      </c>
      <c r="R83" s="279">
        <v>4.0497025664766308</v>
      </c>
      <c r="S83" s="279">
        <v>25.664725406540825</v>
      </c>
      <c r="T83" s="278">
        <v>0.26339663854622086</v>
      </c>
      <c r="U83" s="278">
        <v>2.3254445561964186E-2</v>
      </c>
      <c r="V83" s="278">
        <v>2.908830914701312E-2</v>
      </c>
      <c r="W83" s="278">
        <v>-1.2380652048206845E-2</v>
      </c>
      <c r="X83" s="278">
        <v>0.122980614429349</v>
      </c>
      <c r="Y83" s="278">
        <v>0.11183268261099887</v>
      </c>
      <c r="Z83" s="278">
        <v>0.11183268261099888</v>
      </c>
    </row>
    <row r="84" spans="1:26" ht="12.75">
      <c r="A84" s="276" t="s">
        <v>629</v>
      </c>
      <c r="B84" s="277">
        <v>308</v>
      </c>
      <c r="C84" s="278">
        <v>0.14222500000000005</v>
      </c>
      <c r="D84" s="278">
        <v>0.2047461518257386</v>
      </c>
      <c r="E84" s="278">
        <v>0.13466623344792844</v>
      </c>
      <c r="F84" s="278">
        <v>0.2221210528944649</v>
      </c>
      <c r="G84" s="279">
        <v>1.3281793168817304</v>
      </c>
      <c r="H84" s="279">
        <v>1.3391602538499097</v>
      </c>
      <c r="I84" s="278">
        <v>0.10304961523099458</v>
      </c>
      <c r="J84" s="278">
        <v>0.64707974602907248</v>
      </c>
      <c r="K84" s="278">
        <v>4.02E-2</v>
      </c>
      <c r="L84" s="278">
        <v>4.2422443793603798E-2</v>
      </c>
      <c r="M84" s="278">
        <v>9.970122806520694E-2</v>
      </c>
      <c r="N84" s="279">
        <v>0.67946426848582853</v>
      </c>
      <c r="O84" s="279">
        <v>7.0434050982002034</v>
      </c>
      <c r="P84" s="279">
        <v>23.811088126566752</v>
      </c>
      <c r="Q84" s="279">
        <v>39.049911299742519</v>
      </c>
      <c r="R84" s="279">
        <v>4.5940825112985753</v>
      </c>
      <c r="S84" s="279">
        <v>77.735409917549973</v>
      </c>
      <c r="T84" s="278">
        <v>0.13249203634300344</v>
      </c>
      <c r="U84" s="278">
        <v>0.1252919199635619</v>
      </c>
      <c r="V84" s="278">
        <v>0.19606155733321154</v>
      </c>
      <c r="W84" s="278">
        <v>1.6342845929179908</v>
      </c>
      <c r="X84" s="278">
        <v>9.1157619598572326E-2</v>
      </c>
      <c r="Y84" s="278">
        <v>1.2924100071745503E-2</v>
      </c>
      <c r="Z84" s="278">
        <v>1.2924100071745492E-2</v>
      </c>
    </row>
    <row r="85" spans="1:26" ht="12.75">
      <c r="A85" s="276" t="s">
        <v>630</v>
      </c>
      <c r="B85" s="277">
        <v>241</v>
      </c>
      <c r="C85" s="278">
        <v>0.12437715686274511</v>
      </c>
      <c r="D85" s="278">
        <v>0.24239326718085813</v>
      </c>
      <c r="E85" s="278">
        <v>0.18951004844373825</v>
      </c>
      <c r="F85" s="278">
        <v>0.28149317174301985</v>
      </c>
      <c r="G85" s="279">
        <v>1.2468087604629723</v>
      </c>
      <c r="H85" s="279">
        <v>1.3274800662731703</v>
      </c>
      <c r="I85" s="278">
        <v>0.10234880397639021</v>
      </c>
      <c r="J85" s="278">
        <v>0.59224423322902664</v>
      </c>
      <c r="K85" s="278">
        <v>4.02E-2</v>
      </c>
      <c r="L85" s="278">
        <v>0.10857023231398809</v>
      </c>
      <c r="M85" s="278">
        <v>9.3855484555028082E-2</v>
      </c>
      <c r="N85" s="279">
        <v>0.8333034009518766</v>
      </c>
      <c r="O85" s="279">
        <v>5.2552247189840768</v>
      </c>
      <c r="P85" s="279">
        <v>15.709249834325155</v>
      </c>
      <c r="Q85" s="279">
        <v>20.835202468097432</v>
      </c>
      <c r="R85" s="279">
        <v>5.1677733564680155</v>
      </c>
      <c r="S85" s="279">
        <v>63.177482417288779</v>
      </c>
      <c r="T85" s="278">
        <v>0.11454938426427835</v>
      </c>
      <c r="U85" s="278">
        <v>5.3088145059672104E-2</v>
      </c>
      <c r="V85" s="278">
        <v>0.10057759811056198</v>
      </c>
      <c r="W85" s="278">
        <v>0.62279445264657929</v>
      </c>
      <c r="X85" s="278">
        <v>0.11721880949461304</v>
      </c>
      <c r="Y85" s="278">
        <v>0.55990255991012672</v>
      </c>
      <c r="Z85" s="278">
        <v>0.55990255991012672</v>
      </c>
    </row>
    <row r="86" spans="1:26" ht="12.75">
      <c r="A86" s="276" t="s">
        <v>631</v>
      </c>
      <c r="B86" s="277">
        <v>36</v>
      </c>
      <c r="C86" s="278">
        <v>1.7946400000000001E-2</v>
      </c>
      <c r="D86" s="278">
        <v>-5.0818618950397437E-2</v>
      </c>
      <c r="E86" s="278">
        <v>-8.1781257843548824E-2</v>
      </c>
      <c r="F86" s="278">
        <v>0.29076716503057687</v>
      </c>
      <c r="G86" s="279">
        <v>0.86265231180747404</v>
      </c>
      <c r="H86" s="279">
        <v>1.4271706178160923</v>
      </c>
      <c r="I86" s="278">
        <v>0.10833023706896554</v>
      </c>
      <c r="J86" s="278">
        <v>0.51518384755067947</v>
      </c>
      <c r="K86" s="278">
        <v>4.02E-2</v>
      </c>
      <c r="L86" s="278">
        <v>0.47849649211410727</v>
      </c>
      <c r="M86" s="278">
        <v>6.8035934031368164E-2</v>
      </c>
      <c r="N86" s="279">
        <v>1.8182442979905185</v>
      </c>
      <c r="O86" s="279">
        <v>0.6177174077133557</v>
      </c>
      <c r="P86" s="279">
        <v>7.4047248125457168</v>
      </c>
      <c r="Q86" s="279" t="s">
        <v>101</v>
      </c>
      <c r="R86" s="279">
        <v>1.3388015379773208</v>
      </c>
      <c r="S86" s="279">
        <v>52.454305903749471</v>
      </c>
      <c r="T86" s="278">
        <v>0.1969046058461599</v>
      </c>
      <c r="U86" s="278">
        <v>2.6299225315112279E-2</v>
      </c>
      <c r="V86" s="278">
        <v>-5.9046492629115016E-2</v>
      </c>
      <c r="W86" s="278" t="s">
        <v>101</v>
      </c>
      <c r="X86" s="278">
        <v>-0.14108780809565488</v>
      </c>
      <c r="Y86" s="278">
        <v>9.9100048746365126E-3</v>
      </c>
      <c r="Z86" s="278">
        <v>9.9100048746365577E-3</v>
      </c>
    </row>
    <row r="87" spans="1:26" ht="12.75">
      <c r="A87" s="276" t="s">
        <v>632</v>
      </c>
      <c r="B87" s="277">
        <v>19</v>
      </c>
      <c r="C87" s="278">
        <v>4.2547777777777789E-2</v>
      </c>
      <c r="D87" s="278">
        <v>2.6944636014908371E-2</v>
      </c>
      <c r="E87" s="278">
        <v>1.5217751000214443E-2</v>
      </c>
      <c r="F87" s="278">
        <v>0.26602802664828851</v>
      </c>
      <c r="G87" s="279">
        <v>0.65070091831649424</v>
      </c>
      <c r="H87" s="279">
        <v>1.4767610837438423</v>
      </c>
      <c r="I87" s="278">
        <v>0.11130566502463053</v>
      </c>
      <c r="J87" s="278">
        <v>0.45105815276071909</v>
      </c>
      <c r="K87" s="278">
        <v>3.5200000000000002E-2</v>
      </c>
      <c r="L87" s="278">
        <v>0.60087102751798704</v>
      </c>
      <c r="M87" s="278">
        <v>5.7115711813887804E-2</v>
      </c>
      <c r="N87" s="279">
        <v>0.62313839659198733</v>
      </c>
      <c r="O87" s="279">
        <v>2.0393921575910152</v>
      </c>
      <c r="P87" s="279">
        <v>7.6034935071317538</v>
      </c>
      <c r="Q87" s="279">
        <v>75.044460768276664</v>
      </c>
      <c r="R87" s="279">
        <v>1.4749062980705687</v>
      </c>
      <c r="S87" s="279">
        <v>23.015797359105004</v>
      </c>
      <c r="T87" s="278">
        <v>2.6652064984489375E-2</v>
      </c>
      <c r="U87" s="278">
        <v>0.18284011835592945</v>
      </c>
      <c r="V87" s="278">
        <v>3.9010687752533406E-2</v>
      </c>
      <c r="W87" s="278">
        <v>2.79013623120249</v>
      </c>
      <c r="X87" s="278">
        <v>-3.1583355350594373E-2</v>
      </c>
      <c r="Y87" s="278">
        <v>2.0082354530850137E-3</v>
      </c>
      <c r="Z87" s="278">
        <v>2.0082354530850388E-3</v>
      </c>
    </row>
    <row r="88" spans="1:26" ht="12.75">
      <c r="A88" s="276" t="s">
        <v>633</v>
      </c>
      <c r="B88" s="277">
        <v>121</v>
      </c>
      <c r="C88" s="278">
        <v>1.4556338028169011E-2</v>
      </c>
      <c r="D88" s="278">
        <v>0.19334890706887797</v>
      </c>
      <c r="E88" s="278">
        <v>0.14013867535416896</v>
      </c>
      <c r="F88" s="278">
        <v>0.20507057252565589</v>
      </c>
      <c r="G88" s="279">
        <v>1.1678671829832437</v>
      </c>
      <c r="H88" s="279">
        <v>1.2915690739535888</v>
      </c>
      <c r="I88" s="278">
        <v>0.10019414443721532</v>
      </c>
      <c r="J88" s="278">
        <v>0.57777055139614919</v>
      </c>
      <c r="K88" s="278">
        <v>4.02E-2</v>
      </c>
      <c r="L88" s="278">
        <v>0.17164681318954661</v>
      </c>
      <c r="M88" s="278">
        <v>8.713625997844604E-2</v>
      </c>
      <c r="N88" s="279">
        <v>0.79515813623876164</v>
      </c>
      <c r="O88" s="279">
        <v>2.7737371758167715</v>
      </c>
      <c r="P88" s="279">
        <v>10.598868259896074</v>
      </c>
      <c r="Q88" s="279">
        <v>13.682958847212921</v>
      </c>
      <c r="R88" s="279">
        <v>2.560581258727725</v>
      </c>
      <c r="S88" s="279">
        <v>91.569441517457904</v>
      </c>
      <c r="T88" s="278">
        <v>0.18526209954571601</v>
      </c>
      <c r="U88" s="278">
        <v>3.769844281005607E-2</v>
      </c>
      <c r="V88" s="278">
        <v>0.10385527193556017</v>
      </c>
      <c r="W88" s="278">
        <v>0.71716767298015138</v>
      </c>
      <c r="X88" s="278">
        <v>0.12403519131665282</v>
      </c>
      <c r="Y88" s="278">
        <v>0.48156055920628371</v>
      </c>
      <c r="Z88" s="278">
        <v>0.48156055920628371</v>
      </c>
    </row>
    <row r="89" spans="1:26" ht="12.75">
      <c r="A89" s="276" t="s">
        <v>634</v>
      </c>
      <c r="B89" s="277">
        <v>65</v>
      </c>
      <c r="C89" s="278">
        <v>8.8185294117646956E-3</v>
      </c>
      <c r="D89" s="278">
        <v>0.13132192811840576</v>
      </c>
      <c r="E89" s="278">
        <v>0.12814653386973587</v>
      </c>
      <c r="F89" s="278">
        <v>0.31110201119098002</v>
      </c>
      <c r="G89" s="279">
        <v>0.57007028855733299</v>
      </c>
      <c r="H89" s="279">
        <v>0.94540447879508538</v>
      </c>
      <c r="I89" s="278">
        <v>7.9424268727705125E-2</v>
      </c>
      <c r="J89" s="278">
        <v>0.52247133006627555</v>
      </c>
      <c r="K89" s="278">
        <v>4.02E-2</v>
      </c>
      <c r="L89" s="278">
        <v>0.43853308835153559</v>
      </c>
      <c r="M89" s="278">
        <v>5.5171516963521343E-2</v>
      </c>
      <c r="N89" s="279">
        <v>1.1069433909908162</v>
      </c>
      <c r="O89" s="279">
        <v>2.5253087360255653</v>
      </c>
      <c r="P89" s="279">
        <v>8.4197872038880703</v>
      </c>
      <c r="Q89" s="279">
        <v>19.214000911921232</v>
      </c>
      <c r="R89" s="279">
        <v>2.695895072241993</v>
      </c>
      <c r="S89" s="279">
        <v>60.371617966997896</v>
      </c>
      <c r="T89" s="278">
        <v>-2.1079432575242665E-2</v>
      </c>
      <c r="U89" s="278">
        <v>0.1376800746835852</v>
      </c>
      <c r="V89" s="278">
        <v>0.10528372067912091</v>
      </c>
      <c r="W89" s="278">
        <v>1.2585487569053215</v>
      </c>
      <c r="X89" s="278">
        <v>0.12214437775280154</v>
      </c>
      <c r="Y89" s="278">
        <v>1.246445783931899</v>
      </c>
      <c r="Z89" s="278">
        <v>1.246445783931899</v>
      </c>
    </row>
    <row r="90" spans="1:26" ht="12.75">
      <c r="A90" s="276" t="s">
        <v>635</v>
      </c>
      <c r="B90" s="277">
        <v>20</v>
      </c>
      <c r="C90" s="278">
        <v>2.3661428571428576E-2</v>
      </c>
      <c r="D90" s="278">
        <v>0.38423629701659912</v>
      </c>
      <c r="E90" s="278">
        <v>0.77335285082592442</v>
      </c>
      <c r="F90" s="278">
        <v>0.35575318947579149</v>
      </c>
      <c r="G90" s="279">
        <v>1.6611706900884531</v>
      </c>
      <c r="H90" s="279">
        <v>1.9130597701149425</v>
      </c>
      <c r="I90" s="278">
        <v>0.13748358620689655</v>
      </c>
      <c r="J90" s="278">
        <v>0.48902711863857817</v>
      </c>
      <c r="K90" s="278">
        <v>3.5200000000000002E-2</v>
      </c>
      <c r="L90" s="278">
        <v>0.16553990088265857</v>
      </c>
      <c r="M90" s="278">
        <v>0.11822076967985619</v>
      </c>
      <c r="N90" s="279">
        <v>2.2776570369957909</v>
      </c>
      <c r="O90" s="279">
        <v>6.1009204741974186</v>
      </c>
      <c r="P90" s="279">
        <v>14.907643819487076</v>
      </c>
      <c r="Q90" s="279">
        <v>15.872707616521406</v>
      </c>
      <c r="R90" s="279">
        <v>29.943373434468942</v>
      </c>
      <c r="S90" s="279">
        <v>19.879817637165676</v>
      </c>
      <c r="T90" s="278">
        <v>0.14153654780638519</v>
      </c>
      <c r="U90" s="278">
        <v>2.294418184075624E-2</v>
      </c>
      <c r="V90" s="278">
        <v>0.30037181044736999</v>
      </c>
      <c r="W90" s="278">
        <v>1.245579881134574</v>
      </c>
      <c r="X90" s="278">
        <v>-0.17215181226478901</v>
      </c>
      <c r="Y90" s="278">
        <v>0.77990291090908082</v>
      </c>
      <c r="Z90" s="278">
        <v>0.77990291090908082</v>
      </c>
    </row>
    <row r="91" spans="1:26" ht="12.75">
      <c r="A91" s="276" t="s">
        <v>636</v>
      </c>
      <c r="B91" s="277">
        <v>21</v>
      </c>
      <c r="C91" s="278">
        <v>0.15649333333333335</v>
      </c>
      <c r="D91" s="278">
        <v>8.78781589850193E-2</v>
      </c>
      <c r="E91" s="278">
        <v>0.20139992560445302</v>
      </c>
      <c r="F91" s="278">
        <v>0.3467519820226389</v>
      </c>
      <c r="G91" s="279">
        <v>1.188254771249603</v>
      </c>
      <c r="H91" s="279">
        <v>1.4112117362371448</v>
      </c>
      <c r="I91" s="278">
        <v>0.10737270417422869</v>
      </c>
      <c r="J91" s="278">
        <v>0.40026753679121752</v>
      </c>
      <c r="K91" s="278">
        <v>3.5200000000000002E-2</v>
      </c>
      <c r="L91" s="278">
        <v>0.23734786879722064</v>
      </c>
      <c r="M91" s="278">
        <v>8.6900808660478362E-2</v>
      </c>
      <c r="N91" s="279">
        <v>2.8235462088188847</v>
      </c>
      <c r="O91" s="279">
        <v>1.3072402647928723</v>
      </c>
      <c r="P91" s="279">
        <v>8.8472271118370891</v>
      </c>
      <c r="Q91" s="279">
        <v>14.863418712658744</v>
      </c>
      <c r="R91" s="279">
        <v>5.6494944661843531</v>
      </c>
      <c r="S91" s="279">
        <v>23.028124072843546</v>
      </c>
      <c r="T91" s="278">
        <v>8.0819700025168445E-2</v>
      </c>
      <c r="U91" s="278">
        <v>5.5993589810907816E-2</v>
      </c>
      <c r="V91" s="278">
        <v>6.1859924531809801E-2</v>
      </c>
      <c r="W91" s="278">
        <v>1.0320884854383001</v>
      </c>
      <c r="X91" s="278">
        <v>0.20319866616682158</v>
      </c>
      <c r="Y91" s="278">
        <v>0.52560637817510347</v>
      </c>
      <c r="Z91" s="278">
        <v>0.52560637817510347</v>
      </c>
    </row>
    <row r="92" spans="1:26" ht="12.75">
      <c r="A92" s="276" t="s">
        <v>637</v>
      </c>
      <c r="B92" s="277">
        <v>12</v>
      </c>
      <c r="C92" s="278">
        <v>8.7366666666666662E-2</v>
      </c>
      <c r="D92" s="278">
        <v>0.32993737904384107</v>
      </c>
      <c r="E92" s="278">
        <v>0.17189491053257017</v>
      </c>
      <c r="F92" s="278">
        <v>0.36802902531029452</v>
      </c>
      <c r="G92" s="279">
        <v>0.92727996050611483</v>
      </c>
      <c r="H92" s="279">
        <v>1.1519701149425288</v>
      </c>
      <c r="I92" s="278">
        <v>9.1818206896551721E-2</v>
      </c>
      <c r="J92" s="278">
        <v>0.31198033824440169</v>
      </c>
      <c r="K92" s="278">
        <v>3.5200000000000002E-2</v>
      </c>
      <c r="L92" s="278">
        <v>0.23367635484073029</v>
      </c>
      <c r="M92" s="278">
        <v>7.5297707615189724E-2</v>
      </c>
      <c r="N92" s="279">
        <v>0.6137267673461364</v>
      </c>
      <c r="O92" s="279">
        <v>3.3057630412379013</v>
      </c>
      <c r="P92" s="279">
        <v>7.7254635540146888</v>
      </c>
      <c r="Q92" s="279">
        <v>10.016951412686893</v>
      </c>
      <c r="R92" s="279">
        <v>2.5252037780532626</v>
      </c>
      <c r="S92" s="279">
        <v>34.200810027617294</v>
      </c>
      <c r="T92" s="278">
        <v>3.9932306897160354E-2</v>
      </c>
      <c r="U92" s="278">
        <v>0.21958029846330729</v>
      </c>
      <c r="V92" s="278">
        <v>0.14244570432457085</v>
      </c>
      <c r="W92" s="278">
        <v>0.67042151448163534</v>
      </c>
      <c r="X92" s="278">
        <v>0.18553835910844479</v>
      </c>
      <c r="Y92" s="278">
        <v>0.40547529567288176</v>
      </c>
      <c r="Z92" s="278">
        <v>0.40547529567288176</v>
      </c>
    </row>
    <row r="93" spans="1:26" ht="12.75">
      <c r="A93" s="276" t="s">
        <v>638</v>
      </c>
      <c r="B93" s="277">
        <v>26</v>
      </c>
      <c r="C93" s="278">
        <v>7.908260869565216E-2</v>
      </c>
      <c r="D93" s="278">
        <v>0.10131305843984757</v>
      </c>
      <c r="E93" s="278">
        <v>0.12424124173117147</v>
      </c>
      <c r="F93" s="278">
        <v>0.36049979775378405</v>
      </c>
      <c r="G93" s="279">
        <v>1.0263927288303389</v>
      </c>
      <c r="H93" s="279">
        <v>1.6876872605363984</v>
      </c>
      <c r="I93" s="278">
        <v>0.12396123563218389</v>
      </c>
      <c r="J93" s="278">
        <v>0.43076340881545022</v>
      </c>
      <c r="K93" s="278">
        <v>3.5200000000000002E-2</v>
      </c>
      <c r="L93" s="278">
        <v>0.50302892130158194</v>
      </c>
      <c r="M93" s="278">
        <v>7.2229119806804618E-2</v>
      </c>
      <c r="N93" s="279">
        <v>1.7836378528600427</v>
      </c>
      <c r="O93" s="279">
        <v>1.4166001862231432</v>
      </c>
      <c r="P93" s="279">
        <v>8.2282827425849394</v>
      </c>
      <c r="Q93" s="279">
        <v>13.976853769159066</v>
      </c>
      <c r="R93" s="279">
        <v>3.0308497905254432</v>
      </c>
      <c r="S93" s="279">
        <v>12.987720781052319</v>
      </c>
      <c r="T93" s="278">
        <v>4.9024576887066372E-2</v>
      </c>
      <c r="U93" s="278">
        <v>0.1922685517551215</v>
      </c>
      <c r="V93" s="278">
        <v>0.17012815922323726</v>
      </c>
      <c r="W93" s="278">
        <v>2.5802269483249698</v>
      </c>
      <c r="X93" s="278">
        <v>0.22255208767343029</v>
      </c>
      <c r="Y93" s="278">
        <v>0.107041597405912</v>
      </c>
      <c r="Z93" s="278">
        <v>0.10704159740591201</v>
      </c>
    </row>
    <row r="94" spans="1:26" ht="12.75">
      <c r="A94" s="276" t="s">
        <v>639</v>
      </c>
      <c r="B94" s="277">
        <v>3</v>
      </c>
      <c r="C94" s="278">
        <v>0</v>
      </c>
      <c r="D94" s="278">
        <v>-0.17016756673904729</v>
      </c>
      <c r="E94" s="278">
        <v>-3.0052119564167892E-2</v>
      </c>
      <c r="F94" s="278">
        <v>0</v>
      </c>
      <c r="G94" s="279">
        <v>0.1149257758215525</v>
      </c>
      <c r="H94" s="279">
        <v>0.22952298850574715</v>
      </c>
      <c r="I94" s="278">
        <v>3.6471379310344831E-2</v>
      </c>
      <c r="J94" s="278">
        <v>0.24607315985291853</v>
      </c>
      <c r="K94" s="278">
        <v>3.0200000000000001E-2</v>
      </c>
      <c r="L94" s="278">
        <v>0.50104922017958275</v>
      </c>
      <c r="M94" s="278">
        <v>2.7276435017676827E-2</v>
      </c>
      <c r="N94" s="279">
        <v>0.17660309858137038</v>
      </c>
      <c r="O94" s="279">
        <v>6.8462696234324074</v>
      </c>
      <c r="P94" s="279">
        <v>73.058239494317434</v>
      </c>
      <c r="Q94" s="279" t="s">
        <v>101</v>
      </c>
      <c r="R94" s="279">
        <v>1.212215091834477</v>
      </c>
      <c r="S94" s="279">
        <v>5.1291512915129154</v>
      </c>
      <c r="T94" s="278">
        <v>-0.1503128911138924</v>
      </c>
      <c r="U94" s="278">
        <v>1.0012515644555694E-3</v>
      </c>
      <c r="V94" s="278">
        <v>-0.30056320400500625</v>
      </c>
      <c r="W94" s="278" t="s">
        <v>101</v>
      </c>
      <c r="X94" s="278">
        <v>7.0073362003541502E-3</v>
      </c>
      <c r="Y94" s="278">
        <v>6.9675090252707683</v>
      </c>
      <c r="Z94" s="278">
        <v>6.9675090252707683</v>
      </c>
    </row>
    <row r="95" spans="1:26" ht="12.75">
      <c r="A95" s="276" t="s">
        <v>640</v>
      </c>
      <c r="B95" s="277">
        <v>20</v>
      </c>
      <c r="C95" s="278">
        <v>3.4430000000000003E-3</v>
      </c>
      <c r="D95" s="278">
        <v>0.18085600482367073</v>
      </c>
      <c r="E95" s="278">
        <v>6.9560300053798485E-2</v>
      </c>
      <c r="F95" s="278">
        <v>0.30965618927102634</v>
      </c>
      <c r="G95" s="279">
        <v>0.36463600054164563</v>
      </c>
      <c r="H95" s="279">
        <v>0.5497810344827585</v>
      </c>
      <c r="I95" s="278">
        <v>5.5686862068965504E-2</v>
      </c>
      <c r="J95" s="278">
        <v>0.25034436517556308</v>
      </c>
      <c r="K95" s="278">
        <v>3.5200000000000002E-2</v>
      </c>
      <c r="L95" s="278">
        <v>0.41352499566568168</v>
      </c>
      <c r="M95" s="278">
        <v>4.1392600581720326E-2</v>
      </c>
      <c r="N95" s="279">
        <v>0.52384895699549661</v>
      </c>
      <c r="O95" s="279">
        <v>2.9600686625853267</v>
      </c>
      <c r="P95" s="279">
        <v>9.829690824432296</v>
      </c>
      <c r="Q95" s="279">
        <v>16.368509763762198</v>
      </c>
      <c r="R95" s="279">
        <v>1.8346804598411566</v>
      </c>
      <c r="S95" s="279">
        <v>27.545847643874026</v>
      </c>
      <c r="T95" s="278">
        <v>6.6895146009705739E-2</v>
      </c>
      <c r="U95" s="278">
        <v>0.27581687803765315</v>
      </c>
      <c r="V95" s="278">
        <v>0.18806075858085267</v>
      </c>
      <c r="W95" s="278">
        <v>1.4320437832727257</v>
      </c>
      <c r="X95" s="278">
        <v>9.1727228101607661E-2</v>
      </c>
      <c r="Y95" s="278">
        <v>0.7652950556776823</v>
      </c>
      <c r="Z95" s="278">
        <v>0.7652950556776823</v>
      </c>
    </row>
    <row r="96" spans="1:26" ht="12.75">
      <c r="A96" s="276" t="s">
        <v>641</v>
      </c>
      <c r="B96" s="277">
        <v>18</v>
      </c>
      <c r="C96" s="278">
        <v>0.10791538461538462</v>
      </c>
      <c r="D96" s="278">
        <v>0.31063859976302338</v>
      </c>
      <c r="E96" s="278">
        <v>8.7684767193518101E-2</v>
      </c>
      <c r="F96" s="278">
        <v>0.32358563832964926</v>
      </c>
      <c r="G96" s="279">
        <v>0.33166856985532761</v>
      </c>
      <c r="H96" s="279">
        <v>0.46716858237547892</v>
      </c>
      <c r="I96" s="278">
        <v>5.0730114942528735E-2</v>
      </c>
      <c r="J96" s="278">
        <v>0.36780050799573982</v>
      </c>
      <c r="K96" s="278">
        <v>3.5200000000000002E-2</v>
      </c>
      <c r="L96" s="278">
        <v>0.32884282344342275</v>
      </c>
      <c r="M96" s="278">
        <v>4.0993041142343305E-2</v>
      </c>
      <c r="N96" s="279">
        <v>0.33055875222353265</v>
      </c>
      <c r="O96" s="279">
        <v>5.5361311058136273</v>
      </c>
      <c r="P96" s="279">
        <v>12.046323924739189</v>
      </c>
      <c r="Q96" s="279">
        <v>17.599496911561822</v>
      </c>
      <c r="R96" s="279">
        <v>2.291500378524324</v>
      </c>
      <c r="S96" s="279">
        <v>20.742668024805532</v>
      </c>
      <c r="T96" s="278">
        <v>7.1170789924546812E-2</v>
      </c>
      <c r="U96" s="278">
        <v>0.3373578364288507</v>
      </c>
      <c r="V96" s="278">
        <v>0.24134246247928504</v>
      </c>
      <c r="W96" s="278">
        <v>1.3119247658433566</v>
      </c>
      <c r="X96" s="278">
        <v>9.6824176579186683E-2</v>
      </c>
      <c r="Y96" s="278">
        <v>0.55780319612134921</v>
      </c>
      <c r="Z96" s="278">
        <v>0.55780319612134921</v>
      </c>
    </row>
  </sheetData>
  <phoneticPr fontId="4"/>
  <pageMargins left="0.7" right="0.7" top="0.75" bottom="0.75"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selection activeCell="P33" sqref="P33"/>
    </sheetView>
  </sheetViews>
  <sheetFormatPr baseColWidth="10" defaultRowHeight="12"/>
  <cols>
    <col min="1" max="1" width="27" customWidth="1"/>
    <col min="2" max="3" width="10.85546875" style="181"/>
    <col min="4" max="4" width="15.42578125" style="181" customWidth="1"/>
    <col min="5" max="23" width="10.85546875" style="181"/>
    <col min="26" max="26" width="11" bestFit="1" customWidth="1"/>
  </cols>
  <sheetData>
    <row r="1" spans="1:26" s="263" customFormat="1" ht="60">
      <c r="A1" s="242" t="s">
        <v>99</v>
      </c>
      <c r="B1" s="272" t="s">
        <v>176</v>
      </c>
      <c r="C1" s="273" t="s">
        <v>164</v>
      </c>
      <c r="D1" s="272" t="s">
        <v>17</v>
      </c>
      <c r="E1" s="273" t="s">
        <v>183</v>
      </c>
      <c r="F1" s="272" t="s">
        <v>165</v>
      </c>
      <c r="G1" s="272" t="s">
        <v>213</v>
      </c>
      <c r="H1" s="272" t="s">
        <v>166</v>
      </c>
      <c r="I1" s="272" t="s">
        <v>167</v>
      </c>
      <c r="J1" s="272" t="s">
        <v>168</v>
      </c>
      <c r="K1" s="272" t="s">
        <v>169</v>
      </c>
      <c r="L1" s="272" t="s">
        <v>170</v>
      </c>
      <c r="M1" s="272" t="s">
        <v>149</v>
      </c>
      <c r="N1" s="274" t="s">
        <v>102</v>
      </c>
      <c r="O1" s="272" t="s">
        <v>171</v>
      </c>
      <c r="P1" s="272" t="s">
        <v>172</v>
      </c>
      <c r="Q1" s="272" t="s">
        <v>173</v>
      </c>
      <c r="R1" s="272" t="s">
        <v>174</v>
      </c>
      <c r="S1" s="272" t="s">
        <v>175</v>
      </c>
      <c r="T1" s="272" t="s">
        <v>531</v>
      </c>
      <c r="U1" s="272" t="s">
        <v>532</v>
      </c>
      <c r="V1" s="272" t="s">
        <v>533</v>
      </c>
      <c r="W1" s="272" t="s">
        <v>534</v>
      </c>
      <c r="X1" s="275" t="s">
        <v>495</v>
      </c>
      <c r="Y1" s="275" t="s">
        <v>535</v>
      </c>
      <c r="Z1" s="275" t="s">
        <v>536</v>
      </c>
    </row>
    <row r="2" spans="1:26" s="264" customFormat="1" ht="12.75">
      <c r="A2" s="246" t="s">
        <v>100</v>
      </c>
      <c r="B2" s="144">
        <v>240</v>
      </c>
      <c r="C2" s="247">
        <v>9.5000000000000001E-2</v>
      </c>
      <c r="D2" s="247">
        <v>0.1205</v>
      </c>
      <c r="E2" s="247">
        <v>0.34399999999999997</v>
      </c>
      <c r="F2" s="247">
        <v>0.28070000000000001</v>
      </c>
      <c r="G2" s="248">
        <v>0.96</v>
      </c>
      <c r="H2" s="248">
        <v>1.1100000000000001</v>
      </c>
      <c r="I2" s="247">
        <v>0.10539999999999999</v>
      </c>
      <c r="J2" s="247">
        <v>0.56259999999999999</v>
      </c>
      <c r="K2" s="247">
        <v>5.0999999999999997E-2</v>
      </c>
      <c r="L2" s="247">
        <v>0.22509999999999999</v>
      </c>
      <c r="M2" s="247">
        <v>8.9700000000000002E-2</v>
      </c>
      <c r="N2" s="248">
        <v>3.42</v>
      </c>
      <c r="O2" s="248">
        <v>1.95</v>
      </c>
      <c r="P2" s="248">
        <v>10.210000000000001</v>
      </c>
      <c r="Q2" s="248">
        <v>15.47</v>
      </c>
      <c r="R2" s="248">
        <v>3.02</v>
      </c>
      <c r="S2" s="248">
        <v>36.5</v>
      </c>
      <c r="T2" s="247">
        <v>-8.7999999999999995E-2</v>
      </c>
      <c r="U2" s="247">
        <v>2.3E-2</v>
      </c>
      <c r="V2" s="247">
        <v>6.4199999999999993E-2</v>
      </c>
      <c r="W2" s="247">
        <v>0.72419999999999995</v>
      </c>
      <c r="X2" s="247">
        <v>0.121</v>
      </c>
      <c r="Y2" s="247">
        <v>0.44700000000000001</v>
      </c>
      <c r="Z2" s="247">
        <v>0.44700000000000001</v>
      </c>
    </row>
    <row r="3" spans="1:26" s="264" customFormat="1" ht="12.75">
      <c r="A3" s="246" t="s">
        <v>548</v>
      </c>
      <c r="B3" s="144">
        <v>211</v>
      </c>
      <c r="C3" s="247">
        <v>8.1000000000000003E-2</v>
      </c>
      <c r="D3" s="247">
        <v>0.1008</v>
      </c>
      <c r="E3" s="247">
        <v>0.19980000000000001</v>
      </c>
      <c r="F3" s="247">
        <v>0.2802</v>
      </c>
      <c r="G3" s="248">
        <v>1.05</v>
      </c>
      <c r="H3" s="248">
        <v>1.18</v>
      </c>
      <c r="I3" s="247">
        <v>0.1105</v>
      </c>
      <c r="J3" s="247">
        <v>0.47549999999999998</v>
      </c>
      <c r="K3" s="247">
        <v>4.5999999999999999E-2</v>
      </c>
      <c r="L3" s="247">
        <v>0.18759999999999999</v>
      </c>
      <c r="M3" s="247">
        <v>9.5799999999999996E-2</v>
      </c>
      <c r="N3" s="248">
        <v>2.29</v>
      </c>
      <c r="O3" s="248">
        <v>1.48</v>
      </c>
      <c r="P3" s="248">
        <v>10.92</v>
      </c>
      <c r="Q3" s="248">
        <v>14.52</v>
      </c>
      <c r="R3" s="248">
        <v>4.0999999999999996</v>
      </c>
      <c r="S3" s="248">
        <v>68.17</v>
      </c>
      <c r="T3" s="247">
        <v>0.21110000000000001</v>
      </c>
      <c r="U3" s="247">
        <v>3.3399999999999999E-2</v>
      </c>
      <c r="V3" s="247">
        <v>4.4900000000000002E-2</v>
      </c>
      <c r="W3" s="247">
        <v>0.96179999999999999</v>
      </c>
      <c r="X3" s="247">
        <v>0.12479999999999999</v>
      </c>
      <c r="Y3" s="247">
        <v>0.51759999999999995</v>
      </c>
      <c r="Z3" s="247">
        <v>0.51759999999999995</v>
      </c>
    </row>
    <row r="4" spans="1:26" s="264" customFormat="1" ht="12.75">
      <c r="A4" s="246" t="s">
        <v>549</v>
      </c>
      <c r="B4" s="144">
        <v>160</v>
      </c>
      <c r="C4" s="247">
        <v>8.1900000000000001E-2</v>
      </c>
      <c r="D4" s="247">
        <v>0.1052</v>
      </c>
      <c r="E4" s="247">
        <v>9.8299999999999998E-2</v>
      </c>
      <c r="F4" s="247">
        <v>0.2014</v>
      </c>
      <c r="G4" s="248">
        <v>0.61</v>
      </c>
      <c r="H4" s="248">
        <v>0.96</v>
      </c>
      <c r="I4" s="247">
        <v>9.4100000000000003E-2</v>
      </c>
      <c r="J4" s="247">
        <v>0.39839999999999998</v>
      </c>
      <c r="K4" s="247">
        <v>4.5999999999999999E-2</v>
      </c>
      <c r="L4" s="247">
        <v>0.44950000000000001</v>
      </c>
      <c r="M4" s="247">
        <v>6.6299999999999998E-2</v>
      </c>
      <c r="N4" s="248">
        <v>1.1000000000000001</v>
      </c>
      <c r="O4" s="248">
        <v>1.51</v>
      </c>
      <c r="P4" s="248">
        <v>6.89</v>
      </c>
      <c r="Q4" s="248">
        <v>14.29</v>
      </c>
      <c r="R4" s="248">
        <v>2.4900000000000002</v>
      </c>
      <c r="S4" s="248">
        <v>18.72</v>
      </c>
      <c r="T4" s="247">
        <v>-4.24E-2</v>
      </c>
      <c r="U4" s="247">
        <v>0.1085</v>
      </c>
      <c r="V4" s="247">
        <v>6.0100000000000001E-2</v>
      </c>
      <c r="W4" s="247">
        <v>0.66139999999999999</v>
      </c>
      <c r="X4" s="247">
        <v>0.18379999999999999</v>
      </c>
      <c r="Y4" s="247">
        <v>0.1958</v>
      </c>
      <c r="Z4" s="247">
        <v>0.1958</v>
      </c>
    </row>
    <row r="5" spans="1:26" s="264" customFormat="1" ht="12.75">
      <c r="A5" s="246" t="s">
        <v>550</v>
      </c>
      <c r="B5" s="144">
        <v>1174</v>
      </c>
      <c r="C5" s="247">
        <v>5.8700000000000002E-2</v>
      </c>
      <c r="D5" s="247">
        <v>0.1142</v>
      </c>
      <c r="E5" s="247">
        <v>0.12559999999999999</v>
      </c>
      <c r="F5" s="247">
        <v>0.26429999999999998</v>
      </c>
      <c r="G5" s="248">
        <v>0.79</v>
      </c>
      <c r="H5" s="248">
        <v>0.89</v>
      </c>
      <c r="I5" s="247">
        <v>8.8999999999999996E-2</v>
      </c>
      <c r="J5" s="247">
        <v>0.5071</v>
      </c>
      <c r="K5" s="247">
        <v>5.0999999999999997E-2</v>
      </c>
      <c r="L5" s="247">
        <v>0.19400000000000001</v>
      </c>
      <c r="M5" s="247">
        <v>7.8700000000000006E-2</v>
      </c>
      <c r="N5" s="248">
        <v>1.3</v>
      </c>
      <c r="O5" s="248">
        <v>1.86</v>
      </c>
      <c r="P5" s="248">
        <v>10.56</v>
      </c>
      <c r="Q5" s="248">
        <v>15.74</v>
      </c>
      <c r="R5" s="248">
        <v>2.66</v>
      </c>
      <c r="S5" s="248">
        <v>56.9</v>
      </c>
      <c r="T5" s="247">
        <v>0.2427</v>
      </c>
      <c r="U5" s="247">
        <v>3.73E-2</v>
      </c>
      <c r="V5" s="247">
        <v>4.0399999999999998E-2</v>
      </c>
      <c r="W5" s="247">
        <v>0.65649999999999997</v>
      </c>
      <c r="X5" s="247">
        <v>0.1139</v>
      </c>
      <c r="Y5" s="247">
        <v>0.41970000000000002</v>
      </c>
      <c r="Z5" s="247">
        <v>0.41970000000000002</v>
      </c>
    </row>
    <row r="6" spans="1:26" s="264" customFormat="1" ht="12.75">
      <c r="A6" s="246" t="s">
        <v>551</v>
      </c>
      <c r="B6" s="144">
        <v>125</v>
      </c>
      <c r="C6" s="247">
        <v>5.8599999999999999E-2</v>
      </c>
      <c r="D6" s="247">
        <v>6.3299999999999995E-2</v>
      </c>
      <c r="E6" s="247">
        <v>6.3500000000000001E-2</v>
      </c>
      <c r="F6" s="247">
        <v>0.26</v>
      </c>
      <c r="G6" s="248">
        <v>0.83</v>
      </c>
      <c r="H6" s="248">
        <v>1.25</v>
      </c>
      <c r="I6" s="247">
        <v>0.11609999999999999</v>
      </c>
      <c r="J6" s="247">
        <v>0.42420000000000002</v>
      </c>
      <c r="K6" s="247">
        <v>4.5999999999999999E-2</v>
      </c>
      <c r="L6" s="247">
        <v>0.44940000000000002</v>
      </c>
      <c r="M6" s="247">
        <v>7.8399999999999997E-2</v>
      </c>
      <c r="N6" s="248">
        <v>1.19</v>
      </c>
      <c r="O6" s="248">
        <v>0.94</v>
      </c>
      <c r="P6" s="248">
        <v>8.89</v>
      </c>
      <c r="Q6" s="248">
        <v>14.32</v>
      </c>
      <c r="R6" s="248">
        <v>1.44</v>
      </c>
      <c r="S6" s="248">
        <v>20.350000000000001</v>
      </c>
      <c r="T6" s="247">
        <v>7.1800000000000003E-2</v>
      </c>
      <c r="U6" s="247">
        <v>6.93E-2</v>
      </c>
      <c r="V6" s="247">
        <v>6.8000000000000005E-2</v>
      </c>
      <c r="W6" s="247">
        <v>1.6758</v>
      </c>
      <c r="X6" s="247">
        <v>0.13009999999999999</v>
      </c>
      <c r="Y6" s="247">
        <v>0.2858</v>
      </c>
      <c r="Z6" s="247">
        <v>0.2858</v>
      </c>
    </row>
    <row r="7" spans="1:26" s="264" customFormat="1" ht="12.75">
      <c r="A7" s="246" t="s">
        <v>552</v>
      </c>
      <c r="B7" s="144">
        <v>632</v>
      </c>
      <c r="C7" s="247">
        <v>7.3999999999999996E-2</v>
      </c>
      <c r="D7" s="247">
        <v>7.0900000000000005E-2</v>
      </c>
      <c r="E7" s="247">
        <v>0.10879999999999999</v>
      </c>
      <c r="F7" s="247">
        <v>0.26690000000000003</v>
      </c>
      <c r="G7" s="248">
        <v>1.21</v>
      </c>
      <c r="H7" s="248">
        <v>1.31</v>
      </c>
      <c r="I7" s="247">
        <v>0.12</v>
      </c>
      <c r="J7" s="247">
        <v>0.46229999999999999</v>
      </c>
      <c r="K7" s="247">
        <v>4.5999999999999999E-2</v>
      </c>
      <c r="L7" s="247">
        <v>0.1842</v>
      </c>
      <c r="M7" s="247">
        <v>0.1038</v>
      </c>
      <c r="N7" s="248">
        <v>1.88</v>
      </c>
      <c r="O7" s="248">
        <v>0.92</v>
      </c>
      <c r="P7" s="248">
        <v>8.08</v>
      </c>
      <c r="Q7" s="248">
        <v>12.89</v>
      </c>
      <c r="R7" s="248">
        <v>1.97</v>
      </c>
      <c r="S7" s="248">
        <v>51.21</v>
      </c>
      <c r="T7" s="247">
        <v>0.1018</v>
      </c>
      <c r="U7" s="247">
        <v>6.0199999999999997E-2</v>
      </c>
      <c r="V7" s="247">
        <v>6.3E-2</v>
      </c>
      <c r="W7" s="247">
        <v>1.4028</v>
      </c>
      <c r="X7" s="247">
        <v>0.12330000000000001</v>
      </c>
      <c r="Y7" s="247">
        <v>0.26040000000000002</v>
      </c>
      <c r="Z7" s="247">
        <v>0.26040000000000002</v>
      </c>
    </row>
    <row r="8" spans="1:26" s="264" customFormat="1" ht="12.75">
      <c r="A8" s="246" t="s">
        <v>553</v>
      </c>
      <c r="B8" s="144">
        <v>598</v>
      </c>
      <c r="C8" s="247">
        <v>0.1096</v>
      </c>
      <c r="D8" s="247">
        <v>6.9999999999999999E-4</v>
      </c>
      <c r="E8" s="247">
        <v>1E-4</v>
      </c>
      <c r="F8" s="247">
        <v>0.2369</v>
      </c>
      <c r="G8" s="248">
        <v>0.36</v>
      </c>
      <c r="H8" s="248">
        <v>0.94</v>
      </c>
      <c r="I8" s="247">
        <v>9.2799999999999994E-2</v>
      </c>
      <c r="J8" s="247">
        <v>0.30159999999999998</v>
      </c>
      <c r="K8" s="247">
        <v>4.5999999999999999E-2</v>
      </c>
      <c r="L8" s="247">
        <v>0.74209999999999998</v>
      </c>
      <c r="M8" s="247">
        <v>4.7800000000000002E-2</v>
      </c>
      <c r="N8" s="248">
        <v>0.11</v>
      </c>
      <c r="O8" s="248">
        <v>8.8699999999999992</v>
      </c>
      <c r="P8" s="248" t="s">
        <v>101</v>
      </c>
      <c r="Q8" s="248" t="s">
        <v>101</v>
      </c>
      <c r="R8" s="248">
        <v>0.99</v>
      </c>
      <c r="S8" s="248">
        <v>15.02</v>
      </c>
      <c r="T8" s="247" t="s">
        <v>101</v>
      </c>
      <c r="U8" s="247">
        <v>4.5999999999999999E-2</v>
      </c>
      <c r="V8" s="247">
        <v>5.1900000000000002E-2</v>
      </c>
      <c r="W8" s="247">
        <v>7.3131000000000004</v>
      </c>
      <c r="X8" s="247">
        <v>0.10199999999999999</v>
      </c>
      <c r="Y8" s="247">
        <v>0.32500000000000001</v>
      </c>
      <c r="Z8" s="247">
        <v>0.32500000000000001</v>
      </c>
    </row>
    <row r="9" spans="1:26" s="264" customFormat="1" ht="12.75">
      <c r="A9" s="246" t="s">
        <v>554</v>
      </c>
      <c r="B9" s="144">
        <v>875</v>
      </c>
      <c r="C9" s="247">
        <v>0.1086</v>
      </c>
      <c r="D9" s="247">
        <v>-4.0000000000000002E-4</v>
      </c>
      <c r="E9" s="247">
        <v>-1E-4</v>
      </c>
      <c r="F9" s="247">
        <v>0.28039999999999998</v>
      </c>
      <c r="G9" s="248">
        <v>0.47</v>
      </c>
      <c r="H9" s="248">
        <v>0.6</v>
      </c>
      <c r="I9" s="247">
        <v>6.7599999999999993E-2</v>
      </c>
      <c r="J9" s="247">
        <v>0.29349999999999998</v>
      </c>
      <c r="K9" s="247">
        <v>4.5999999999999999E-2</v>
      </c>
      <c r="L9" s="247">
        <v>0.55000000000000004</v>
      </c>
      <c r="M9" s="247">
        <v>4.8099999999999997E-2</v>
      </c>
      <c r="N9" s="248">
        <v>0.25</v>
      </c>
      <c r="O9" s="248">
        <v>4.4400000000000004</v>
      </c>
      <c r="P9" s="248" t="s">
        <v>101</v>
      </c>
      <c r="Q9" s="248" t="s">
        <v>101</v>
      </c>
      <c r="R9" s="248">
        <v>0.97</v>
      </c>
      <c r="S9" s="248">
        <v>17.079999999999998</v>
      </c>
      <c r="T9" s="247" t="s">
        <v>101</v>
      </c>
      <c r="U9" s="247">
        <v>5.3800000000000001E-2</v>
      </c>
      <c r="V9" s="247">
        <v>8.6999999999999994E-3</v>
      </c>
      <c r="W9" s="247" t="s">
        <v>101</v>
      </c>
      <c r="X9" s="247">
        <v>8.7900000000000006E-2</v>
      </c>
      <c r="Y9" s="247">
        <v>0.24929999999999999</v>
      </c>
      <c r="Z9" s="247">
        <v>0.24929999999999999</v>
      </c>
    </row>
    <row r="10" spans="1:26" s="264" customFormat="1" ht="12.75">
      <c r="A10" s="246" t="s">
        <v>555</v>
      </c>
      <c r="B10" s="144">
        <v>212</v>
      </c>
      <c r="C10" s="247">
        <v>7.2400000000000006E-2</v>
      </c>
      <c r="D10" s="247">
        <v>0.20169999999999999</v>
      </c>
      <c r="E10" s="247">
        <v>0.12139999999999999</v>
      </c>
      <c r="F10" s="247">
        <v>0.2311</v>
      </c>
      <c r="G10" s="248">
        <v>0.75</v>
      </c>
      <c r="H10" s="248">
        <v>0.85</v>
      </c>
      <c r="I10" s="247">
        <v>8.5900000000000004E-2</v>
      </c>
      <c r="J10" s="247">
        <v>0.41270000000000001</v>
      </c>
      <c r="K10" s="247">
        <v>4.5999999999999999E-2</v>
      </c>
      <c r="L10" s="247">
        <v>0.16650000000000001</v>
      </c>
      <c r="M10" s="247">
        <v>7.6899999999999996E-2</v>
      </c>
      <c r="N10" s="248">
        <v>0.74</v>
      </c>
      <c r="O10" s="248">
        <v>3.69</v>
      </c>
      <c r="P10" s="248">
        <v>14.11</v>
      </c>
      <c r="Q10" s="248">
        <v>18.22</v>
      </c>
      <c r="R10" s="248">
        <v>3.35</v>
      </c>
      <c r="S10" s="248">
        <v>52.21</v>
      </c>
      <c r="T10" s="247">
        <v>0.1101</v>
      </c>
      <c r="U10" s="247">
        <v>4.82E-2</v>
      </c>
      <c r="V10" s="247">
        <v>4.3200000000000002E-2</v>
      </c>
      <c r="W10" s="247">
        <v>0.3503</v>
      </c>
      <c r="X10" s="247">
        <v>0.12870000000000001</v>
      </c>
      <c r="Y10" s="247">
        <v>0.56510000000000005</v>
      </c>
      <c r="Z10" s="247">
        <v>0.56510000000000005</v>
      </c>
    </row>
    <row r="11" spans="1:26" s="264" customFormat="1" ht="12.75">
      <c r="A11" s="246" t="s">
        <v>556</v>
      </c>
      <c r="B11" s="144">
        <v>104</v>
      </c>
      <c r="C11" s="247">
        <v>6.4399999999999999E-2</v>
      </c>
      <c r="D11" s="247">
        <v>0.14899999999999999</v>
      </c>
      <c r="E11" s="247">
        <v>0.18229999999999999</v>
      </c>
      <c r="F11" s="247">
        <v>0.28000000000000003</v>
      </c>
      <c r="G11" s="248">
        <v>0.92</v>
      </c>
      <c r="H11" s="248">
        <v>1.06</v>
      </c>
      <c r="I11" s="247">
        <v>0.1017</v>
      </c>
      <c r="J11" s="247">
        <v>0.38429999999999997</v>
      </c>
      <c r="K11" s="247">
        <v>4.5999999999999999E-2</v>
      </c>
      <c r="L11" s="247">
        <v>0.19070000000000001</v>
      </c>
      <c r="M11" s="247">
        <v>8.8499999999999995E-2</v>
      </c>
      <c r="N11" s="248">
        <v>1.41</v>
      </c>
      <c r="O11" s="248">
        <v>2.9</v>
      </c>
      <c r="P11" s="248">
        <v>14.73</v>
      </c>
      <c r="Q11" s="248">
        <v>19.45</v>
      </c>
      <c r="R11" s="248">
        <v>5.91</v>
      </c>
      <c r="S11" s="248">
        <v>35.69</v>
      </c>
      <c r="T11" s="247">
        <v>1.8800000000000001E-2</v>
      </c>
      <c r="U11" s="247">
        <v>4.3900000000000002E-2</v>
      </c>
      <c r="V11" s="247">
        <v>5.4100000000000002E-2</v>
      </c>
      <c r="W11" s="247">
        <v>0.47549999999999998</v>
      </c>
      <c r="X11" s="247">
        <v>0.1762</v>
      </c>
      <c r="Y11" s="247">
        <v>0.79020000000000001</v>
      </c>
      <c r="Z11" s="247">
        <v>0.79020000000000001</v>
      </c>
    </row>
    <row r="12" spans="1:26" s="264" customFormat="1" ht="12.75">
      <c r="A12" s="246" t="s">
        <v>557</v>
      </c>
      <c r="B12" s="144">
        <v>145</v>
      </c>
      <c r="C12" s="247">
        <v>5.4199999999999998E-2</v>
      </c>
      <c r="D12" s="247">
        <v>0.1797</v>
      </c>
      <c r="E12" s="247">
        <v>0.15690000000000001</v>
      </c>
      <c r="F12" s="247">
        <v>0.30109999999999998</v>
      </c>
      <c r="G12" s="248">
        <v>0.89</v>
      </c>
      <c r="H12" s="248">
        <v>1.18</v>
      </c>
      <c r="I12" s="247">
        <v>0.1109</v>
      </c>
      <c r="J12" s="247">
        <v>0.43590000000000001</v>
      </c>
      <c r="K12" s="247">
        <v>4.5999999999999999E-2</v>
      </c>
      <c r="L12" s="247">
        <v>0.31640000000000001</v>
      </c>
      <c r="M12" s="247">
        <v>8.5999999999999993E-2</v>
      </c>
      <c r="N12" s="248">
        <v>1.0900000000000001</v>
      </c>
      <c r="O12" s="248">
        <v>2.5499999999999998</v>
      </c>
      <c r="P12" s="248">
        <v>10.43</v>
      </c>
      <c r="Q12" s="248">
        <v>14.19</v>
      </c>
      <c r="R12" s="248">
        <v>2.38</v>
      </c>
      <c r="S12" s="248">
        <v>31.32</v>
      </c>
      <c r="T12" s="247">
        <v>0.13420000000000001</v>
      </c>
      <c r="U12" s="247">
        <v>3.4799999999999998E-2</v>
      </c>
      <c r="V12" s="247">
        <v>4.5100000000000001E-2</v>
      </c>
      <c r="W12" s="247">
        <v>0.43099999999999999</v>
      </c>
      <c r="X12" s="247">
        <v>7.0599999999999996E-2</v>
      </c>
      <c r="Y12" s="247">
        <v>0.68110000000000004</v>
      </c>
      <c r="Z12" s="247">
        <v>0.68110000000000004</v>
      </c>
    </row>
    <row r="13" spans="1:26" s="264" customFormat="1" ht="12.75">
      <c r="A13" s="246" t="s">
        <v>558</v>
      </c>
      <c r="B13" s="144">
        <v>542</v>
      </c>
      <c r="C13" s="247">
        <v>7.8100000000000003E-2</v>
      </c>
      <c r="D13" s="247">
        <v>1.6000000000000001E-3</v>
      </c>
      <c r="E13" s="247">
        <v>2.9999999999999997E-4</v>
      </c>
      <c r="F13" s="247">
        <v>0.2457</v>
      </c>
      <c r="G13" s="248">
        <v>0.44</v>
      </c>
      <c r="H13" s="248">
        <v>1.05</v>
      </c>
      <c r="I13" s="247">
        <v>0.1011</v>
      </c>
      <c r="J13" s="247">
        <v>0.4894</v>
      </c>
      <c r="K13" s="247">
        <v>4.5999999999999999E-2</v>
      </c>
      <c r="L13" s="247">
        <v>0.68159999999999998</v>
      </c>
      <c r="M13" s="247">
        <v>5.4100000000000002E-2</v>
      </c>
      <c r="N13" s="248">
        <v>0.21</v>
      </c>
      <c r="O13" s="248">
        <v>6.49</v>
      </c>
      <c r="P13" s="248" t="s">
        <v>101</v>
      </c>
      <c r="Q13" s="248" t="s">
        <v>101</v>
      </c>
      <c r="R13" s="248">
        <v>1.51</v>
      </c>
      <c r="S13" s="248">
        <v>234.53</v>
      </c>
      <c r="T13" s="247" t="s">
        <v>101</v>
      </c>
      <c r="U13" s="247">
        <v>3.0700000000000002E-2</v>
      </c>
      <c r="V13" s="247">
        <v>3.4700000000000002E-2</v>
      </c>
      <c r="W13" s="247">
        <v>-530.14089999999999</v>
      </c>
      <c r="X13" s="247">
        <v>0.13539999999999999</v>
      </c>
      <c r="Y13" s="247">
        <v>0.26690000000000003</v>
      </c>
      <c r="Z13" s="247">
        <v>0.26690000000000003</v>
      </c>
    </row>
    <row r="14" spans="1:26" s="264" customFormat="1" ht="12.75">
      <c r="A14" s="246" t="s">
        <v>559</v>
      </c>
      <c r="B14" s="144">
        <v>422</v>
      </c>
      <c r="C14" s="247">
        <v>5.6899999999999999E-2</v>
      </c>
      <c r="D14" s="247">
        <v>7.9500000000000001E-2</v>
      </c>
      <c r="E14" s="247">
        <v>9.6799999999999997E-2</v>
      </c>
      <c r="F14" s="247">
        <v>0.3095</v>
      </c>
      <c r="G14" s="248">
        <v>0.86</v>
      </c>
      <c r="H14" s="248">
        <v>1.01</v>
      </c>
      <c r="I14" s="247">
        <v>9.7799999999999998E-2</v>
      </c>
      <c r="J14" s="247">
        <v>0.44259999999999999</v>
      </c>
      <c r="K14" s="247">
        <v>4.5999999999999999E-2</v>
      </c>
      <c r="L14" s="247">
        <v>0.246</v>
      </c>
      <c r="M14" s="247">
        <v>8.1600000000000006E-2</v>
      </c>
      <c r="N14" s="248">
        <v>1.51</v>
      </c>
      <c r="O14" s="248">
        <v>1.3</v>
      </c>
      <c r="P14" s="248">
        <v>10.42</v>
      </c>
      <c r="Q14" s="248">
        <v>16.149999999999999</v>
      </c>
      <c r="R14" s="248">
        <v>2.11</v>
      </c>
      <c r="S14" s="248">
        <v>41.32</v>
      </c>
      <c r="T14" s="247">
        <v>0.17780000000000001</v>
      </c>
      <c r="U14" s="247">
        <v>4.36E-2</v>
      </c>
      <c r="V14" s="247">
        <v>6.0199999999999997E-2</v>
      </c>
      <c r="W14" s="247">
        <v>1.1851</v>
      </c>
      <c r="X14" s="247">
        <v>7.1800000000000003E-2</v>
      </c>
      <c r="Y14" s="247">
        <v>0.44540000000000002</v>
      </c>
      <c r="Z14" s="247">
        <v>0.44540000000000002</v>
      </c>
    </row>
    <row r="15" spans="1:26" s="264" customFormat="1" ht="12.75">
      <c r="A15" s="246" t="s">
        <v>560</v>
      </c>
      <c r="B15" s="144">
        <v>766</v>
      </c>
      <c r="C15" s="247">
        <v>8.7800000000000003E-2</v>
      </c>
      <c r="D15" s="247">
        <v>8.8300000000000003E-2</v>
      </c>
      <c r="E15" s="247">
        <v>0.2039</v>
      </c>
      <c r="F15" s="247">
        <v>0.30909999999999999</v>
      </c>
      <c r="G15" s="248">
        <v>0.87</v>
      </c>
      <c r="H15" s="248">
        <v>1</v>
      </c>
      <c r="I15" s="247">
        <v>9.7000000000000003E-2</v>
      </c>
      <c r="J15" s="247">
        <v>0.47260000000000002</v>
      </c>
      <c r="K15" s="247">
        <v>4.5999999999999999E-2</v>
      </c>
      <c r="L15" s="247">
        <v>0.2145</v>
      </c>
      <c r="M15" s="247">
        <v>8.3099999999999993E-2</v>
      </c>
      <c r="N15" s="248">
        <v>2.84</v>
      </c>
      <c r="O15" s="248">
        <v>1.51</v>
      </c>
      <c r="P15" s="248">
        <v>10.85</v>
      </c>
      <c r="Q15" s="248">
        <v>16.350000000000001</v>
      </c>
      <c r="R15" s="248">
        <v>3.69</v>
      </c>
      <c r="S15" s="248">
        <v>52.29</v>
      </c>
      <c r="T15" s="247">
        <v>9.8699999999999996E-2</v>
      </c>
      <c r="U15" s="247">
        <v>2.93E-2</v>
      </c>
      <c r="V15" s="247">
        <v>4.6800000000000001E-2</v>
      </c>
      <c r="W15" s="247">
        <v>0.9083</v>
      </c>
      <c r="X15" s="247">
        <v>0.1179</v>
      </c>
      <c r="Y15" s="247">
        <v>0.54259999999999997</v>
      </c>
      <c r="Z15" s="247">
        <v>0.54259999999999997</v>
      </c>
    </row>
    <row r="16" spans="1:26" s="264" customFormat="1" ht="12.75">
      <c r="A16" s="246" t="s">
        <v>561</v>
      </c>
      <c r="B16" s="144">
        <v>66</v>
      </c>
      <c r="C16" s="247">
        <v>0.12970000000000001</v>
      </c>
      <c r="D16" s="247">
        <v>0.18029999999999999</v>
      </c>
      <c r="E16" s="247">
        <v>0.13450000000000001</v>
      </c>
      <c r="F16" s="247">
        <v>0.30940000000000001</v>
      </c>
      <c r="G16" s="248">
        <v>0.8</v>
      </c>
      <c r="H16" s="248">
        <v>1.1100000000000001</v>
      </c>
      <c r="I16" s="247">
        <v>0.105</v>
      </c>
      <c r="J16" s="247">
        <v>0.37519999999999998</v>
      </c>
      <c r="K16" s="247">
        <v>4.5999999999999999E-2</v>
      </c>
      <c r="L16" s="247">
        <v>0.32679999999999998</v>
      </c>
      <c r="M16" s="247">
        <v>8.1199999999999994E-2</v>
      </c>
      <c r="N16" s="248">
        <v>0.88</v>
      </c>
      <c r="O16" s="248">
        <v>3.9</v>
      </c>
      <c r="P16" s="248">
        <v>11.53</v>
      </c>
      <c r="Q16" s="248">
        <v>21.48</v>
      </c>
      <c r="R16" s="248">
        <v>5.0599999999999996</v>
      </c>
      <c r="S16" s="248">
        <v>83.14</v>
      </c>
      <c r="T16" s="247">
        <v>4.19E-2</v>
      </c>
      <c r="U16" s="247">
        <v>0.12609999999999999</v>
      </c>
      <c r="V16" s="247">
        <v>0.18379999999999999</v>
      </c>
      <c r="W16" s="247">
        <v>1.4389000000000001</v>
      </c>
      <c r="X16" s="247">
        <v>0.1867</v>
      </c>
      <c r="Y16" s="247">
        <v>0.3785</v>
      </c>
      <c r="Z16" s="247">
        <v>0.3785</v>
      </c>
    </row>
    <row r="17" spans="1:26" s="264" customFormat="1" ht="12.75">
      <c r="A17" s="246" t="s">
        <v>562</v>
      </c>
      <c r="B17" s="144">
        <v>735</v>
      </c>
      <c r="C17" s="247">
        <v>7.0099999999999996E-2</v>
      </c>
      <c r="D17" s="247">
        <v>8.5000000000000006E-2</v>
      </c>
      <c r="E17" s="247">
        <v>7.6399999999999996E-2</v>
      </c>
      <c r="F17" s="247">
        <v>0.2046</v>
      </c>
      <c r="G17" s="248">
        <v>0.94</v>
      </c>
      <c r="H17" s="248">
        <v>1.1100000000000001</v>
      </c>
      <c r="I17" s="247">
        <v>0.1056</v>
      </c>
      <c r="J17" s="247">
        <v>0.46050000000000002</v>
      </c>
      <c r="K17" s="247">
        <v>4.5999999999999999E-2</v>
      </c>
      <c r="L17" s="247">
        <v>0.25269999999999998</v>
      </c>
      <c r="M17" s="247">
        <v>8.7099999999999997E-2</v>
      </c>
      <c r="N17" s="248">
        <v>1.07</v>
      </c>
      <c r="O17" s="248">
        <v>1.43</v>
      </c>
      <c r="P17" s="248">
        <v>9.58</v>
      </c>
      <c r="Q17" s="248">
        <v>15.63</v>
      </c>
      <c r="R17" s="248">
        <v>1.74</v>
      </c>
      <c r="S17" s="248">
        <v>56.64</v>
      </c>
      <c r="T17" s="247">
        <v>0.1358</v>
      </c>
      <c r="U17" s="247">
        <v>5.8200000000000002E-2</v>
      </c>
      <c r="V17" s="247">
        <v>6.6000000000000003E-2</v>
      </c>
      <c r="W17" s="247">
        <v>0.83650000000000002</v>
      </c>
      <c r="X17" s="247">
        <v>8.1000000000000003E-2</v>
      </c>
      <c r="Y17" s="247">
        <v>0.59179999999999999</v>
      </c>
      <c r="Z17" s="247">
        <v>0.59179999999999999</v>
      </c>
    </row>
    <row r="18" spans="1:26" s="264" customFormat="1" ht="12.75">
      <c r="A18" s="246" t="s">
        <v>563</v>
      </c>
      <c r="B18" s="144">
        <v>79</v>
      </c>
      <c r="C18" s="247">
        <v>5.8000000000000003E-2</v>
      </c>
      <c r="D18" s="247">
        <v>8.9399999999999993E-2</v>
      </c>
      <c r="E18" s="247">
        <v>9.5699999999999993E-2</v>
      </c>
      <c r="F18" s="247">
        <v>0.27429999999999999</v>
      </c>
      <c r="G18" s="248">
        <v>1.08</v>
      </c>
      <c r="H18" s="248">
        <v>1.35</v>
      </c>
      <c r="I18" s="247">
        <v>0.1235</v>
      </c>
      <c r="J18" s="247">
        <v>0.40550000000000003</v>
      </c>
      <c r="K18" s="247">
        <v>4.5999999999999999E-2</v>
      </c>
      <c r="L18" s="247">
        <v>0.29149999999999998</v>
      </c>
      <c r="M18" s="247">
        <v>9.69E-2</v>
      </c>
      <c r="N18" s="248">
        <v>1.35</v>
      </c>
      <c r="O18" s="248">
        <v>1.1599999999999999</v>
      </c>
      <c r="P18" s="248">
        <v>8.0299999999999994</v>
      </c>
      <c r="Q18" s="248">
        <v>12.78</v>
      </c>
      <c r="R18" s="248">
        <v>1.96</v>
      </c>
      <c r="S18" s="248">
        <v>73.75</v>
      </c>
      <c r="T18" s="247">
        <v>0.17449999999999999</v>
      </c>
      <c r="U18" s="247">
        <v>6.7299999999999999E-2</v>
      </c>
      <c r="V18" s="247">
        <v>8.6300000000000002E-2</v>
      </c>
      <c r="W18" s="247">
        <v>1.3452999999999999</v>
      </c>
      <c r="X18" s="247">
        <v>0.13730000000000001</v>
      </c>
      <c r="Y18" s="247">
        <v>0.4274</v>
      </c>
      <c r="Z18" s="247">
        <v>0.4274</v>
      </c>
    </row>
    <row r="19" spans="1:26" s="264" customFormat="1" ht="12.75">
      <c r="A19" s="246" t="s">
        <v>564</v>
      </c>
      <c r="B19" s="144">
        <v>713</v>
      </c>
      <c r="C19" s="247">
        <v>7.9100000000000004E-2</v>
      </c>
      <c r="D19" s="247">
        <v>0.1174</v>
      </c>
      <c r="E19" s="247">
        <v>0.12230000000000001</v>
      </c>
      <c r="F19" s="247">
        <v>0.22209999999999999</v>
      </c>
      <c r="G19" s="248">
        <v>1.03</v>
      </c>
      <c r="H19" s="248">
        <v>1.18</v>
      </c>
      <c r="I19" s="247">
        <v>0.1104</v>
      </c>
      <c r="J19" s="247">
        <v>0.4783</v>
      </c>
      <c r="K19" s="247">
        <v>4.5999999999999999E-2</v>
      </c>
      <c r="L19" s="247">
        <v>0.20469999999999999</v>
      </c>
      <c r="M19" s="247">
        <v>9.4399999999999998E-2</v>
      </c>
      <c r="N19" s="248">
        <v>1.24</v>
      </c>
      <c r="O19" s="248">
        <v>1.81</v>
      </c>
      <c r="P19" s="248">
        <v>10.43</v>
      </c>
      <c r="Q19" s="248">
        <v>14.99</v>
      </c>
      <c r="R19" s="248">
        <v>2.68</v>
      </c>
      <c r="S19" s="248">
        <v>68.400000000000006</v>
      </c>
      <c r="T19" s="247">
        <v>0.17080000000000001</v>
      </c>
      <c r="U19" s="247">
        <v>6.83E-2</v>
      </c>
      <c r="V19" s="247">
        <v>9.4100000000000003E-2</v>
      </c>
      <c r="W19" s="247">
        <v>1.1462000000000001</v>
      </c>
      <c r="X19" s="247">
        <v>0.14199999999999999</v>
      </c>
      <c r="Y19" s="247">
        <v>0.41849999999999998</v>
      </c>
      <c r="Z19" s="247">
        <v>0.41849999999999998</v>
      </c>
    </row>
    <row r="20" spans="1:26" s="264" customFormat="1" ht="12.75">
      <c r="A20" s="246" t="s">
        <v>565</v>
      </c>
      <c r="B20" s="144">
        <v>280</v>
      </c>
      <c r="C20" s="247">
        <v>2.3400000000000001E-2</v>
      </c>
      <c r="D20" s="247">
        <v>6.3100000000000003E-2</v>
      </c>
      <c r="E20" s="247">
        <v>3.5499999999999997E-2</v>
      </c>
      <c r="F20" s="247">
        <v>0.25940000000000002</v>
      </c>
      <c r="G20" s="248">
        <v>0.95</v>
      </c>
      <c r="H20" s="248">
        <v>1.4</v>
      </c>
      <c r="I20" s="247">
        <v>0.12720000000000001</v>
      </c>
      <c r="J20" s="247">
        <v>0.6905</v>
      </c>
      <c r="K20" s="247">
        <v>5.6000000000000001E-2</v>
      </c>
      <c r="L20" s="247">
        <v>0.4199</v>
      </c>
      <c r="M20" s="247">
        <v>9.0300000000000005E-2</v>
      </c>
      <c r="N20" s="248">
        <v>0.6</v>
      </c>
      <c r="O20" s="248">
        <v>1.91</v>
      </c>
      <c r="P20" s="248">
        <v>9.02</v>
      </c>
      <c r="Q20" s="248">
        <v>26.2</v>
      </c>
      <c r="R20" s="248">
        <v>1.1000000000000001</v>
      </c>
      <c r="S20" s="248">
        <v>258.24</v>
      </c>
      <c r="T20" s="247">
        <v>2.8000000000000001E-2</v>
      </c>
      <c r="U20" s="247">
        <v>0.12759999999999999</v>
      </c>
      <c r="V20" s="247">
        <v>8.5900000000000004E-2</v>
      </c>
      <c r="W20" s="247">
        <v>2.7738</v>
      </c>
      <c r="X20" s="247">
        <v>-3.0700000000000002E-2</v>
      </c>
      <c r="Y20" s="247">
        <v>0.1951</v>
      </c>
      <c r="Z20" s="247">
        <v>0.1951</v>
      </c>
    </row>
    <row r="21" spans="1:26" s="264" customFormat="1" ht="12.75">
      <c r="A21" s="246" t="s">
        <v>566</v>
      </c>
      <c r="B21" s="144">
        <v>918</v>
      </c>
      <c r="C21" s="247">
        <v>6.9800000000000001E-2</v>
      </c>
      <c r="D21" s="247">
        <v>7.5999999999999998E-2</v>
      </c>
      <c r="E21" s="247">
        <v>0.21340000000000001</v>
      </c>
      <c r="F21" s="247">
        <v>0.25530000000000003</v>
      </c>
      <c r="G21" s="248">
        <v>0.95</v>
      </c>
      <c r="H21" s="248">
        <v>1.02</v>
      </c>
      <c r="I21" s="247">
        <v>9.8500000000000004E-2</v>
      </c>
      <c r="J21" s="247">
        <v>0.48820000000000002</v>
      </c>
      <c r="K21" s="247">
        <v>4.5999999999999999E-2</v>
      </c>
      <c r="L21" s="247">
        <v>0.1573</v>
      </c>
      <c r="M21" s="247">
        <v>8.8099999999999998E-2</v>
      </c>
      <c r="N21" s="248">
        <v>3.46</v>
      </c>
      <c r="O21" s="248">
        <v>1.1200000000000001</v>
      </c>
      <c r="P21" s="248">
        <v>10.58</v>
      </c>
      <c r="Q21" s="248">
        <v>14.31</v>
      </c>
      <c r="R21" s="248">
        <v>3.68</v>
      </c>
      <c r="S21" s="248">
        <v>99.24</v>
      </c>
      <c r="T21" s="247">
        <v>0.13270000000000001</v>
      </c>
      <c r="U21" s="247">
        <v>1.7399999999999999E-2</v>
      </c>
      <c r="V21" s="247">
        <v>2.5499999999999998E-2</v>
      </c>
      <c r="W21" s="247">
        <v>0.56299999999999994</v>
      </c>
      <c r="X21" s="247">
        <v>0.19289999999999999</v>
      </c>
      <c r="Y21" s="247">
        <v>0.32619999999999999</v>
      </c>
      <c r="Z21" s="247">
        <v>0.32619999999999999</v>
      </c>
    </row>
    <row r="22" spans="1:26" s="264" customFormat="1" ht="12.75">
      <c r="A22" s="246" t="s">
        <v>567</v>
      </c>
      <c r="B22" s="144">
        <v>332</v>
      </c>
      <c r="C22" s="247">
        <v>2.0400000000000001E-2</v>
      </c>
      <c r="D22" s="247">
        <v>0.1171</v>
      </c>
      <c r="E22" s="247">
        <v>0.1837</v>
      </c>
      <c r="F22" s="247">
        <v>0.2394</v>
      </c>
      <c r="G22" s="248">
        <v>1.27</v>
      </c>
      <c r="H22" s="248">
        <v>1.32</v>
      </c>
      <c r="I22" s="247">
        <v>0.12139999999999999</v>
      </c>
      <c r="J22" s="247">
        <v>0.50009999999999999</v>
      </c>
      <c r="K22" s="247">
        <v>5.0999999999999997E-2</v>
      </c>
      <c r="L22" s="247">
        <v>0.1638</v>
      </c>
      <c r="M22" s="247">
        <v>0.1074</v>
      </c>
      <c r="N22" s="248">
        <v>1.79</v>
      </c>
      <c r="O22" s="248">
        <v>1.1200000000000001</v>
      </c>
      <c r="P22" s="248">
        <v>6.59</v>
      </c>
      <c r="Q22" s="248">
        <v>9.5399999999999991</v>
      </c>
      <c r="R22" s="248">
        <v>2.1</v>
      </c>
      <c r="S22" s="248">
        <v>344.79</v>
      </c>
      <c r="T22" s="247">
        <v>7.6200000000000004E-2</v>
      </c>
      <c r="U22" s="247">
        <v>5.2299999999999999E-2</v>
      </c>
      <c r="V22" s="247">
        <v>6.6199999999999995E-2</v>
      </c>
      <c r="W22" s="247">
        <v>0.82069999999999999</v>
      </c>
      <c r="X22" s="247">
        <v>0.17150000000000001</v>
      </c>
      <c r="Y22" s="247">
        <v>0.2666</v>
      </c>
      <c r="Z22" s="247">
        <v>0.2666</v>
      </c>
    </row>
    <row r="23" spans="1:26" s="264" customFormat="1" ht="12.75">
      <c r="A23" s="246" t="s">
        <v>568</v>
      </c>
      <c r="B23" s="144">
        <v>733</v>
      </c>
      <c r="C23" s="247">
        <v>6.7500000000000004E-2</v>
      </c>
      <c r="D23" s="247">
        <v>6.6699999999999995E-2</v>
      </c>
      <c r="E23" s="247">
        <v>6.0999999999999999E-2</v>
      </c>
      <c r="F23" s="247">
        <v>0.25119999999999998</v>
      </c>
      <c r="G23" s="248">
        <v>0.89</v>
      </c>
      <c r="H23" s="248">
        <v>1.1399999999999999</v>
      </c>
      <c r="I23" s="247">
        <v>0.10780000000000001</v>
      </c>
      <c r="J23" s="247">
        <v>0.43430000000000002</v>
      </c>
      <c r="K23" s="247">
        <v>4.5999999999999999E-2</v>
      </c>
      <c r="L23" s="247">
        <v>0.33260000000000001</v>
      </c>
      <c r="M23" s="247">
        <v>8.2699999999999996E-2</v>
      </c>
      <c r="N23" s="248">
        <v>1.0900000000000001</v>
      </c>
      <c r="O23" s="248">
        <v>1.41</v>
      </c>
      <c r="P23" s="248">
        <v>10.68</v>
      </c>
      <c r="Q23" s="248">
        <v>19.72</v>
      </c>
      <c r="R23" s="248">
        <v>1.64</v>
      </c>
      <c r="S23" s="248">
        <v>49.45</v>
      </c>
      <c r="T23" s="247">
        <v>0.15040000000000001</v>
      </c>
      <c r="U23" s="247">
        <v>5.3900000000000003E-2</v>
      </c>
      <c r="V23" s="247">
        <v>5.2699999999999997E-2</v>
      </c>
      <c r="W23" s="247">
        <v>1.3079000000000001</v>
      </c>
      <c r="X23" s="247">
        <v>6.1499999999999999E-2</v>
      </c>
      <c r="Y23" s="247">
        <v>0.72570000000000001</v>
      </c>
      <c r="Z23" s="247">
        <v>0.72570000000000001</v>
      </c>
    </row>
    <row r="24" spans="1:26" s="264" customFormat="1" ht="12.75">
      <c r="A24" s="246" t="s">
        <v>569</v>
      </c>
      <c r="B24" s="144">
        <v>361</v>
      </c>
      <c r="C24" s="247">
        <v>6.2199999999999998E-2</v>
      </c>
      <c r="D24" s="247">
        <v>0.1338</v>
      </c>
      <c r="E24" s="247">
        <v>9.4399999999999998E-2</v>
      </c>
      <c r="F24" s="247">
        <v>0.24909999999999999</v>
      </c>
      <c r="G24" s="248">
        <v>0.7</v>
      </c>
      <c r="H24" s="248">
        <v>1.01</v>
      </c>
      <c r="I24" s="247">
        <v>9.8199999999999996E-2</v>
      </c>
      <c r="J24" s="247">
        <v>0.3584</v>
      </c>
      <c r="K24" s="247">
        <v>4.5999999999999999E-2</v>
      </c>
      <c r="L24" s="247">
        <v>0.4037</v>
      </c>
      <c r="M24" s="247">
        <v>7.1499999999999994E-2</v>
      </c>
      <c r="N24" s="248">
        <v>0.82</v>
      </c>
      <c r="O24" s="248">
        <v>1.73</v>
      </c>
      <c r="P24" s="248">
        <v>9.33</v>
      </c>
      <c r="Q24" s="248">
        <v>12.68</v>
      </c>
      <c r="R24" s="248">
        <v>1.22</v>
      </c>
      <c r="S24" s="248">
        <v>62.71</v>
      </c>
      <c r="T24" s="247">
        <v>-0.128</v>
      </c>
      <c r="U24" s="247">
        <v>5.33E-2</v>
      </c>
      <c r="V24" s="247">
        <v>8.0699999999999994E-2</v>
      </c>
      <c r="W24" s="247">
        <v>0.97519999999999996</v>
      </c>
      <c r="X24" s="247">
        <v>9.6299999999999997E-2</v>
      </c>
      <c r="Y24" s="247">
        <v>0.32819999999999999</v>
      </c>
      <c r="Z24" s="247">
        <v>0.32819999999999999</v>
      </c>
    </row>
    <row r="25" spans="1:26" s="264" customFormat="1" ht="12.75">
      <c r="A25" s="246" t="s">
        <v>570</v>
      </c>
      <c r="B25" s="144">
        <v>831</v>
      </c>
      <c r="C25" s="247">
        <v>0.16500000000000001</v>
      </c>
      <c r="D25" s="247">
        <v>0.315</v>
      </c>
      <c r="E25" s="247">
        <v>0.1799</v>
      </c>
      <c r="F25" s="247">
        <v>0.20180000000000001</v>
      </c>
      <c r="G25" s="248">
        <v>1.21</v>
      </c>
      <c r="H25" s="248">
        <v>1.27</v>
      </c>
      <c r="I25" s="247">
        <v>0.1176</v>
      </c>
      <c r="J25" s="247">
        <v>0.78039999999999998</v>
      </c>
      <c r="K25" s="247">
        <v>5.6000000000000001E-2</v>
      </c>
      <c r="L25" s="247">
        <v>0.1119</v>
      </c>
      <c r="M25" s="247">
        <v>0.10879999999999999</v>
      </c>
      <c r="N25" s="248">
        <v>0.59</v>
      </c>
      <c r="O25" s="248">
        <v>8.67</v>
      </c>
      <c r="P25" s="248">
        <v>14.92</v>
      </c>
      <c r="Q25" s="248">
        <v>24.32</v>
      </c>
      <c r="R25" s="248">
        <v>7.29</v>
      </c>
      <c r="S25" s="248">
        <v>229.52</v>
      </c>
      <c r="T25" s="247">
        <v>0.2203</v>
      </c>
      <c r="U25" s="247">
        <v>5.2999999999999999E-2</v>
      </c>
      <c r="V25" s="247">
        <v>0.29249999999999998</v>
      </c>
      <c r="W25" s="247">
        <v>1.7366999999999999</v>
      </c>
      <c r="X25" s="247">
        <v>0.17810000000000001</v>
      </c>
      <c r="Y25" s="247">
        <v>0.36280000000000001</v>
      </c>
      <c r="Z25" s="247">
        <v>0.36280000000000001</v>
      </c>
    </row>
    <row r="26" spans="1:26" s="264" customFormat="1" ht="12.75">
      <c r="A26" s="246" t="s">
        <v>571</v>
      </c>
      <c r="B26" s="144">
        <v>926</v>
      </c>
      <c r="C26" s="247">
        <v>0.1152</v>
      </c>
      <c r="D26" s="247">
        <v>0.20080000000000001</v>
      </c>
      <c r="E26" s="247">
        <v>0.1288</v>
      </c>
      <c r="F26" s="247">
        <v>0.21149999999999999</v>
      </c>
      <c r="G26" s="248">
        <v>1.02</v>
      </c>
      <c r="H26" s="248">
        <v>1.1000000000000001</v>
      </c>
      <c r="I26" s="247">
        <v>0.1045</v>
      </c>
      <c r="J26" s="247">
        <v>0.54449999999999998</v>
      </c>
      <c r="K26" s="247">
        <v>5.0999999999999997E-2</v>
      </c>
      <c r="L26" s="247">
        <v>0.1245</v>
      </c>
      <c r="M26" s="247">
        <v>9.6000000000000002E-2</v>
      </c>
      <c r="N26" s="248">
        <v>0.73</v>
      </c>
      <c r="O26" s="248">
        <v>4.32</v>
      </c>
      <c r="P26" s="248">
        <v>14.97</v>
      </c>
      <c r="Q26" s="248">
        <v>21.62</v>
      </c>
      <c r="R26" s="248">
        <v>3.65</v>
      </c>
      <c r="S26" s="248">
        <v>67.64</v>
      </c>
      <c r="T26" s="247">
        <v>0.19620000000000001</v>
      </c>
      <c r="U26" s="247">
        <v>4.2099999999999999E-2</v>
      </c>
      <c r="V26" s="247">
        <v>0.2205</v>
      </c>
      <c r="W26" s="247">
        <v>1.5326</v>
      </c>
      <c r="X26" s="247">
        <v>0.16400000000000001</v>
      </c>
      <c r="Y26" s="247">
        <v>0.51990000000000003</v>
      </c>
      <c r="Z26" s="247">
        <v>0.51990000000000003</v>
      </c>
    </row>
    <row r="27" spans="1:26" s="264" customFormat="1" ht="12.75">
      <c r="A27" s="246" t="s">
        <v>572</v>
      </c>
      <c r="B27" s="144">
        <v>167</v>
      </c>
      <c r="C27" s="247">
        <v>5.7500000000000002E-2</v>
      </c>
      <c r="D27" s="247">
        <v>9.3399999999999997E-2</v>
      </c>
      <c r="E27" s="247">
        <v>0.1024</v>
      </c>
      <c r="F27" s="247">
        <v>0.29189999999999999</v>
      </c>
      <c r="G27" s="248">
        <v>0.92</v>
      </c>
      <c r="H27" s="248">
        <v>1.05</v>
      </c>
      <c r="I27" s="247">
        <v>0.1013</v>
      </c>
      <c r="J27" s="247">
        <v>0.50680000000000003</v>
      </c>
      <c r="K27" s="247">
        <v>5.0999999999999997E-2</v>
      </c>
      <c r="L27" s="247">
        <v>0.25719999999999998</v>
      </c>
      <c r="M27" s="247">
        <v>8.4400000000000003E-2</v>
      </c>
      <c r="N27" s="248">
        <v>1.3</v>
      </c>
      <c r="O27" s="248">
        <v>1.7</v>
      </c>
      <c r="P27" s="248">
        <v>8.6999999999999993</v>
      </c>
      <c r="Q27" s="248">
        <v>17.38</v>
      </c>
      <c r="R27" s="248">
        <v>1.9</v>
      </c>
      <c r="S27" s="248">
        <v>43.61</v>
      </c>
      <c r="T27" s="247">
        <v>8.6499999999999994E-2</v>
      </c>
      <c r="U27" s="247">
        <v>5.6099999999999997E-2</v>
      </c>
      <c r="V27" s="247">
        <v>9.35E-2</v>
      </c>
      <c r="W27" s="247">
        <v>1.6025</v>
      </c>
      <c r="X27" s="247">
        <v>3.8899999999999997E-2</v>
      </c>
      <c r="Y27" s="247">
        <v>0.60429999999999995</v>
      </c>
      <c r="Z27" s="247">
        <v>0.60429999999999995</v>
      </c>
    </row>
    <row r="28" spans="1:26" s="264" customFormat="1" ht="12.75">
      <c r="A28" s="246" t="s">
        <v>573</v>
      </c>
      <c r="B28" s="144">
        <v>822</v>
      </c>
      <c r="C28" s="247">
        <v>7.9899999999999999E-2</v>
      </c>
      <c r="D28" s="247">
        <v>7.3300000000000004E-2</v>
      </c>
      <c r="E28" s="247">
        <v>0.10100000000000001</v>
      </c>
      <c r="F28" s="247">
        <v>0.24460000000000001</v>
      </c>
      <c r="G28" s="248">
        <v>1.0900000000000001</v>
      </c>
      <c r="H28" s="248">
        <v>1.19</v>
      </c>
      <c r="I28" s="247">
        <v>0.11119999999999999</v>
      </c>
      <c r="J28" s="247">
        <v>0.5161</v>
      </c>
      <c r="K28" s="247">
        <v>5.0999999999999997E-2</v>
      </c>
      <c r="L28" s="247">
        <v>0.17979999999999999</v>
      </c>
      <c r="M28" s="247">
        <v>9.7600000000000006E-2</v>
      </c>
      <c r="N28" s="248">
        <v>1.61</v>
      </c>
      <c r="O28" s="248">
        <v>1.61</v>
      </c>
      <c r="P28" s="248">
        <v>13.12</v>
      </c>
      <c r="Q28" s="248">
        <v>20.350000000000001</v>
      </c>
      <c r="R28" s="248">
        <v>2.67</v>
      </c>
      <c r="S28" s="248">
        <v>61.44</v>
      </c>
      <c r="T28" s="247">
        <v>0.2349</v>
      </c>
      <c r="U28" s="247">
        <v>4.2799999999999998E-2</v>
      </c>
      <c r="V28" s="247">
        <v>5.2400000000000002E-2</v>
      </c>
      <c r="W28" s="247">
        <v>1.2116</v>
      </c>
      <c r="X28" s="247">
        <v>5.9700000000000003E-2</v>
      </c>
      <c r="Y28" s="247">
        <v>0.70420000000000005</v>
      </c>
      <c r="Z28" s="247">
        <v>0.70420000000000005</v>
      </c>
    </row>
    <row r="29" spans="1:26" s="264" customFormat="1" ht="12.75">
      <c r="A29" s="246" t="s">
        <v>574</v>
      </c>
      <c r="B29" s="144">
        <v>153</v>
      </c>
      <c r="C29" s="247">
        <v>-7.4000000000000003E-3</v>
      </c>
      <c r="D29" s="247">
        <v>5.0900000000000001E-2</v>
      </c>
      <c r="E29" s="247">
        <v>9.5200000000000007E-2</v>
      </c>
      <c r="F29" s="247">
        <v>0.23680000000000001</v>
      </c>
      <c r="G29" s="248">
        <v>1.18</v>
      </c>
      <c r="H29" s="248">
        <v>1.29</v>
      </c>
      <c r="I29" s="247">
        <v>0.1187</v>
      </c>
      <c r="J29" s="247">
        <v>0.53549999999999998</v>
      </c>
      <c r="K29" s="247">
        <v>5.0999999999999997E-2</v>
      </c>
      <c r="L29" s="247">
        <v>0.27529999999999999</v>
      </c>
      <c r="M29" s="247">
        <v>9.5799999999999996E-2</v>
      </c>
      <c r="N29" s="248">
        <v>2.0299999999999998</v>
      </c>
      <c r="O29" s="248">
        <v>0.56000000000000005</v>
      </c>
      <c r="P29" s="248">
        <v>6.9</v>
      </c>
      <c r="Q29" s="248">
        <v>14.69</v>
      </c>
      <c r="R29" s="248">
        <v>1.51</v>
      </c>
      <c r="S29" s="248">
        <v>561.66</v>
      </c>
      <c r="T29" s="247">
        <v>6.2100000000000002E-2</v>
      </c>
      <c r="U29" s="247">
        <v>3.61E-2</v>
      </c>
      <c r="V29" s="247">
        <v>5.5100000000000003E-2</v>
      </c>
      <c r="W29" s="247">
        <v>2.1995</v>
      </c>
      <c r="X29" s="247">
        <v>4.2299999999999997E-2</v>
      </c>
      <c r="Y29" s="247">
        <v>0.52790000000000004</v>
      </c>
      <c r="Z29" s="247">
        <v>0.52790000000000004</v>
      </c>
    </row>
    <row r="30" spans="1:26" s="264" customFormat="1" ht="12.75">
      <c r="A30" s="246" t="s">
        <v>575</v>
      </c>
      <c r="B30" s="144">
        <v>1219</v>
      </c>
      <c r="C30" s="247">
        <v>4.8300000000000003E-2</v>
      </c>
      <c r="D30" s="247">
        <v>7.0199999999999999E-2</v>
      </c>
      <c r="E30" s="247">
        <v>9.4100000000000003E-2</v>
      </c>
      <c r="F30" s="247">
        <v>0.221</v>
      </c>
      <c r="G30" s="248">
        <v>1.24</v>
      </c>
      <c r="H30" s="248">
        <v>1.27</v>
      </c>
      <c r="I30" s="247">
        <v>0.1174</v>
      </c>
      <c r="J30" s="247">
        <v>0.50229999999999997</v>
      </c>
      <c r="K30" s="247">
        <v>5.0999999999999997E-2</v>
      </c>
      <c r="L30" s="247">
        <v>0.1593</v>
      </c>
      <c r="M30" s="247">
        <v>0.10440000000000001</v>
      </c>
      <c r="N30" s="248">
        <v>1.56</v>
      </c>
      <c r="O30" s="248">
        <v>1.19</v>
      </c>
      <c r="P30" s="248">
        <v>9.67</v>
      </c>
      <c r="Q30" s="248">
        <v>16.54</v>
      </c>
      <c r="R30" s="248">
        <v>2.0099999999999998</v>
      </c>
      <c r="S30" s="248">
        <v>76.02</v>
      </c>
      <c r="T30" s="247">
        <v>0.17730000000000001</v>
      </c>
      <c r="U30" s="247">
        <v>5.16E-2</v>
      </c>
      <c r="V30" s="247">
        <v>6.7400000000000002E-2</v>
      </c>
      <c r="W30" s="247">
        <v>1.5289999999999999</v>
      </c>
      <c r="X30" s="247">
        <v>0.10059999999999999</v>
      </c>
      <c r="Y30" s="247">
        <v>0.30680000000000002</v>
      </c>
      <c r="Z30" s="247">
        <v>0.30680000000000002</v>
      </c>
    </row>
    <row r="31" spans="1:26" s="264" customFormat="1" ht="12.75">
      <c r="A31" s="246" t="s">
        <v>576</v>
      </c>
      <c r="B31" s="144">
        <v>1117</v>
      </c>
      <c r="C31" s="247">
        <v>6.8500000000000005E-2</v>
      </c>
      <c r="D31" s="247">
        <v>4.5400000000000003E-2</v>
      </c>
      <c r="E31" s="247">
        <v>7.6600000000000001E-2</v>
      </c>
      <c r="F31" s="247">
        <v>0.2732</v>
      </c>
      <c r="G31" s="248">
        <v>0.9</v>
      </c>
      <c r="H31" s="248">
        <v>1.2</v>
      </c>
      <c r="I31" s="247">
        <v>0.11169999999999999</v>
      </c>
      <c r="J31" s="247">
        <v>0.4667</v>
      </c>
      <c r="K31" s="247">
        <v>4.5999999999999999E-2</v>
      </c>
      <c r="L31" s="247">
        <v>0.42320000000000002</v>
      </c>
      <c r="M31" s="247">
        <v>7.8100000000000003E-2</v>
      </c>
      <c r="N31" s="248">
        <v>2.02</v>
      </c>
      <c r="O31" s="248">
        <v>0.67</v>
      </c>
      <c r="P31" s="248">
        <v>9.17</v>
      </c>
      <c r="Q31" s="248">
        <v>14.3</v>
      </c>
      <c r="R31" s="248">
        <v>1.47</v>
      </c>
      <c r="S31" s="248">
        <v>49.18</v>
      </c>
      <c r="T31" s="247">
        <v>0.1134</v>
      </c>
      <c r="U31" s="247">
        <v>3.0700000000000002E-2</v>
      </c>
      <c r="V31" s="247">
        <v>2.9600000000000001E-2</v>
      </c>
      <c r="W31" s="247">
        <v>1.3176000000000001</v>
      </c>
      <c r="X31" s="247">
        <v>7.0099999999999996E-2</v>
      </c>
      <c r="Y31" s="247">
        <v>1.0403</v>
      </c>
      <c r="Z31" s="247">
        <v>1.0403</v>
      </c>
    </row>
    <row r="32" spans="1:26" s="264" customFormat="1" ht="12.75">
      <c r="A32" s="246" t="s">
        <v>577</v>
      </c>
      <c r="B32" s="144">
        <v>350</v>
      </c>
      <c r="C32" s="247">
        <v>9.7000000000000003E-2</v>
      </c>
      <c r="D32" s="247">
        <v>0.18049999999999999</v>
      </c>
      <c r="E32" s="247">
        <v>0.20860000000000001</v>
      </c>
      <c r="F32" s="247">
        <v>0.2777</v>
      </c>
      <c r="G32" s="248">
        <v>1.06</v>
      </c>
      <c r="H32" s="248">
        <v>1.22</v>
      </c>
      <c r="I32" s="247">
        <v>0.1133</v>
      </c>
      <c r="J32" s="247">
        <v>0.55769999999999997</v>
      </c>
      <c r="K32" s="247">
        <v>5.0999999999999997E-2</v>
      </c>
      <c r="L32" s="247">
        <v>0.19989999999999999</v>
      </c>
      <c r="M32" s="247">
        <v>9.7799999999999998E-2</v>
      </c>
      <c r="N32" s="248">
        <v>1.28</v>
      </c>
      <c r="O32" s="248">
        <v>3.02</v>
      </c>
      <c r="P32" s="248">
        <v>11.81</v>
      </c>
      <c r="Q32" s="248">
        <v>16.190000000000001</v>
      </c>
      <c r="R32" s="248">
        <v>3.04</v>
      </c>
      <c r="S32" s="248">
        <v>140.75</v>
      </c>
      <c r="T32" s="247">
        <v>9.1800000000000007E-2</v>
      </c>
      <c r="U32" s="247">
        <v>4.5999999999999999E-2</v>
      </c>
      <c r="V32" s="247">
        <v>2.52E-2</v>
      </c>
      <c r="W32" s="247">
        <v>0.86880000000000002</v>
      </c>
      <c r="X32" s="247">
        <v>0.18390000000000001</v>
      </c>
      <c r="Y32" s="247">
        <v>0.35289999999999999</v>
      </c>
      <c r="Z32" s="247">
        <v>0.35289999999999999</v>
      </c>
    </row>
    <row r="33" spans="1:26" s="445" customFormat="1" ht="12.75">
      <c r="A33" s="441" t="s">
        <v>578</v>
      </c>
      <c r="B33" s="442">
        <v>305</v>
      </c>
      <c r="C33" s="443">
        <v>0.1007</v>
      </c>
      <c r="D33" s="443">
        <v>8.4900000000000003E-2</v>
      </c>
      <c r="E33" s="443">
        <v>0.1201</v>
      </c>
      <c r="F33" s="443">
        <v>0.27110000000000001</v>
      </c>
      <c r="G33" s="444">
        <v>1.1100000000000001</v>
      </c>
      <c r="H33" s="444">
        <v>1.33</v>
      </c>
      <c r="I33" s="443">
        <v>0.12189999999999999</v>
      </c>
      <c r="J33" s="443">
        <v>0.59809999999999997</v>
      </c>
      <c r="K33" s="443">
        <v>5.0999999999999997E-2</v>
      </c>
      <c r="L33" s="443">
        <v>0.2281</v>
      </c>
      <c r="M33" s="443">
        <v>0.1022</v>
      </c>
      <c r="N33" s="444">
        <v>1.61</v>
      </c>
      <c r="O33" s="444">
        <v>2.04</v>
      </c>
      <c r="P33" s="444">
        <v>11.68</v>
      </c>
      <c r="Q33" s="444">
        <v>23.57</v>
      </c>
      <c r="R33" s="444">
        <v>3.09</v>
      </c>
      <c r="S33" s="444">
        <v>39.25</v>
      </c>
      <c r="T33" s="443">
        <v>9.3700000000000006E-2</v>
      </c>
      <c r="U33" s="443">
        <v>6.4899999999999999E-2</v>
      </c>
      <c r="V33" s="443">
        <v>4.2999999999999997E-2</v>
      </c>
      <c r="W33" s="443">
        <v>1.0384</v>
      </c>
      <c r="X33" s="443">
        <v>2.98E-2</v>
      </c>
      <c r="Y33" s="443">
        <v>1.6523000000000001</v>
      </c>
      <c r="Z33" s="443">
        <v>1.6523000000000001</v>
      </c>
    </row>
    <row r="34" spans="1:26" s="264" customFormat="1" ht="12.75">
      <c r="A34" s="246" t="s">
        <v>579</v>
      </c>
      <c r="B34" s="144">
        <v>403</v>
      </c>
      <c r="C34" s="247">
        <v>8.8999999999999996E-2</v>
      </c>
      <c r="D34" s="247">
        <v>5.3499999999999999E-2</v>
      </c>
      <c r="E34" s="247">
        <v>5.8299999999999998E-2</v>
      </c>
      <c r="F34" s="247">
        <v>0.2671</v>
      </c>
      <c r="G34" s="248">
        <v>0.76</v>
      </c>
      <c r="H34" s="248">
        <v>1.01</v>
      </c>
      <c r="I34" s="247">
        <v>9.7900000000000001E-2</v>
      </c>
      <c r="J34" s="247">
        <v>0.44869999999999999</v>
      </c>
      <c r="K34" s="247">
        <v>4.5999999999999999E-2</v>
      </c>
      <c r="L34" s="247">
        <v>0.3165</v>
      </c>
      <c r="M34" s="247">
        <v>7.7100000000000002E-2</v>
      </c>
      <c r="N34" s="248">
        <v>1.22</v>
      </c>
      <c r="O34" s="248">
        <v>1.31</v>
      </c>
      <c r="P34" s="248">
        <v>12.24</v>
      </c>
      <c r="Q34" s="248">
        <v>18.940000000000001</v>
      </c>
      <c r="R34" s="248">
        <v>2.2000000000000002</v>
      </c>
      <c r="S34" s="248">
        <v>59.54</v>
      </c>
      <c r="T34" s="247">
        <v>0.2072</v>
      </c>
      <c r="U34" s="247">
        <v>4.19E-2</v>
      </c>
      <c r="V34" s="247">
        <v>5.2600000000000001E-2</v>
      </c>
      <c r="W34" s="247">
        <v>1.4863</v>
      </c>
      <c r="X34" s="247">
        <v>5.8500000000000003E-2</v>
      </c>
      <c r="Y34" s="247">
        <v>0.50980000000000003</v>
      </c>
      <c r="Z34" s="247">
        <v>0.50980000000000003</v>
      </c>
    </row>
    <row r="35" spans="1:26" s="264" customFormat="1" ht="12.75">
      <c r="A35" s="246" t="s">
        <v>580</v>
      </c>
      <c r="B35" s="144">
        <v>988</v>
      </c>
      <c r="C35" s="247">
        <v>0.16489999999999999</v>
      </c>
      <c r="D35" s="247">
        <v>7.7899999999999997E-2</v>
      </c>
      <c r="E35" s="247">
        <v>3.0000000000000001E-3</v>
      </c>
      <c r="F35" s="247">
        <v>0.27600000000000002</v>
      </c>
      <c r="G35" s="248">
        <v>0.1</v>
      </c>
      <c r="H35" s="248">
        <v>0.73</v>
      </c>
      <c r="I35" s="247">
        <v>7.6799999999999993E-2</v>
      </c>
      <c r="J35" s="247">
        <v>0.40410000000000001</v>
      </c>
      <c r="K35" s="247">
        <v>4.5999999999999999E-2</v>
      </c>
      <c r="L35" s="247">
        <v>0.89470000000000005</v>
      </c>
      <c r="M35" s="247">
        <v>3.6900000000000002E-2</v>
      </c>
      <c r="N35" s="248">
        <v>0.05</v>
      </c>
      <c r="O35" s="248">
        <v>21.42</v>
      </c>
      <c r="P35" s="248">
        <v>158.97999999999999</v>
      </c>
      <c r="Q35" s="248" t="s">
        <v>101</v>
      </c>
      <c r="R35" s="248">
        <v>1.35</v>
      </c>
      <c r="S35" s="248">
        <v>83.27</v>
      </c>
      <c r="T35" s="247" t="s">
        <v>101</v>
      </c>
      <c r="U35" s="247">
        <v>8.3099999999999993E-2</v>
      </c>
      <c r="V35" s="247">
        <v>0.12039999999999999</v>
      </c>
      <c r="W35" s="247">
        <v>2.3879999999999999</v>
      </c>
      <c r="X35" s="247">
        <v>0.10009999999999999</v>
      </c>
      <c r="Y35" s="247">
        <v>0.3725</v>
      </c>
      <c r="Z35" s="247">
        <v>0.3725</v>
      </c>
    </row>
    <row r="36" spans="1:26" s="264" customFormat="1" ht="12.75">
      <c r="A36" s="246" t="s">
        <v>581</v>
      </c>
      <c r="B36" s="144">
        <v>1228</v>
      </c>
      <c r="C36" s="247">
        <v>7.6200000000000004E-2</v>
      </c>
      <c r="D36" s="247">
        <v>8.3799999999999999E-2</v>
      </c>
      <c r="E36" s="247">
        <v>0.12280000000000001</v>
      </c>
      <c r="F36" s="247">
        <v>0.23219999999999999</v>
      </c>
      <c r="G36" s="248">
        <v>0.72</v>
      </c>
      <c r="H36" s="248">
        <v>0.82</v>
      </c>
      <c r="I36" s="247">
        <v>8.4000000000000005E-2</v>
      </c>
      <c r="J36" s="247">
        <v>0.40100000000000002</v>
      </c>
      <c r="K36" s="247">
        <v>4.5999999999999999E-2</v>
      </c>
      <c r="L36" s="247">
        <v>0.193</v>
      </c>
      <c r="M36" s="247">
        <v>7.3999999999999996E-2</v>
      </c>
      <c r="N36" s="248">
        <v>1.75</v>
      </c>
      <c r="O36" s="248">
        <v>1.64</v>
      </c>
      <c r="P36" s="248">
        <v>13.34</v>
      </c>
      <c r="Q36" s="248">
        <v>19.02</v>
      </c>
      <c r="R36" s="248">
        <v>2.66</v>
      </c>
      <c r="S36" s="248">
        <v>60.59</v>
      </c>
      <c r="T36" s="247">
        <v>0.1047</v>
      </c>
      <c r="U36" s="247">
        <v>4.5999999999999999E-2</v>
      </c>
      <c r="V36" s="247">
        <v>6.7699999999999996E-2</v>
      </c>
      <c r="W36" s="247">
        <v>1.1173</v>
      </c>
      <c r="X36" s="247">
        <v>0.1193</v>
      </c>
      <c r="Y36" s="247">
        <v>0.44640000000000002</v>
      </c>
      <c r="Z36" s="247">
        <v>0.44640000000000002</v>
      </c>
    </row>
    <row r="37" spans="1:26" s="264" customFormat="1" ht="12.75">
      <c r="A37" s="246" t="s">
        <v>582</v>
      </c>
      <c r="B37" s="144">
        <v>119</v>
      </c>
      <c r="C37" s="247">
        <v>7.4200000000000002E-2</v>
      </c>
      <c r="D37" s="247">
        <v>2.8500000000000001E-2</v>
      </c>
      <c r="E37" s="247">
        <v>0.13589999999999999</v>
      </c>
      <c r="F37" s="247">
        <v>0.26960000000000001</v>
      </c>
      <c r="G37" s="248">
        <v>0.49</v>
      </c>
      <c r="H37" s="248">
        <v>0.71</v>
      </c>
      <c r="I37" s="247">
        <v>7.5200000000000003E-2</v>
      </c>
      <c r="J37" s="247">
        <v>0.4138</v>
      </c>
      <c r="K37" s="247">
        <v>4.5999999999999999E-2</v>
      </c>
      <c r="L37" s="247">
        <v>0.41289999999999999</v>
      </c>
      <c r="M37" s="247">
        <v>5.7500000000000002E-2</v>
      </c>
      <c r="N37" s="248">
        <v>5.77</v>
      </c>
      <c r="O37" s="248">
        <v>0.38</v>
      </c>
      <c r="P37" s="248">
        <v>8.52</v>
      </c>
      <c r="Q37" s="248">
        <v>13.13</v>
      </c>
      <c r="R37" s="248">
        <v>1.42</v>
      </c>
      <c r="S37" s="248">
        <v>29.7</v>
      </c>
      <c r="T37" s="247">
        <v>3.8699999999999998E-2</v>
      </c>
      <c r="U37" s="247">
        <v>1.4999999999999999E-2</v>
      </c>
      <c r="V37" s="247">
        <v>1.7399999999999999E-2</v>
      </c>
      <c r="W37" s="247">
        <v>0.93569999999999998</v>
      </c>
      <c r="X37" s="247">
        <v>7.1499999999999994E-2</v>
      </c>
      <c r="Y37" s="247">
        <v>0.72389999999999999</v>
      </c>
      <c r="Z37" s="247">
        <v>0.72389999999999999</v>
      </c>
    </row>
    <row r="38" spans="1:26" s="264" customFormat="1" ht="12.75">
      <c r="A38" s="246" t="s">
        <v>583</v>
      </c>
      <c r="B38" s="144">
        <v>303</v>
      </c>
      <c r="C38" s="247">
        <v>5.8999999999999997E-2</v>
      </c>
      <c r="D38" s="247">
        <v>7.8600000000000003E-2</v>
      </c>
      <c r="E38" s="247">
        <v>0.1474</v>
      </c>
      <c r="F38" s="247">
        <v>0.1908</v>
      </c>
      <c r="G38" s="248">
        <v>1.03</v>
      </c>
      <c r="H38" s="248">
        <v>1.04</v>
      </c>
      <c r="I38" s="247">
        <v>9.9900000000000003E-2</v>
      </c>
      <c r="J38" s="247">
        <v>0.45679999999999998</v>
      </c>
      <c r="K38" s="247">
        <v>4.5999999999999999E-2</v>
      </c>
      <c r="L38" s="247">
        <v>0.14249999999999999</v>
      </c>
      <c r="M38" s="247">
        <v>9.0300000000000005E-2</v>
      </c>
      <c r="N38" s="248">
        <v>2.2799999999999998</v>
      </c>
      <c r="O38" s="248">
        <v>1.23</v>
      </c>
      <c r="P38" s="248">
        <v>11.28</v>
      </c>
      <c r="Q38" s="248">
        <v>15.52</v>
      </c>
      <c r="R38" s="248">
        <v>2.62</v>
      </c>
      <c r="S38" s="248">
        <v>52.16</v>
      </c>
      <c r="T38" s="247">
        <v>8.1699999999999995E-2</v>
      </c>
      <c r="U38" s="247">
        <v>3.32E-2</v>
      </c>
      <c r="V38" s="247">
        <v>4.99E-2</v>
      </c>
      <c r="W38" s="247">
        <v>0.59560000000000002</v>
      </c>
      <c r="X38" s="247">
        <v>0.15049999999999999</v>
      </c>
      <c r="Y38" s="247">
        <v>0.40110000000000001</v>
      </c>
      <c r="Z38" s="247">
        <v>0.40110000000000001</v>
      </c>
    </row>
    <row r="39" spans="1:26" s="264" customFormat="1" ht="12.75">
      <c r="A39" s="246" t="s">
        <v>584</v>
      </c>
      <c r="B39" s="144">
        <v>172</v>
      </c>
      <c r="C39" s="247">
        <v>0.20380000000000001</v>
      </c>
      <c r="D39" s="247">
        <v>0.34549999999999997</v>
      </c>
      <c r="E39" s="247">
        <v>6.6900000000000001E-2</v>
      </c>
      <c r="F39" s="247">
        <v>0.18290000000000001</v>
      </c>
      <c r="G39" s="248">
        <v>0.72</v>
      </c>
      <c r="H39" s="248">
        <v>1.17</v>
      </c>
      <c r="I39" s="247">
        <v>0.1096</v>
      </c>
      <c r="J39" s="247">
        <v>0.52300000000000002</v>
      </c>
      <c r="K39" s="247">
        <v>5.0999999999999997E-2</v>
      </c>
      <c r="L39" s="247">
        <v>0.42880000000000001</v>
      </c>
      <c r="M39" s="247">
        <v>7.7899999999999997E-2</v>
      </c>
      <c r="N39" s="248">
        <v>0.21</v>
      </c>
      <c r="O39" s="248">
        <v>6.95</v>
      </c>
      <c r="P39" s="248">
        <v>11.21</v>
      </c>
      <c r="Q39" s="248">
        <v>19.78</v>
      </c>
      <c r="R39" s="248">
        <v>1.46</v>
      </c>
      <c r="S39" s="248">
        <v>44.36</v>
      </c>
      <c r="T39" s="247">
        <v>7.4000000000000003E-3</v>
      </c>
      <c r="U39" s="247">
        <v>0.45939999999999998</v>
      </c>
      <c r="V39" s="247">
        <v>0.41589999999999999</v>
      </c>
      <c r="W39" s="247">
        <v>1.5355000000000001</v>
      </c>
      <c r="X39" s="247">
        <v>7.9399999999999998E-2</v>
      </c>
      <c r="Y39" s="247">
        <v>0.77270000000000005</v>
      </c>
      <c r="Z39" s="247">
        <v>0.77270000000000005</v>
      </c>
    </row>
    <row r="40" spans="1:26" s="264" customFormat="1" ht="12.75">
      <c r="A40" s="246" t="s">
        <v>585</v>
      </c>
      <c r="B40" s="144">
        <v>661</v>
      </c>
      <c r="C40" s="247">
        <v>9.9900000000000003E-2</v>
      </c>
      <c r="D40" s="247">
        <v>0.16470000000000001</v>
      </c>
      <c r="E40" s="247">
        <v>0.15870000000000001</v>
      </c>
      <c r="F40" s="247">
        <v>0.24990000000000001</v>
      </c>
      <c r="G40" s="248">
        <v>0.93</v>
      </c>
      <c r="H40" s="248">
        <v>1.02</v>
      </c>
      <c r="I40" s="247">
        <v>9.9000000000000005E-2</v>
      </c>
      <c r="J40" s="247">
        <v>0.5736</v>
      </c>
      <c r="K40" s="247">
        <v>5.0999999999999997E-2</v>
      </c>
      <c r="L40" s="247">
        <v>0.1517</v>
      </c>
      <c r="M40" s="247">
        <v>8.9399999999999993E-2</v>
      </c>
      <c r="N40" s="248">
        <v>1.06</v>
      </c>
      <c r="O40" s="248">
        <v>3.9</v>
      </c>
      <c r="P40" s="248">
        <v>15.43</v>
      </c>
      <c r="Q40" s="248">
        <v>23.17</v>
      </c>
      <c r="R40" s="248">
        <v>3.56</v>
      </c>
      <c r="S40" s="248">
        <v>111.33</v>
      </c>
      <c r="T40" s="247">
        <v>0.25919999999999999</v>
      </c>
      <c r="U40" s="247">
        <v>5.5899999999999998E-2</v>
      </c>
      <c r="V40" s="247">
        <v>0.2087</v>
      </c>
      <c r="W40" s="247">
        <v>1.8653999999999999</v>
      </c>
      <c r="X40" s="247">
        <v>9.6799999999999997E-2</v>
      </c>
      <c r="Y40" s="247">
        <v>0.48299999999999998</v>
      </c>
      <c r="Z40" s="247">
        <v>0.48299999999999998</v>
      </c>
    </row>
    <row r="41" spans="1:26" s="264" customFormat="1" ht="12.75">
      <c r="A41" s="246" t="s">
        <v>586</v>
      </c>
      <c r="B41" s="144">
        <v>335</v>
      </c>
      <c r="C41" s="247">
        <v>7.3200000000000001E-2</v>
      </c>
      <c r="D41" s="247">
        <v>4.8300000000000003E-2</v>
      </c>
      <c r="E41" s="247">
        <v>0.2994</v>
      </c>
      <c r="F41" s="247">
        <v>0.37859999999999999</v>
      </c>
      <c r="G41" s="248">
        <v>0.98</v>
      </c>
      <c r="H41" s="248">
        <v>1.1499999999999999</v>
      </c>
      <c r="I41" s="247">
        <v>0.108</v>
      </c>
      <c r="J41" s="247">
        <v>0.49480000000000002</v>
      </c>
      <c r="K41" s="247">
        <v>4.5999999999999999E-2</v>
      </c>
      <c r="L41" s="247">
        <v>0.23019999999999999</v>
      </c>
      <c r="M41" s="247">
        <v>9.06E-2</v>
      </c>
      <c r="N41" s="248">
        <v>7.56</v>
      </c>
      <c r="O41" s="248">
        <v>0.65</v>
      </c>
      <c r="P41" s="248">
        <v>10.25</v>
      </c>
      <c r="Q41" s="248">
        <v>13.03</v>
      </c>
      <c r="R41" s="248">
        <v>2.77</v>
      </c>
      <c r="S41" s="248">
        <v>47.77</v>
      </c>
      <c r="T41" s="247">
        <v>-2.3999999999999998E-3</v>
      </c>
      <c r="U41" s="247">
        <v>0.01</v>
      </c>
      <c r="V41" s="247">
        <v>3.1300000000000001E-2</v>
      </c>
      <c r="W41" s="247">
        <v>1.2114</v>
      </c>
      <c r="X41" s="247">
        <v>0.1246</v>
      </c>
      <c r="Y41" s="247">
        <v>0.26029999999999998</v>
      </c>
      <c r="Z41" s="247">
        <v>0.26029999999999998</v>
      </c>
    </row>
    <row r="42" spans="1:26" s="264" customFormat="1" ht="12.75">
      <c r="A42" s="246" t="s">
        <v>587</v>
      </c>
      <c r="B42" s="144">
        <v>298</v>
      </c>
      <c r="C42" s="247">
        <v>0.12820000000000001</v>
      </c>
      <c r="D42" s="247">
        <v>0.12529999999999999</v>
      </c>
      <c r="E42" s="247">
        <v>0.13170000000000001</v>
      </c>
      <c r="F42" s="247">
        <v>0.17749999999999999</v>
      </c>
      <c r="G42" s="248">
        <v>0.98</v>
      </c>
      <c r="H42" s="248">
        <v>1.0900000000000001</v>
      </c>
      <c r="I42" s="247">
        <v>0.1038</v>
      </c>
      <c r="J42" s="247">
        <v>0.60829999999999995</v>
      </c>
      <c r="K42" s="247">
        <v>5.0999999999999997E-2</v>
      </c>
      <c r="L42" s="247">
        <v>0.1406</v>
      </c>
      <c r="M42" s="247">
        <v>9.4299999999999995E-2</v>
      </c>
      <c r="N42" s="248">
        <v>1.1499999999999999</v>
      </c>
      <c r="O42" s="248">
        <v>3.95</v>
      </c>
      <c r="P42" s="248">
        <v>18.059999999999999</v>
      </c>
      <c r="Q42" s="248">
        <v>30.37</v>
      </c>
      <c r="R42" s="248">
        <v>4.4000000000000004</v>
      </c>
      <c r="S42" s="248">
        <v>65.61</v>
      </c>
      <c r="T42" s="247">
        <v>0.2336</v>
      </c>
      <c r="U42" s="247">
        <v>3.8199999999999998E-2</v>
      </c>
      <c r="V42" s="247">
        <v>7.7399999999999997E-2</v>
      </c>
      <c r="W42" s="247">
        <v>0.999</v>
      </c>
      <c r="X42" s="247">
        <v>0.1065</v>
      </c>
      <c r="Y42" s="247">
        <v>0.1613</v>
      </c>
      <c r="Z42" s="247">
        <v>0.1613</v>
      </c>
    </row>
    <row r="43" spans="1:26" s="264" customFormat="1" ht="12.75">
      <c r="A43" s="246" t="s">
        <v>588</v>
      </c>
      <c r="B43" s="144">
        <v>160</v>
      </c>
      <c r="C43" s="247">
        <v>8.2900000000000001E-2</v>
      </c>
      <c r="D43" s="247">
        <v>8.9399999999999993E-2</v>
      </c>
      <c r="E43" s="247">
        <v>8.1299999999999997E-2</v>
      </c>
      <c r="F43" s="247">
        <v>0.28699999999999998</v>
      </c>
      <c r="G43" s="248">
        <v>0.93</v>
      </c>
      <c r="H43" s="248">
        <v>1.1599999999999999</v>
      </c>
      <c r="I43" s="247">
        <v>0.1094</v>
      </c>
      <c r="J43" s="247">
        <v>0.39929999999999999</v>
      </c>
      <c r="K43" s="247">
        <v>4.5999999999999999E-2</v>
      </c>
      <c r="L43" s="247">
        <v>0.31469999999999998</v>
      </c>
      <c r="M43" s="247">
        <v>8.5099999999999995E-2</v>
      </c>
      <c r="N43" s="248">
        <v>1.1499999999999999</v>
      </c>
      <c r="O43" s="248">
        <v>1.24</v>
      </c>
      <c r="P43" s="248">
        <v>10.48</v>
      </c>
      <c r="Q43" s="248">
        <v>13.35</v>
      </c>
      <c r="R43" s="248">
        <v>1.58</v>
      </c>
      <c r="S43" s="248">
        <v>18.399999999999999</v>
      </c>
      <c r="T43" s="247">
        <v>0.58160000000000001</v>
      </c>
      <c r="U43" s="247">
        <v>8.0000000000000002E-3</v>
      </c>
      <c r="V43" s="247">
        <v>8.6E-3</v>
      </c>
      <c r="W43" s="247">
        <v>0.65659999999999996</v>
      </c>
      <c r="X43" s="247">
        <v>0.1235</v>
      </c>
      <c r="Y43" s="247">
        <v>0.20069999999999999</v>
      </c>
      <c r="Z43" s="247">
        <v>0.20069999999999999</v>
      </c>
    </row>
    <row r="44" spans="1:26" s="264" customFormat="1" ht="12.75">
      <c r="A44" s="246" t="s">
        <v>589</v>
      </c>
      <c r="B44" s="144">
        <v>211</v>
      </c>
      <c r="C44" s="247">
        <v>0.12130000000000001</v>
      </c>
      <c r="D44" s="247">
        <v>0.1172</v>
      </c>
      <c r="E44" s="247">
        <v>8.0299999999999996E-2</v>
      </c>
      <c r="F44" s="247">
        <v>0.2278</v>
      </c>
      <c r="G44" s="248">
        <v>0.42</v>
      </c>
      <c r="H44" s="248">
        <v>0.67</v>
      </c>
      <c r="I44" s="247">
        <v>7.2599999999999998E-2</v>
      </c>
      <c r="J44" s="247">
        <v>0.35730000000000001</v>
      </c>
      <c r="K44" s="247">
        <v>4.5999999999999999E-2</v>
      </c>
      <c r="L44" s="247">
        <v>0.42280000000000001</v>
      </c>
      <c r="M44" s="247">
        <v>5.5500000000000001E-2</v>
      </c>
      <c r="N44" s="248">
        <v>0.81</v>
      </c>
      <c r="O44" s="248">
        <v>2.63</v>
      </c>
      <c r="P44" s="248">
        <v>12.01</v>
      </c>
      <c r="Q44" s="248">
        <v>22.01</v>
      </c>
      <c r="R44" s="248">
        <v>2.48</v>
      </c>
      <c r="S44" s="248">
        <v>35.79</v>
      </c>
      <c r="T44" s="247">
        <v>0.14219999999999999</v>
      </c>
      <c r="U44" s="247">
        <v>5.6000000000000001E-2</v>
      </c>
      <c r="V44" s="247">
        <v>8.4099999999999994E-2</v>
      </c>
      <c r="W44" s="247">
        <v>1.3016000000000001</v>
      </c>
      <c r="X44" s="247">
        <v>0.1095</v>
      </c>
      <c r="Y44" s="247">
        <v>0.80920000000000003</v>
      </c>
      <c r="Z44" s="247">
        <v>0.80920000000000003</v>
      </c>
    </row>
    <row r="45" spans="1:26" s="264" customFormat="1" ht="12.75">
      <c r="A45" s="246" t="s">
        <v>590</v>
      </c>
      <c r="B45" s="144">
        <v>651</v>
      </c>
      <c r="C45" s="247">
        <v>0.10780000000000001</v>
      </c>
      <c r="D45" s="247">
        <v>0.1258</v>
      </c>
      <c r="E45" s="247">
        <v>8.5099999999999995E-2</v>
      </c>
      <c r="F45" s="247">
        <v>0.15989999999999999</v>
      </c>
      <c r="G45" s="248">
        <v>0.73</v>
      </c>
      <c r="H45" s="248">
        <v>0.93</v>
      </c>
      <c r="I45" s="247">
        <v>9.1600000000000001E-2</v>
      </c>
      <c r="J45" s="247">
        <v>0.45300000000000001</v>
      </c>
      <c r="K45" s="247">
        <v>4.5999999999999999E-2</v>
      </c>
      <c r="L45" s="247">
        <v>0.30180000000000001</v>
      </c>
      <c r="M45" s="247">
        <v>7.3700000000000002E-2</v>
      </c>
      <c r="N45" s="248">
        <v>0.78</v>
      </c>
      <c r="O45" s="248">
        <v>2.56</v>
      </c>
      <c r="P45" s="248">
        <v>11.66</v>
      </c>
      <c r="Q45" s="248">
        <v>20.04</v>
      </c>
      <c r="R45" s="248">
        <v>2.13</v>
      </c>
      <c r="S45" s="248">
        <v>67.650000000000006</v>
      </c>
      <c r="T45" s="247">
        <v>-1.7000000000000001E-2</v>
      </c>
      <c r="U45" s="247">
        <v>8.14E-2</v>
      </c>
      <c r="V45" s="247">
        <v>7.6999999999999999E-2</v>
      </c>
      <c r="W45" s="247">
        <v>0.79279999999999995</v>
      </c>
      <c r="X45" s="247">
        <v>0.1137</v>
      </c>
      <c r="Y45" s="247">
        <v>0.443</v>
      </c>
      <c r="Z45" s="247">
        <v>0.443</v>
      </c>
    </row>
    <row r="46" spans="1:26" s="264" customFormat="1" ht="12.75">
      <c r="A46" s="246" t="s">
        <v>591</v>
      </c>
      <c r="B46" s="144">
        <v>481</v>
      </c>
      <c r="C46" s="247">
        <v>0.10829999999999999</v>
      </c>
      <c r="D46" s="247">
        <v>0.1545</v>
      </c>
      <c r="E46" s="247">
        <v>0.23219999999999999</v>
      </c>
      <c r="F46" s="247">
        <v>0.29759999999999998</v>
      </c>
      <c r="G46" s="248">
        <v>0.96</v>
      </c>
      <c r="H46" s="248">
        <v>1.04</v>
      </c>
      <c r="I46" s="247">
        <v>0.1</v>
      </c>
      <c r="J46" s="247">
        <v>0.49859999999999999</v>
      </c>
      <c r="K46" s="247">
        <v>4.5999999999999999E-2</v>
      </c>
      <c r="L46" s="247">
        <v>0.12089999999999999</v>
      </c>
      <c r="M46" s="247">
        <v>9.1800000000000007E-2</v>
      </c>
      <c r="N46" s="248">
        <v>1.77</v>
      </c>
      <c r="O46" s="248">
        <v>2.82</v>
      </c>
      <c r="P46" s="248">
        <v>14.36</v>
      </c>
      <c r="Q46" s="248">
        <v>17.989999999999998</v>
      </c>
      <c r="R46" s="248">
        <v>5.09</v>
      </c>
      <c r="S46" s="248">
        <v>64.34</v>
      </c>
      <c r="T46" s="247">
        <v>9.0300000000000005E-2</v>
      </c>
      <c r="U46" s="247">
        <v>3.9199999999999999E-2</v>
      </c>
      <c r="V46" s="247">
        <v>5.0799999999999998E-2</v>
      </c>
      <c r="W46" s="247">
        <v>0.46600000000000003</v>
      </c>
      <c r="X46" s="247">
        <v>0.17180000000000001</v>
      </c>
      <c r="Y46" s="247">
        <v>0.58299999999999996</v>
      </c>
      <c r="Z46" s="247">
        <v>0.58299999999999996</v>
      </c>
    </row>
    <row r="47" spans="1:26" s="264" customFormat="1" ht="12.75">
      <c r="A47" s="246" t="s">
        <v>592</v>
      </c>
      <c r="B47" s="144">
        <v>186</v>
      </c>
      <c r="C47" s="247">
        <v>8.8900000000000007E-2</v>
      </c>
      <c r="D47" s="247">
        <v>0.21990000000000001</v>
      </c>
      <c r="E47" s="247">
        <v>0.34599999999999997</v>
      </c>
      <c r="F47" s="247">
        <v>0.28060000000000002</v>
      </c>
      <c r="G47" s="248">
        <v>1.04</v>
      </c>
      <c r="H47" s="248">
        <v>1.1299999999999999</v>
      </c>
      <c r="I47" s="247">
        <v>0.1069</v>
      </c>
      <c r="J47" s="247">
        <v>0.48170000000000002</v>
      </c>
      <c r="K47" s="247">
        <v>4.5999999999999999E-2</v>
      </c>
      <c r="L47" s="247">
        <v>0.13919999999999999</v>
      </c>
      <c r="M47" s="247">
        <v>9.6500000000000002E-2</v>
      </c>
      <c r="N47" s="248">
        <v>1.89</v>
      </c>
      <c r="O47" s="248">
        <v>4.42</v>
      </c>
      <c r="P47" s="248">
        <v>15.56</v>
      </c>
      <c r="Q47" s="248">
        <v>20.079999999999998</v>
      </c>
      <c r="R47" s="248">
        <v>5.58</v>
      </c>
      <c r="S47" s="248">
        <v>75.56</v>
      </c>
      <c r="T47" s="247">
        <v>3.0300000000000001E-2</v>
      </c>
      <c r="U47" s="247">
        <v>4.7100000000000003E-2</v>
      </c>
      <c r="V47" s="247">
        <v>7.7600000000000002E-2</v>
      </c>
      <c r="W47" s="247">
        <v>0.51160000000000005</v>
      </c>
      <c r="X47" s="247">
        <v>0.22439999999999999</v>
      </c>
      <c r="Y47" s="247">
        <v>0.25119999999999998</v>
      </c>
      <c r="Z47" s="247">
        <v>0.25119999999999998</v>
      </c>
    </row>
    <row r="48" spans="1:26" s="264" customFormat="1" ht="12.75">
      <c r="A48" s="246" t="s">
        <v>593</v>
      </c>
      <c r="B48" s="144">
        <v>212</v>
      </c>
      <c r="C48" s="247">
        <v>0.11219999999999999</v>
      </c>
      <c r="D48" s="247">
        <v>8.5199999999999998E-2</v>
      </c>
      <c r="E48" s="247">
        <v>0.1024</v>
      </c>
      <c r="F48" s="247">
        <v>0.25009999999999999</v>
      </c>
      <c r="G48" s="248">
        <v>0.71</v>
      </c>
      <c r="H48" s="248">
        <v>0.79</v>
      </c>
      <c r="I48" s="247">
        <v>8.1299999999999997E-2</v>
      </c>
      <c r="J48" s="247">
        <v>0.3281</v>
      </c>
      <c r="K48" s="247">
        <v>4.5999999999999999E-2</v>
      </c>
      <c r="L48" s="247">
        <v>0.28560000000000002</v>
      </c>
      <c r="M48" s="247">
        <v>6.7299999999999999E-2</v>
      </c>
      <c r="N48" s="248">
        <v>1.43</v>
      </c>
      <c r="O48" s="248">
        <v>0.86</v>
      </c>
      <c r="P48" s="248">
        <v>8.16</v>
      </c>
      <c r="Q48" s="248">
        <v>9.91</v>
      </c>
      <c r="R48" s="248">
        <v>1.0900000000000001</v>
      </c>
      <c r="S48" s="248">
        <v>19.600000000000001</v>
      </c>
      <c r="T48" s="247">
        <v>0.1459</v>
      </c>
      <c r="U48" s="247">
        <v>1.0999999999999999E-2</v>
      </c>
      <c r="V48" s="247">
        <v>2.0999999999999999E-3</v>
      </c>
      <c r="W48" s="247">
        <v>2.6599999999999999E-2</v>
      </c>
      <c r="X48" s="247">
        <v>7.8200000000000006E-2</v>
      </c>
      <c r="Y48" s="247">
        <v>0.4602</v>
      </c>
      <c r="Z48" s="247">
        <v>0.4602</v>
      </c>
    </row>
    <row r="49" spans="1:26" s="264" customFormat="1" ht="12.75">
      <c r="A49" s="246" t="s">
        <v>594</v>
      </c>
      <c r="B49" s="144">
        <v>122</v>
      </c>
      <c r="C49" s="247">
        <v>7.8299999999999995E-2</v>
      </c>
      <c r="D49" s="247">
        <v>9.5299999999999996E-2</v>
      </c>
      <c r="E49" s="247">
        <v>0.1202</v>
      </c>
      <c r="F49" s="247">
        <v>0.26569999999999999</v>
      </c>
      <c r="G49" s="248">
        <v>1.3</v>
      </c>
      <c r="H49" s="248">
        <v>1.0900000000000001</v>
      </c>
      <c r="I49" s="247">
        <v>0.10390000000000001</v>
      </c>
      <c r="J49" s="247">
        <v>0.31950000000000001</v>
      </c>
      <c r="K49" s="247">
        <v>4.5999999999999999E-2</v>
      </c>
      <c r="L49" s="247">
        <v>0.38129999999999997</v>
      </c>
      <c r="M49" s="247">
        <v>7.6499999999999999E-2</v>
      </c>
      <c r="N49" s="248">
        <v>1.54</v>
      </c>
      <c r="O49" s="248">
        <v>0.67</v>
      </c>
      <c r="P49" s="248">
        <v>6.13</v>
      </c>
      <c r="Q49" s="248">
        <v>6.75</v>
      </c>
      <c r="R49" s="248">
        <v>1.1299999999999999</v>
      </c>
      <c r="S49" s="248">
        <v>16.09</v>
      </c>
      <c r="T49" s="247">
        <v>-1.4886999999999999</v>
      </c>
      <c r="U49" s="247">
        <v>5.5999999999999999E-3</v>
      </c>
      <c r="V49" s="247">
        <v>7.9000000000000008E-3</v>
      </c>
      <c r="W49" s="247">
        <v>0.1305</v>
      </c>
      <c r="X49" s="247">
        <v>0.1164</v>
      </c>
      <c r="Y49" s="247">
        <v>0.31309999999999999</v>
      </c>
      <c r="Z49" s="247">
        <v>0.31309999999999999</v>
      </c>
    </row>
    <row r="50" spans="1:26" s="264" customFormat="1" ht="12.75">
      <c r="A50" s="246" t="s">
        <v>595</v>
      </c>
      <c r="B50" s="144">
        <v>219</v>
      </c>
      <c r="C50" s="247">
        <v>8.5099999999999995E-2</v>
      </c>
      <c r="D50" s="247">
        <v>0.1109</v>
      </c>
      <c r="E50" s="247">
        <v>0.1148</v>
      </c>
      <c r="F50" s="247">
        <v>0.24310000000000001</v>
      </c>
      <c r="G50" s="248">
        <v>0.56999999999999995</v>
      </c>
      <c r="H50" s="248">
        <v>0.63</v>
      </c>
      <c r="I50" s="247">
        <v>6.9900000000000004E-2</v>
      </c>
      <c r="J50" s="247">
        <v>0.32240000000000002</v>
      </c>
      <c r="K50" s="247">
        <v>4.5999999999999999E-2</v>
      </c>
      <c r="L50" s="247">
        <v>0.22900000000000001</v>
      </c>
      <c r="M50" s="247">
        <v>6.13E-2</v>
      </c>
      <c r="N50" s="248">
        <v>1.26</v>
      </c>
      <c r="O50" s="248">
        <v>1.06</v>
      </c>
      <c r="P50" s="248">
        <v>8.61</v>
      </c>
      <c r="Q50" s="248">
        <v>9.51</v>
      </c>
      <c r="R50" s="248">
        <v>1.26</v>
      </c>
      <c r="S50" s="248">
        <v>17.09</v>
      </c>
      <c r="T50" s="247">
        <v>-0.26529999999999998</v>
      </c>
      <c r="U50" s="247">
        <v>6.7999999999999996E-3</v>
      </c>
      <c r="V50" s="247">
        <v>1.17E-2</v>
      </c>
      <c r="W50" s="247">
        <v>0.1178</v>
      </c>
      <c r="X50" s="247">
        <v>0.1106</v>
      </c>
      <c r="Y50" s="247">
        <v>0.27979999999999999</v>
      </c>
      <c r="Z50" s="247">
        <v>0.27979999999999999</v>
      </c>
    </row>
    <row r="51" spans="1:26" s="264" customFormat="1" ht="12.75">
      <c r="A51" s="246" t="s">
        <v>596</v>
      </c>
      <c r="B51" s="144">
        <v>927</v>
      </c>
      <c r="C51" s="247">
        <v>0.1018</v>
      </c>
      <c r="D51" s="247">
        <v>0.24310000000000001</v>
      </c>
      <c r="E51" s="247">
        <v>7.6799999999999993E-2</v>
      </c>
      <c r="F51" s="247">
        <v>0.17799999999999999</v>
      </c>
      <c r="G51" s="248">
        <v>0.62</v>
      </c>
      <c r="H51" s="248">
        <v>0.9</v>
      </c>
      <c r="I51" s="247">
        <v>8.9499999999999996E-2</v>
      </c>
      <c r="J51" s="247">
        <v>0.44619999999999999</v>
      </c>
      <c r="K51" s="247">
        <v>4.5999999999999999E-2</v>
      </c>
      <c r="L51" s="247">
        <v>0.42849999999999999</v>
      </c>
      <c r="M51" s="247">
        <v>6.4899999999999999E-2</v>
      </c>
      <c r="N51" s="248">
        <v>0.34</v>
      </c>
      <c r="O51" s="248">
        <v>4.6399999999999997</v>
      </c>
      <c r="P51" s="248">
        <v>16.66</v>
      </c>
      <c r="Q51" s="248">
        <v>16.95</v>
      </c>
      <c r="R51" s="248">
        <v>1.24</v>
      </c>
      <c r="S51" s="248">
        <v>240.44</v>
      </c>
      <c r="T51" s="247" t="s">
        <v>101</v>
      </c>
      <c r="U51" s="247">
        <v>2.2100000000000002E-2</v>
      </c>
      <c r="V51" s="247">
        <v>-3.5000000000000001E-3</v>
      </c>
      <c r="W51" s="247">
        <v>-2.3400000000000001E-2</v>
      </c>
      <c r="X51" s="247">
        <v>0.1237</v>
      </c>
      <c r="Y51" s="247">
        <v>0.4783</v>
      </c>
      <c r="Z51" s="247">
        <v>0.4783</v>
      </c>
    </row>
    <row r="52" spans="1:26" s="264" customFormat="1" ht="12.75">
      <c r="A52" s="246" t="s">
        <v>597</v>
      </c>
      <c r="B52" s="144">
        <v>1245</v>
      </c>
      <c r="C52" s="247">
        <v>6.3399999999999998E-2</v>
      </c>
      <c r="D52" s="247">
        <v>9.6699999999999994E-2</v>
      </c>
      <c r="E52" s="247">
        <v>0.1186</v>
      </c>
      <c r="F52" s="247">
        <v>0.28029999999999999</v>
      </c>
      <c r="G52" s="248">
        <v>1.1399999999999999</v>
      </c>
      <c r="H52" s="248">
        <v>1.21</v>
      </c>
      <c r="I52" s="247">
        <v>0.1132</v>
      </c>
      <c r="J52" s="247">
        <v>0.46429999999999999</v>
      </c>
      <c r="K52" s="247">
        <v>4.5999999999999999E-2</v>
      </c>
      <c r="L52" s="247">
        <v>0.16819999999999999</v>
      </c>
      <c r="M52" s="247">
        <v>9.9500000000000005E-2</v>
      </c>
      <c r="N52" s="248">
        <v>1.51</v>
      </c>
      <c r="O52" s="248">
        <v>1.63</v>
      </c>
      <c r="P52" s="248">
        <v>11.6</v>
      </c>
      <c r="Q52" s="248">
        <v>16.34</v>
      </c>
      <c r="R52" s="248">
        <v>2.58</v>
      </c>
      <c r="S52" s="248">
        <v>78.91</v>
      </c>
      <c r="T52" s="247">
        <v>0.2467</v>
      </c>
      <c r="U52" s="247">
        <v>3.95E-2</v>
      </c>
      <c r="V52" s="247">
        <v>5.3100000000000001E-2</v>
      </c>
      <c r="W52" s="247">
        <v>0.96719999999999995</v>
      </c>
      <c r="X52" s="247">
        <v>9.64E-2</v>
      </c>
      <c r="Y52" s="247">
        <v>0.45629999999999998</v>
      </c>
      <c r="Z52" s="247">
        <v>0.45629999999999998</v>
      </c>
    </row>
    <row r="53" spans="1:26" s="264" customFormat="1" ht="12.75">
      <c r="A53" s="246" t="s">
        <v>598</v>
      </c>
      <c r="B53" s="144">
        <v>1518</v>
      </c>
      <c r="C53" s="247">
        <v>8.4099999999999994E-2</v>
      </c>
      <c r="D53" s="247">
        <v>9.1899999999999996E-2</v>
      </c>
      <c r="E53" s="247">
        <v>7.3599999999999999E-2</v>
      </c>
      <c r="F53" s="247">
        <v>0.38769999999999999</v>
      </c>
      <c r="G53" s="248">
        <v>0.98</v>
      </c>
      <c r="H53" s="248">
        <v>1.48</v>
      </c>
      <c r="I53" s="247">
        <v>0.1331</v>
      </c>
      <c r="J53" s="247">
        <v>0.7944</v>
      </c>
      <c r="K53" s="247">
        <v>5.6000000000000001E-2</v>
      </c>
      <c r="L53" s="247">
        <v>0.40360000000000001</v>
      </c>
      <c r="M53" s="247">
        <v>9.5200000000000007E-2</v>
      </c>
      <c r="N53" s="248">
        <v>0.83</v>
      </c>
      <c r="O53" s="248">
        <v>1.22</v>
      </c>
      <c r="P53" s="248">
        <v>6.4</v>
      </c>
      <c r="Q53" s="248">
        <v>12.61</v>
      </c>
      <c r="R53" s="248">
        <v>0.99</v>
      </c>
      <c r="S53" s="248">
        <v>73.739999999999995</v>
      </c>
      <c r="T53" s="247">
        <v>8.5500000000000007E-2</v>
      </c>
      <c r="U53" s="247">
        <v>0.1208</v>
      </c>
      <c r="V53" s="247">
        <v>0.1096</v>
      </c>
      <c r="W53" s="247">
        <v>1.6449</v>
      </c>
      <c r="X53" s="247">
        <v>-1.9599999999999999E-2</v>
      </c>
      <c r="Y53" s="247">
        <v>7.6E-3</v>
      </c>
      <c r="Z53" s="247">
        <v>7.6E-3</v>
      </c>
    </row>
    <row r="54" spans="1:26" s="264" customFormat="1" ht="12.75">
      <c r="A54" s="246" t="s">
        <v>599</v>
      </c>
      <c r="B54" s="144">
        <v>151</v>
      </c>
      <c r="C54" s="247">
        <v>3.9199999999999999E-2</v>
      </c>
      <c r="D54" s="247">
        <v>9.7699999999999995E-2</v>
      </c>
      <c r="E54" s="247">
        <v>0.158</v>
      </c>
      <c r="F54" s="247">
        <v>0.32469999999999999</v>
      </c>
      <c r="G54" s="248">
        <v>0.88</v>
      </c>
      <c r="H54" s="248">
        <v>1.02</v>
      </c>
      <c r="I54" s="247">
        <v>9.8500000000000004E-2</v>
      </c>
      <c r="J54" s="247">
        <v>0.46529999999999999</v>
      </c>
      <c r="K54" s="247">
        <v>4.5999999999999999E-2</v>
      </c>
      <c r="L54" s="247">
        <v>0.246</v>
      </c>
      <c r="M54" s="247">
        <v>8.2199999999999995E-2</v>
      </c>
      <c r="N54" s="248">
        <v>2.0099999999999998</v>
      </c>
      <c r="O54" s="248">
        <v>1.27</v>
      </c>
      <c r="P54" s="248">
        <v>8.92</v>
      </c>
      <c r="Q54" s="248">
        <v>12.81</v>
      </c>
      <c r="R54" s="248">
        <v>2.81</v>
      </c>
      <c r="S54" s="248">
        <v>38.520000000000003</v>
      </c>
      <c r="T54" s="247">
        <v>0.1313</v>
      </c>
      <c r="U54" s="247">
        <v>3.3799999999999997E-2</v>
      </c>
      <c r="V54" s="247">
        <v>4.5999999999999999E-2</v>
      </c>
      <c r="W54" s="247">
        <v>0.78990000000000005</v>
      </c>
      <c r="X54" s="247">
        <v>0.1389</v>
      </c>
      <c r="Y54" s="247">
        <v>0.34200000000000003</v>
      </c>
      <c r="Z54" s="247">
        <v>0.34200000000000003</v>
      </c>
    </row>
    <row r="55" spans="1:26" s="264" customFormat="1" ht="12.75">
      <c r="A55" s="246" t="s">
        <v>600</v>
      </c>
      <c r="B55" s="144">
        <v>49</v>
      </c>
      <c r="C55" s="247">
        <v>3.1600000000000003E-2</v>
      </c>
      <c r="D55" s="247">
        <v>3.5400000000000001E-2</v>
      </c>
      <c r="E55" s="247">
        <v>2.7300000000000001E-2</v>
      </c>
      <c r="F55" s="247">
        <v>0.3997</v>
      </c>
      <c r="G55" s="248">
        <v>1.35</v>
      </c>
      <c r="H55" s="248">
        <v>1.7</v>
      </c>
      <c r="I55" s="247">
        <v>0.1497</v>
      </c>
      <c r="J55" s="247">
        <v>0.37730000000000002</v>
      </c>
      <c r="K55" s="247">
        <v>4.5999999999999999E-2</v>
      </c>
      <c r="L55" s="247">
        <v>0.3286</v>
      </c>
      <c r="M55" s="247">
        <v>0.1111</v>
      </c>
      <c r="N55" s="248">
        <v>0.99</v>
      </c>
      <c r="O55" s="248">
        <v>0.9</v>
      </c>
      <c r="P55" s="248">
        <v>6.4</v>
      </c>
      <c r="Q55" s="248">
        <v>25.39</v>
      </c>
      <c r="R55" s="248">
        <v>0.93</v>
      </c>
      <c r="S55" s="248">
        <v>45.04</v>
      </c>
      <c r="T55" s="247">
        <v>2.63E-2</v>
      </c>
      <c r="U55" s="247">
        <v>0.13189999999999999</v>
      </c>
      <c r="V55" s="247">
        <v>4.9399999999999999E-2</v>
      </c>
      <c r="W55" s="247">
        <v>1.7597</v>
      </c>
      <c r="X55" s="247">
        <v>2.35E-2</v>
      </c>
      <c r="Y55" s="247">
        <v>1.5928</v>
      </c>
      <c r="Z55" s="247">
        <v>1.5928</v>
      </c>
    </row>
    <row r="56" spans="1:26" s="264" customFormat="1" ht="12.75">
      <c r="A56" s="246" t="s">
        <v>601</v>
      </c>
      <c r="B56" s="144">
        <v>1029</v>
      </c>
      <c r="C56" s="247">
        <v>0.1431</v>
      </c>
      <c r="D56" s="247">
        <v>9.7000000000000003E-3</v>
      </c>
      <c r="E56" s="247">
        <v>3.3E-3</v>
      </c>
      <c r="F56" s="247">
        <v>0.31879999999999997</v>
      </c>
      <c r="G56" s="248">
        <v>1.1299999999999999</v>
      </c>
      <c r="H56" s="248">
        <v>1.87</v>
      </c>
      <c r="I56" s="247">
        <v>0.16170000000000001</v>
      </c>
      <c r="J56" s="247">
        <v>0.77829999999999999</v>
      </c>
      <c r="K56" s="247">
        <v>5.6000000000000001E-2</v>
      </c>
      <c r="L56" s="247">
        <v>0.43980000000000002</v>
      </c>
      <c r="M56" s="247">
        <v>0.10780000000000001</v>
      </c>
      <c r="N56" s="248">
        <v>0.36</v>
      </c>
      <c r="O56" s="248">
        <v>2.59</v>
      </c>
      <c r="P56" s="248">
        <v>5</v>
      </c>
      <c r="Q56" s="248" t="s">
        <v>101</v>
      </c>
      <c r="R56" s="248">
        <v>0.95</v>
      </c>
      <c r="S56" s="248">
        <v>84.56</v>
      </c>
      <c r="T56" s="247">
        <v>3.6700000000000003E-2</v>
      </c>
      <c r="U56" s="247">
        <v>0.53059999999999996</v>
      </c>
      <c r="V56" s="247">
        <v>0.12379999999999999</v>
      </c>
      <c r="W56" s="247" t="s">
        <v>101</v>
      </c>
      <c r="X56" s="247">
        <v>-0.1603</v>
      </c>
      <c r="Y56" s="247">
        <v>3.4099999999999998E-2</v>
      </c>
      <c r="Z56" s="247">
        <v>3.4099999999999998E-2</v>
      </c>
    </row>
    <row r="57" spans="1:26" s="264" customFormat="1" ht="12.75">
      <c r="A57" s="246" t="s">
        <v>602</v>
      </c>
      <c r="B57" s="144">
        <v>207</v>
      </c>
      <c r="C57" s="247">
        <v>0.1181</v>
      </c>
      <c r="D57" s="247">
        <v>0.1061</v>
      </c>
      <c r="E57" s="247">
        <v>7.7499999999999999E-2</v>
      </c>
      <c r="F57" s="247">
        <v>0.11890000000000001</v>
      </c>
      <c r="G57" s="248">
        <v>0.85</v>
      </c>
      <c r="H57" s="248">
        <v>1.55</v>
      </c>
      <c r="I57" s="247">
        <v>0.13830000000000001</v>
      </c>
      <c r="J57" s="247">
        <v>0.47539999999999999</v>
      </c>
      <c r="K57" s="247">
        <v>4.5999999999999999E-2</v>
      </c>
      <c r="L57" s="247">
        <v>0.4879</v>
      </c>
      <c r="M57" s="247">
        <v>8.6499999999999994E-2</v>
      </c>
      <c r="N57" s="248">
        <v>0.81</v>
      </c>
      <c r="O57" s="248">
        <v>2.1800000000000002</v>
      </c>
      <c r="P57" s="248">
        <v>11.75</v>
      </c>
      <c r="Q57" s="248">
        <v>19.309999999999999</v>
      </c>
      <c r="R57" s="248">
        <v>1.24</v>
      </c>
      <c r="S57" s="248">
        <v>30.33</v>
      </c>
      <c r="T57" s="247">
        <v>2.7099999999999999E-2</v>
      </c>
      <c r="U57" s="247">
        <v>0.21479999999999999</v>
      </c>
      <c r="V57" s="247">
        <v>0.22770000000000001</v>
      </c>
      <c r="W57" s="247">
        <v>2.4312</v>
      </c>
      <c r="X57" s="247">
        <v>7.5300000000000006E-2</v>
      </c>
      <c r="Y57" s="247">
        <v>1.7937000000000001</v>
      </c>
      <c r="Z57" s="247">
        <v>1.7937000000000001</v>
      </c>
    </row>
    <row r="58" spans="1:26" s="264" customFormat="1" ht="12.75">
      <c r="A58" s="246" t="s">
        <v>603</v>
      </c>
      <c r="B58" s="144">
        <v>548</v>
      </c>
      <c r="C58" s="247">
        <v>8.14E-2</v>
      </c>
      <c r="D58" s="247">
        <v>4.7399999999999998E-2</v>
      </c>
      <c r="E58" s="247">
        <v>8.4699999999999998E-2</v>
      </c>
      <c r="F58" s="247">
        <v>0.2848</v>
      </c>
      <c r="G58" s="248">
        <v>1.25</v>
      </c>
      <c r="H58" s="248">
        <v>1.67</v>
      </c>
      <c r="I58" s="247">
        <v>0.14699999999999999</v>
      </c>
      <c r="J58" s="247">
        <v>0.56469999999999998</v>
      </c>
      <c r="K58" s="247">
        <v>5.0999999999999997E-2</v>
      </c>
      <c r="L58" s="247">
        <v>0.33700000000000002</v>
      </c>
      <c r="M58" s="247">
        <v>0.1095</v>
      </c>
      <c r="N58" s="248">
        <v>2.0299999999999998</v>
      </c>
      <c r="O58" s="248">
        <v>0.68</v>
      </c>
      <c r="P58" s="248">
        <v>7.57</v>
      </c>
      <c r="Q58" s="248">
        <v>13.76</v>
      </c>
      <c r="R58" s="248">
        <v>1.48</v>
      </c>
      <c r="S58" s="248">
        <v>42.85</v>
      </c>
      <c r="T58" s="247">
        <v>8.2699999999999996E-2</v>
      </c>
      <c r="U58" s="247">
        <v>4.48E-2</v>
      </c>
      <c r="V58" s="247">
        <v>3.5400000000000001E-2</v>
      </c>
      <c r="W58" s="247">
        <v>0.38529999999999998</v>
      </c>
      <c r="X58" s="247">
        <v>3.39E-2</v>
      </c>
      <c r="Y58" s="247">
        <v>1.0369999999999999</v>
      </c>
      <c r="Z58" s="247">
        <v>1.0369999999999999</v>
      </c>
    </row>
    <row r="59" spans="1:26" s="264" customFormat="1" ht="12.75">
      <c r="A59" s="246" t="s">
        <v>604</v>
      </c>
      <c r="B59" s="144">
        <v>403</v>
      </c>
      <c r="C59" s="247">
        <v>6.0699999999999997E-2</v>
      </c>
      <c r="D59" s="247">
        <v>8.7400000000000005E-2</v>
      </c>
      <c r="E59" s="247">
        <v>0.1123</v>
      </c>
      <c r="F59" s="247">
        <v>0.27689999999999998</v>
      </c>
      <c r="G59" s="248">
        <v>0.61</v>
      </c>
      <c r="H59" s="248">
        <v>0.78</v>
      </c>
      <c r="I59" s="247">
        <v>8.0799999999999997E-2</v>
      </c>
      <c r="J59" s="247">
        <v>0.39689999999999998</v>
      </c>
      <c r="K59" s="247">
        <v>4.5999999999999999E-2</v>
      </c>
      <c r="L59" s="247">
        <v>0.2923</v>
      </c>
      <c r="M59" s="247">
        <v>6.6600000000000006E-2</v>
      </c>
      <c r="N59" s="248">
        <v>1.59</v>
      </c>
      <c r="O59" s="248">
        <v>1.43</v>
      </c>
      <c r="P59" s="248">
        <v>10</v>
      </c>
      <c r="Q59" s="248">
        <v>15.96</v>
      </c>
      <c r="R59" s="248">
        <v>2.52</v>
      </c>
      <c r="S59" s="248">
        <v>33.94</v>
      </c>
      <c r="T59" s="247">
        <v>0.1411</v>
      </c>
      <c r="U59" s="247">
        <v>5.28E-2</v>
      </c>
      <c r="V59" s="247">
        <v>7.6300000000000007E-2</v>
      </c>
      <c r="W59" s="247">
        <v>1.1878</v>
      </c>
      <c r="X59" s="247">
        <v>0.12130000000000001</v>
      </c>
      <c r="Y59" s="247">
        <v>0.46229999999999999</v>
      </c>
      <c r="Z59" s="247">
        <v>0.46229999999999999</v>
      </c>
    </row>
    <row r="60" spans="1:26" s="264" customFormat="1" ht="12.75">
      <c r="A60" s="246" t="s">
        <v>605</v>
      </c>
      <c r="B60" s="144">
        <v>293</v>
      </c>
      <c r="C60" s="247">
        <v>3.1800000000000002E-2</v>
      </c>
      <c r="D60" s="247">
        <v>7.0699999999999999E-2</v>
      </c>
      <c r="E60" s="247">
        <v>5.6899999999999999E-2</v>
      </c>
      <c r="F60" s="247">
        <v>0.24890000000000001</v>
      </c>
      <c r="G60" s="248">
        <v>0.71</v>
      </c>
      <c r="H60" s="248">
        <v>1.08</v>
      </c>
      <c r="I60" s="247">
        <v>0.1033</v>
      </c>
      <c r="J60" s="247">
        <v>0.45910000000000001</v>
      </c>
      <c r="K60" s="247">
        <v>4.5999999999999999E-2</v>
      </c>
      <c r="L60" s="247">
        <v>0.41539999999999999</v>
      </c>
      <c r="M60" s="247">
        <v>7.3800000000000004E-2</v>
      </c>
      <c r="N60" s="248">
        <v>0.93</v>
      </c>
      <c r="O60" s="248">
        <v>1.32</v>
      </c>
      <c r="P60" s="248">
        <v>9.33</v>
      </c>
      <c r="Q60" s="248">
        <v>17.71</v>
      </c>
      <c r="R60" s="248">
        <v>1.48</v>
      </c>
      <c r="S60" s="248">
        <v>43.8</v>
      </c>
      <c r="T60" s="247">
        <v>0.1825</v>
      </c>
      <c r="U60" s="247">
        <v>6.6000000000000003E-2</v>
      </c>
      <c r="V60" s="247">
        <v>4.48E-2</v>
      </c>
      <c r="W60" s="247">
        <v>0.86429999999999996</v>
      </c>
      <c r="X60" s="247">
        <v>4.4999999999999998E-2</v>
      </c>
      <c r="Y60" s="247">
        <v>0.76080000000000003</v>
      </c>
      <c r="Z60" s="247">
        <v>0.76080000000000003</v>
      </c>
    </row>
    <row r="61" spans="1:26" s="264" customFormat="1" ht="12.75">
      <c r="A61" s="246" t="s">
        <v>606</v>
      </c>
      <c r="B61" s="144">
        <v>565</v>
      </c>
      <c r="C61" s="247">
        <v>9.2600000000000002E-2</v>
      </c>
      <c r="D61" s="247">
        <v>0.13880000000000001</v>
      </c>
      <c r="E61" s="247">
        <v>6.6500000000000004E-2</v>
      </c>
      <c r="F61" s="247">
        <v>0.249</v>
      </c>
      <c r="G61" s="248">
        <v>0.54</v>
      </c>
      <c r="H61" s="248">
        <v>0.92</v>
      </c>
      <c r="I61" s="247">
        <v>9.1399999999999995E-2</v>
      </c>
      <c r="J61" s="247">
        <v>0.36209999999999998</v>
      </c>
      <c r="K61" s="247">
        <v>4.5999999999999999E-2</v>
      </c>
      <c r="L61" s="247">
        <v>0.4955</v>
      </c>
      <c r="M61" s="247">
        <v>6.2E-2</v>
      </c>
      <c r="N61" s="248">
        <v>0.57999999999999996</v>
      </c>
      <c r="O61" s="248">
        <v>2.0099999999999998</v>
      </c>
      <c r="P61" s="248">
        <v>8.34</v>
      </c>
      <c r="Q61" s="248">
        <v>14.39</v>
      </c>
      <c r="R61" s="248">
        <v>1.28</v>
      </c>
      <c r="S61" s="248">
        <v>24.06</v>
      </c>
      <c r="T61" s="247">
        <v>2.41E-2</v>
      </c>
      <c r="U61" s="247">
        <v>0.17</v>
      </c>
      <c r="V61" s="247">
        <v>0.12970000000000001</v>
      </c>
      <c r="W61" s="247">
        <v>1.2125999999999999</v>
      </c>
      <c r="X61" s="247">
        <v>8.8700000000000001E-2</v>
      </c>
      <c r="Y61" s="247">
        <v>0.59530000000000005</v>
      </c>
      <c r="Z61" s="247">
        <v>0.59530000000000005</v>
      </c>
    </row>
    <row r="62" spans="1:26" s="264" customFormat="1" ht="12.75">
      <c r="A62" s="246" t="s">
        <v>607</v>
      </c>
      <c r="B62" s="144">
        <v>947</v>
      </c>
      <c r="C62" s="247">
        <v>0.19589999999999999</v>
      </c>
      <c r="D62" s="247">
        <v>4.41E-2</v>
      </c>
      <c r="E62" s="247">
        <v>2.18E-2</v>
      </c>
      <c r="F62" s="247">
        <v>0.4113</v>
      </c>
      <c r="G62" s="248">
        <v>1.1100000000000001</v>
      </c>
      <c r="H62" s="248">
        <v>1.42</v>
      </c>
      <c r="I62" s="247">
        <v>0.12870000000000001</v>
      </c>
      <c r="J62" s="247">
        <v>0.85980000000000001</v>
      </c>
      <c r="K62" s="247">
        <v>7.5999999999999998E-2</v>
      </c>
      <c r="L62" s="247">
        <v>0.30320000000000003</v>
      </c>
      <c r="M62" s="247">
        <v>0.10580000000000001</v>
      </c>
      <c r="N62" s="248">
        <v>0.51</v>
      </c>
      <c r="O62" s="248">
        <v>1.97</v>
      </c>
      <c r="P62" s="248">
        <v>7.32</v>
      </c>
      <c r="Q62" s="248">
        <v>41.46</v>
      </c>
      <c r="R62" s="248">
        <v>0.99</v>
      </c>
      <c r="S62" s="248">
        <v>41.3</v>
      </c>
      <c r="T62" s="247">
        <v>0.1192</v>
      </c>
      <c r="U62" s="247">
        <v>0.2301</v>
      </c>
      <c r="V62" s="247">
        <v>0.13</v>
      </c>
      <c r="W62" s="247">
        <v>15.710699999999999</v>
      </c>
      <c r="X62" s="247">
        <v>-7.7499999999999999E-2</v>
      </c>
      <c r="Y62" s="247">
        <v>3.5000000000000001E-3</v>
      </c>
      <c r="Z62" s="247">
        <v>3.5000000000000001E-3</v>
      </c>
    </row>
    <row r="63" spans="1:26" s="264" customFormat="1" ht="12.75">
      <c r="A63" s="246" t="s">
        <v>608</v>
      </c>
      <c r="B63" s="144">
        <v>364</v>
      </c>
      <c r="C63" s="247">
        <v>-2.0999999999999999E-3</v>
      </c>
      <c r="D63" s="247">
        <v>7.6600000000000001E-2</v>
      </c>
      <c r="E63" s="247">
        <v>9.4299999999999995E-2</v>
      </c>
      <c r="F63" s="247">
        <v>0.15440000000000001</v>
      </c>
      <c r="G63" s="248">
        <v>0.92</v>
      </c>
      <c r="H63" s="248">
        <v>1.07</v>
      </c>
      <c r="I63" s="247">
        <v>0.1023</v>
      </c>
      <c r="J63" s="247">
        <v>0.4763</v>
      </c>
      <c r="K63" s="247">
        <v>4.5999999999999999E-2</v>
      </c>
      <c r="L63" s="247">
        <v>0.21729999999999999</v>
      </c>
      <c r="M63" s="247">
        <v>8.6999999999999994E-2</v>
      </c>
      <c r="N63" s="248">
        <v>1.46</v>
      </c>
      <c r="O63" s="248">
        <v>1.72</v>
      </c>
      <c r="P63" s="248">
        <v>11.13</v>
      </c>
      <c r="Q63" s="248">
        <v>20.48</v>
      </c>
      <c r="R63" s="248">
        <v>2.16</v>
      </c>
      <c r="S63" s="248">
        <v>53.22</v>
      </c>
      <c r="T63" s="247">
        <v>8.8900000000000007E-2</v>
      </c>
      <c r="U63" s="247">
        <v>3.39E-2</v>
      </c>
      <c r="V63" s="247">
        <v>3.0700000000000002E-2</v>
      </c>
      <c r="W63" s="247">
        <v>0.49170000000000003</v>
      </c>
      <c r="X63" s="247">
        <v>7.6499999999999999E-2</v>
      </c>
      <c r="Y63" s="247">
        <v>0.68810000000000004</v>
      </c>
      <c r="Z63" s="247">
        <v>0.68810000000000004</v>
      </c>
    </row>
    <row r="64" spans="1:26" s="264" customFormat="1" ht="12.75">
      <c r="A64" s="246" t="s">
        <v>609</v>
      </c>
      <c r="B64" s="144">
        <v>493</v>
      </c>
      <c r="C64" s="247">
        <v>0.1011</v>
      </c>
      <c r="D64" s="247">
        <v>0.30659999999999998</v>
      </c>
      <c r="E64" s="247">
        <v>3.32E-2</v>
      </c>
      <c r="F64" s="247">
        <v>3.2599999999999997E-2</v>
      </c>
      <c r="G64" s="248">
        <v>0.43</v>
      </c>
      <c r="H64" s="248">
        <v>0.76</v>
      </c>
      <c r="I64" s="247">
        <v>7.9500000000000001E-2</v>
      </c>
      <c r="J64" s="247">
        <v>0.252</v>
      </c>
      <c r="K64" s="247">
        <v>4.5999999999999999E-2</v>
      </c>
      <c r="L64" s="247">
        <v>0.45250000000000001</v>
      </c>
      <c r="M64" s="247">
        <v>5.8099999999999999E-2</v>
      </c>
      <c r="N64" s="248">
        <v>0.11</v>
      </c>
      <c r="O64" s="248">
        <v>12.39</v>
      </c>
      <c r="P64" s="248">
        <v>21.8</v>
      </c>
      <c r="Q64" s="248">
        <v>35.74</v>
      </c>
      <c r="R64" s="248">
        <v>1.63</v>
      </c>
      <c r="S64" s="248">
        <v>56.52</v>
      </c>
      <c r="T64" s="247">
        <v>0.4415</v>
      </c>
      <c r="U64" s="247">
        <v>7.3099999999999998E-2</v>
      </c>
      <c r="V64" s="247">
        <v>7.2900000000000006E-2</v>
      </c>
      <c r="W64" s="247">
        <v>0.26679999999999998</v>
      </c>
      <c r="X64" s="247">
        <v>9.2100000000000001E-2</v>
      </c>
      <c r="Y64" s="247">
        <v>0.82310000000000005</v>
      </c>
      <c r="Z64" s="247">
        <v>0.82310000000000005</v>
      </c>
    </row>
    <row r="65" spans="1:26" s="264" customFormat="1" ht="12.75">
      <c r="A65" s="246" t="s">
        <v>610</v>
      </c>
      <c r="B65" s="144">
        <v>731</v>
      </c>
      <c r="C65" s="247">
        <v>0.14910000000000001</v>
      </c>
      <c r="D65" s="247">
        <v>0.18260000000000001</v>
      </c>
      <c r="E65" s="247">
        <v>7.1499999999999994E-2</v>
      </c>
      <c r="F65" s="247">
        <v>0.30990000000000001</v>
      </c>
      <c r="G65" s="248">
        <v>0.78</v>
      </c>
      <c r="H65" s="248">
        <v>1.18</v>
      </c>
      <c r="I65" s="247">
        <v>0.1105</v>
      </c>
      <c r="J65" s="247">
        <v>0.4456</v>
      </c>
      <c r="K65" s="247">
        <v>4.5999999999999999E-2</v>
      </c>
      <c r="L65" s="247">
        <v>0.4829</v>
      </c>
      <c r="M65" s="247">
        <v>7.2700000000000001E-2</v>
      </c>
      <c r="N65" s="248">
        <v>0.48</v>
      </c>
      <c r="O65" s="248">
        <v>2.76</v>
      </c>
      <c r="P65" s="248">
        <v>13.02</v>
      </c>
      <c r="Q65" s="248">
        <v>14.16</v>
      </c>
      <c r="R65" s="248">
        <v>1.07</v>
      </c>
      <c r="S65" s="248">
        <v>66.45</v>
      </c>
      <c r="T65" s="247">
        <v>1.6048</v>
      </c>
      <c r="U65" s="247">
        <v>3.3799999999999997E-2</v>
      </c>
      <c r="V65" s="247">
        <v>5.0200000000000002E-2</v>
      </c>
      <c r="W65" s="247">
        <v>2.0409000000000002</v>
      </c>
      <c r="X65" s="247">
        <v>0.1236</v>
      </c>
      <c r="Y65" s="247">
        <v>0.59750000000000003</v>
      </c>
      <c r="Z65" s="247">
        <v>0.59750000000000003</v>
      </c>
    </row>
    <row r="66" spans="1:26" s="264" customFormat="1" ht="12.75">
      <c r="A66" s="246" t="s">
        <v>611</v>
      </c>
      <c r="B66" s="144">
        <v>428</v>
      </c>
      <c r="C66" s="247">
        <v>0.10979999999999999</v>
      </c>
      <c r="D66" s="247">
        <v>0.2137</v>
      </c>
      <c r="E66" s="247">
        <v>0.05</v>
      </c>
      <c r="F66" s="247">
        <v>0.17299999999999999</v>
      </c>
      <c r="G66" s="248">
        <v>0.76</v>
      </c>
      <c r="H66" s="248">
        <v>1.1399999999999999</v>
      </c>
      <c r="I66" s="247">
        <v>0.1079</v>
      </c>
      <c r="J66" s="247">
        <v>0.42909999999999998</v>
      </c>
      <c r="K66" s="247">
        <v>4.5999999999999999E-2</v>
      </c>
      <c r="L66" s="247">
        <v>0.43159999999999998</v>
      </c>
      <c r="M66" s="247">
        <v>7.5200000000000003E-2</v>
      </c>
      <c r="N66" s="248">
        <v>0.28000000000000003</v>
      </c>
      <c r="O66" s="248">
        <v>3.97</v>
      </c>
      <c r="P66" s="248">
        <v>14.07</v>
      </c>
      <c r="Q66" s="248">
        <v>17.68</v>
      </c>
      <c r="R66" s="248">
        <v>0.9</v>
      </c>
      <c r="S66" s="248">
        <v>51.69</v>
      </c>
      <c r="T66" s="247">
        <v>0.78900000000000003</v>
      </c>
      <c r="U66" s="247">
        <v>7.6899999999999996E-2</v>
      </c>
      <c r="V66" s="247">
        <v>0.13120000000000001</v>
      </c>
      <c r="W66" s="247">
        <v>0.93459999999999999</v>
      </c>
      <c r="X66" s="247">
        <v>8.7300000000000003E-2</v>
      </c>
      <c r="Y66" s="247">
        <v>0.30680000000000002</v>
      </c>
      <c r="Z66" s="247">
        <v>0.30680000000000002</v>
      </c>
    </row>
    <row r="67" spans="1:26" s="264" customFormat="1" ht="12.75">
      <c r="A67" s="246" t="s">
        <v>612</v>
      </c>
      <c r="B67" s="144">
        <v>586</v>
      </c>
      <c r="C67" s="247">
        <v>8.6999999999999994E-2</v>
      </c>
      <c r="D67" s="247">
        <v>0.3004</v>
      </c>
      <c r="E67" s="247">
        <v>4.99E-2</v>
      </c>
      <c r="F67" s="247">
        <v>0.17929999999999999</v>
      </c>
      <c r="G67" s="248">
        <v>0.56000000000000005</v>
      </c>
      <c r="H67" s="248">
        <v>0.91</v>
      </c>
      <c r="I67" s="247">
        <v>9.0700000000000003E-2</v>
      </c>
      <c r="J67" s="247">
        <v>0.39200000000000002</v>
      </c>
      <c r="K67" s="247">
        <v>4.5999999999999999E-2</v>
      </c>
      <c r="L67" s="247">
        <v>0.4526</v>
      </c>
      <c r="M67" s="247">
        <v>6.4199999999999993E-2</v>
      </c>
      <c r="N67" s="248">
        <v>0.19</v>
      </c>
      <c r="O67" s="248">
        <v>6.25</v>
      </c>
      <c r="P67" s="248">
        <v>16.47</v>
      </c>
      <c r="Q67" s="248">
        <v>19.600000000000001</v>
      </c>
      <c r="R67" s="248">
        <v>0.99</v>
      </c>
      <c r="S67" s="248">
        <v>44.1</v>
      </c>
      <c r="T67" s="247">
        <v>0.21060000000000001</v>
      </c>
      <c r="U67" s="247">
        <v>7.8E-2</v>
      </c>
      <c r="V67" s="247">
        <v>0.1507</v>
      </c>
      <c r="W67" s="247">
        <v>0.70440000000000003</v>
      </c>
      <c r="X67" s="247">
        <v>9.1600000000000001E-2</v>
      </c>
      <c r="Y67" s="247">
        <v>0.29210000000000003</v>
      </c>
      <c r="Z67" s="247">
        <v>0.29210000000000003</v>
      </c>
    </row>
    <row r="68" spans="1:26" s="264" customFormat="1" ht="12.75">
      <c r="A68" s="246" t="s">
        <v>613</v>
      </c>
      <c r="B68" s="144">
        <v>289</v>
      </c>
      <c r="C68" s="247">
        <v>4.4699999999999997E-2</v>
      </c>
      <c r="D68" s="247">
        <v>0.1109</v>
      </c>
      <c r="E68" s="247">
        <v>0.1017</v>
      </c>
      <c r="F68" s="247">
        <v>0.29010000000000002</v>
      </c>
      <c r="G68" s="248">
        <v>0.97</v>
      </c>
      <c r="H68" s="248">
        <v>1.05</v>
      </c>
      <c r="I68" s="247">
        <v>0.1012</v>
      </c>
      <c r="J68" s="247">
        <v>0.4471</v>
      </c>
      <c r="K68" s="247">
        <v>4.5999999999999999E-2</v>
      </c>
      <c r="L68" s="247">
        <v>0.185</v>
      </c>
      <c r="M68" s="247">
        <v>8.8400000000000006E-2</v>
      </c>
      <c r="N68" s="248">
        <v>1.1200000000000001</v>
      </c>
      <c r="O68" s="248">
        <v>2.17</v>
      </c>
      <c r="P68" s="248">
        <v>11.89</v>
      </c>
      <c r="Q68" s="248">
        <v>18.86</v>
      </c>
      <c r="R68" s="248">
        <v>2.86</v>
      </c>
      <c r="S68" s="248">
        <v>59.46</v>
      </c>
      <c r="T68" s="247">
        <v>0.17369999999999999</v>
      </c>
      <c r="U68" s="247">
        <v>6.1699999999999998E-2</v>
      </c>
      <c r="V68" s="247">
        <v>6.7100000000000007E-2</v>
      </c>
      <c r="W68" s="247">
        <v>1.1235999999999999</v>
      </c>
      <c r="X68" s="247">
        <v>9.8799999999999999E-2</v>
      </c>
      <c r="Y68" s="247">
        <v>0.5776</v>
      </c>
      <c r="Z68" s="247">
        <v>0.5776</v>
      </c>
    </row>
    <row r="69" spans="1:26" s="264" customFormat="1" ht="12.75">
      <c r="A69" s="246" t="s">
        <v>614</v>
      </c>
      <c r="B69" s="144">
        <v>38</v>
      </c>
      <c r="C69" s="247">
        <v>0.11550000000000001</v>
      </c>
      <c r="D69" s="247">
        <v>0.1079</v>
      </c>
      <c r="E69" s="247">
        <v>0.1177</v>
      </c>
      <c r="F69" s="247">
        <v>0.15110000000000001</v>
      </c>
      <c r="G69" s="248">
        <v>1.02</v>
      </c>
      <c r="H69" s="248">
        <v>1.1000000000000001</v>
      </c>
      <c r="I69" s="247">
        <v>0.1045</v>
      </c>
      <c r="J69" s="247">
        <v>0.2903</v>
      </c>
      <c r="K69" s="247">
        <v>4.5999999999999999E-2</v>
      </c>
      <c r="L69" s="247">
        <v>0.2082</v>
      </c>
      <c r="M69" s="247">
        <v>8.9499999999999996E-2</v>
      </c>
      <c r="N69" s="248">
        <v>1.27</v>
      </c>
      <c r="O69" s="248">
        <v>0.89</v>
      </c>
      <c r="P69" s="248">
        <v>8.02</v>
      </c>
      <c r="Q69" s="248">
        <v>8.18</v>
      </c>
      <c r="R69" s="248">
        <v>1.03</v>
      </c>
      <c r="S69" s="248">
        <v>10.6</v>
      </c>
      <c r="T69" s="247">
        <v>-0.48409999999999997</v>
      </c>
      <c r="U69" s="247">
        <v>2.3999999999999998E-3</v>
      </c>
      <c r="V69" s="247">
        <v>7.7999999999999996E-3</v>
      </c>
      <c r="W69" s="247">
        <v>0.1053</v>
      </c>
      <c r="X69" s="247">
        <v>0.1074</v>
      </c>
      <c r="Y69" s="247">
        <v>0.32169999999999999</v>
      </c>
      <c r="Z69" s="247">
        <v>0.32169999999999999</v>
      </c>
    </row>
    <row r="70" spans="1:26" s="264" customFormat="1" ht="12.75">
      <c r="A70" s="246" t="s">
        <v>615</v>
      </c>
      <c r="B70" s="144">
        <v>318</v>
      </c>
      <c r="C70" s="247">
        <v>7.6899999999999996E-2</v>
      </c>
      <c r="D70" s="247">
        <v>0.10580000000000001</v>
      </c>
      <c r="E70" s="247">
        <v>0.1343</v>
      </c>
      <c r="F70" s="247">
        <v>0.30740000000000001</v>
      </c>
      <c r="G70" s="248">
        <v>0.67</v>
      </c>
      <c r="H70" s="248">
        <v>0.82</v>
      </c>
      <c r="I70" s="247">
        <v>8.3699999999999997E-2</v>
      </c>
      <c r="J70" s="247">
        <v>0.38869999999999999</v>
      </c>
      <c r="K70" s="247">
        <v>4.5999999999999999E-2</v>
      </c>
      <c r="L70" s="247">
        <v>0.24809999999999999</v>
      </c>
      <c r="M70" s="247">
        <v>7.0900000000000005E-2</v>
      </c>
      <c r="N70" s="248">
        <v>1.61</v>
      </c>
      <c r="O70" s="248">
        <v>2.31</v>
      </c>
      <c r="P70" s="248">
        <v>12.1</v>
      </c>
      <c r="Q70" s="248">
        <v>21.56</v>
      </c>
      <c r="R70" s="248">
        <v>5.45</v>
      </c>
      <c r="S70" s="248">
        <v>33.97</v>
      </c>
      <c r="T70" s="247">
        <v>-4.7000000000000002E-3</v>
      </c>
      <c r="U70" s="247">
        <v>5.3499999999999999E-2</v>
      </c>
      <c r="V70" s="247">
        <v>9.0300000000000005E-2</v>
      </c>
      <c r="W70" s="247">
        <v>1.2264999999999999</v>
      </c>
      <c r="X70" s="247">
        <v>0.19470000000000001</v>
      </c>
      <c r="Y70" s="247">
        <v>0.55030000000000001</v>
      </c>
      <c r="Z70" s="247">
        <v>0.55030000000000001</v>
      </c>
    </row>
    <row r="71" spans="1:26" s="264" customFormat="1" ht="12.75">
      <c r="A71" s="246" t="s">
        <v>616</v>
      </c>
      <c r="B71" s="144">
        <v>157</v>
      </c>
      <c r="C71" s="247">
        <v>8.3900000000000002E-2</v>
      </c>
      <c r="D71" s="247">
        <v>4.7800000000000002E-2</v>
      </c>
      <c r="E71" s="247">
        <v>0.1009</v>
      </c>
      <c r="F71" s="247">
        <v>0.33560000000000001</v>
      </c>
      <c r="G71" s="248">
        <v>0.74</v>
      </c>
      <c r="H71" s="248">
        <v>1.01</v>
      </c>
      <c r="I71" s="247">
        <v>9.8000000000000004E-2</v>
      </c>
      <c r="J71" s="247">
        <v>0.45029999999999998</v>
      </c>
      <c r="K71" s="247">
        <v>4.5999999999999999E-2</v>
      </c>
      <c r="L71" s="247">
        <v>0.35599999999999998</v>
      </c>
      <c r="M71" s="247">
        <v>7.46E-2</v>
      </c>
      <c r="N71" s="248">
        <v>2.69</v>
      </c>
      <c r="O71" s="248">
        <v>0.82</v>
      </c>
      <c r="P71" s="248">
        <v>10.86</v>
      </c>
      <c r="Q71" s="248">
        <v>17.059999999999999</v>
      </c>
      <c r="R71" s="248">
        <v>3.33</v>
      </c>
      <c r="S71" s="248">
        <v>43.84</v>
      </c>
      <c r="T71" s="247">
        <v>9.8699999999999996E-2</v>
      </c>
      <c r="U71" s="247">
        <v>2.63E-2</v>
      </c>
      <c r="V71" s="247">
        <v>3.3399999999999999E-2</v>
      </c>
      <c r="W71" s="247">
        <v>1.2196</v>
      </c>
      <c r="X71" s="247">
        <v>0.17449999999999999</v>
      </c>
      <c r="Y71" s="247">
        <v>0.81920000000000004</v>
      </c>
      <c r="Z71" s="247">
        <v>0.81920000000000004</v>
      </c>
    </row>
    <row r="72" spans="1:26" s="264" customFormat="1" ht="12.75">
      <c r="A72" s="246" t="s">
        <v>617</v>
      </c>
      <c r="B72" s="144">
        <v>51</v>
      </c>
      <c r="C72" s="247">
        <v>7.8600000000000003E-2</v>
      </c>
      <c r="D72" s="247">
        <v>8.9099999999999999E-2</v>
      </c>
      <c r="E72" s="247">
        <v>0.14860000000000001</v>
      </c>
      <c r="F72" s="247">
        <v>0.34279999999999999</v>
      </c>
      <c r="G72" s="248">
        <v>0.78</v>
      </c>
      <c r="H72" s="248">
        <v>0.9</v>
      </c>
      <c r="I72" s="247">
        <v>8.9700000000000002E-2</v>
      </c>
      <c r="J72" s="247">
        <v>0.38250000000000001</v>
      </c>
      <c r="K72" s="247">
        <v>4.5999999999999999E-2</v>
      </c>
      <c r="L72" s="247">
        <v>0.1895</v>
      </c>
      <c r="M72" s="247">
        <v>7.8799999999999995E-2</v>
      </c>
      <c r="N72" s="248">
        <v>2.19</v>
      </c>
      <c r="O72" s="248">
        <v>1.57</v>
      </c>
      <c r="P72" s="248">
        <v>11.79</v>
      </c>
      <c r="Q72" s="248">
        <v>17.600000000000001</v>
      </c>
      <c r="R72" s="248">
        <v>6.3</v>
      </c>
      <c r="S72" s="248">
        <v>20.47</v>
      </c>
      <c r="T72" s="247">
        <v>7.1599999999999997E-2</v>
      </c>
      <c r="U72" s="247">
        <v>2.1000000000000001E-2</v>
      </c>
      <c r="V72" s="247">
        <v>1.23E-2</v>
      </c>
      <c r="W72" s="247">
        <v>0.20569999999999999</v>
      </c>
      <c r="X72" s="247">
        <v>0.23760000000000001</v>
      </c>
      <c r="Y72" s="247">
        <v>0.37669999999999998</v>
      </c>
      <c r="Z72" s="247">
        <v>0.37669999999999998</v>
      </c>
    </row>
    <row r="73" spans="1:26" s="264" customFormat="1" ht="12.75">
      <c r="A73" s="246" t="s">
        <v>618</v>
      </c>
      <c r="B73" s="144">
        <v>882</v>
      </c>
      <c r="C73" s="247">
        <v>8.6499999999999994E-2</v>
      </c>
      <c r="D73" s="247">
        <v>3.5700000000000003E-2</v>
      </c>
      <c r="E73" s="247">
        <v>4.7800000000000002E-2</v>
      </c>
      <c r="F73" s="247">
        <v>0.28649999999999998</v>
      </c>
      <c r="G73" s="248">
        <v>0.61</v>
      </c>
      <c r="H73" s="248">
        <v>0.97</v>
      </c>
      <c r="I73" s="247">
        <v>9.5100000000000004E-2</v>
      </c>
      <c r="J73" s="247">
        <v>0.47139999999999999</v>
      </c>
      <c r="K73" s="247">
        <v>4.5999999999999999E-2</v>
      </c>
      <c r="L73" s="247">
        <v>0.48249999999999998</v>
      </c>
      <c r="M73" s="247">
        <v>6.4799999999999996E-2</v>
      </c>
      <c r="N73" s="248">
        <v>1.64</v>
      </c>
      <c r="O73" s="248">
        <v>0.75</v>
      </c>
      <c r="P73" s="248">
        <v>11.78</v>
      </c>
      <c r="Q73" s="248">
        <v>20</v>
      </c>
      <c r="R73" s="248">
        <v>1.33</v>
      </c>
      <c r="S73" s="248">
        <v>107.71</v>
      </c>
      <c r="T73" s="247">
        <v>0.15329999999999999</v>
      </c>
      <c r="U73" s="247">
        <v>3.2300000000000002E-2</v>
      </c>
      <c r="V73" s="247">
        <v>0.03</v>
      </c>
      <c r="W73" s="247">
        <v>1.0443</v>
      </c>
      <c r="X73" s="247">
        <v>6.6000000000000003E-2</v>
      </c>
      <c r="Y73" s="247">
        <v>0.48449999999999999</v>
      </c>
      <c r="Z73" s="247">
        <v>0.48449999999999999</v>
      </c>
    </row>
    <row r="74" spans="1:26" s="264" customFormat="1" ht="12.75">
      <c r="A74" s="246" t="s">
        <v>619</v>
      </c>
      <c r="B74" s="144">
        <v>221</v>
      </c>
      <c r="C74" s="247">
        <v>5.2299999999999999E-2</v>
      </c>
      <c r="D74" s="247">
        <v>4.4400000000000002E-2</v>
      </c>
      <c r="E74" s="247">
        <v>8.7400000000000005E-2</v>
      </c>
      <c r="F74" s="247">
        <v>0.31940000000000002</v>
      </c>
      <c r="G74" s="248">
        <v>0.87</v>
      </c>
      <c r="H74" s="248">
        <v>1.1399999999999999</v>
      </c>
      <c r="I74" s="247">
        <v>0.1076</v>
      </c>
      <c r="J74" s="247">
        <v>0.41439999999999999</v>
      </c>
      <c r="K74" s="247">
        <v>4.5999999999999999E-2</v>
      </c>
      <c r="L74" s="247">
        <v>0.33100000000000002</v>
      </c>
      <c r="M74" s="247">
        <v>8.2699999999999996E-2</v>
      </c>
      <c r="N74" s="248">
        <v>2.58</v>
      </c>
      <c r="O74" s="248">
        <v>0.75</v>
      </c>
      <c r="P74" s="248">
        <v>8.7899999999999991</v>
      </c>
      <c r="Q74" s="248">
        <v>16.59</v>
      </c>
      <c r="R74" s="248">
        <v>2.25</v>
      </c>
      <c r="S74" s="248">
        <v>48.59</v>
      </c>
      <c r="T74" s="247">
        <v>5.4000000000000003E-3</v>
      </c>
      <c r="U74" s="247">
        <v>3.1800000000000002E-2</v>
      </c>
      <c r="V74" s="247">
        <v>3.04E-2</v>
      </c>
      <c r="W74" s="247">
        <v>1.0774999999999999</v>
      </c>
      <c r="X74" s="247">
        <v>0.1113</v>
      </c>
      <c r="Y74" s="247">
        <v>0.48330000000000001</v>
      </c>
      <c r="Z74" s="247">
        <v>0.48330000000000001</v>
      </c>
    </row>
    <row r="75" spans="1:26" s="264" customFormat="1" ht="12.75">
      <c r="A75" s="246" t="s">
        <v>620</v>
      </c>
      <c r="B75" s="144">
        <v>172</v>
      </c>
      <c r="C75" s="247">
        <v>7.7799999999999994E-2</v>
      </c>
      <c r="D75" s="247">
        <v>3.1099999999999999E-2</v>
      </c>
      <c r="E75" s="247">
        <v>6.6400000000000001E-2</v>
      </c>
      <c r="F75" s="247">
        <v>0.29770000000000002</v>
      </c>
      <c r="G75" s="248">
        <v>0.57999999999999996</v>
      </c>
      <c r="H75" s="248">
        <v>0.79</v>
      </c>
      <c r="I75" s="247">
        <v>8.1600000000000006E-2</v>
      </c>
      <c r="J75" s="247">
        <v>0.36909999999999998</v>
      </c>
      <c r="K75" s="247">
        <v>4.5999999999999999E-2</v>
      </c>
      <c r="L75" s="247">
        <v>0.38129999999999997</v>
      </c>
      <c r="M75" s="247">
        <v>6.2799999999999995E-2</v>
      </c>
      <c r="N75" s="248">
        <v>2.87</v>
      </c>
      <c r="O75" s="248">
        <v>0.63</v>
      </c>
      <c r="P75" s="248">
        <v>8.3800000000000008</v>
      </c>
      <c r="Q75" s="248">
        <v>20.2</v>
      </c>
      <c r="R75" s="248">
        <v>2.0699999999999998</v>
      </c>
      <c r="S75" s="248">
        <v>39.46</v>
      </c>
      <c r="T75" s="247">
        <v>-2.35E-2</v>
      </c>
      <c r="U75" s="247">
        <v>3.0800000000000001E-2</v>
      </c>
      <c r="V75" s="247">
        <v>2.7E-2</v>
      </c>
      <c r="W75" s="247">
        <v>1.1334</v>
      </c>
      <c r="X75" s="247">
        <v>3.0599999999999999E-2</v>
      </c>
      <c r="Y75" s="247">
        <v>1.5069999999999999</v>
      </c>
      <c r="Z75" s="247">
        <v>1.5069999999999999</v>
      </c>
    </row>
    <row r="76" spans="1:26" s="264" customFormat="1" ht="12.75">
      <c r="A76" s="246" t="s">
        <v>621</v>
      </c>
      <c r="B76" s="144">
        <v>130</v>
      </c>
      <c r="C76" s="247">
        <v>0.2127</v>
      </c>
      <c r="D76" s="247">
        <v>4.5499999999999999E-2</v>
      </c>
      <c r="E76" s="247">
        <v>0.17910000000000001</v>
      </c>
      <c r="F76" s="247">
        <v>0.29680000000000001</v>
      </c>
      <c r="G76" s="248">
        <v>1.39</v>
      </c>
      <c r="H76" s="248">
        <v>1.43</v>
      </c>
      <c r="I76" s="247">
        <v>0.12939999999999999</v>
      </c>
      <c r="J76" s="247">
        <v>0.6179</v>
      </c>
      <c r="K76" s="247">
        <v>5.0999999999999997E-2</v>
      </c>
      <c r="L76" s="247">
        <v>8.4000000000000005E-2</v>
      </c>
      <c r="M76" s="247">
        <v>0.1215</v>
      </c>
      <c r="N76" s="248">
        <v>4.58</v>
      </c>
      <c r="O76" s="248">
        <v>3.26</v>
      </c>
      <c r="P76" s="248">
        <v>33.14</v>
      </c>
      <c r="Q76" s="248">
        <v>73.08</v>
      </c>
      <c r="R76" s="248">
        <v>10.6</v>
      </c>
      <c r="S76" s="248">
        <v>80.650000000000006</v>
      </c>
      <c r="T76" s="247">
        <v>1.0999999999999999E-2</v>
      </c>
      <c r="U76" s="247">
        <v>3.7400000000000003E-2</v>
      </c>
      <c r="V76" s="247">
        <v>6.1699999999999998E-2</v>
      </c>
      <c r="W76" s="247">
        <v>2.3073999999999999</v>
      </c>
      <c r="X76" s="247">
        <v>0.12640000000000001</v>
      </c>
      <c r="Y76" s="247">
        <v>6.9699999999999998E-2</v>
      </c>
      <c r="Z76" s="247">
        <v>6.9699999999999998E-2</v>
      </c>
    </row>
    <row r="77" spans="1:26" s="264" customFormat="1" ht="12.75">
      <c r="A77" s="246" t="s">
        <v>622</v>
      </c>
      <c r="B77" s="144">
        <v>549</v>
      </c>
      <c r="C77" s="247">
        <v>4.6699999999999998E-2</v>
      </c>
      <c r="D77" s="247">
        <v>6.6500000000000004E-2</v>
      </c>
      <c r="E77" s="247">
        <v>0.1227</v>
      </c>
      <c r="F77" s="247">
        <v>0.3206</v>
      </c>
      <c r="G77" s="248">
        <v>0.84</v>
      </c>
      <c r="H77" s="248">
        <v>1</v>
      </c>
      <c r="I77" s="247">
        <v>9.7100000000000006E-2</v>
      </c>
      <c r="J77" s="247">
        <v>0.44059999999999999</v>
      </c>
      <c r="K77" s="247">
        <v>4.5999999999999999E-2</v>
      </c>
      <c r="L77" s="247">
        <v>0.25109999999999999</v>
      </c>
      <c r="M77" s="247">
        <v>8.0799999999999997E-2</v>
      </c>
      <c r="N77" s="248">
        <v>2.38</v>
      </c>
      <c r="O77" s="248">
        <v>1.19</v>
      </c>
      <c r="P77" s="248">
        <v>9.67</v>
      </c>
      <c r="Q77" s="248">
        <v>17.66</v>
      </c>
      <c r="R77" s="248">
        <v>3.35</v>
      </c>
      <c r="S77" s="248">
        <v>37.340000000000003</v>
      </c>
      <c r="T77" s="247">
        <v>9.2299999999999993E-2</v>
      </c>
      <c r="U77" s="247">
        <v>2.3599999999999999E-2</v>
      </c>
      <c r="V77" s="247">
        <v>3.7600000000000001E-2</v>
      </c>
      <c r="W77" s="247">
        <v>0.97770000000000001</v>
      </c>
      <c r="X77" s="247">
        <v>0.1565</v>
      </c>
      <c r="Y77" s="247">
        <v>0.32540000000000002</v>
      </c>
      <c r="Z77" s="247">
        <v>0.32540000000000002</v>
      </c>
    </row>
    <row r="78" spans="1:26" s="264" customFormat="1" ht="12.75">
      <c r="A78" s="246" t="s">
        <v>623</v>
      </c>
      <c r="B78" s="144">
        <v>88</v>
      </c>
      <c r="C78" s="247">
        <v>2.9000000000000001E-2</v>
      </c>
      <c r="D78" s="247">
        <v>0.1087</v>
      </c>
      <c r="E78" s="247">
        <v>0.1168</v>
      </c>
      <c r="F78" s="247">
        <v>0.28660000000000002</v>
      </c>
      <c r="G78" s="248">
        <v>0.93</v>
      </c>
      <c r="H78" s="248">
        <v>1.1100000000000001</v>
      </c>
      <c r="I78" s="247">
        <v>0.1056</v>
      </c>
      <c r="J78" s="247">
        <v>0.39379999999999998</v>
      </c>
      <c r="K78" s="247">
        <v>4.5999999999999999E-2</v>
      </c>
      <c r="L78" s="247">
        <v>0.26569999999999999</v>
      </c>
      <c r="M78" s="247">
        <v>8.6099999999999996E-2</v>
      </c>
      <c r="N78" s="248">
        <v>1.29</v>
      </c>
      <c r="O78" s="248">
        <v>1.06</v>
      </c>
      <c r="P78" s="248">
        <v>5.93</v>
      </c>
      <c r="Q78" s="248">
        <v>9.11</v>
      </c>
      <c r="R78" s="248">
        <v>1.64</v>
      </c>
      <c r="S78" s="248">
        <v>25.39</v>
      </c>
      <c r="T78" s="247">
        <v>0.20549999999999999</v>
      </c>
      <c r="U78" s="247">
        <v>4.8500000000000001E-2</v>
      </c>
      <c r="V78" s="247">
        <v>5.0099999999999999E-2</v>
      </c>
      <c r="W78" s="247">
        <v>0.59440000000000004</v>
      </c>
      <c r="X78" s="247">
        <v>0.15359999999999999</v>
      </c>
      <c r="Y78" s="247">
        <v>0.27560000000000001</v>
      </c>
      <c r="Z78" s="247">
        <v>0.27560000000000001</v>
      </c>
    </row>
    <row r="79" spans="1:26" s="264" customFormat="1" ht="12.75">
      <c r="A79" s="246" t="s">
        <v>624</v>
      </c>
      <c r="B79" s="144">
        <v>552</v>
      </c>
      <c r="C79" s="247">
        <v>2.2599999999999999E-2</v>
      </c>
      <c r="D79" s="247">
        <v>0.18079999999999999</v>
      </c>
      <c r="E79" s="247">
        <v>0.1255</v>
      </c>
      <c r="F79" s="247">
        <v>0.1656</v>
      </c>
      <c r="G79" s="248">
        <v>1.48</v>
      </c>
      <c r="H79" s="248">
        <v>1.51</v>
      </c>
      <c r="I79" s="247">
        <v>0.13550000000000001</v>
      </c>
      <c r="J79" s="247">
        <v>0.48809999999999998</v>
      </c>
      <c r="K79" s="247">
        <v>4.5999999999999999E-2</v>
      </c>
      <c r="L79" s="247">
        <v>0.12230000000000001</v>
      </c>
      <c r="M79" s="247">
        <v>0.12280000000000001</v>
      </c>
      <c r="N79" s="248">
        <v>0.78</v>
      </c>
      <c r="O79" s="248">
        <v>2.72</v>
      </c>
      <c r="P79" s="248">
        <v>8.7799999999999994</v>
      </c>
      <c r="Q79" s="248">
        <v>15.08</v>
      </c>
      <c r="R79" s="248">
        <v>2.71</v>
      </c>
      <c r="S79" s="248">
        <v>76.14</v>
      </c>
      <c r="T79" s="247">
        <v>0.18049999999999999</v>
      </c>
      <c r="U79" s="247">
        <v>0.1229</v>
      </c>
      <c r="V79" s="247">
        <v>0.13719999999999999</v>
      </c>
      <c r="W79" s="247">
        <v>1.0286999999999999</v>
      </c>
      <c r="X79" s="247">
        <v>0.1573</v>
      </c>
      <c r="Y79" s="247">
        <v>0.38979999999999998</v>
      </c>
      <c r="Z79" s="247">
        <v>0.38979999999999998</v>
      </c>
    </row>
    <row r="80" spans="1:26" s="264" customFormat="1" ht="12.75">
      <c r="A80" s="246" t="s">
        <v>625</v>
      </c>
      <c r="B80" s="144">
        <v>262</v>
      </c>
      <c r="C80" s="247">
        <v>5.2699999999999997E-2</v>
      </c>
      <c r="D80" s="247">
        <v>0.1263</v>
      </c>
      <c r="E80" s="247">
        <v>9.8799999999999999E-2</v>
      </c>
      <c r="F80" s="247">
        <v>0.1696</v>
      </c>
      <c r="G80" s="248">
        <v>1.45</v>
      </c>
      <c r="H80" s="248">
        <v>1.55</v>
      </c>
      <c r="I80" s="247">
        <v>0.1384</v>
      </c>
      <c r="J80" s="247">
        <v>0.52349999999999997</v>
      </c>
      <c r="K80" s="247">
        <v>5.0999999999999997E-2</v>
      </c>
      <c r="L80" s="247">
        <v>0.19320000000000001</v>
      </c>
      <c r="M80" s="247">
        <v>0.1186</v>
      </c>
      <c r="N80" s="248">
        <v>0.89</v>
      </c>
      <c r="O80" s="248">
        <v>2.23</v>
      </c>
      <c r="P80" s="248">
        <v>11.43</v>
      </c>
      <c r="Q80" s="248">
        <v>17.13</v>
      </c>
      <c r="R80" s="248">
        <v>2.31</v>
      </c>
      <c r="S80" s="248">
        <v>54.41</v>
      </c>
      <c r="T80" s="247">
        <v>0.2908</v>
      </c>
      <c r="U80" s="247">
        <v>9.1800000000000007E-2</v>
      </c>
      <c r="V80" s="247">
        <v>0.1255</v>
      </c>
      <c r="W80" s="247">
        <v>1.569</v>
      </c>
      <c r="X80" s="247">
        <v>9.2499999999999999E-2</v>
      </c>
      <c r="Y80" s="247">
        <v>0.37569999999999998</v>
      </c>
      <c r="Z80" s="247">
        <v>0.37569999999999998</v>
      </c>
    </row>
    <row r="81" spans="1:26" s="264" customFormat="1" ht="12.75">
      <c r="A81" s="246" t="s">
        <v>626</v>
      </c>
      <c r="B81" s="144">
        <v>337</v>
      </c>
      <c r="C81" s="247">
        <v>3.0800000000000001E-2</v>
      </c>
      <c r="D81" s="247">
        <v>0.08</v>
      </c>
      <c r="E81" s="247">
        <v>4.6899999999999997E-2</v>
      </c>
      <c r="F81" s="247">
        <v>0.18160000000000001</v>
      </c>
      <c r="G81" s="248">
        <v>0.78</v>
      </c>
      <c r="H81" s="248">
        <v>1.21</v>
      </c>
      <c r="I81" s="247">
        <v>0.11269999999999999</v>
      </c>
      <c r="J81" s="247">
        <v>0.44850000000000001</v>
      </c>
      <c r="K81" s="247">
        <v>4.5999999999999999E-2</v>
      </c>
      <c r="L81" s="247">
        <v>0.45200000000000001</v>
      </c>
      <c r="M81" s="247">
        <v>7.6300000000000007E-2</v>
      </c>
      <c r="N81" s="248">
        <v>0.67</v>
      </c>
      <c r="O81" s="248">
        <v>1.7</v>
      </c>
      <c r="P81" s="248">
        <v>8.81</v>
      </c>
      <c r="Q81" s="248">
        <v>20.75</v>
      </c>
      <c r="R81" s="248">
        <v>1.0900000000000001</v>
      </c>
      <c r="S81" s="248">
        <v>33.200000000000003</v>
      </c>
      <c r="T81" s="247">
        <v>1.35E-2</v>
      </c>
      <c r="U81" s="247">
        <v>0.11269999999999999</v>
      </c>
      <c r="V81" s="247">
        <v>9.06E-2</v>
      </c>
      <c r="W81" s="247">
        <v>1.3916999999999999</v>
      </c>
      <c r="X81" s="247">
        <v>5.2499999999999998E-2</v>
      </c>
      <c r="Y81" s="247">
        <v>0.6411</v>
      </c>
      <c r="Z81" s="247">
        <v>0.6411</v>
      </c>
    </row>
    <row r="82" spans="1:26" s="264" customFormat="1" ht="12.75">
      <c r="A82" s="246" t="s">
        <v>627</v>
      </c>
      <c r="B82" s="144">
        <v>88</v>
      </c>
      <c r="C82" s="247">
        <v>7.7600000000000002E-2</v>
      </c>
      <c r="D82" s="247">
        <v>0.1041</v>
      </c>
      <c r="E82" s="247">
        <v>0.14979999999999999</v>
      </c>
      <c r="F82" s="247">
        <v>0.218</v>
      </c>
      <c r="G82" s="248">
        <v>0.94</v>
      </c>
      <c r="H82" s="248">
        <v>0.96</v>
      </c>
      <c r="I82" s="247">
        <v>9.4E-2</v>
      </c>
      <c r="J82" s="247">
        <v>0.50349999999999995</v>
      </c>
      <c r="K82" s="247">
        <v>5.0999999999999997E-2</v>
      </c>
      <c r="L82" s="247">
        <v>8.9599999999999999E-2</v>
      </c>
      <c r="M82" s="247">
        <v>8.8800000000000004E-2</v>
      </c>
      <c r="N82" s="248">
        <v>1.8</v>
      </c>
      <c r="O82" s="248">
        <v>2.06</v>
      </c>
      <c r="P82" s="248">
        <v>13.57</v>
      </c>
      <c r="Q82" s="248">
        <v>19</v>
      </c>
      <c r="R82" s="248">
        <v>3.79</v>
      </c>
      <c r="S82" s="248">
        <v>31.11</v>
      </c>
      <c r="T82" s="247">
        <v>0.20599999999999999</v>
      </c>
      <c r="U82" s="247">
        <v>1.84E-2</v>
      </c>
      <c r="V82" s="247">
        <v>1.72E-2</v>
      </c>
      <c r="W82" s="247">
        <v>0.32319999999999999</v>
      </c>
      <c r="X82" s="247">
        <v>0.17280000000000001</v>
      </c>
      <c r="Y82" s="247">
        <v>0.43359999999999999</v>
      </c>
      <c r="Z82" s="247">
        <v>0.43359999999999999</v>
      </c>
    </row>
    <row r="83" spans="1:26" s="264" customFormat="1" ht="12.75">
      <c r="A83" s="246" t="s">
        <v>628</v>
      </c>
      <c r="B83" s="144">
        <v>118</v>
      </c>
      <c r="C83" s="247">
        <v>1.83E-2</v>
      </c>
      <c r="D83" s="247">
        <v>0.1537</v>
      </c>
      <c r="E83" s="247">
        <v>0.13300000000000001</v>
      </c>
      <c r="F83" s="247">
        <v>0.24329999999999999</v>
      </c>
      <c r="G83" s="248">
        <v>1.59</v>
      </c>
      <c r="H83" s="248">
        <v>1.44</v>
      </c>
      <c r="I83" s="247">
        <v>0.13</v>
      </c>
      <c r="J83" s="247">
        <v>0.62519999999999998</v>
      </c>
      <c r="K83" s="247">
        <v>5.0999999999999997E-2</v>
      </c>
      <c r="L83" s="247">
        <v>6.4000000000000001E-2</v>
      </c>
      <c r="M83" s="247">
        <v>0.124</v>
      </c>
      <c r="N83" s="248">
        <v>0.97</v>
      </c>
      <c r="O83" s="248">
        <v>3.58</v>
      </c>
      <c r="P83" s="248">
        <v>15.83</v>
      </c>
      <c r="Q83" s="248">
        <v>20.69</v>
      </c>
      <c r="R83" s="248">
        <v>2.84</v>
      </c>
      <c r="S83" s="248">
        <v>29.45</v>
      </c>
      <c r="T83" s="247">
        <v>0.17249999999999999</v>
      </c>
      <c r="U83" s="247">
        <v>3.2399999999999998E-2</v>
      </c>
      <c r="V83" s="247">
        <v>3.6700000000000003E-2</v>
      </c>
      <c r="W83" s="247">
        <v>0.19670000000000001</v>
      </c>
      <c r="X83" s="247">
        <v>9.8000000000000004E-2</v>
      </c>
      <c r="Y83" s="247">
        <v>0.2011</v>
      </c>
      <c r="Z83" s="247">
        <v>0.2011</v>
      </c>
    </row>
    <row r="84" spans="1:26" s="264" customFormat="1" ht="12.75">
      <c r="A84" s="246" t="s">
        <v>629</v>
      </c>
      <c r="B84" s="144">
        <v>762</v>
      </c>
      <c r="C84" s="247">
        <v>0.1163</v>
      </c>
      <c r="D84" s="247">
        <v>0.20979999999999999</v>
      </c>
      <c r="E84" s="247">
        <v>0.1517</v>
      </c>
      <c r="F84" s="247">
        <v>0.2263</v>
      </c>
      <c r="G84" s="248">
        <v>1.34</v>
      </c>
      <c r="H84" s="248">
        <v>1.34</v>
      </c>
      <c r="I84" s="247">
        <v>0.1226</v>
      </c>
      <c r="J84" s="247">
        <v>0.65100000000000002</v>
      </c>
      <c r="K84" s="247">
        <v>5.6000000000000001E-2</v>
      </c>
      <c r="L84" s="247">
        <v>4.4299999999999999E-2</v>
      </c>
      <c r="M84" s="247">
        <v>0.11890000000000001</v>
      </c>
      <c r="N84" s="248">
        <v>0.79</v>
      </c>
      <c r="O84" s="248">
        <v>6.98</v>
      </c>
      <c r="P84" s="248">
        <v>23.33</v>
      </c>
      <c r="Q84" s="248">
        <v>35.840000000000003</v>
      </c>
      <c r="R84" s="248">
        <v>5.01</v>
      </c>
      <c r="S84" s="248">
        <v>66.17</v>
      </c>
      <c r="T84" s="247">
        <v>8.4400000000000003E-2</v>
      </c>
      <c r="U84" s="247">
        <v>0.1032</v>
      </c>
      <c r="V84" s="247">
        <v>0.16070000000000001</v>
      </c>
      <c r="W84" s="247">
        <v>1.2203999999999999</v>
      </c>
      <c r="X84" s="247">
        <v>0.11219999999999999</v>
      </c>
      <c r="Y84" s="247">
        <v>6.6500000000000004E-2</v>
      </c>
      <c r="Z84" s="247">
        <v>6.6500000000000004E-2</v>
      </c>
    </row>
    <row r="85" spans="1:26" s="264" customFormat="1" ht="12.75">
      <c r="A85" s="246" t="s">
        <v>630</v>
      </c>
      <c r="B85" s="144">
        <v>986</v>
      </c>
      <c r="C85" s="247">
        <v>0.1091</v>
      </c>
      <c r="D85" s="247">
        <v>0.22170000000000001</v>
      </c>
      <c r="E85" s="247">
        <v>0.18629999999999999</v>
      </c>
      <c r="F85" s="247">
        <v>0.27229999999999999</v>
      </c>
      <c r="G85" s="248">
        <v>1.19</v>
      </c>
      <c r="H85" s="248">
        <v>1.24</v>
      </c>
      <c r="I85" s="247">
        <v>0.1153</v>
      </c>
      <c r="J85" s="247">
        <v>0.60419999999999996</v>
      </c>
      <c r="K85" s="247">
        <v>5.0999999999999997E-2</v>
      </c>
      <c r="L85" s="247">
        <v>9.5899999999999999E-2</v>
      </c>
      <c r="M85" s="247">
        <v>0.1077</v>
      </c>
      <c r="N85" s="248">
        <v>0.95</v>
      </c>
      <c r="O85" s="248">
        <v>5.15</v>
      </c>
      <c r="P85" s="248">
        <v>16.989999999999998</v>
      </c>
      <c r="Q85" s="248">
        <v>22.58</v>
      </c>
      <c r="R85" s="248">
        <v>5.12</v>
      </c>
      <c r="S85" s="248">
        <v>108.49</v>
      </c>
      <c r="T85" s="247">
        <v>0.127</v>
      </c>
      <c r="U85" s="247">
        <v>4.6199999999999998E-2</v>
      </c>
      <c r="V85" s="247">
        <v>0.1087</v>
      </c>
      <c r="W85" s="247">
        <v>0.74580000000000002</v>
      </c>
      <c r="X85" s="247">
        <v>0.11840000000000001</v>
      </c>
      <c r="Y85" s="247">
        <v>0.5212</v>
      </c>
      <c r="Z85" s="247">
        <v>0.5212</v>
      </c>
    </row>
    <row r="86" spans="1:26" s="264" customFormat="1" ht="12.75">
      <c r="A86" s="246" t="s">
        <v>631</v>
      </c>
      <c r="B86" s="144">
        <v>732</v>
      </c>
      <c r="C86" s="247">
        <v>2.6499999999999999E-2</v>
      </c>
      <c r="D86" s="247">
        <v>2.5899999999999999E-2</v>
      </c>
      <c r="E86" s="247">
        <v>2.2800000000000001E-2</v>
      </c>
      <c r="F86" s="247">
        <v>0.31259999999999999</v>
      </c>
      <c r="G86" s="248">
        <v>0.72</v>
      </c>
      <c r="H86" s="248">
        <v>1.26</v>
      </c>
      <c r="I86" s="247">
        <v>0.1169</v>
      </c>
      <c r="J86" s="247">
        <v>0.50470000000000004</v>
      </c>
      <c r="K86" s="247">
        <v>5.0999999999999997E-2</v>
      </c>
      <c r="L86" s="247">
        <v>0.51619999999999999</v>
      </c>
      <c r="M86" s="247">
        <v>7.4999999999999997E-2</v>
      </c>
      <c r="N86" s="248">
        <v>1</v>
      </c>
      <c r="O86" s="248">
        <v>0.82</v>
      </c>
      <c r="P86" s="248">
        <v>7.69</v>
      </c>
      <c r="Q86" s="248">
        <v>28.79</v>
      </c>
      <c r="R86" s="248">
        <v>0.81</v>
      </c>
      <c r="S86" s="248">
        <v>99.27</v>
      </c>
      <c r="T86" s="247">
        <v>0.128</v>
      </c>
      <c r="U86" s="247">
        <v>5.8400000000000001E-2</v>
      </c>
      <c r="V86" s="247">
        <v>3.9899999999999998E-2</v>
      </c>
      <c r="W86" s="247">
        <v>1.5753999999999999</v>
      </c>
      <c r="X86" s="247">
        <v>-3.1800000000000002E-2</v>
      </c>
      <c r="Y86" s="247">
        <v>9.4999999999999998E-3</v>
      </c>
      <c r="Z86" s="247">
        <v>9.4999999999999998E-3</v>
      </c>
    </row>
    <row r="87" spans="1:26" s="264" customFormat="1" ht="12.75">
      <c r="A87" s="246" t="s">
        <v>632</v>
      </c>
      <c r="B87" s="144">
        <v>110</v>
      </c>
      <c r="C87" s="247">
        <v>5.5599999999999997E-2</v>
      </c>
      <c r="D87" s="247">
        <v>0.1323</v>
      </c>
      <c r="E87" s="247">
        <v>8.5400000000000004E-2</v>
      </c>
      <c r="F87" s="247">
        <v>0.3327</v>
      </c>
      <c r="G87" s="248">
        <v>0.85</v>
      </c>
      <c r="H87" s="248">
        <v>1.1599999999999999</v>
      </c>
      <c r="I87" s="247">
        <v>0.10929999999999999</v>
      </c>
      <c r="J87" s="247">
        <v>0.39510000000000001</v>
      </c>
      <c r="K87" s="247">
        <v>4.5999999999999999E-2</v>
      </c>
      <c r="L87" s="247">
        <v>0.3508</v>
      </c>
      <c r="M87" s="247">
        <v>8.2299999999999998E-2</v>
      </c>
      <c r="N87" s="248">
        <v>0.77</v>
      </c>
      <c r="O87" s="248">
        <v>2.0299999999999998</v>
      </c>
      <c r="P87" s="248">
        <v>6.3</v>
      </c>
      <c r="Q87" s="248">
        <v>15.22</v>
      </c>
      <c r="R87" s="248">
        <v>1.69</v>
      </c>
      <c r="S87" s="248">
        <v>77.400000000000006</v>
      </c>
      <c r="T87" s="247">
        <v>-8.6499999999999994E-2</v>
      </c>
      <c r="U87" s="247">
        <v>0.2011</v>
      </c>
      <c r="V87" s="247">
        <v>0.1079</v>
      </c>
      <c r="W87" s="247">
        <v>1.2862</v>
      </c>
      <c r="X87" s="247">
        <v>6.9599999999999995E-2</v>
      </c>
      <c r="Y87" s="247">
        <v>0.89600000000000002</v>
      </c>
      <c r="Z87" s="247">
        <v>0.89600000000000002</v>
      </c>
    </row>
    <row r="88" spans="1:26" s="264" customFormat="1" ht="12.75">
      <c r="A88" s="246" t="s">
        <v>633</v>
      </c>
      <c r="B88" s="144">
        <v>478</v>
      </c>
      <c r="C88" s="247">
        <v>3.6600000000000001E-2</v>
      </c>
      <c r="D88" s="247">
        <v>0.12959999999999999</v>
      </c>
      <c r="E88" s="247">
        <v>0.1113</v>
      </c>
      <c r="F88" s="247">
        <v>0.22800000000000001</v>
      </c>
      <c r="G88" s="248">
        <v>1.22</v>
      </c>
      <c r="H88" s="248">
        <v>1.3</v>
      </c>
      <c r="I88" s="247">
        <v>0.1192</v>
      </c>
      <c r="J88" s="247">
        <v>0.55349999999999999</v>
      </c>
      <c r="K88" s="247">
        <v>5.0999999999999997E-2</v>
      </c>
      <c r="L88" s="247">
        <v>0.15060000000000001</v>
      </c>
      <c r="M88" s="247">
        <v>0.1066</v>
      </c>
      <c r="N88" s="248">
        <v>0.97</v>
      </c>
      <c r="O88" s="248">
        <v>2.2799999999999998</v>
      </c>
      <c r="P88" s="248">
        <v>12.06</v>
      </c>
      <c r="Q88" s="248">
        <v>16.32</v>
      </c>
      <c r="R88" s="248">
        <v>2.74</v>
      </c>
      <c r="S88" s="248">
        <v>227.74</v>
      </c>
      <c r="T88" s="247">
        <v>0.20219999999999999</v>
      </c>
      <c r="U88" s="247">
        <v>3.8300000000000001E-2</v>
      </c>
      <c r="V88" s="247">
        <v>7.5700000000000003E-2</v>
      </c>
      <c r="W88" s="247">
        <v>0.88660000000000005</v>
      </c>
      <c r="X88" s="247">
        <v>0.1042</v>
      </c>
      <c r="Y88" s="247">
        <v>0.52180000000000004</v>
      </c>
      <c r="Z88" s="247">
        <v>0.52180000000000004</v>
      </c>
    </row>
    <row r="89" spans="1:26" s="264" customFormat="1" ht="12.75">
      <c r="A89" s="246" t="s">
        <v>634</v>
      </c>
      <c r="B89" s="144">
        <v>292</v>
      </c>
      <c r="C89" s="247">
        <v>3.49E-2</v>
      </c>
      <c r="D89" s="247">
        <v>0.1343</v>
      </c>
      <c r="E89" s="247">
        <v>0.1081</v>
      </c>
      <c r="F89" s="247">
        <v>0.26750000000000002</v>
      </c>
      <c r="G89" s="248">
        <v>0.64</v>
      </c>
      <c r="H89" s="248">
        <v>0.96</v>
      </c>
      <c r="I89" s="247">
        <v>9.4200000000000006E-2</v>
      </c>
      <c r="J89" s="247">
        <v>0.44619999999999999</v>
      </c>
      <c r="K89" s="247">
        <v>4.5999999999999999E-2</v>
      </c>
      <c r="L89" s="247">
        <v>0.39100000000000001</v>
      </c>
      <c r="M89" s="247">
        <v>7.0000000000000007E-2</v>
      </c>
      <c r="N89" s="248">
        <v>0.94</v>
      </c>
      <c r="O89" s="248">
        <v>2.16</v>
      </c>
      <c r="P89" s="248">
        <v>6.92</v>
      </c>
      <c r="Q89" s="248">
        <v>15.87</v>
      </c>
      <c r="R89" s="248">
        <v>2.0099999999999998</v>
      </c>
      <c r="S89" s="248">
        <v>41.37</v>
      </c>
      <c r="T89" s="247">
        <v>-1.32E-2</v>
      </c>
      <c r="U89" s="247">
        <v>0.13070000000000001</v>
      </c>
      <c r="V89" s="247">
        <v>2.69E-2</v>
      </c>
      <c r="W89" s="247">
        <v>0.35049999999999998</v>
      </c>
      <c r="X89" s="247">
        <v>0.10639999999999999</v>
      </c>
      <c r="Y89" s="247">
        <v>0.7994</v>
      </c>
      <c r="Z89" s="247">
        <v>0.7994</v>
      </c>
    </row>
    <row r="90" spans="1:26" s="264" customFormat="1" ht="12.75">
      <c r="A90" s="246" t="s">
        <v>635</v>
      </c>
      <c r="B90" s="144">
        <v>61</v>
      </c>
      <c r="C90" s="247">
        <v>5.8099999999999999E-2</v>
      </c>
      <c r="D90" s="247">
        <v>0.27150000000000002</v>
      </c>
      <c r="E90" s="247">
        <v>0.44529999999999997</v>
      </c>
      <c r="F90" s="247">
        <v>0.30059999999999998</v>
      </c>
      <c r="G90" s="248">
        <v>0.81</v>
      </c>
      <c r="H90" s="248">
        <v>0.9</v>
      </c>
      <c r="I90" s="247">
        <v>9.01E-2</v>
      </c>
      <c r="J90" s="247">
        <v>0.39760000000000001</v>
      </c>
      <c r="K90" s="247">
        <v>4.5999999999999999E-2</v>
      </c>
      <c r="L90" s="247">
        <v>0.1502</v>
      </c>
      <c r="M90" s="247">
        <v>8.14E-2</v>
      </c>
      <c r="N90" s="248">
        <v>1.95</v>
      </c>
      <c r="O90" s="248">
        <v>4.41</v>
      </c>
      <c r="P90" s="248">
        <v>14.47</v>
      </c>
      <c r="Q90" s="248">
        <v>16.190000000000001</v>
      </c>
      <c r="R90" s="248">
        <v>10.61</v>
      </c>
      <c r="S90" s="248">
        <v>18.21</v>
      </c>
      <c r="T90" s="247">
        <v>0.1042</v>
      </c>
      <c r="U90" s="247">
        <v>3.1E-2</v>
      </c>
      <c r="V90" s="247">
        <v>0.15479999999999999</v>
      </c>
      <c r="W90" s="247">
        <v>0.79379999999999995</v>
      </c>
      <c r="X90" s="247">
        <v>0.61709999999999998</v>
      </c>
      <c r="Y90" s="247">
        <v>0.6694</v>
      </c>
      <c r="Z90" s="247">
        <v>0.6694</v>
      </c>
    </row>
    <row r="91" spans="1:26" s="264" customFormat="1" ht="12.75">
      <c r="A91" s="246" t="s">
        <v>636</v>
      </c>
      <c r="B91" s="144">
        <v>222</v>
      </c>
      <c r="C91" s="247">
        <v>0.12690000000000001</v>
      </c>
      <c r="D91" s="247">
        <v>8.2299999999999998E-2</v>
      </c>
      <c r="E91" s="247">
        <v>0.10150000000000001</v>
      </c>
      <c r="F91" s="247">
        <v>0.27789999999999998</v>
      </c>
      <c r="G91" s="248">
        <v>0.89</v>
      </c>
      <c r="H91" s="248">
        <v>1.1499999999999999</v>
      </c>
      <c r="I91" s="247">
        <v>0.1084</v>
      </c>
      <c r="J91" s="247">
        <v>0.43919999999999998</v>
      </c>
      <c r="K91" s="247">
        <v>4.5999999999999999E-2</v>
      </c>
      <c r="L91" s="247">
        <v>0.33289999999999997</v>
      </c>
      <c r="M91" s="247">
        <v>8.3000000000000004E-2</v>
      </c>
      <c r="N91" s="248">
        <v>1.55</v>
      </c>
      <c r="O91" s="248">
        <v>1.32</v>
      </c>
      <c r="P91" s="248">
        <v>9.5500000000000007</v>
      </c>
      <c r="Q91" s="248">
        <v>15.9</v>
      </c>
      <c r="R91" s="248">
        <v>2.2999999999999998</v>
      </c>
      <c r="S91" s="248">
        <v>32.340000000000003</v>
      </c>
      <c r="T91" s="247">
        <v>3.4799999999999998E-2</v>
      </c>
      <c r="U91" s="247">
        <v>4.7199999999999999E-2</v>
      </c>
      <c r="V91" s="247">
        <v>3.56E-2</v>
      </c>
      <c r="W91" s="247">
        <v>0.69079999999999997</v>
      </c>
      <c r="X91" s="247">
        <v>0.1231</v>
      </c>
      <c r="Y91" s="247">
        <v>0.57099999999999995</v>
      </c>
      <c r="Z91" s="247">
        <v>0.57099999999999995</v>
      </c>
    </row>
    <row r="92" spans="1:26" s="264" customFormat="1" ht="12.75">
      <c r="A92" s="246" t="s">
        <v>637</v>
      </c>
      <c r="B92" s="144">
        <v>54</v>
      </c>
      <c r="C92" s="247">
        <v>4.7600000000000003E-2</v>
      </c>
      <c r="D92" s="247">
        <v>0.23230000000000001</v>
      </c>
      <c r="E92" s="247">
        <v>9.5799999999999996E-2</v>
      </c>
      <c r="F92" s="247">
        <v>0.32519999999999999</v>
      </c>
      <c r="G92" s="248">
        <v>0.79</v>
      </c>
      <c r="H92" s="248">
        <v>1</v>
      </c>
      <c r="I92" s="247">
        <v>9.7600000000000006E-2</v>
      </c>
      <c r="J92" s="247">
        <v>0.29909999999999998</v>
      </c>
      <c r="K92" s="247">
        <v>4.5999999999999999E-2</v>
      </c>
      <c r="L92" s="247">
        <v>0.28139999999999998</v>
      </c>
      <c r="M92" s="247">
        <v>7.9200000000000007E-2</v>
      </c>
      <c r="N92" s="248">
        <v>0.54</v>
      </c>
      <c r="O92" s="248">
        <v>3.09</v>
      </c>
      <c r="P92" s="248">
        <v>9.24</v>
      </c>
      <c r="Q92" s="248">
        <v>13.31</v>
      </c>
      <c r="R92" s="248">
        <v>2.2400000000000002</v>
      </c>
      <c r="S92" s="248">
        <v>29.35</v>
      </c>
      <c r="T92" s="247">
        <v>-4.1000000000000003E-3</v>
      </c>
      <c r="U92" s="247">
        <v>0.17710000000000001</v>
      </c>
      <c r="V92" s="247">
        <v>0.13420000000000001</v>
      </c>
      <c r="W92" s="247">
        <v>0.87</v>
      </c>
      <c r="X92" s="247">
        <v>0.13639999999999999</v>
      </c>
      <c r="Y92" s="247">
        <v>0.33400000000000002</v>
      </c>
      <c r="Z92" s="247">
        <v>0.33400000000000002</v>
      </c>
    </row>
    <row r="93" spans="1:26" s="264" customFormat="1" ht="12.75">
      <c r="A93" s="246" t="s">
        <v>638</v>
      </c>
      <c r="B93" s="144">
        <v>193</v>
      </c>
      <c r="C93" s="247">
        <v>4.3499999999999997E-2</v>
      </c>
      <c r="D93" s="247">
        <v>7.9100000000000004E-2</v>
      </c>
      <c r="E93" s="247">
        <v>9.4600000000000004E-2</v>
      </c>
      <c r="F93" s="247">
        <v>0.30659999999999998</v>
      </c>
      <c r="G93" s="248">
        <v>0.65</v>
      </c>
      <c r="H93" s="248">
        <v>0.98</v>
      </c>
      <c r="I93" s="247">
        <v>9.5699999999999993E-2</v>
      </c>
      <c r="J93" s="247">
        <v>0.39610000000000001</v>
      </c>
      <c r="K93" s="247">
        <v>4.5999999999999999E-2</v>
      </c>
      <c r="L93" s="247">
        <v>0.44209999999999999</v>
      </c>
      <c r="M93" s="247">
        <v>6.7599999999999993E-2</v>
      </c>
      <c r="N93" s="248">
        <v>1.55</v>
      </c>
      <c r="O93" s="248">
        <v>1.21</v>
      </c>
      <c r="P93" s="248">
        <v>7.93</v>
      </c>
      <c r="Q93" s="248">
        <v>15.19</v>
      </c>
      <c r="R93" s="248">
        <v>2.1</v>
      </c>
      <c r="S93" s="248">
        <v>24.18</v>
      </c>
      <c r="T93" s="247">
        <v>8.7099999999999997E-2</v>
      </c>
      <c r="U93" s="247">
        <v>0.1038</v>
      </c>
      <c r="V93" s="247">
        <v>8.8300000000000003E-2</v>
      </c>
      <c r="W93" s="247">
        <v>1.6274</v>
      </c>
      <c r="X93" s="247">
        <v>0.1137</v>
      </c>
      <c r="Y93" s="247">
        <v>0.26379999999999998</v>
      </c>
      <c r="Z93" s="247">
        <v>0.26379999999999998</v>
      </c>
    </row>
    <row r="94" spans="1:26" s="264" customFormat="1" ht="12.75">
      <c r="A94" s="246" t="s">
        <v>639</v>
      </c>
      <c r="B94" s="144">
        <v>48</v>
      </c>
      <c r="C94" s="247">
        <v>0.109</v>
      </c>
      <c r="D94" s="247">
        <v>0.6623</v>
      </c>
      <c r="E94" s="247">
        <v>3.85E-2</v>
      </c>
      <c r="F94" s="247">
        <v>7.7000000000000002E-3</v>
      </c>
      <c r="G94" s="248">
        <v>0.61</v>
      </c>
      <c r="H94" s="248">
        <v>0.62</v>
      </c>
      <c r="I94" s="247">
        <v>6.9000000000000006E-2</v>
      </c>
      <c r="J94" s="247">
        <v>0.26390000000000002</v>
      </c>
      <c r="K94" s="247">
        <v>4.5999999999999999E-2</v>
      </c>
      <c r="L94" s="247">
        <v>6.6600000000000006E-2</v>
      </c>
      <c r="M94" s="247">
        <v>6.6500000000000004E-2</v>
      </c>
      <c r="N94" s="248">
        <v>0.06</v>
      </c>
      <c r="O94" s="248">
        <v>14.32</v>
      </c>
      <c r="P94" s="248">
        <v>16.7</v>
      </c>
      <c r="Q94" s="248">
        <v>7.16</v>
      </c>
      <c r="R94" s="248">
        <v>0.92</v>
      </c>
      <c r="S94" s="248">
        <v>307.02</v>
      </c>
      <c r="T94" s="247">
        <v>0.67220000000000002</v>
      </c>
      <c r="U94" s="247">
        <v>1.1599999999999999E-2</v>
      </c>
      <c r="V94" s="247">
        <v>4.5999999999999999E-3</v>
      </c>
      <c r="W94" s="247">
        <v>1.4200000000000001E-2</v>
      </c>
      <c r="X94" s="247">
        <v>3.4000000000000002E-2</v>
      </c>
      <c r="Y94" s="247">
        <v>0.60550000000000004</v>
      </c>
      <c r="Z94" s="247">
        <v>0.60550000000000004</v>
      </c>
    </row>
    <row r="95" spans="1:26" s="264" customFormat="1" ht="12.75">
      <c r="A95" s="246" t="s">
        <v>640</v>
      </c>
      <c r="B95" s="144">
        <v>57</v>
      </c>
      <c r="C95" s="247">
        <v>1.04E-2</v>
      </c>
      <c r="D95" s="247">
        <v>0.1019</v>
      </c>
      <c r="E95" s="247">
        <v>7.0300000000000001E-2</v>
      </c>
      <c r="F95" s="247">
        <v>0.31090000000000001</v>
      </c>
      <c r="G95" s="248">
        <v>0.51</v>
      </c>
      <c r="H95" s="248">
        <v>0.84</v>
      </c>
      <c r="I95" s="247">
        <v>8.5000000000000006E-2</v>
      </c>
      <c r="J95" s="247">
        <v>0.29210000000000003</v>
      </c>
      <c r="K95" s="247">
        <v>4.5999999999999999E-2</v>
      </c>
      <c r="L95" s="247">
        <v>0.47810000000000002</v>
      </c>
      <c r="M95" s="247">
        <v>5.9700000000000003E-2</v>
      </c>
      <c r="N95" s="248">
        <v>0.89</v>
      </c>
      <c r="O95" s="248">
        <v>1.48</v>
      </c>
      <c r="P95" s="248">
        <v>8.33</v>
      </c>
      <c r="Q95" s="248">
        <v>14.47</v>
      </c>
      <c r="R95" s="248">
        <v>1.43</v>
      </c>
      <c r="S95" s="248">
        <v>34.56</v>
      </c>
      <c r="T95" s="247">
        <v>1.1999999999999999E-3</v>
      </c>
      <c r="U95" s="247">
        <v>0.12</v>
      </c>
      <c r="V95" s="247">
        <v>6.5799999999999997E-2</v>
      </c>
      <c r="W95" s="247">
        <v>0.80389999999999995</v>
      </c>
      <c r="X95" s="247">
        <v>0.03</v>
      </c>
      <c r="Y95" s="247">
        <v>2.0163000000000002</v>
      </c>
      <c r="Z95" s="247">
        <v>2.0163000000000002</v>
      </c>
    </row>
    <row r="96" spans="1:26" s="264" customFormat="1" ht="12.75">
      <c r="A96" s="246" t="s">
        <v>641</v>
      </c>
      <c r="B96" s="144">
        <v>96</v>
      </c>
      <c r="C96" s="247">
        <v>0.12520000000000001</v>
      </c>
      <c r="D96" s="247">
        <v>0.25700000000000001</v>
      </c>
      <c r="E96" s="247">
        <v>7.1300000000000002E-2</v>
      </c>
      <c r="F96" s="247">
        <v>0.2167</v>
      </c>
      <c r="G96" s="248">
        <v>0.71</v>
      </c>
      <c r="H96" s="248">
        <v>0.95</v>
      </c>
      <c r="I96" s="247">
        <v>9.3299999999999994E-2</v>
      </c>
      <c r="J96" s="247">
        <v>0.42870000000000003</v>
      </c>
      <c r="K96" s="247">
        <v>4.5999999999999999E-2</v>
      </c>
      <c r="L96" s="247">
        <v>0.3306</v>
      </c>
      <c r="M96" s="247">
        <v>7.3099999999999998E-2</v>
      </c>
      <c r="N96" s="248">
        <v>0.33</v>
      </c>
      <c r="O96" s="248">
        <v>5.36</v>
      </c>
      <c r="P96" s="248">
        <v>14.09</v>
      </c>
      <c r="Q96" s="248">
        <v>20.68</v>
      </c>
      <c r="R96" s="248">
        <v>2.25</v>
      </c>
      <c r="S96" s="248">
        <v>49.63</v>
      </c>
      <c r="T96" s="247">
        <v>7.17E-2</v>
      </c>
      <c r="U96" s="247">
        <v>0.2104</v>
      </c>
      <c r="V96" s="247">
        <v>0.1648</v>
      </c>
      <c r="W96" s="247">
        <v>0.9667</v>
      </c>
      <c r="X96" s="247">
        <v>9.5500000000000002E-2</v>
      </c>
      <c r="Y96" s="247">
        <v>0.59509999999999996</v>
      </c>
      <c r="Z96" s="247">
        <v>0.59509999999999996</v>
      </c>
    </row>
  </sheetData>
  <pageMargins left="0.7" right="0.7" top="0.75" bottom="0.75"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topLeftCell="A38" workbookViewId="0">
      <selection activeCell="E164" sqref="E164:E173"/>
    </sheetView>
  </sheetViews>
  <sheetFormatPr baseColWidth="10" defaultRowHeight="12"/>
  <cols>
    <col min="1" max="1" width="27" bestFit="1" customWidth="1"/>
    <col min="2" max="2" width="16" bestFit="1" customWidth="1"/>
  </cols>
  <sheetData>
    <row r="1" spans="1:15" ht="15.75">
      <c r="A1" s="250" t="s">
        <v>360</v>
      </c>
      <c r="B1" s="252" t="s">
        <v>496</v>
      </c>
      <c r="G1" s="250" t="s">
        <v>360</v>
      </c>
      <c r="H1" s="251" t="s">
        <v>644</v>
      </c>
      <c r="I1" s="251" t="s">
        <v>387</v>
      </c>
      <c r="J1" s="252" t="s">
        <v>496</v>
      </c>
      <c r="K1" s="253" t="s">
        <v>645</v>
      </c>
      <c r="N1" s="250" t="s">
        <v>360</v>
      </c>
      <c r="O1" s="252" t="s">
        <v>496</v>
      </c>
    </row>
    <row r="2" spans="1:15" ht="15.75">
      <c r="A2" s="254" t="s">
        <v>497</v>
      </c>
      <c r="B2" s="255">
        <v>0.55000000000000004</v>
      </c>
      <c r="G2" s="254" t="s">
        <v>497</v>
      </c>
      <c r="H2" s="255">
        <v>5.0000000000000001E-3</v>
      </c>
      <c r="I2" s="255">
        <v>6.5000000000000002E-2</v>
      </c>
      <c r="J2" s="255">
        <v>0.55000000000000004</v>
      </c>
      <c r="K2" s="256">
        <v>7.4999999999999997E-3</v>
      </c>
      <c r="N2" s="254" t="s">
        <v>497</v>
      </c>
      <c r="O2" s="255">
        <v>0.55000000000000004</v>
      </c>
    </row>
    <row r="3" spans="1:15" ht="15.75">
      <c r="A3" s="254" t="s">
        <v>251</v>
      </c>
      <c r="B3" s="255">
        <v>0.15</v>
      </c>
      <c r="G3" s="254" t="s">
        <v>251</v>
      </c>
      <c r="H3" s="255">
        <v>4.4999999999999998E-2</v>
      </c>
      <c r="I3" s="255">
        <v>0.125</v>
      </c>
      <c r="J3" s="255">
        <v>0.15</v>
      </c>
      <c r="K3" s="256">
        <v>6.7500000000000004E-2</v>
      </c>
      <c r="N3" s="254" t="s">
        <v>251</v>
      </c>
      <c r="O3" s="255">
        <v>0.15</v>
      </c>
    </row>
    <row r="4" spans="1:15" ht="15.75">
      <c r="A4" s="254" t="s">
        <v>498</v>
      </c>
      <c r="B4" s="255">
        <v>0.19</v>
      </c>
      <c r="G4" s="254" t="s">
        <v>498</v>
      </c>
      <c r="H4" s="255">
        <v>7.4999999999999997E-3</v>
      </c>
      <c r="I4" s="255">
        <v>6.88E-2</v>
      </c>
      <c r="J4" s="255">
        <v>0.19</v>
      </c>
      <c r="K4" s="256">
        <v>1.1299999999999999E-2</v>
      </c>
      <c r="N4" s="254" t="s">
        <v>498</v>
      </c>
      <c r="O4" s="255">
        <v>0.19</v>
      </c>
    </row>
    <row r="5" spans="1:15" ht="15.75">
      <c r="A5" s="254" t="s">
        <v>252</v>
      </c>
      <c r="B5" s="255">
        <v>0.35</v>
      </c>
      <c r="G5" s="254" t="s">
        <v>252</v>
      </c>
      <c r="H5" s="255">
        <v>0.03</v>
      </c>
      <c r="I5" s="255">
        <v>0.10249999999999999</v>
      </c>
      <c r="J5" s="255">
        <v>0.35</v>
      </c>
      <c r="K5" s="256">
        <v>4.4999999999999998E-2</v>
      </c>
      <c r="N5" s="254" t="s">
        <v>252</v>
      </c>
      <c r="O5" s="255">
        <v>0.35</v>
      </c>
    </row>
    <row r="6" spans="1:15" ht="15.75">
      <c r="A6" s="257" t="s">
        <v>499</v>
      </c>
      <c r="B6" s="258">
        <v>0.16669999999999999</v>
      </c>
      <c r="G6" s="257" t="s">
        <v>499</v>
      </c>
      <c r="H6" s="258">
        <v>5.7500000000000002E-2</v>
      </c>
      <c r="I6" s="258">
        <v>0.14369999999999999</v>
      </c>
      <c r="J6" s="258">
        <v>0.16669999999999999</v>
      </c>
      <c r="K6" s="256">
        <v>8.6199999999999999E-2</v>
      </c>
      <c r="N6" s="257" t="s">
        <v>499</v>
      </c>
      <c r="O6" s="258">
        <v>0.16669999999999999</v>
      </c>
    </row>
    <row r="7" spans="1:15" ht="15.75">
      <c r="A7" s="257" t="s">
        <v>253</v>
      </c>
      <c r="B7" s="258">
        <v>0.35</v>
      </c>
      <c r="G7" s="257" t="s">
        <v>253</v>
      </c>
      <c r="H7" s="258">
        <v>7.4999999999999997E-2</v>
      </c>
      <c r="I7" s="258">
        <v>0.17</v>
      </c>
      <c r="J7" s="258">
        <v>0.35</v>
      </c>
      <c r="K7" s="256">
        <v>0.1125</v>
      </c>
      <c r="N7" s="257" t="s">
        <v>253</v>
      </c>
      <c r="O7" s="258">
        <v>0.35</v>
      </c>
    </row>
    <row r="8" spans="1:15" ht="15.75">
      <c r="A8" s="254" t="s">
        <v>254</v>
      </c>
      <c r="B8" s="255">
        <v>0.2</v>
      </c>
      <c r="G8" s="254" t="s">
        <v>254</v>
      </c>
      <c r="H8" s="255">
        <v>0.03</v>
      </c>
      <c r="I8" s="255">
        <v>0.10249999999999999</v>
      </c>
      <c r="J8" s="255">
        <v>0.2</v>
      </c>
      <c r="K8" s="256">
        <v>4.4999999999999998E-2</v>
      </c>
      <c r="N8" s="254" t="s">
        <v>254</v>
      </c>
      <c r="O8" s="255">
        <v>0.2</v>
      </c>
    </row>
    <row r="9" spans="1:15" ht="15.75">
      <c r="A9" s="254" t="s">
        <v>255</v>
      </c>
      <c r="B9" s="255">
        <v>0.28000000000000003</v>
      </c>
      <c r="G9" s="254" t="s">
        <v>255</v>
      </c>
      <c r="H9" s="255">
        <v>6.5000000000000002E-2</v>
      </c>
      <c r="I9" s="255">
        <v>0.155</v>
      </c>
      <c r="J9" s="255">
        <v>0.28000000000000003</v>
      </c>
      <c r="K9" s="256">
        <v>9.7500000000000003E-2</v>
      </c>
      <c r="N9" s="254" t="s">
        <v>255</v>
      </c>
      <c r="O9" s="255">
        <v>0.28000000000000003</v>
      </c>
    </row>
    <row r="10" spans="1:15" ht="15.75">
      <c r="A10" s="257" t="s">
        <v>256</v>
      </c>
      <c r="B10" s="258">
        <v>0.3</v>
      </c>
      <c r="G10" s="257" t="s">
        <v>256</v>
      </c>
      <c r="H10" s="258">
        <v>0</v>
      </c>
      <c r="I10" s="258">
        <v>5.7500000000000002E-2</v>
      </c>
      <c r="J10" s="258">
        <v>0.3</v>
      </c>
      <c r="K10" s="256">
        <v>0</v>
      </c>
      <c r="N10" s="257" t="s">
        <v>256</v>
      </c>
      <c r="O10" s="258">
        <v>0.3</v>
      </c>
    </row>
    <row r="11" spans="1:15" ht="15.75">
      <c r="A11" s="257" t="s">
        <v>257</v>
      </c>
      <c r="B11" s="258">
        <v>0.25</v>
      </c>
      <c r="G11" s="257" t="s">
        <v>257</v>
      </c>
      <c r="H11" s="258">
        <v>0</v>
      </c>
      <c r="I11" s="258">
        <v>5.7500000000000002E-2</v>
      </c>
      <c r="J11" s="258">
        <v>0.25</v>
      </c>
      <c r="K11" s="256">
        <v>0</v>
      </c>
      <c r="N11" s="257" t="s">
        <v>257</v>
      </c>
      <c r="O11" s="258">
        <v>0.25</v>
      </c>
    </row>
    <row r="12" spans="1:15" ht="15.75">
      <c r="A12" s="257" t="s">
        <v>369</v>
      </c>
      <c r="B12" s="258">
        <v>0.25</v>
      </c>
      <c r="G12" s="257" t="s">
        <v>369</v>
      </c>
      <c r="H12" s="258">
        <v>2.1999999999999999E-2</v>
      </c>
      <c r="I12" s="258">
        <v>9.0499999999999997E-2</v>
      </c>
      <c r="J12" s="258">
        <v>0.25</v>
      </c>
      <c r="K12" s="256">
        <v>3.3000000000000002E-2</v>
      </c>
      <c r="N12" s="257" t="s">
        <v>369</v>
      </c>
      <c r="O12" s="258">
        <v>0.25</v>
      </c>
    </row>
    <row r="13" spans="1:15" ht="15.75">
      <c r="A13" s="257" t="s">
        <v>258</v>
      </c>
      <c r="B13" s="258">
        <v>0</v>
      </c>
      <c r="G13" s="257" t="s">
        <v>258</v>
      </c>
      <c r="H13" s="258">
        <v>1.9E-2</v>
      </c>
      <c r="I13" s="258">
        <v>8.5999999999999993E-2</v>
      </c>
      <c r="J13" s="258">
        <v>0</v>
      </c>
      <c r="K13" s="256">
        <v>2.8500000000000001E-2</v>
      </c>
      <c r="N13" s="257" t="s">
        <v>258</v>
      </c>
      <c r="O13" s="258">
        <v>0</v>
      </c>
    </row>
    <row r="14" spans="1:15" ht="15.75">
      <c r="A14" s="257" t="s">
        <v>259</v>
      </c>
      <c r="B14" s="258">
        <v>0</v>
      </c>
      <c r="G14" s="257" t="s">
        <v>259</v>
      </c>
      <c r="H14" s="258">
        <v>1.9E-2</v>
      </c>
      <c r="I14" s="258">
        <v>8.5999999999999993E-2</v>
      </c>
      <c r="J14" s="258">
        <v>0</v>
      </c>
      <c r="K14" s="256">
        <v>2.8500000000000001E-2</v>
      </c>
      <c r="N14" s="257" t="s">
        <v>259</v>
      </c>
      <c r="O14" s="258">
        <v>0</v>
      </c>
    </row>
    <row r="15" spans="1:15" ht="15.75">
      <c r="A15" s="257" t="s">
        <v>260</v>
      </c>
      <c r="B15" s="258">
        <v>0.27500000000000002</v>
      </c>
      <c r="G15" s="257" t="s">
        <v>260</v>
      </c>
      <c r="H15" s="258">
        <v>3.5999999999999997E-2</v>
      </c>
      <c r="I15" s="258">
        <v>0.1115</v>
      </c>
      <c r="J15" s="258">
        <v>0.27500000000000002</v>
      </c>
      <c r="K15" s="256">
        <v>5.3999999999999999E-2</v>
      </c>
      <c r="N15" s="257" t="s">
        <v>260</v>
      </c>
      <c r="O15" s="258">
        <v>0.27500000000000002</v>
      </c>
    </row>
    <row r="16" spans="1:15" ht="15.75">
      <c r="A16" s="257" t="s">
        <v>261</v>
      </c>
      <c r="B16" s="258">
        <v>0.25</v>
      </c>
      <c r="G16" s="257" t="s">
        <v>261</v>
      </c>
      <c r="H16" s="258">
        <v>6.5000000000000002E-2</v>
      </c>
      <c r="I16" s="258">
        <v>0.155</v>
      </c>
      <c r="J16" s="258">
        <v>0.25</v>
      </c>
      <c r="K16" s="256">
        <v>9.7500000000000003E-2</v>
      </c>
      <c r="N16" s="257" t="s">
        <v>261</v>
      </c>
      <c r="O16" s="258">
        <v>0.25</v>
      </c>
    </row>
    <row r="17" spans="1:15" ht="15.75">
      <c r="A17" s="254" t="s">
        <v>262</v>
      </c>
      <c r="B17" s="255">
        <v>0.18</v>
      </c>
      <c r="G17" s="254" t="s">
        <v>262</v>
      </c>
      <c r="H17" s="255">
        <v>6.5000000000000002E-2</v>
      </c>
      <c r="I17" s="255">
        <v>0.155</v>
      </c>
      <c r="J17" s="255">
        <v>0.18</v>
      </c>
      <c r="K17" s="256">
        <v>9.7500000000000003E-2</v>
      </c>
      <c r="N17" s="254" t="s">
        <v>262</v>
      </c>
      <c r="O17" s="255">
        <v>0.18</v>
      </c>
    </row>
    <row r="18" spans="1:15" ht="15.75">
      <c r="A18" s="257" t="s">
        <v>263</v>
      </c>
      <c r="B18" s="258">
        <v>0.33989999999999998</v>
      </c>
      <c r="G18" s="257" t="s">
        <v>263</v>
      </c>
      <c r="H18" s="258">
        <v>6.0000000000000001E-3</v>
      </c>
      <c r="I18" s="258">
        <v>6.6500000000000004E-2</v>
      </c>
      <c r="J18" s="258">
        <v>0.33989999999999998</v>
      </c>
      <c r="K18" s="256">
        <v>8.9999999999999993E-3</v>
      </c>
      <c r="N18" s="257" t="s">
        <v>263</v>
      </c>
      <c r="O18" s="258">
        <v>0.33989999999999998</v>
      </c>
    </row>
    <row r="19" spans="1:15" ht="15.75">
      <c r="A19" s="257" t="s">
        <v>372</v>
      </c>
      <c r="B19" s="258">
        <v>0.33989999999999998</v>
      </c>
      <c r="G19" s="257" t="s">
        <v>372</v>
      </c>
      <c r="H19" s="258">
        <v>0.09</v>
      </c>
      <c r="I19" s="258">
        <v>0.1925</v>
      </c>
      <c r="J19" s="258">
        <v>0.33989999999999998</v>
      </c>
      <c r="K19" s="256">
        <v>0.13500000000000001</v>
      </c>
      <c r="N19" s="257" t="s">
        <v>372</v>
      </c>
      <c r="O19" s="258">
        <v>0.33989999999999998</v>
      </c>
    </row>
    <row r="20" spans="1:15" ht="15.75">
      <c r="A20" s="257" t="s">
        <v>500</v>
      </c>
      <c r="B20" s="258">
        <v>0.27850000000000003</v>
      </c>
      <c r="G20" s="257" t="s">
        <v>500</v>
      </c>
      <c r="H20" s="258">
        <v>3.9899999999999998E-2</v>
      </c>
      <c r="I20" s="258">
        <v>0.1173</v>
      </c>
      <c r="J20" s="258">
        <v>0.27850000000000003</v>
      </c>
      <c r="K20" s="256">
        <v>5.9799999999999999E-2</v>
      </c>
      <c r="N20" s="257" t="s">
        <v>500</v>
      </c>
      <c r="O20" s="258">
        <v>0.27850000000000003</v>
      </c>
    </row>
    <row r="21" spans="1:15" ht="15.75">
      <c r="A21" s="257" t="s">
        <v>264</v>
      </c>
      <c r="B21" s="258">
        <v>0</v>
      </c>
      <c r="G21" s="257" t="s">
        <v>264</v>
      </c>
      <c r="H21" s="258">
        <v>7.0000000000000001E-3</v>
      </c>
      <c r="I21" s="258">
        <v>6.8000000000000005E-2</v>
      </c>
      <c r="J21" s="258">
        <v>0</v>
      </c>
      <c r="K21" s="256">
        <v>1.0500000000000001E-2</v>
      </c>
      <c r="N21" s="257" t="s">
        <v>264</v>
      </c>
      <c r="O21" s="258">
        <v>0</v>
      </c>
    </row>
    <row r="22" spans="1:15" ht="15.75">
      <c r="A22" s="254" t="s">
        <v>265</v>
      </c>
      <c r="B22" s="255">
        <v>0.25</v>
      </c>
      <c r="G22" s="254" t="s">
        <v>265</v>
      </c>
      <c r="H22" s="255">
        <v>3.5999999999999997E-2</v>
      </c>
      <c r="I22" s="255">
        <v>0.1115</v>
      </c>
      <c r="J22" s="255">
        <v>0.25</v>
      </c>
      <c r="K22" s="256">
        <v>5.3999999999999999E-2</v>
      </c>
      <c r="N22" s="254" t="s">
        <v>265</v>
      </c>
      <c r="O22" s="255">
        <v>0.25</v>
      </c>
    </row>
    <row r="23" spans="1:15" ht="15.75">
      <c r="A23" s="254" t="s">
        <v>266</v>
      </c>
      <c r="B23" s="255">
        <v>0.1</v>
      </c>
      <c r="G23" s="254" t="s">
        <v>266</v>
      </c>
      <c r="H23" s="255">
        <v>6.5000000000000002E-2</v>
      </c>
      <c r="I23" s="255">
        <v>0.155</v>
      </c>
      <c r="J23" s="255">
        <v>0.1</v>
      </c>
      <c r="K23" s="256">
        <v>9.7500000000000003E-2</v>
      </c>
      <c r="N23" s="254" t="s">
        <v>266</v>
      </c>
      <c r="O23" s="255">
        <v>0.1</v>
      </c>
    </row>
    <row r="24" spans="1:15" ht="15.75">
      <c r="A24" s="257" t="s">
        <v>267</v>
      </c>
      <c r="B24" s="258">
        <v>0.22</v>
      </c>
      <c r="G24" s="257" t="s">
        <v>267</v>
      </c>
      <c r="H24" s="258">
        <v>8.5000000000000006E-3</v>
      </c>
      <c r="I24" s="258">
        <v>7.0300000000000001E-2</v>
      </c>
      <c r="J24" s="258">
        <v>0.22</v>
      </c>
      <c r="K24" s="256">
        <v>1.2749999999999999E-2</v>
      </c>
      <c r="N24" s="257" t="s">
        <v>267</v>
      </c>
      <c r="O24" s="258">
        <v>0.22</v>
      </c>
    </row>
    <row r="25" spans="1:15" ht="15.75">
      <c r="A25" s="257" t="s">
        <v>268</v>
      </c>
      <c r="B25" s="258">
        <v>0.25</v>
      </c>
      <c r="G25" s="257" t="s">
        <v>268</v>
      </c>
      <c r="H25" s="258">
        <v>1.9E-2</v>
      </c>
      <c r="I25" s="258">
        <v>8.5999999999999993E-2</v>
      </c>
      <c r="J25" s="258">
        <v>0.25</v>
      </c>
      <c r="K25" s="256">
        <v>2.8500000000000001E-2</v>
      </c>
      <c r="N25" s="257" t="s">
        <v>268</v>
      </c>
      <c r="O25" s="258">
        <v>0.25</v>
      </c>
    </row>
    <row r="26" spans="1:15" ht="15.75">
      <c r="A26" s="257" t="s">
        <v>501</v>
      </c>
      <c r="B26" s="258">
        <v>0.16669999999999999</v>
      </c>
      <c r="G26" s="257" t="s">
        <v>501</v>
      </c>
      <c r="H26" s="258">
        <v>5.7500000000000002E-2</v>
      </c>
      <c r="I26" s="258">
        <v>0.14369999999999999</v>
      </c>
      <c r="J26" s="258">
        <v>0.16669999999999999</v>
      </c>
      <c r="K26" s="256">
        <v>8.6199999999999999E-2</v>
      </c>
      <c r="N26" s="257" t="s">
        <v>501</v>
      </c>
      <c r="O26" s="258">
        <v>0.16669999999999999</v>
      </c>
    </row>
    <row r="27" spans="1:15" ht="15.75">
      <c r="A27" s="257" t="s">
        <v>269</v>
      </c>
      <c r="B27" s="258">
        <v>0.1</v>
      </c>
      <c r="G27" s="257" t="s">
        <v>269</v>
      </c>
      <c r="H27" s="258">
        <v>1.9E-2</v>
      </c>
      <c r="I27" s="258">
        <v>8.5999999999999993E-2</v>
      </c>
      <c r="J27" s="258">
        <v>0.1</v>
      </c>
      <c r="K27" s="256">
        <v>2.8500000000000001E-2</v>
      </c>
      <c r="N27" s="257" t="s">
        <v>269</v>
      </c>
      <c r="O27" s="258">
        <v>0.1</v>
      </c>
    </row>
    <row r="28" spans="1:15" ht="15.75">
      <c r="A28" s="257" t="s">
        <v>502</v>
      </c>
      <c r="B28" s="258">
        <v>0.1</v>
      </c>
      <c r="G28" s="257" t="s">
        <v>502</v>
      </c>
      <c r="H28" s="258">
        <v>6.5000000000000002E-2</v>
      </c>
      <c r="I28" s="258">
        <v>0.155</v>
      </c>
      <c r="J28" s="258">
        <v>0.1</v>
      </c>
      <c r="K28" s="256">
        <v>9.7500000000000003E-2</v>
      </c>
      <c r="N28" s="257" t="s">
        <v>502</v>
      </c>
      <c r="O28" s="258">
        <v>0.1</v>
      </c>
    </row>
    <row r="29" spans="1:15" ht="15.75">
      <c r="A29" s="257" t="s">
        <v>270</v>
      </c>
      <c r="B29" s="258">
        <v>0.2</v>
      </c>
      <c r="G29" s="257" t="s">
        <v>270</v>
      </c>
      <c r="H29" s="258">
        <v>5.5E-2</v>
      </c>
      <c r="I29" s="258">
        <v>0.14000000000000001</v>
      </c>
      <c r="J29" s="258">
        <v>0.2</v>
      </c>
      <c r="K29" s="256">
        <v>8.2500000000000004E-2</v>
      </c>
      <c r="N29" s="257" t="s">
        <v>270</v>
      </c>
      <c r="O29" s="258">
        <v>0.2</v>
      </c>
    </row>
    <row r="30" spans="1:15" ht="15.75">
      <c r="A30" s="257" t="s">
        <v>503</v>
      </c>
      <c r="B30" s="258">
        <v>0.2</v>
      </c>
      <c r="G30" s="257" t="s">
        <v>503</v>
      </c>
      <c r="H30" s="258">
        <v>5.5E-2</v>
      </c>
      <c r="I30" s="258">
        <v>0.14000000000000001</v>
      </c>
      <c r="J30" s="258">
        <v>0.2</v>
      </c>
      <c r="K30" s="256">
        <v>8.2500000000000004E-2</v>
      </c>
      <c r="N30" s="257" t="s">
        <v>503</v>
      </c>
      <c r="O30" s="258">
        <v>0.2</v>
      </c>
    </row>
    <row r="31" spans="1:15" ht="15.75">
      <c r="A31" s="257" t="s">
        <v>271</v>
      </c>
      <c r="B31" s="258">
        <v>0.26500000000000001</v>
      </c>
      <c r="G31" s="257" t="s">
        <v>271</v>
      </c>
      <c r="H31" s="258">
        <v>0</v>
      </c>
      <c r="I31" s="258">
        <v>5.7500000000000002E-2</v>
      </c>
      <c r="J31" s="258">
        <v>0.26500000000000001</v>
      </c>
      <c r="K31" s="256">
        <v>0</v>
      </c>
      <c r="N31" s="257" t="s">
        <v>271</v>
      </c>
      <c r="O31" s="258">
        <v>0.26500000000000001</v>
      </c>
    </row>
    <row r="32" spans="1:15" ht="15.75">
      <c r="A32" s="254" t="s">
        <v>504</v>
      </c>
      <c r="B32" s="255">
        <v>0.26500000000000001</v>
      </c>
      <c r="G32" s="254" t="s">
        <v>504</v>
      </c>
      <c r="H32" s="255">
        <v>5.5E-2</v>
      </c>
      <c r="I32" s="255">
        <v>0.14000000000000001</v>
      </c>
      <c r="J32" s="255">
        <v>0.26500000000000001</v>
      </c>
      <c r="K32" s="256">
        <v>8.2500000000000004E-2</v>
      </c>
      <c r="N32" s="254" t="s">
        <v>504</v>
      </c>
      <c r="O32" s="255">
        <v>0.26500000000000001</v>
      </c>
    </row>
    <row r="33" spans="1:15" ht="15.75">
      <c r="A33" s="257" t="s">
        <v>272</v>
      </c>
      <c r="B33" s="258">
        <v>0</v>
      </c>
      <c r="G33" s="257" t="s">
        <v>272</v>
      </c>
      <c r="H33" s="258">
        <v>5.5E-2</v>
      </c>
      <c r="I33" s="258">
        <v>0.14000000000000001</v>
      </c>
      <c r="J33" s="258">
        <v>0</v>
      </c>
      <c r="K33" s="256">
        <v>8.2500000000000004E-2</v>
      </c>
      <c r="N33" s="257" t="s">
        <v>272</v>
      </c>
      <c r="O33" s="258">
        <v>0</v>
      </c>
    </row>
    <row r="34" spans="1:15" ht="15.75">
      <c r="A34" s="257" t="s">
        <v>505</v>
      </c>
      <c r="B34" s="258">
        <v>0</v>
      </c>
      <c r="G34" s="257" t="s">
        <v>505</v>
      </c>
      <c r="H34" s="258">
        <v>7.4999999999999997E-3</v>
      </c>
      <c r="I34" s="258">
        <v>6.88E-2</v>
      </c>
      <c r="J34" s="258">
        <v>0</v>
      </c>
      <c r="K34" s="256">
        <v>1.1299999999999999E-2</v>
      </c>
      <c r="N34" s="257" t="s">
        <v>505</v>
      </c>
      <c r="O34" s="258">
        <v>0</v>
      </c>
    </row>
    <row r="35" spans="1:15" ht="15.75">
      <c r="A35" s="257" t="s">
        <v>273</v>
      </c>
      <c r="B35" s="258">
        <v>0.2</v>
      </c>
      <c r="G35" s="257" t="s">
        <v>273</v>
      </c>
      <c r="H35" s="258">
        <v>6.0000000000000001E-3</v>
      </c>
      <c r="I35" s="258">
        <v>6.6500000000000004E-2</v>
      </c>
      <c r="J35" s="258">
        <v>0.2</v>
      </c>
      <c r="K35" s="256">
        <v>8.9999999999999993E-3</v>
      </c>
      <c r="N35" s="257" t="s">
        <v>273</v>
      </c>
      <c r="O35" s="258">
        <v>0.2</v>
      </c>
    </row>
    <row r="36" spans="1:15" ht="15.75">
      <c r="A36" s="257" t="s">
        <v>274</v>
      </c>
      <c r="B36" s="258">
        <v>0.25</v>
      </c>
      <c r="G36" s="257" t="s">
        <v>274</v>
      </c>
      <c r="H36" s="258">
        <v>6.0000000000000001E-3</v>
      </c>
      <c r="I36" s="258">
        <v>6.6500000000000004E-2</v>
      </c>
      <c r="J36" s="258">
        <v>0.25</v>
      </c>
      <c r="K36" s="256">
        <v>8.9999999999999993E-3</v>
      </c>
      <c r="N36" s="257" t="s">
        <v>274</v>
      </c>
      <c r="O36" s="258">
        <v>0.25</v>
      </c>
    </row>
    <row r="37" spans="1:15" ht="15.75">
      <c r="A37" s="257" t="s">
        <v>275</v>
      </c>
      <c r="B37" s="258">
        <v>0.25</v>
      </c>
      <c r="G37" s="257" t="s">
        <v>275</v>
      </c>
      <c r="H37" s="258">
        <v>1.9E-2</v>
      </c>
      <c r="I37" s="258">
        <v>8.5999999999999993E-2</v>
      </c>
      <c r="J37" s="258">
        <v>0.25</v>
      </c>
      <c r="K37" s="256">
        <v>2.8500000000000001E-2</v>
      </c>
      <c r="N37" s="257" t="s">
        <v>275</v>
      </c>
      <c r="O37" s="258">
        <v>0.25</v>
      </c>
    </row>
    <row r="38" spans="1:15" ht="15.75">
      <c r="A38" s="254" t="s">
        <v>539</v>
      </c>
      <c r="B38" s="255">
        <v>0.27850000000000003</v>
      </c>
      <c r="G38" s="254" t="s">
        <v>539</v>
      </c>
      <c r="H38" s="255">
        <v>6.5000000000000002E-2</v>
      </c>
      <c r="I38" s="255">
        <v>0.155</v>
      </c>
      <c r="J38" s="255">
        <v>0.27850000000000003</v>
      </c>
      <c r="K38" s="256">
        <v>9.7500000000000003E-2</v>
      </c>
      <c r="N38" s="254" t="s">
        <v>539</v>
      </c>
      <c r="O38" s="255">
        <v>0.27850000000000003</v>
      </c>
    </row>
    <row r="39" spans="1:15" ht="15.75">
      <c r="A39" s="254" t="s">
        <v>540</v>
      </c>
      <c r="B39" s="255">
        <v>0.27850000000000003</v>
      </c>
      <c r="G39" s="254" t="s">
        <v>540</v>
      </c>
      <c r="H39" s="255">
        <v>3.5999999999999997E-2</v>
      </c>
      <c r="I39" s="255">
        <v>0.1115</v>
      </c>
      <c r="J39" s="255">
        <v>0.27850000000000003</v>
      </c>
      <c r="K39" s="256">
        <v>5.3999999999999999E-2</v>
      </c>
      <c r="N39" s="254" t="s">
        <v>540</v>
      </c>
      <c r="O39" s="255">
        <v>0.27850000000000003</v>
      </c>
    </row>
    <row r="40" spans="1:15" ht="15.75">
      <c r="A40" s="254" t="s">
        <v>506</v>
      </c>
      <c r="B40" s="255">
        <v>0.25</v>
      </c>
      <c r="G40" s="254" t="s">
        <v>506</v>
      </c>
      <c r="H40" s="255">
        <v>4.4999999999999998E-2</v>
      </c>
      <c r="I40" s="255">
        <v>0.125</v>
      </c>
      <c r="J40" s="255">
        <v>0.25</v>
      </c>
      <c r="K40" s="256">
        <v>6.7500000000000004E-2</v>
      </c>
      <c r="N40" s="254" t="s">
        <v>506</v>
      </c>
      <c r="O40" s="255">
        <v>0.25</v>
      </c>
    </row>
    <row r="41" spans="1:15" ht="15.75">
      <c r="A41" s="254" t="s">
        <v>276</v>
      </c>
      <c r="B41" s="255">
        <v>0.3</v>
      </c>
      <c r="G41" s="254" t="s">
        <v>276</v>
      </c>
      <c r="H41" s="255">
        <v>2.5000000000000001E-2</v>
      </c>
      <c r="I41" s="255">
        <v>9.5000000000000001E-2</v>
      </c>
      <c r="J41" s="255">
        <v>0.3</v>
      </c>
      <c r="K41" s="256">
        <v>3.7499999999999999E-2</v>
      </c>
      <c r="N41" s="254" t="s">
        <v>276</v>
      </c>
      <c r="O41" s="255">
        <v>0.3</v>
      </c>
    </row>
    <row r="42" spans="1:15" ht="15.75">
      <c r="A42" s="257" t="s">
        <v>277</v>
      </c>
      <c r="B42" s="258">
        <v>0.2</v>
      </c>
      <c r="G42" s="257" t="s">
        <v>277</v>
      </c>
      <c r="H42" s="258">
        <v>2.5000000000000001E-2</v>
      </c>
      <c r="I42" s="258">
        <v>9.5000000000000001E-2</v>
      </c>
      <c r="J42" s="258">
        <v>0.2</v>
      </c>
      <c r="K42" s="256">
        <v>3.7499999999999999E-2</v>
      </c>
      <c r="N42" s="257" t="s">
        <v>277</v>
      </c>
      <c r="O42" s="258">
        <v>0.2</v>
      </c>
    </row>
    <row r="43" spans="1:15" ht="15.75">
      <c r="A43" s="254" t="s">
        <v>374</v>
      </c>
      <c r="B43" s="255">
        <v>0.2</v>
      </c>
      <c r="G43" s="254" t="s">
        <v>374</v>
      </c>
      <c r="H43" s="255">
        <v>0.09</v>
      </c>
      <c r="I43" s="255">
        <v>0.1925</v>
      </c>
      <c r="J43" s="255">
        <v>0.2</v>
      </c>
      <c r="K43" s="256">
        <v>0.13500000000000001</v>
      </c>
      <c r="N43" s="254" t="s">
        <v>374</v>
      </c>
      <c r="O43" s="255">
        <v>0.2</v>
      </c>
    </row>
    <row r="44" spans="1:15" ht="15.75">
      <c r="A44" s="257" t="s">
        <v>646</v>
      </c>
      <c r="B44" s="258">
        <v>0.27500000000000002</v>
      </c>
      <c r="G44" s="257" t="s">
        <v>646</v>
      </c>
      <c r="H44" s="258">
        <v>5.7500000000000002E-2</v>
      </c>
      <c r="I44" s="258">
        <v>0.14369999999999999</v>
      </c>
      <c r="J44" s="258">
        <v>0.27500000000000002</v>
      </c>
      <c r="K44" s="256">
        <v>8.6199999999999999E-2</v>
      </c>
      <c r="N44" s="257" t="s">
        <v>646</v>
      </c>
      <c r="O44" s="258">
        <v>0.27500000000000002</v>
      </c>
    </row>
    <row r="45" spans="1:15" ht="15.75">
      <c r="A45" s="257" t="s">
        <v>279</v>
      </c>
      <c r="B45" s="258">
        <v>0.125</v>
      </c>
      <c r="G45" s="257" t="s">
        <v>279</v>
      </c>
      <c r="H45" s="258">
        <v>6.5000000000000002E-2</v>
      </c>
      <c r="I45" s="258">
        <v>0.155</v>
      </c>
      <c r="J45" s="258">
        <v>0.125</v>
      </c>
      <c r="K45" s="256">
        <v>9.7500000000000003E-2</v>
      </c>
      <c r="N45" s="257" t="s">
        <v>279</v>
      </c>
      <c r="O45" s="258">
        <v>0.125</v>
      </c>
    </row>
    <row r="46" spans="1:15" ht="15.75">
      <c r="A46" s="257" t="s">
        <v>280</v>
      </c>
      <c r="B46" s="258">
        <v>0.19</v>
      </c>
      <c r="G46" s="257" t="s">
        <v>280</v>
      </c>
      <c r="H46" s="258">
        <v>7.0000000000000001E-3</v>
      </c>
      <c r="I46" s="258">
        <v>6.8000000000000005E-2</v>
      </c>
      <c r="J46" s="258">
        <v>0.19</v>
      </c>
      <c r="K46" s="256">
        <v>1.0500000000000001E-2</v>
      </c>
      <c r="N46" s="257" t="s">
        <v>280</v>
      </c>
      <c r="O46" s="258">
        <v>0.19</v>
      </c>
    </row>
    <row r="47" spans="1:15" ht="15.75">
      <c r="A47" s="257" t="s">
        <v>281</v>
      </c>
      <c r="B47" s="258">
        <v>0.245</v>
      </c>
      <c r="G47" s="257" t="s">
        <v>281</v>
      </c>
      <c r="H47" s="258">
        <v>0</v>
      </c>
      <c r="I47" s="258">
        <v>5.7500000000000002E-2</v>
      </c>
      <c r="J47" s="258">
        <v>0.245</v>
      </c>
      <c r="K47" s="256">
        <v>0</v>
      </c>
      <c r="N47" s="257" t="s">
        <v>281</v>
      </c>
      <c r="O47" s="258">
        <v>0.245</v>
      </c>
    </row>
    <row r="48" spans="1:15" ht="15.75">
      <c r="A48" s="257" t="s">
        <v>282</v>
      </c>
      <c r="B48" s="258">
        <v>0.28000000000000003</v>
      </c>
      <c r="G48" s="257" t="s">
        <v>282</v>
      </c>
      <c r="H48" s="258">
        <v>4.4999999999999998E-2</v>
      </c>
      <c r="I48" s="258">
        <v>0.125</v>
      </c>
      <c r="J48" s="258">
        <v>0.28000000000000003</v>
      </c>
      <c r="K48" s="256">
        <v>6.7500000000000004E-2</v>
      </c>
      <c r="N48" s="257" t="s">
        <v>282</v>
      </c>
      <c r="O48" s="258">
        <v>0.28000000000000003</v>
      </c>
    </row>
    <row r="49" spans="1:15" ht="15.75">
      <c r="A49" s="257" t="s">
        <v>283</v>
      </c>
      <c r="B49" s="258">
        <v>0.22</v>
      </c>
      <c r="G49" s="257" t="s">
        <v>283</v>
      </c>
      <c r="H49" s="258">
        <v>6.5000000000000002E-2</v>
      </c>
      <c r="I49" s="258">
        <v>0.155</v>
      </c>
      <c r="J49" s="258">
        <v>0.22</v>
      </c>
      <c r="K49" s="256">
        <v>9.7500000000000003E-2</v>
      </c>
      <c r="N49" s="257" t="s">
        <v>283</v>
      </c>
      <c r="O49" s="258">
        <v>0.22</v>
      </c>
    </row>
    <row r="50" spans="1:15" ht="15.75">
      <c r="A50" s="257" t="s">
        <v>284</v>
      </c>
      <c r="B50" s="258">
        <v>0.25</v>
      </c>
      <c r="G50" s="257" t="s">
        <v>284</v>
      </c>
      <c r="H50" s="258">
        <v>7.4999999999999997E-2</v>
      </c>
      <c r="I50" s="258">
        <v>0.17</v>
      </c>
      <c r="J50" s="258">
        <v>0.25</v>
      </c>
      <c r="K50" s="256">
        <v>0.1125</v>
      </c>
      <c r="N50" s="257" t="s">
        <v>284</v>
      </c>
      <c r="O50" s="258">
        <v>0.25</v>
      </c>
    </row>
    <row r="51" spans="1:15" ht="15.75">
      <c r="A51" s="254" t="s">
        <v>375</v>
      </c>
      <c r="B51" s="255">
        <v>0.3</v>
      </c>
      <c r="G51" s="254" t="s">
        <v>375</v>
      </c>
      <c r="H51" s="255">
        <v>3.5999999999999997E-2</v>
      </c>
      <c r="I51" s="255">
        <v>0.1115</v>
      </c>
      <c r="J51" s="255">
        <v>0.3</v>
      </c>
      <c r="K51" s="256">
        <v>5.3999999999999999E-2</v>
      </c>
      <c r="N51" s="254" t="s">
        <v>375</v>
      </c>
      <c r="O51" s="255">
        <v>0.3</v>
      </c>
    </row>
    <row r="52" spans="1:15" ht="15.75">
      <c r="A52" s="257" t="s">
        <v>285</v>
      </c>
      <c r="B52" s="258">
        <v>0.21</v>
      </c>
      <c r="G52" s="257" t="s">
        <v>285</v>
      </c>
      <c r="H52" s="258">
        <v>7.0000000000000001E-3</v>
      </c>
      <c r="I52" s="258">
        <v>6.8000000000000005E-2</v>
      </c>
      <c r="J52" s="258">
        <v>0.21</v>
      </c>
      <c r="K52" s="256">
        <v>1.0500000000000001E-2</v>
      </c>
      <c r="N52" s="257" t="s">
        <v>285</v>
      </c>
      <c r="O52" s="258">
        <v>0.21</v>
      </c>
    </row>
    <row r="53" spans="1:15" ht="15.75">
      <c r="A53" s="257" t="s">
        <v>507</v>
      </c>
      <c r="B53" s="258">
        <v>0</v>
      </c>
      <c r="G53" s="257" t="s">
        <v>507</v>
      </c>
      <c r="H53" s="258">
        <v>2.8000000000000001E-2</v>
      </c>
      <c r="I53" s="258">
        <v>9.9500000000000005E-2</v>
      </c>
      <c r="J53" s="258">
        <v>0</v>
      </c>
      <c r="K53" s="256">
        <v>4.2000000000000003E-2</v>
      </c>
      <c r="N53" s="257" t="s">
        <v>507</v>
      </c>
      <c r="O53" s="258">
        <v>0</v>
      </c>
    </row>
    <row r="54" spans="1:15" ht="15.75">
      <c r="A54" s="254" t="s">
        <v>286</v>
      </c>
      <c r="B54" s="255">
        <v>0.2</v>
      </c>
      <c r="G54" s="254" t="s">
        <v>286</v>
      </c>
      <c r="H54" s="255">
        <v>4.4999999999999998E-2</v>
      </c>
      <c r="I54" s="255">
        <v>0.125</v>
      </c>
      <c r="J54" s="255">
        <v>0.2</v>
      </c>
      <c r="K54" s="256">
        <v>6.7500000000000004E-2</v>
      </c>
      <c r="N54" s="254" t="s">
        <v>286</v>
      </c>
      <c r="O54" s="255">
        <v>0.2</v>
      </c>
    </row>
    <row r="55" spans="1:15" ht="15.75">
      <c r="A55" s="257" t="s">
        <v>287</v>
      </c>
      <c r="B55" s="258">
        <v>0.2</v>
      </c>
      <c r="G55" s="257" t="s">
        <v>287</v>
      </c>
      <c r="H55" s="258">
        <v>0</v>
      </c>
      <c r="I55" s="258">
        <v>5.7500000000000002E-2</v>
      </c>
      <c r="J55" s="258">
        <v>0.2</v>
      </c>
      <c r="K55" s="256">
        <v>0</v>
      </c>
      <c r="N55" s="257" t="s">
        <v>287</v>
      </c>
      <c r="O55" s="258">
        <v>0.2</v>
      </c>
    </row>
    <row r="56" spans="1:15" ht="15.75">
      <c r="A56" s="257" t="s">
        <v>288</v>
      </c>
      <c r="B56" s="258">
        <v>0.33329999999999999</v>
      </c>
      <c r="G56" s="257" t="s">
        <v>288</v>
      </c>
      <c r="H56" s="258">
        <v>4.0000000000000001E-3</v>
      </c>
      <c r="I56" s="258">
        <v>6.3500000000000001E-2</v>
      </c>
      <c r="J56" s="258">
        <v>0.33329999999999999</v>
      </c>
      <c r="K56" s="256">
        <v>6.0000000000000001E-3</v>
      </c>
      <c r="N56" s="257" t="s">
        <v>288</v>
      </c>
      <c r="O56" s="258">
        <v>0.33329999999999999</v>
      </c>
    </row>
    <row r="57" spans="1:15" ht="15.75">
      <c r="A57" s="257" t="s">
        <v>508</v>
      </c>
      <c r="B57" s="258">
        <v>0.33329999999999999</v>
      </c>
      <c r="G57" s="257" t="s">
        <v>508</v>
      </c>
      <c r="H57" s="258">
        <v>3.5999999999999997E-2</v>
      </c>
      <c r="I57" s="258">
        <v>0.1115</v>
      </c>
      <c r="J57" s="258">
        <v>0.33329999999999999</v>
      </c>
      <c r="K57" s="256">
        <v>5.3999999999999999E-2</v>
      </c>
      <c r="N57" s="257" t="s">
        <v>508</v>
      </c>
      <c r="O57" s="258">
        <v>0.33329999999999999</v>
      </c>
    </row>
    <row r="58" spans="1:15" ht="15.75">
      <c r="A58" s="254" t="s">
        <v>376</v>
      </c>
      <c r="B58" s="255">
        <v>0.15</v>
      </c>
      <c r="G58" s="254" t="s">
        <v>376</v>
      </c>
      <c r="H58" s="255">
        <v>3.5999999999999997E-2</v>
      </c>
      <c r="I58" s="255">
        <v>0.1115</v>
      </c>
      <c r="J58" s="255">
        <v>0.15</v>
      </c>
      <c r="K58" s="256">
        <v>5.3999999999999999E-2</v>
      </c>
      <c r="N58" s="254" t="s">
        <v>376</v>
      </c>
      <c r="O58" s="255">
        <v>0.15</v>
      </c>
    </row>
    <row r="59" spans="1:15" ht="15.75">
      <c r="A59" s="257" t="s">
        <v>289</v>
      </c>
      <c r="B59" s="258">
        <v>0.29580000000000001</v>
      </c>
      <c r="G59" s="257" t="s">
        <v>289</v>
      </c>
      <c r="H59" s="258">
        <v>0</v>
      </c>
      <c r="I59" s="258">
        <v>5.7500000000000002E-2</v>
      </c>
      <c r="J59" s="258">
        <v>0.29580000000000001</v>
      </c>
      <c r="K59" s="256">
        <v>0</v>
      </c>
      <c r="N59" s="257" t="s">
        <v>289</v>
      </c>
      <c r="O59" s="258">
        <v>0.29580000000000001</v>
      </c>
    </row>
    <row r="60" spans="1:15" ht="15.75">
      <c r="A60" s="257" t="s">
        <v>509</v>
      </c>
      <c r="B60" s="258">
        <v>0.25</v>
      </c>
      <c r="G60" s="257" t="s">
        <v>509</v>
      </c>
      <c r="H60" s="258">
        <v>5.5E-2</v>
      </c>
      <c r="I60" s="258">
        <v>0.14000000000000001</v>
      </c>
      <c r="J60" s="258">
        <v>0.25</v>
      </c>
      <c r="K60" s="256">
        <v>8.2500000000000004E-2</v>
      </c>
      <c r="N60" s="257" t="s">
        <v>509</v>
      </c>
      <c r="O60" s="258">
        <v>0.25</v>
      </c>
    </row>
    <row r="61" spans="1:15" ht="15.75">
      <c r="A61" s="257" t="s">
        <v>642</v>
      </c>
      <c r="B61" s="258">
        <v>0.1</v>
      </c>
      <c r="G61" s="257" t="s">
        <v>642</v>
      </c>
      <c r="H61" s="258">
        <v>7.4999999999999997E-3</v>
      </c>
      <c r="I61" s="258">
        <v>6.88E-2</v>
      </c>
      <c r="J61" s="258">
        <v>0.1</v>
      </c>
      <c r="K61" s="256">
        <v>1.1299999999999999E-2</v>
      </c>
      <c r="N61" s="257" t="s">
        <v>642</v>
      </c>
      <c r="O61" s="258">
        <v>0.1</v>
      </c>
    </row>
    <row r="62" spans="1:15" ht="15.75">
      <c r="A62" s="257" t="s">
        <v>290</v>
      </c>
      <c r="B62" s="258">
        <v>0.26</v>
      </c>
      <c r="G62" s="257" t="s">
        <v>290</v>
      </c>
      <c r="H62" s="258">
        <v>7.4999999999999997E-2</v>
      </c>
      <c r="I62" s="258">
        <v>0.17</v>
      </c>
      <c r="J62" s="258">
        <v>0.26</v>
      </c>
      <c r="K62" s="256">
        <v>0.1125</v>
      </c>
      <c r="N62" s="257" t="s">
        <v>290</v>
      </c>
      <c r="O62" s="258">
        <v>0.26</v>
      </c>
    </row>
    <row r="63" spans="1:15" ht="15.75">
      <c r="A63" s="257" t="s">
        <v>510</v>
      </c>
      <c r="B63" s="258">
        <v>0.26</v>
      </c>
      <c r="G63" s="257" t="s">
        <v>510</v>
      </c>
      <c r="H63" s="258">
        <v>7.4999999999999997E-3</v>
      </c>
      <c r="I63" s="258">
        <v>6.88E-2</v>
      </c>
      <c r="J63" s="258">
        <v>0.26</v>
      </c>
      <c r="K63" s="256">
        <v>1.1299999999999999E-2</v>
      </c>
      <c r="N63" s="257" t="s">
        <v>510</v>
      </c>
      <c r="O63" s="258">
        <v>0.26</v>
      </c>
    </row>
    <row r="64" spans="1:15" ht="15.75">
      <c r="A64" s="254" t="s">
        <v>291</v>
      </c>
      <c r="B64" s="255">
        <v>0.28000000000000003</v>
      </c>
      <c r="G64" s="254" t="s">
        <v>291</v>
      </c>
      <c r="H64" s="255">
        <v>2.5000000000000001E-2</v>
      </c>
      <c r="I64" s="255">
        <v>9.5000000000000001E-2</v>
      </c>
      <c r="J64" s="255">
        <v>0.28000000000000003</v>
      </c>
      <c r="K64" s="256">
        <v>3.7499999999999999E-2</v>
      </c>
      <c r="N64" s="254" t="s">
        <v>291</v>
      </c>
      <c r="O64" s="255">
        <v>0.28000000000000003</v>
      </c>
    </row>
    <row r="65" spans="1:15" ht="15.75">
      <c r="A65" s="257" t="s">
        <v>292</v>
      </c>
      <c r="B65" s="258">
        <v>0.3</v>
      </c>
      <c r="G65" s="257" t="s">
        <v>292</v>
      </c>
      <c r="H65" s="258">
        <v>6.5000000000000002E-2</v>
      </c>
      <c r="I65" s="258">
        <v>0.155</v>
      </c>
      <c r="J65" s="258">
        <v>0.3</v>
      </c>
      <c r="K65" s="256">
        <v>9.7500000000000003E-2</v>
      </c>
      <c r="N65" s="257" t="s">
        <v>292</v>
      </c>
      <c r="O65" s="258">
        <v>0.3</v>
      </c>
    </row>
    <row r="66" spans="1:15" ht="15.75">
      <c r="A66" s="257" t="s">
        <v>293</v>
      </c>
      <c r="B66" s="258">
        <v>0.3</v>
      </c>
      <c r="G66" s="257" t="s">
        <v>293</v>
      </c>
      <c r="H66" s="258">
        <v>4.0000000000000001E-3</v>
      </c>
      <c r="I66" s="258">
        <v>6.3500000000000001E-2</v>
      </c>
      <c r="J66" s="258">
        <v>0.3</v>
      </c>
      <c r="K66" s="256">
        <v>6.0000000000000001E-3</v>
      </c>
      <c r="N66" s="257" t="s">
        <v>293</v>
      </c>
      <c r="O66" s="258">
        <v>0.3</v>
      </c>
    </row>
    <row r="67" spans="1:15" ht="15.75">
      <c r="A67" s="257" t="s">
        <v>294</v>
      </c>
      <c r="B67" s="258">
        <v>0.19</v>
      </c>
      <c r="G67" s="257" t="s">
        <v>294</v>
      </c>
      <c r="H67" s="258">
        <v>2.5000000000000001E-2</v>
      </c>
      <c r="I67" s="258">
        <v>9.5000000000000001E-2</v>
      </c>
      <c r="J67" s="258">
        <v>0.19</v>
      </c>
      <c r="K67" s="256">
        <v>3.7499999999999999E-2</v>
      </c>
      <c r="N67" s="257" t="s">
        <v>294</v>
      </c>
      <c r="O67" s="258">
        <v>0.19</v>
      </c>
    </row>
    <row r="68" spans="1:15" ht="15.75">
      <c r="A68" s="257" t="s">
        <v>295</v>
      </c>
      <c r="B68" s="258">
        <v>0.2</v>
      </c>
      <c r="G68" s="257" t="s">
        <v>295</v>
      </c>
      <c r="H68" s="258">
        <v>2.1999999999999999E-2</v>
      </c>
      <c r="I68" s="258">
        <v>9.0499999999999997E-2</v>
      </c>
      <c r="J68" s="258">
        <v>0.2</v>
      </c>
      <c r="K68" s="256">
        <v>3.3000000000000002E-2</v>
      </c>
      <c r="N68" s="257" t="s">
        <v>295</v>
      </c>
      <c r="O68" s="258">
        <v>0.2</v>
      </c>
    </row>
    <row r="69" spans="1:15" ht="15.75">
      <c r="A69" s="257" t="s">
        <v>296</v>
      </c>
      <c r="B69" s="258">
        <v>0.33989999999999998</v>
      </c>
      <c r="G69" s="257" t="s">
        <v>296</v>
      </c>
      <c r="H69" s="258">
        <v>2.1999999999999999E-2</v>
      </c>
      <c r="I69" s="258">
        <v>9.0499999999999997E-2</v>
      </c>
      <c r="J69" s="258">
        <v>0.33989999999999998</v>
      </c>
      <c r="K69" s="256">
        <v>3.3000000000000002E-2</v>
      </c>
      <c r="N69" s="257" t="s">
        <v>296</v>
      </c>
      <c r="O69" s="258">
        <v>0.33989999999999998</v>
      </c>
    </row>
    <row r="70" spans="1:15" ht="15.75">
      <c r="A70" s="257" t="s">
        <v>297</v>
      </c>
      <c r="B70" s="258">
        <v>0.25</v>
      </c>
      <c r="G70" s="257" t="s">
        <v>297</v>
      </c>
      <c r="H70" s="258">
        <v>2.1999999999999999E-2</v>
      </c>
      <c r="I70" s="258">
        <v>9.0499999999999997E-2</v>
      </c>
      <c r="J70" s="258">
        <v>0.25</v>
      </c>
      <c r="K70" s="256">
        <v>3.3000000000000002E-2</v>
      </c>
      <c r="N70" s="257" t="s">
        <v>297</v>
      </c>
      <c r="O70" s="258">
        <v>0.25</v>
      </c>
    </row>
    <row r="71" spans="1:15" ht="15.75">
      <c r="A71" s="257" t="s">
        <v>298</v>
      </c>
      <c r="B71" s="258">
        <v>0.125</v>
      </c>
      <c r="G71" s="257" t="s">
        <v>298</v>
      </c>
      <c r="H71" s="258">
        <v>1.6E-2</v>
      </c>
      <c r="I71" s="258">
        <v>8.1500000000000003E-2</v>
      </c>
      <c r="J71" s="258">
        <v>0.125</v>
      </c>
      <c r="K71" s="256">
        <v>2.4E-2</v>
      </c>
      <c r="N71" s="257" t="s">
        <v>298</v>
      </c>
      <c r="O71" s="258">
        <v>0.125</v>
      </c>
    </row>
    <row r="72" spans="1:15" ht="15.75">
      <c r="A72" s="257" t="s">
        <v>299</v>
      </c>
      <c r="B72" s="258">
        <v>0</v>
      </c>
      <c r="G72" s="257" t="s">
        <v>299</v>
      </c>
      <c r="H72" s="258">
        <v>4.0000000000000001E-3</v>
      </c>
      <c r="I72" s="258">
        <v>6.3500000000000001E-2</v>
      </c>
      <c r="J72" s="258">
        <v>0</v>
      </c>
      <c r="K72" s="256">
        <v>6.0000000000000001E-3</v>
      </c>
      <c r="N72" s="257" t="s">
        <v>299</v>
      </c>
      <c r="O72" s="258">
        <v>0</v>
      </c>
    </row>
    <row r="73" spans="1:15" ht="15.75">
      <c r="A73" s="257" t="s">
        <v>300</v>
      </c>
      <c r="B73" s="258">
        <v>0.26500000000000001</v>
      </c>
      <c r="G73" s="257" t="s">
        <v>300</v>
      </c>
      <c r="H73" s="258">
        <v>7.0000000000000001E-3</v>
      </c>
      <c r="I73" s="258">
        <v>6.8000000000000005E-2</v>
      </c>
      <c r="J73" s="258">
        <v>0.26500000000000001</v>
      </c>
      <c r="K73" s="256">
        <v>1.0500000000000001E-2</v>
      </c>
      <c r="N73" s="257" t="s">
        <v>300</v>
      </c>
      <c r="O73" s="258">
        <v>0.26500000000000001</v>
      </c>
    </row>
    <row r="74" spans="1:15" ht="15.75">
      <c r="A74" s="257" t="s">
        <v>301</v>
      </c>
      <c r="B74" s="258">
        <v>0.314</v>
      </c>
      <c r="G74" s="257" t="s">
        <v>301</v>
      </c>
      <c r="H74" s="258">
        <v>1.9E-2</v>
      </c>
      <c r="I74" s="258">
        <v>8.5999999999999993E-2</v>
      </c>
      <c r="J74" s="258">
        <v>0.314</v>
      </c>
      <c r="K74" s="256">
        <v>2.8500000000000001E-2</v>
      </c>
      <c r="N74" s="257" t="s">
        <v>301</v>
      </c>
      <c r="O74" s="258">
        <v>0.314</v>
      </c>
    </row>
    <row r="75" spans="1:15" ht="15.75">
      <c r="A75" s="257" t="s">
        <v>511</v>
      </c>
      <c r="B75" s="258">
        <v>0.27850000000000003</v>
      </c>
      <c r="G75" s="257" t="s">
        <v>511</v>
      </c>
      <c r="H75" s="255">
        <v>4.4999999999999998E-2</v>
      </c>
      <c r="I75" s="255">
        <v>0.125</v>
      </c>
      <c r="J75" s="258">
        <v>0.27850000000000003</v>
      </c>
      <c r="K75" s="256">
        <v>6.7500000000000004E-2</v>
      </c>
      <c r="N75" s="257" t="s">
        <v>511</v>
      </c>
      <c r="O75" s="258">
        <v>0.27850000000000003</v>
      </c>
    </row>
    <row r="76" spans="1:15" ht="15.75">
      <c r="A76" s="257" t="s">
        <v>302</v>
      </c>
      <c r="B76" s="258">
        <v>0.25</v>
      </c>
      <c r="G76" s="257" t="s">
        <v>302</v>
      </c>
      <c r="H76" s="258">
        <v>0.1</v>
      </c>
      <c r="I76" s="258">
        <v>0.20749999999999999</v>
      </c>
      <c r="J76" s="258">
        <v>0.25</v>
      </c>
      <c r="K76" s="256">
        <v>0.15</v>
      </c>
      <c r="N76" s="257" t="s">
        <v>302</v>
      </c>
      <c r="O76" s="258">
        <v>0.25</v>
      </c>
    </row>
    <row r="77" spans="1:15" ht="15.75">
      <c r="A77" s="257" t="s">
        <v>303</v>
      </c>
      <c r="B77" s="258">
        <v>0.35639999999999999</v>
      </c>
      <c r="G77" s="257" t="s">
        <v>303</v>
      </c>
      <c r="H77" s="258">
        <v>7.0000000000000001E-3</v>
      </c>
      <c r="I77" s="258">
        <v>6.8000000000000005E-2</v>
      </c>
      <c r="J77" s="258">
        <v>0.35639999999999999</v>
      </c>
      <c r="K77" s="256">
        <v>1.0500000000000001E-2</v>
      </c>
      <c r="N77" s="257" t="s">
        <v>303</v>
      </c>
      <c r="O77" s="258">
        <v>0.35639999999999999</v>
      </c>
    </row>
    <row r="78" spans="1:15" ht="15.75">
      <c r="A78" s="257" t="s">
        <v>304</v>
      </c>
      <c r="B78" s="258">
        <v>0.14000000000000001</v>
      </c>
      <c r="G78" s="257" t="s">
        <v>304</v>
      </c>
      <c r="H78" s="258">
        <v>4.4999999999999998E-2</v>
      </c>
      <c r="I78" s="258">
        <v>0.125</v>
      </c>
      <c r="J78" s="258">
        <v>0.14000000000000001</v>
      </c>
      <c r="K78" s="256">
        <v>6.7500000000000004E-2</v>
      </c>
      <c r="N78" s="257" t="s">
        <v>304</v>
      </c>
      <c r="O78" s="258">
        <v>0.14000000000000001</v>
      </c>
    </row>
    <row r="79" spans="1:15" ht="15.75">
      <c r="A79" s="257" t="s">
        <v>305</v>
      </c>
      <c r="B79" s="258">
        <v>0.2</v>
      </c>
      <c r="G79" s="257" t="s">
        <v>305</v>
      </c>
      <c r="H79" s="258">
        <v>1.9E-2</v>
      </c>
      <c r="I79" s="258">
        <v>8.5999999999999993E-2</v>
      </c>
      <c r="J79" s="258">
        <v>0.2</v>
      </c>
      <c r="K79" s="256">
        <v>2.8500000000000001E-2</v>
      </c>
      <c r="N79" s="257" t="s">
        <v>305</v>
      </c>
      <c r="O79" s="258">
        <v>0.2</v>
      </c>
    </row>
    <row r="80" spans="1:15" ht="15.75">
      <c r="A80" s="257" t="s">
        <v>442</v>
      </c>
      <c r="B80" s="258">
        <v>0.3</v>
      </c>
      <c r="G80" s="257" t="s">
        <v>442</v>
      </c>
      <c r="H80" s="258">
        <v>4.4999999999999998E-2</v>
      </c>
      <c r="I80" s="258">
        <v>0.125</v>
      </c>
      <c r="J80" s="258">
        <v>0.3</v>
      </c>
      <c r="K80" s="256">
        <v>6.7500000000000004E-2</v>
      </c>
      <c r="N80" s="257" t="s">
        <v>442</v>
      </c>
      <c r="O80" s="258">
        <v>0.3</v>
      </c>
    </row>
    <row r="81" spans="1:15" ht="15.75">
      <c r="A81" s="257" t="s">
        <v>528</v>
      </c>
      <c r="B81" s="258">
        <v>0.3</v>
      </c>
      <c r="G81" s="257" t="s">
        <v>528</v>
      </c>
      <c r="H81" s="258">
        <v>6.0000000000000001E-3</v>
      </c>
      <c r="I81" s="258">
        <v>6.6500000000000004E-2</v>
      </c>
      <c r="J81" s="258">
        <v>0.3</v>
      </c>
      <c r="K81" s="256">
        <v>8.9999999999999993E-3</v>
      </c>
      <c r="N81" s="257" t="s">
        <v>528</v>
      </c>
      <c r="O81" s="258">
        <v>0.3</v>
      </c>
    </row>
    <row r="82" spans="1:15" ht="15.75">
      <c r="A82" s="257" t="s">
        <v>306</v>
      </c>
      <c r="B82" s="258">
        <v>0.15</v>
      </c>
      <c r="G82" s="257" t="s">
        <v>306</v>
      </c>
      <c r="H82" s="258">
        <v>5.0000000000000001E-3</v>
      </c>
      <c r="I82" s="258">
        <v>6.5000000000000002E-2</v>
      </c>
      <c r="J82" s="258">
        <v>0.15</v>
      </c>
      <c r="K82" s="256">
        <v>7.4999999999999997E-3</v>
      </c>
      <c r="N82" s="257" t="s">
        <v>306</v>
      </c>
      <c r="O82" s="258">
        <v>0.15</v>
      </c>
    </row>
    <row r="83" spans="1:15" ht="15.75">
      <c r="A83" s="257" t="s">
        <v>512</v>
      </c>
      <c r="B83" s="258">
        <v>0.2</v>
      </c>
      <c r="G83" s="257" t="s">
        <v>512</v>
      </c>
      <c r="H83" s="258">
        <v>2.2200000000000001E-2</v>
      </c>
      <c r="I83" s="258">
        <v>9.0800000000000006E-2</v>
      </c>
      <c r="J83" s="258">
        <v>0.2</v>
      </c>
      <c r="K83" s="256">
        <v>3.3300000000000003E-2</v>
      </c>
      <c r="N83" s="257" t="s">
        <v>512</v>
      </c>
      <c r="O83" s="258">
        <v>0.2</v>
      </c>
    </row>
    <row r="84" spans="1:15" ht="15.75">
      <c r="A84" s="257" t="s">
        <v>513</v>
      </c>
      <c r="B84" s="258">
        <v>0.21909999999999999</v>
      </c>
      <c r="G84" s="257" t="s">
        <v>513</v>
      </c>
      <c r="H84" s="258">
        <v>1.01E-2</v>
      </c>
      <c r="I84" s="258">
        <v>7.2599999999999998E-2</v>
      </c>
      <c r="J84" s="258">
        <v>0.21909999999999999</v>
      </c>
      <c r="K84" s="256">
        <v>1.5100000000000001E-2</v>
      </c>
      <c r="N84" s="257" t="s">
        <v>513</v>
      </c>
      <c r="O84" s="258">
        <v>0.21909999999999999</v>
      </c>
    </row>
    <row r="85" spans="1:15" ht="15.75">
      <c r="A85" s="257" t="s">
        <v>307</v>
      </c>
      <c r="B85" s="258">
        <v>0.15</v>
      </c>
      <c r="G85" s="257" t="s">
        <v>307</v>
      </c>
      <c r="H85" s="258">
        <v>1.6E-2</v>
      </c>
      <c r="I85" s="258">
        <v>8.1500000000000003E-2</v>
      </c>
      <c r="J85" s="258">
        <v>0.15</v>
      </c>
      <c r="K85" s="256">
        <v>2.4E-2</v>
      </c>
      <c r="N85" s="257" t="s">
        <v>307</v>
      </c>
      <c r="O85" s="258">
        <v>0.15</v>
      </c>
    </row>
    <row r="86" spans="1:15" ht="15.75">
      <c r="A86" s="257" t="s">
        <v>377</v>
      </c>
      <c r="B86" s="258">
        <v>0.15</v>
      </c>
      <c r="G86" s="257" t="s">
        <v>377</v>
      </c>
      <c r="H86" s="258">
        <v>5.5E-2</v>
      </c>
      <c r="I86" s="258">
        <v>0.14000000000000001</v>
      </c>
      <c r="J86" s="258">
        <v>0.15</v>
      </c>
      <c r="K86" s="256">
        <v>8.2500000000000004E-2</v>
      </c>
      <c r="N86" s="257" t="s">
        <v>377</v>
      </c>
      <c r="O86" s="258">
        <v>0.15</v>
      </c>
    </row>
    <row r="87" spans="1:15" ht="15.75">
      <c r="A87" s="257" t="s">
        <v>308</v>
      </c>
      <c r="B87" s="258">
        <v>0.125</v>
      </c>
      <c r="G87" s="257" t="s">
        <v>308</v>
      </c>
      <c r="H87" s="258">
        <v>0</v>
      </c>
      <c r="I87" s="258">
        <v>5.7500000000000002E-2</v>
      </c>
      <c r="J87" s="258">
        <v>0.125</v>
      </c>
      <c r="K87" s="256">
        <v>0</v>
      </c>
      <c r="N87" s="257" t="s">
        <v>308</v>
      </c>
      <c r="O87" s="258">
        <v>0.125</v>
      </c>
    </row>
    <row r="88" spans="1:15" ht="15.75">
      <c r="A88" s="257" t="s">
        <v>309</v>
      </c>
      <c r="B88" s="258">
        <v>0.15</v>
      </c>
      <c r="G88" s="257" t="s">
        <v>309</v>
      </c>
      <c r="H88" s="258">
        <v>1.6E-2</v>
      </c>
      <c r="I88" s="258">
        <v>8.1500000000000003E-2</v>
      </c>
      <c r="J88" s="258">
        <v>0.15</v>
      </c>
      <c r="K88" s="256">
        <v>2.4E-2</v>
      </c>
      <c r="N88" s="257" t="s">
        <v>309</v>
      </c>
      <c r="O88" s="258">
        <v>0.15</v>
      </c>
    </row>
    <row r="89" spans="1:15" ht="15.75">
      <c r="A89" s="257" t="s">
        <v>310</v>
      </c>
      <c r="B89" s="258">
        <v>0.29220000000000002</v>
      </c>
      <c r="G89" s="257" t="s">
        <v>310</v>
      </c>
      <c r="H89" s="258">
        <v>0</v>
      </c>
      <c r="I89" s="258">
        <v>5.7500000000000002E-2</v>
      </c>
      <c r="J89" s="258">
        <v>0.29220000000000002</v>
      </c>
      <c r="K89" s="256">
        <v>0</v>
      </c>
      <c r="N89" s="257" t="s">
        <v>310</v>
      </c>
      <c r="O89" s="258">
        <v>0.29220000000000002</v>
      </c>
    </row>
    <row r="90" spans="1:15" ht="15.75">
      <c r="A90" s="257" t="s">
        <v>311</v>
      </c>
      <c r="B90" s="258">
        <v>0.12</v>
      </c>
      <c r="G90" s="257" t="s">
        <v>311</v>
      </c>
      <c r="H90" s="258">
        <v>5.0000000000000001E-3</v>
      </c>
      <c r="I90" s="258">
        <v>6.5000000000000002E-2</v>
      </c>
      <c r="J90" s="258">
        <v>0.12</v>
      </c>
      <c r="K90" s="256">
        <v>7.4999999999999997E-3</v>
      </c>
      <c r="N90" s="257" t="s">
        <v>311</v>
      </c>
      <c r="O90" s="258">
        <v>0.12</v>
      </c>
    </row>
    <row r="91" spans="1:15" ht="15.75">
      <c r="A91" s="257" t="s">
        <v>312</v>
      </c>
      <c r="B91" s="258">
        <v>0.1</v>
      </c>
      <c r="G91" s="257" t="s">
        <v>312</v>
      </c>
      <c r="H91" s="258">
        <v>3.5999999999999997E-2</v>
      </c>
      <c r="I91" s="258">
        <v>0.1115</v>
      </c>
      <c r="J91" s="258">
        <v>0.1</v>
      </c>
      <c r="K91" s="256">
        <v>5.3999999999999999E-2</v>
      </c>
      <c r="N91" s="257" t="s">
        <v>312</v>
      </c>
      <c r="O91" s="258">
        <v>0.1</v>
      </c>
    </row>
    <row r="92" spans="1:15" ht="15.75">
      <c r="A92" s="257" t="s">
        <v>444</v>
      </c>
      <c r="B92" s="258">
        <v>0.3</v>
      </c>
      <c r="G92" s="257" t="s">
        <v>444</v>
      </c>
      <c r="H92" s="258">
        <v>3.9899999999999998E-2</v>
      </c>
      <c r="I92" s="258">
        <v>0.1173</v>
      </c>
      <c r="J92" s="258">
        <v>0.3</v>
      </c>
      <c r="K92" s="256">
        <v>5.9799999999999999E-2</v>
      </c>
      <c r="N92" s="257" t="s">
        <v>444</v>
      </c>
      <c r="O92" s="258">
        <v>0.3</v>
      </c>
    </row>
    <row r="93" spans="1:15" ht="15.75">
      <c r="A93" s="257" t="s">
        <v>313</v>
      </c>
      <c r="B93" s="258">
        <v>0.25</v>
      </c>
      <c r="G93" s="257" t="s">
        <v>313</v>
      </c>
      <c r="H93" s="258">
        <v>1.2E-2</v>
      </c>
      <c r="I93" s="258">
        <v>7.5499999999999998E-2</v>
      </c>
      <c r="J93" s="258">
        <v>0.25</v>
      </c>
      <c r="K93" s="256">
        <v>1.7999999999999999E-2</v>
      </c>
      <c r="N93" s="257" t="s">
        <v>313</v>
      </c>
      <c r="O93" s="258">
        <v>0.25</v>
      </c>
    </row>
    <row r="94" spans="1:15" ht="15.75">
      <c r="A94" s="257" t="s">
        <v>314</v>
      </c>
      <c r="B94" s="258">
        <v>0.35</v>
      </c>
      <c r="G94" s="257" t="s">
        <v>314</v>
      </c>
      <c r="H94" s="258">
        <v>1.2E-2</v>
      </c>
      <c r="I94" s="258">
        <v>7.5499999999999998E-2</v>
      </c>
      <c r="J94" s="258">
        <v>0.35</v>
      </c>
      <c r="K94" s="256">
        <v>1.7999999999999999E-2</v>
      </c>
      <c r="N94" s="257" t="s">
        <v>314</v>
      </c>
      <c r="O94" s="258">
        <v>0.35</v>
      </c>
    </row>
    <row r="95" spans="1:15" ht="15.75">
      <c r="A95" s="257" t="s">
        <v>514</v>
      </c>
      <c r="B95" s="258">
        <v>0</v>
      </c>
      <c r="G95" s="257" t="s">
        <v>514</v>
      </c>
      <c r="H95" s="258">
        <v>1.01E-2</v>
      </c>
      <c r="I95" s="258">
        <v>7.2599999999999998E-2</v>
      </c>
      <c r="J95" s="258">
        <v>0</v>
      </c>
      <c r="K95" s="256">
        <v>1.5100000000000001E-2</v>
      </c>
      <c r="N95" s="257" t="s">
        <v>514</v>
      </c>
      <c r="O95" s="258">
        <v>0</v>
      </c>
    </row>
    <row r="96" spans="1:15" ht="15.75">
      <c r="A96" s="257" t="s">
        <v>315</v>
      </c>
      <c r="B96" s="258">
        <v>0.15</v>
      </c>
      <c r="G96" s="257" t="s">
        <v>315</v>
      </c>
      <c r="H96" s="258">
        <v>1.6E-2</v>
      </c>
      <c r="I96" s="258">
        <v>8.1500000000000003E-2</v>
      </c>
      <c r="J96" s="258">
        <v>0.15</v>
      </c>
      <c r="K96" s="256">
        <v>2.4E-2</v>
      </c>
      <c r="N96" s="257" t="s">
        <v>315</v>
      </c>
      <c r="O96" s="258">
        <v>0.15</v>
      </c>
    </row>
    <row r="97" spans="1:15" ht="15.75">
      <c r="A97" s="257" t="s">
        <v>316</v>
      </c>
      <c r="B97" s="258">
        <v>0.3</v>
      </c>
      <c r="G97" s="257" t="s">
        <v>316</v>
      </c>
      <c r="H97" s="258">
        <v>1.2E-2</v>
      </c>
      <c r="I97" s="258">
        <v>7.5499999999999998E-2</v>
      </c>
      <c r="J97" s="258">
        <v>0.3</v>
      </c>
      <c r="K97" s="256">
        <v>1.7999999999999999E-2</v>
      </c>
      <c r="N97" s="257" t="s">
        <v>316</v>
      </c>
      <c r="O97" s="258">
        <v>0.3</v>
      </c>
    </row>
    <row r="98" spans="1:15" ht="15.75">
      <c r="A98" s="254" t="s">
        <v>378</v>
      </c>
      <c r="B98" s="255">
        <v>0.25</v>
      </c>
      <c r="G98" s="254" t="s">
        <v>378</v>
      </c>
      <c r="H98" s="255">
        <v>6.5000000000000002E-2</v>
      </c>
      <c r="I98" s="255">
        <v>0.155</v>
      </c>
      <c r="J98" s="255">
        <v>0.25</v>
      </c>
      <c r="K98" s="256">
        <v>9.7500000000000003E-2</v>
      </c>
      <c r="N98" s="254" t="s">
        <v>378</v>
      </c>
      <c r="O98" s="255">
        <v>0.25</v>
      </c>
    </row>
    <row r="99" spans="1:15" ht="15.75">
      <c r="A99" s="257" t="s">
        <v>515</v>
      </c>
      <c r="B99" s="258">
        <v>0.3</v>
      </c>
      <c r="G99" s="257" t="s">
        <v>515</v>
      </c>
      <c r="H99" s="258">
        <v>0</v>
      </c>
      <c r="I99" s="258">
        <v>5.7500000000000002E-2</v>
      </c>
      <c r="J99" s="258">
        <v>0.3</v>
      </c>
      <c r="K99" s="256">
        <v>0</v>
      </c>
      <c r="N99" s="257" t="s">
        <v>515</v>
      </c>
      <c r="O99" s="258">
        <v>0.3</v>
      </c>
    </row>
    <row r="100" spans="1:15" ht="15.75">
      <c r="A100" s="257" t="s">
        <v>379</v>
      </c>
      <c r="B100" s="258">
        <v>0.3</v>
      </c>
      <c r="G100" s="257" t="s">
        <v>379</v>
      </c>
      <c r="H100" s="258">
        <v>5.5E-2</v>
      </c>
      <c r="I100" s="258">
        <v>0.14000000000000001</v>
      </c>
      <c r="J100" s="258">
        <v>0.3</v>
      </c>
      <c r="K100" s="256">
        <v>8.2500000000000004E-2</v>
      </c>
      <c r="N100" s="257" t="s">
        <v>379</v>
      </c>
      <c r="O100" s="258">
        <v>0.3</v>
      </c>
    </row>
    <row r="101" spans="1:15" ht="15.75">
      <c r="A101" s="257" t="s">
        <v>317</v>
      </c>
      <c r="B101" s="258">
        <v>0.09</v>
      </c>
      <c r="G101" s="257" t="s">
        <v>317</v>
      </c>
      <c r="H101" s="258">
        <v>3.5999999999999997E-2</v>
      </c>
      <c r="I101" s="258">
        <v>0.1115</v>
      </c>
      <c r="J101" s="258">
        <v>0.09</v>
      </c>
      <c r="K101" s="256">
        <v>5.3999999999999999E-2</v>
      </c>
      <c r="N101" s="257" t="s">
        <v>317</v>
      </c>
      <c r="O101" s="258">
        <v>0.09</v>
      </c>
    </row>
    <row r="102" spans="1:15" ht="15.75">
      <c r="A102" s="254" t="s">
        <v>516</v>
      </c>
      <c r="B102" s="255">
        <v>0.2</v>
      </c>
      <c r="G102" s="254" t="s">
        <v>516</v>
      </c>
      <c r="H102" s="255">
        <v>2.1999999999999999E-2</v>
      </c>
      <c r="I102" s="255">
        <v>9.0499999999999997E-2</v>
      </c>
      <c r="J102" s="255">
        <v>0.2</v>
      </c>
      <c r="K102" s="256">
        <v>3.3000000000000002E-2</v>
      </c>
      <c r="N102" s="254" t="s">
        <v>516</v>
      </c>
      <c r="O102" s="255">
        <v>0.2</v>
      </c>
    </row>
    <row r="103" spans="1:15" ht="15.75">
      <c r="A103" s="257" t="s">
        <v>380</v>
      </c>
      <c r="B103" s="258">
        <v>0.3</v>
      </c>
      <c r="G103" s="257" t="s">
        <v>380</v>
      </c>
      <c r="H103" s="258">
        <v>2.5000000000000001E-2</v>
      </c>
      <c r="I103" s="258">
        <v>9.5000000000000001E-2</v>
      </c>
      <c r="J103" s="258">
        <v>0.3</v>
      </c>
      <c r="K103" s="256">
        <v>3.7499999999999999E-2</v>
      </c>
      <c r="N103" s="257" t="s">
        <v>380</v>
      </c>
      <c r="O103" s="258">
        <v>0.3</v>
      </c>
    </row>
    <row r="104" spans="1:15" ht="15.75">
      <c r="A104" s="257" t="s">
        <v>318</v>
      </c>
      <c r="B104" s="258">
        <v>0.32</v>
      </c>
      <c r="G104" s="257" t="s">
        <v>318</v>
      </c>
      <c r="H104" s="258">
        <v>4.4999999999999998E-2</v>
      </c>
      <c r="I104" s="258">
        <v>0.125</v>
      </c>
      <c r="J104" s="258">
        <v>0.32</v>
      </c>
      <c r="K104" s="256">
        <v>6.7500000000000004E-2</v>
      </c>
      <c r="N104" s="257" t="s">
        <v>318</v>
      </c>
      <c r="O104" s="258">
        <v>0.32</v>
      </c>
    </row>
    <row r="105" spans="1:15" ht="15.75">
      <c r="A105" s="257" t="s">
        <v>319</v>
      </c>
      <c r="B105" s="258">
        <v>0.33</v>
      </c>
      <c r="G105" s="257" t="s">
        <v>319</v>
      </c>
      <c r="H105" s="258">
        <v>2.1999999999999999E-2</v>
      </c>
      <c r="I105" s="258">
        <v>9.0499999999999997E-2</v>
      </c>
      <c r="J105" s="258">
        <v>0.33</v>
      </c>
      <c r="K105" s="256">
        <v>3.3000000000000002E-2</v>
      </c>
      <c r="N105" s="257" t="s">
        <v>319</v>
      </c>
      <c r="O105" s="258">
        <v>0.33</v>
      </c>
    </row>
    <row r="106" spans="1:15" ht="15.75">
      <c r="A106" s="257" t="s">
        <v>320</v>
      </c>
      <c r="B106" s="258">
        <v>0.25</v>
      </c>
      <c r="G106" s="257" t="s">
        <v>320</v>
      </c>
      <c r="H106" s="258">
        <v>0</v>
      </c>
      <c r="I106" s="258">
        <v>5.7500000000000002E-2</v>
      </c>
      <c r="J106" s="258">
        <v>0.25</v>
      </c>
      <c r="K106" s="256">
        <v>0</v>
      </c>
      <c r="N106" s="257" t="s">
        <v>320</v>
      </c>
      <c r="O106" s="258">
        <v>0.25</v>
      </c>
    </row>
    <row r="107" spans="1:15" ht="15.75">
      <c r="A107" s="254" t="s">
        <v>517</v>
      </c>
      <c r="B107" s="255">
        <v>0.2</v>
      </c>
      <c r="G107" s="254" t="s">
        <v>517</v>
      </c>
      <c r="H107" s="255">
        <v>0</v>
      </c>
      <c r="I107" s="255">
        <v>5.7500000000000002E-2</v>
      </c>
      <c r="J107" s="255">
        <v>0.2</v>
      </c>
      <c r="K107" s="256">
        <v>0</v>
      </c>
      <c r="N107" s="254" t="s">
        <v>517</v>
      </c>
      <c r="O107" s="255">
        <v>0.2</v>
      </c>
    </row>
    <row r="108" spans="1:15" ht="15.75">
      <c r="A108" s="257" t="s">
        <v>321</v>
      </c>
      <c r="B108" s="258">
        <v>0.28000000000000003</v>
      </c>
      <c r="G108" s="257" t="s">
        <v>321</v>
      </c>
      <c r="H108" s="258">
        <v>0</v>
      </c>
      <c r="I108" s="258">
        <v>5.7500000000000002E-2</v>
      </c>
      <c r="J108" s="258">
        <v>0.28000000000000003</v>
      </c>
      <c r="K108" s="256">
        <v>0</v>
      </c>
      <c r="N108" s="257" t="s">
        <v>321</v>
      </c>
      <c r="O108" s="258">
        <v>0.28000000000000003</v>
      </c>
    </row>
    <row r="109" spans="1:15" ht="15.75">
      <c r="A109" s="257" t="s">
        <v>381</v>
      </c>
      <c r="B109" s="258">
        <v>0.27150000000000002</v>
      </c>
      <c r="G109" s="257" t="s">
        <v>381</v>
      </c>
      <c r="H109" s="258">
        <v>6.5000000000000002E-2</v>
      </c>
      <c r="I109" s="258">
        <v>0.155</v>
      </c>
      <c r="J109" s="258">
        <v>0.27150000000000002</v>
      </c>
      <c r="K109" s="256">
        <v>9.7500000000000003E-2</v>
      </c>
      <c r="N109" s="257" t="s">
        <v>381</v>
      </c>
      <c r="O109" s="258">
        <v>0.27150000000000002</v>
      </c>
    </row>
    <row r="110" spans="1:15" ht="15.75">
      <c r="A110" s="257" t="s">
        <v>518</v>
      </c>
      <c r="B110" s="258">
        <v>0.27850000000000003</v>
      </c>
      <c r="G110" s="257" t="s">
        <v>518</v>
      </c>
      <c r="H110" s="258">
        <v>3.9899999999999998E-2</v>
      </c>
      <c r="I110" s="258">
        <v>0.1173</v>
      </c>
      <c r="J110" s="258">
        <v>0.27850000000000003</v>
      </c>
      <c r="K110" s="256">
        <v>5.9799999999999999E-2</v>
      </c>
      <c r="N110" s="257" t="s">
        <v>518</v>
      </c>
      <c r="O110" s="258">
        <v>0.27850000000000003</v>
      </c>
    </row>
    <row r="111" spans="1:15" ht="15.75">
      <c r="A111" s="257" t="s">
        <v>322</v>
      </c>
      <c r="B111" s="258">
        <v>0.3</v>
      </c>
      <c r="G111" s="257" t="s">
        <v>322</v>
      </c>
      <c r="H111" s="258">
        <v>3.5999999999999997E-2</v>
      </c>
      <c r="I111" s="258">
        <v>0.1115</v>
      </c>
      <c r="J111" s="258">
        <v>0.3</v>
      </c>
      <c r="K111" s="256">
        <v>5.3999999999999999E-2</v>
      </c>
      <c r="N111" s="257" t="s">
        <v>322</v>
      </c>
      <c r="O111" s="258">
        <v>0.3</v>
      </c>
    </row>
    <row r="112" spans="1:15" ht="15.75">
      <c r="A112" s="257" t="s">
        <v>323</v>
      </c>
      <c r="B112" s="258">
        <v>0.27</v>
      </c>
      <c r="G112" s="257" t="s">
        <v>323</v>
      </c>
      <c r="H112" s="258">
        <v>0</v>
      </c>
      <c r="I112" s="258">
        <v>5.7500000000000002E-2</v>
      </c>
      <c r="J112" s="258">
        <v>0.27</v>
      </c>
      <c r="K112" s="256">
        <v>0</v>
      </c>
      <c r="N112" s="257" t="s">
        <v>323</v>
      </c>
      <c r="O112" s="258">
        <v>0.27</v>
      </c>
    </row>
    <row r="113" spans="1:15" ht="15.75">
      <c r="A113" s="257" t="s">
        <v>324</v>
      </c>
      <c r="B113" s="258">
        <v>0.12</v>
      </c>
      <c r="G113" s="257" t="s">
        <v>324</v>
      </c>
      <c r="H113" s="258">
        <v>7.0000000000000001E-3</v>
      </c>
      <c r="I113" s="258">
        <v>6.8000000000000005E-2</v>
      </c>
      <c r="J113" s="258">
        <v>0.12</v>
      </c>
      <c r="K113" s="256">
        <v>1.0500000000000001E-2</v>
      </c>
      <c r="N113" s="257" t="s">
        <v>324</v>
      </c>
      <c r="O113" s="258">
        <v>0.12</v>
      </c>
    </row>
    <row r="114" spans="1:15" ht="15.75">
      <c r="A114" s="257" t="s">
        <v>325</v>
      </c>
      <c r="B114" s="258">
        <v>0.34</v>
      </c>
      <c r="G114" s="257" t="s">
        <v>325</v>
      </c>
      <c r="H114" s="258">
        <v>7.4999999999999997E-2</v>
      </c>
      <c r="I114" s="258">
        <v>0.17</v>
      </c>
      <c r="J114" s="258">
        <v>0.34</v>
      </c>
      <c r="K114" s="256">
        <v>0.1125</v>
      </c>
      <c r="N114" s="257" t="s">
        <v>325</v>
      </c>
      <c r="O114" s="258">
        <v>0.34</v>
      </c>
    </row>
    <row r="115" spans="1:15" ht="15.75">
      <c r="A115" s="257" t="s">
        <v>519</v>
      </c>
      <c r="B115" s="258">
        <v>0.2</v>
      </c>
      <c r="G115" s="257" t="s">
        <v>519</v>
      </c>
      <c r="H115" s="258">
        <v>7.4999999999999997E-2</v>
      </c>
      <c r="I115" s="258">
        <v>0.17</v>
      </c>
      <c r="J115" s="258">
        <v>0.2</v>
      </c>
      <c r="K115" s="256">
        <v>0.1125</v>
      </c>
      <c r="N115" s="257" t="s">
        <v>519</v>
      </c>
      <c r="O115" s="258">
        <v>0.2</v>
      </c>
    </row>
    <row r="116" spans="1:15" ht="15.75">
      <c r="A116" s="257" t="s">
        <v>326</v>
      </c>
      <c r="B116" s="258">
        <v>0.25</v>
      </c>
      <c r="G116" s="257" t="s">
        <v>326</v>
      </c>
      <c r="H116" s="258">
        <v>1.9E-2</v>
      </c>
      <c r="I116" s="258">
        <v>8.5999999999999993E-2</v>
      </c>
      <c r="J116" s="258">
        <v>0.25</v>
      </c>
      <c r="K116" s="256">
        <v>2.8500000000000001E-2</v>
      </c>
      <c r="N116" s="257" t="s">
        <v>326</v>
      </c>
      <c r="O116" s="258">
        <v>0.25</v>
      </c>
    </row>
    <row r="117" spans="1:15" ht="15.75">
      <c r="A117" s="257" t="s">
        <v>327</v>
      </c>
      <c r="B117" s="258">
        <v>0.3</v>
      </c>
      <c r="G117" s="257" t="s">
        <v>327</v>
      </c>
      <c r="H117" s="258">
        <v>4.4999999999999998E-2</v>
      </c>
      <c r="I117" s="258">
        <v>0.125</v>
      </c>
      <c r="J117" s="258">
        <v>0.3</v>
      </c>
      <c r="K117" s="256">
        <v>6.7500000000000004E-2</v>
      </c>
      <c r="N117" s="257" t="s">
        <v>327</v>
      </c>
      <c r="O117" s="258">
        <v>0.3</v>
      </c>
    </row>
    <row r="118" spans="1:15" ht="15.75">
      <c r="A118" s="254" t="s">
        <v>328</v>
      </c>
      <c r="B118" s="255">
        <v>0.1</v>
      </c>
      <c r="G118" s="254" t="s">
        <v>328</v>
      </c>
      <c r="H118" s="255">
        <v>0.03</v>
      </c>
      <c r="I118" s="255">
        <v>0.10249999999999999</v>
      </c>
      <c r="J118" s="255">
        <v>0.1</v>
      </c>
      <c r="K118" s="256">
        <v>4.4999999999999998E-2</v>
      </c>
      <c r="N118" s="254" t="s">
        <v>328</v>
      </c>
      <c r="O118" s="255">
        <v>0.1</v>
      </c>
    </row>
    <row r="119" spans="1:15" ht="15.75">
      <c r="A119" s="257" t="s">
        <v>329</v>
      </c>
      <c r="B119" s="258">
        <v>0.3</v>
      </c>
      <c r="G119" s="257" t="s">
        <v>329</v>
      </c>
      <c r="H119" s="258">
        <v>1.2E-2</v>
      </c>
      <c r="I119" s="258">
        <v>7.5499999999999998E-2</v>
      </c>
      <c r="J119" s="258">
        <v>0.3</v>
      </c>
      <c r="K119" s="256">
        <v>1.7999999999999999E-2</v>
      </c>
      <c r="N119" s="257" t="s">
        <v>329</v>
      </c>
      <c r="O119" s="258">
        <v>0.3</v>
      </c>
    </row>
    <row r="120" spans="1:15" ht="15.75">
      <c r="A120" s="257" t="s">
        <v>330</v>
      </c>
      <c r="B120" s="258">
        <v>0.3</v>
      </c>
      <c r="G120" s="257" t="s">
        <v>330</v>
      </c>
      <c r="H120" s="258">
        <v>1.9E-2</v>
      </c>
      <c r="I120" s="258">
        <v>8.5999999999999993E-2</v>
      </c>
      <c r="J120" s="258">
        <v>0.3</v>
      </c>
      <c r="K120" s="256">
        <v>2.8500000000000001E-2</v>
      </c>
      <c r="N120" s="257" t="s">
        <v>330</v>
      </c>
      <c r="O120" s="258">
        <v>0.3</v>
      </c>
    </row>
    <row r="121" spans="1:15" ht="15.75">
      <c r="A121" s="257" t="s">
        <v>331</v>
      </c>
      <c r="B121" s="258">
        <v>0.19</v>
      </c>
      <c r="G121" s="257" t="s">
        <v>331</v>
      </c>
      <c r="H121" s="258">
        <v>8.5000000000000006E-3</v>
      </c>
      <c r="I121" s="258">
        <v>7.0300000000000001E-2</v>
      </c>
      <c r="J121" s="258">
        <v>0.19</v>
      </c>
      <c r="K121" s="256">
        <v>1.2749999999999999E-2</v>
      </c>
      <c r="N121" s="257" t="s">
        <v>331</v>
      </c>
      <c r="O121" s="258">
        <v>0.19</v>
      </c>
    </row>
    <row r="122" spans="1:15" ht="15.75">
      <c r="A122" s="257" t="s">
        <v>332</v>
      </c>
      <c r="B122" s="258">
        <v>0.23</v>
      </c>
      <c r="G122" s="257" t="s">
        <v>332</v>
      </c>
      <c r="H122" s="258">
        <v>2.5000000000000001E-2</v>
      </c>
      <c r="I122" s="258">
        <v>9.5000000000000001E-2</v>
      </c>
      <c r="J122" s="258">
        <v>0.23</v>
      </c>
      <c r="K122" s="256">
        <v>3.7499999999999999E-2</v>
      </c>
      <c r="N122" s="257" t="s">
        <v>332</v>
      </c>
      <c r="O122" s="258">
        <v>0.23</v>
      </c>
    </row>
    <row r="123" spans="1:15" ht="15.75">
      <c r="A123" s="257" t="s">
        <v>333</v>
      </c>
      <c r="B123" s="258">
        <v>0.1</v>
      </c>
      <c r="G123" s="257" t="s">
        <v>333</v>
      </c>
      <c r="H123" s="258">
        <v>5.0000000000000001E-3</v>
      </c>
      <c r="I123" s="258">
        <v>6.5000000000000002E-2</v>
      </c>
      <c r="J123" s="258">
        <v>0.1</v>
      </c>
      <c r="K123" s="256">
        <v>7.4999999999999997E-3</v>
      </c>
      <c r="N123" s="257" t="s">
        <v>333</v>
      </c>
      <c r="O123" s="258">
        <v>0.1</v>
      </c>
    </row>
    <row r="124" spans="1:15" ht="15.75">
      <c r="A124" s="257" t="s">
        <v>520</v>
      </c>
      <c r="B124" s="258">
        <v>0</v>
      </c>
      <c r="G124" s="257" t="s">
        <v>520</v>
      </c>
      <c r="H124" s="258">
        <v>0</v>
      </c>
      <c r="I124" s="258">
        <v>5.7500000000000002E-2</v>
      </c>
      <c r="J124" s="258">
        <v>0</v>
      </c>
      <c r="K124" s="256">
        <v>0</v>
      </c>
      <c r="N124" s="257" t="s">
        <v>520</v>
      </c>
      <c r="O124" s="258">
        <v>0</v>
      </c>
    </row>
    <row r="125" spans="1:15" ht="15.75">
      <c r="A125" s="257" t="s">
        <v>334</v>
      </c>
      <c r="B125" s="258">
        <v>0.16</v>
      </c>
      <c r="G125" s="257" t="s">
        <v>334</v>
      </c>
      <c r="H125" s="258">
        <v>2.1999999999999999E-2</v>
      </c>
      <c r="I125" s="258">
        <v>9.0499999999999997E-2</v>
      </c>
      <c r="J125" s="258">
        <v>0.16</v>
      </c>
      <c r="K125" s="256">
        <v>3.3000000000000002E-2</v>
      </c>
      <c r="N125" s="257" t="s">
        <v>334</v>
      </c>
      <c r="O125" s="258">
        <v>0.16</v>
      </c>
    </row>
    <row r="126" spans="1:15" ht="15.75">
      <c r="A126" s="257" t="s">
        <v>335</v>
      </c>
      <c r="B126" s="258">
        <v>0.2</v>
      </c>
      <c r="G126" s="257" t="s">
        <v>335</v>
      </c>
      <c r="H126" s="258">
        <v>1.9E-2</v>
      </c>
      <c r="I126" s="258">
        <v>8.5999999999999993E-2</v>
      </c>
      <c r="J126" s="258">
        <v>0.2</v>
      </c>
      <c r="K126" s="256">
        <v>2.8500000000000001E-2</v>
      </c>
      <c r="N126" s="257" t="s">
        <v>335</v>
      </c>
      <c r="O126" s="258">
        <v>0.2</v>
      </c>
    </row>
    <row r="127" spans="1:15" ht="15.75">
      <c r="A127" s="254" t="s">
        <v>521</v>
      </c>
      <c r="B127" s="255">
        <v>0.27850000000000003</v>
      </c>
      <c r="G127" s="254" t="s">
        <v>521</v>
      </c>
      <c r="H127" s="255">
        <v>5.5E-2</v>
      </c>
      <c r="I127" s="255">
        <v>0.14000000000000001</v>
      </c>
      <c r="J127" s="255">
        <v>0.27850000000000003</v>
      </c>
      <c r="K127" s="256">
        <v>8.2500000000000004E-2</v>
      </c>
      <c r="N127" s="254" t="s">
        <v>521</v>
      </c>
      <c r="O127" s="255">
        <v>0.27850000000000003</v>
      </c>
    </row>
    <row r="128" spans="1:15" ht="15.75">
      <c r="A128" s="257" t="s">
        <v>643</v>
      </c>
      <c r="B128" s="258">
        <v>0.27</v>
      </c>
      <c r="G128" s="257" t="s">
        <v>643</v>
      </c>
      <c r="H128" s="258">
        <v>5.5E-2</v>
      </c>
      <c r="I128" s="258">
        <v>0.14000000000000001</v>
      </c>
      <c r="J128" s="258">
        <v>0.27</v>
      </c>
      <c r="K128" s="256">
        <v>8.2500000000000004E-2</v>
      </c>
      <c r="N128" s="257" t="s">
        <v>643</v>
      </c>
      <c r="O128" s="258">
        <v>0.27</v>
      </c>
    </row>
    <row r="129" spans="1:15" ht="15.75">
      <c r="A129" s="257" t="s">
        <v>336</v>
      </c>
      <c r="B129" s="258">
        <v>0.2</v>
      </c>
      <c r="G129" s="257" t="s">
        <v>336</v>
      </c>
      <c r="H129" s="258">
        <v>6.0000000000000001E-3</v>
      </c>
      <c r="I129" s="258">
        <v>6.6500000000000004E-2</v>
      </c>
      <c r="J129" s="258">
        <v>0.2</v>
      </c>
      <c r="K129" s="256">
        <v>8.9999999999999993E-3</v>
      </c>
      <c r="N129" s="257" t="s">
        <v>336</v>
      </c>
      <c r="O129" s="258">
        <v>0.2</v>
      </c>
    </row>
    <row r="130" spans="1:15" ht="15.75">
      <c r="A130" s="257" t="s">
        <v>382</v>
      </c>
      <c r="B130" s="258">
        <v>0.27850000000000003</v>
      </c>
      <c r="G130" s="257" t="s">
        <v>382</v>
      </c>
      <c r="H130" s="258">
        <v>4.4999999999999998E-2</v>
      </c>
      <c r="I130" s="258">
        <v>0.125</v>
      </c>
      <c r="J130" s="258">
        <v>0.27850000000000003</v>
      </c>
      <c r="K130" s="256">
        <v>6.7500000000000004E-2</v>
      </c>
      <c r="N130" s="257" t="s">
        <v>382</v>
      </c>
      <c r="O130" s="258">
        <v>0.27850000000000003</v>
      </c>
    </row>
    <row r="131" spans="1:15" ht="15.75">
      <c r="A131" s="257" t="s">
        <v>337</v>
      </c>
      <c r="B131" s="258">
        <v>0.15</v>
      </c>
      <c r="G131" s="257" t="s">
        <v>337</v>
      </c>
      <c r="H131" s="258">
        <v>4.4999999999999998E-2</v>
      </c>
      <c r="I131" s="258">
        <v>0.125</v>
      </c>
      <c r="J131" s="258">
        <v>0.15</v>
      </c>
      <c r="K131" s="256">
        <v>6.7500000000000004E-2</v>
      </c>
      <c r="N131" s="257" t="s">
        <v>337</v>
      </c>
      <c r="O131" s="258">
        <v>0.15</v>
      </c>
    </row>
    <row r="132" spans="1:15" ht="15.75">
      <c r="A132" s="257" t="s">
        <v>522</v>
      </c>
      <c r="B132" s="258">
        <v>0.3</v>
      </c>
      <c r="G132" s="257" t="s">
        <v>522</v>
      </c>
      <c r="H132" s="258">
        <v>3.9899999999999998E-2</v>
      </c>
      <c r="I132" s="258">
        <v>0.1173</v>
      </c>
      <c r="J132" s="258">
        <v>0.3</v>
      </c>
      <c r="K132" s="256">
        <v>5.9799999999999999E-2</v>
      </c>
      <c r="N132" s="257" t="s">
        <v>522</v>
      </c>
      <c r="O132" s="258">
        <v>0.3</v>
      </c>
    </row>
    <row r="133" spans="1:15" ht="15.75">
      <c r="A133" s="257" t="s">
        <v>338</v>
      </c>
      <c r="B133" s="258">
        <v>0.17</v>
      </c>
      <c r="G133" s="257" t="s">
        <v>338</v>
      </c>
      <c r="H133" s="258">
        <v>0</v>
      </c>
      <c r="I133" s="258">
        <v>5.7500000000000002E-2</v>
      </c>
      <c r="J133" s="258">
        <v>0.17</v>
      </c>
      <c r="K133" s="256">
        <v>0</v>
      </c>
      <c r="N133" s="257" t="s">
        <v>338</v>
      </c>
      <c r="O133" s="258">
        <v>0.17</v>
      </c>
    </row>
    <row r="134" spans="1:15" ht="15.75">
      <c r="A134" s="257" t="s">
        <v>383</v>
      </c>
      <c r="B134" s="258">
        <v>0.22</v>
      </c>
      <c r="G134" s="257" t="s">
        <v>383</v>
      </c>
      <c r="H134" s="258">
        <v>8.5000000000000006E-3</v>
      </c>
      <c r="I134" s="258">
        <v>7.0300000000000001E-2</v>
      </c>
      <c r="J134" s="258">
        <v>0.22</v>
      </c>
      <c r="K134" s="256">
        <v>1.2749999999999999E-2</v>
      </c>
      <c r="N134" s="257" t="s">
        <v>383</v>
      </c>
      <c r="O134" s="258">
        <v>0.22</v>
      </c>
    </row>
    <row r="135" spans="1:15" ht="15.75">
      <c r="A135" s="257" t="s">
        <v>339</v>
      </c>
      <c r="B135" s="258">
        <v>0.17</v>
      </c>
      <c r="G135" s="257" t="s">
        <v>339</v>
      </c>
      <c r="H135" s="258">
        <v>2.5000000000000001E-2</v>
      </c>
      <c r="I135" s="258">
        <v>9.5000000000000001E-2</v>
      </c>
      <c r="J135" s="258">
        <v>0.17</v>
      </c>
      <c r="K135" s="256">
        <v>3.7499999999999999E-2</v>
      </c>
      <c r="N135" s="257" t="s">
        <v>339</v>
      </c>
      <c r="O135" s="258">
        <v>0.17</v>
      </c>
    </row>
    <row r="136" spans="1:15" ht="15.75">
      <c r="A136" s="257" t="s">
        <v>340</v>
      </c>
      <c r="B136" s="258">
        <v>0.28000000000000003</v>
      </c>
      <c r="G136" s="257" t="s">
        <v>340</v>
      </c>
      <c r="H136" s="258">
        <v>1.9E-2</v>
      </c>
      <c r="I136" s="258">
        <v>8.5999999999999993E-2</v>
      </c>
      <c r="J136" s="258">
        <v>0.28000000000000003</v>
      </c>
      <c r="K136" s="256">
        <v>2.8500000000000001E-2</v>
      </c>
      <c r="N136" s="257" t="s">
        <v>340</v>
      </c>
      <c r="O136" s="258">
        <v>0.28000000000000003</v>
      </c>
    </row>
    <row r="137" spans="1:15" ht="15.75">
      <c r="A137" s="257" t="s">
        <v>341</v>
      </c>
      <c r="B137" s="258">
        <v>0.3</v>
      </c>
      <c r="G137" s="257" t="s">
        <v>341</v>
      </c>
      <c r="H137" s="258">
        <v>1.9E-2</v>
      </c>
      <c r="I137" s="258">
        <v>8.5999999999999993E-2</v>
      </c>
      <c r="J137" s="258">
        <v>0.3</v>
      </c>
      <c r="K137" s="256">
        <v>2.8500000000000001E-2</v>
      </c>
      <c r="N137" s="257" t="s">
        <v>341</v>
      </c>
      <c r="O137" s="258">
        <v>0.3</v>
      </c>
    </row>
    <row r="138" spans="1:15" ht="15.75">
      <c r="A138" s="257" t="s">
        <v>342</v>
      </c>
      <c r="B138" s="258">
        <v>0.28000000000000003</v>
      </c>
      <c r="G138" s="257" t="s">
        <v>342</v>
      </c>
      <c r="H138" s="258">
        <v>4.4999999999999998E-2</v>
      </c>
      <c r="I138" s="258">
        <v>0.125</v>
      </c>
      <c r="J138" s="258">
        <v>0.28000000000000003</v>
      </c>
      <c r="K138" s="256">
        <v>6.7500000000000004E-2</v>
      </c>
      <c r="N138" s="257" t="s">
        <v>342</v>
      </c>
      <c r="O138" s="258">
        <v>0.28000000000000003</v>
      </c>
    </row>
    <row r="139" spans="1:15" ht="15.75">
      <c r="A139" s="254" t="s">
        <v>443</v>
      </c>
      <c r="B139" s="255">
        <v>0.2</v>
      </c>
      <c r="G139" s="254" t="s">
        <v>443</v>
      </c>
      <c r="H139" s="255">
        <v>1.6E-2</v>
      </c>
      <c r="I139" s="255">
        <v>8.1500000000000003E-2</v>
      </c>
      <c r="J139" s="255">
        <v>0.2</v>
      </c>
      <c r="K139" s="256">
        <v>2.4E-2</v>
      </c>
      <c r="N139" s="254" t="s">
        <v>443</v>
      </c>
      <c r="O139" s="255">
        <v>0.2</v>
      </c>
    </row>
    <row r="140" spans="1:15" ht="15.75">
      <c r="A140" s="254" t="s">
        <v>384</v>
      </c>
      <c r="B140" s="255">
        <v>0.2</v>
      </c>
      <c r="G140" s="254" t="s">
        <v>384</v>
      </c>
      <c r="H140" s="255">
        <v>6.5000000000000002E-2</v>
      </c>
      <c r="I140" s="255">
        <v>0.155</v>
      </c>
      <c r="J140" s="255">
        <v>0.2</v>
      </c>
      <c r="K140" s="256">
        <v>9.7500000000000003E-2</v>
      </c>
      <c r="N140" s="254" t="s">
        <v>384</v>
      </c>
      <c r="O140" s="255">
        <v>0.2</v>
      </c>
    </row>
    <row r="141" spans="1:15" ht="15.75">
      <c r="A141" s="257" t="s">
        <v>343</v>
      </c>
      <c r="B141" s="258">
        <v>0.35</v>
      </c>
      <c r="G141" s="257" t="s">
        <v>343</v>
      </c>
      <c r="H141" s="258">
        <v>3.9899999999999998E-2</v>
      </c>
      <c r="I141" s="258">
        <v>0.1173</v>
      </c>
      <c r="J141" s="258">
        <v>0.35</v>
      </c>
      <c r="K141" s="256">
        <v>5.9799999999999999E-2</v>
      </c>
      <c r="N141" s="257" t="s">
        <v>343</v>
      </c>
      <c r="O141" s="258">
        <v>0.35</v>
      </c>
    </row>
    <row r="142" spans="1:15" ht="15.75">
      <c r="A142" s="254" t="s">
        <v>385</v>
      </c>
      <c r="B142" s="255">
        <v>0.34499999999999997</v>
      </c>
      <c r="G142" s="254" t="s">
        <v>385</v>
      </c>
      <c r="H142" s="255">
        <v>3.5999999999999997E-2</v>
      </c>
      <c r="I142" s="255">
        <v>0.1115</v>
      </c>
      <c r="J142" s="255">
        <v>0.34499999999999997</v>
      </c>
      <c r="K142" s="256">
        <v>5.3999999999999999E-2</v>
      </c>
      <c r="N142" s="254" t="s">
        <v>385</v>
      </c>
      <c r="O142" s="255">
        <v>0.34499999999999997</v>
      </c>
    </row>
    <row r="143" spans="1:15" ht="15.75">
      <c r="A143" s="257" t="s">
        <v>344</v>
      </c>
      <c r="B143" s="258">
        <v>0.22</v>
      </c>
      <c r="G143" s="257" t="s">
        <v>344</v>
      </c>
      <c r="H143" s="258">
        <v>0</v>
      </c>
      <c r="I143" s="258">
        <v>5.7500000000000002E-2</v>
      </c>
      <c r="J143" s="258">
        <v>0.22</v>
      </c>
      <c r="K143" s="256">
        <v>0</v>
      </c>
      <c r="N143" s="257" t="s">
        <v>344</v>
      </c>
      <c r="O143" s="258">
        <v>0.22</v>
      </c>
    </row>
    <row r="144" spans="1:15" ht="15.75">
      <c r="A144" s="257" t="s">
        <v>345</v>
      </c>
      <c r="B144" s="258">
        <v>0.1792</v>
      </c>
      <c r="G144" s="257" t="s">
        <v>345</v>
      </c>
      <c r="H144" s="258">
        <v>0</v>
      </c>
      <c r="I144" s="258">
        <v>5.7500000000000002E-2</v>
      </c>
      <c r="J144" s="258">
        <v>0.1792</v>
      </c>
      <c r="K144" s="256">
        <v>0</v>
      </c>
      <c r="N144" s="257" t="s">
        <v>345</v>
      </c>
      <c r="O144" s="258">
        <v>0.1792</v>
      </c>
    </row>
    <row r="145" spans="1:15" ht="15.75">
      <c r="A145" s="257" t="s">
        <v>346</v>
      </c>
      <c r="B145" s="258">
        <v>0.17</v>
      </c>
      <c r="G145" s="257" t="s">
        <v>346</v>
      </c>
      <c r="H145" s="258">
        <v>6.0000000000000001E-3</v>
      </c>
      <c r="I145" s="258">
        <v>6.6500000000000004E-2</v>
      </c>
      <c r="J145" s="258">
        <v>0.17</v>
      </c>
      <c r="K145" s="256">
        <v>8.9999999999999993E-3</v>
      </c>
      <c r="N145" s="257" t="s">
        <v>346</v>
      </c>
      <c r="O145" s="258">
        <v>0.17</v>
      </c>
    </row>
    <row r="146" spans="1:15" ht="15.75">
      <c r="A146" s="257" t="s">
        <v>347</v>
      </c>
      <c r="B146" s="258">
        <v>0.3</v>
      </c>
      <c r="G146" s="257" t="s">
        <v>347</v>
      </c>
      <c r="H146" s="258">
        <v>3.9899999999999998E-2</v>
      </c>
      <c r="I146" s="258">
        <v>0.1173</v>
      </c>
      <c r="J146" s="258">
        <v>0.3</v>
      </c>
      <c r="K146" s="256">
        <v>5.9799999999999999E-2</v>
      </c>
      <c r="N146" s="257" t="s">
        <v>347</v>
      </c>
      <c r="O146" s="258">
        <v>0.3</v>
      </c>
    </row>
    <row r="147" spans="1:15" ht="15.75">
      <c r="A147" s="257" t="s">
        <v>348</v>
      </c>
      <c r="B147" s="258">
        <v>0.2</v>
      </c>
      <c r="G147" s="257" t="s">
        <v>348</v>
      </c>
      <c r="H147" s="258">
        <v>1.6E-2</v>
      </c>
      <c r="I147" s="258">
        <v>8.1500000000000003E-2</v>
      </c>
      <c r="J147" s="258">
        <v>0.2</v>
      </c>
      <c r="K147" s="256">
        <v>2.4E-2</v>
      </c>
      <c r="N147" s="257" t="s">
        <v>348</v>
      </c>
      <c r="O147" s="258">
        <v>0.2</v>
      </c>
    </row>
    <row r="148" spans="1:15" ht="15.75">
      <c r="A148" s="257" t="s">
        <v>523</v>
      </c>
      <c r="B148" s="258">
        <v>0.27850000000000003</v>
      </c>
      <c r="G148" s="257" t="s">
        <v>523</v>
      </c>
      <c r="H148" s="258">
        <v>3.9899999999999998E-2</v>
      </c>
      <c r="I148" s="258">
        <v>0.1173</v>
      </c>
      <c r="J148" s="258">
        <v>0.27850000000000003</v>
      </c>
      <c r="K148" s="256">
        <v>5.9799999999999999E-2</v>
      </c>
      <c r="N148" s="257" t="s">
        <v>523</v>
      </c>
      <c r="O148" s="258">
        <v>0.27850000000000003</v>
      </c>
    </row>
    <row r="149" spans="1:15" ht="15.75">
      <c r="A149" s="257" t="s">
        <v>524</v>
      </c>
      <c r="B149" s="258">
        <v>0.25</v>
      </c>
      <c r="G149" s="257" t="s">
        <v>524</v>
      </c>
      <c r="H149" s="258">
        <v>1.6E-2</v>
      </c>
      <c r="I149" s="258">
        <v>8.1500000000000003E-2</v>
      </c>
      <c r="J149" s="258">
        <v>0.25</v>
      </c>
      <c r="K149" s="256">
        <v>2.4E-2</v>
      </c>
      <c r="N149" s="257" t="s">
        <v>524</v>
      </c>
      <c r="O149" s="258">
        <v>0.25</v>
      </c>
    </row>
    <row r="150" spans="1:15" ht="15.75">
      <c r="A150" s="257" t="s">
        <v>349</v>
      </c>
      <c r="B150" s="258">
        <v>0.25</v>
      </c>
      <c r="G150" s="257" t="s">
        <v>349</v>
      </c>
      <c r="H150" s="258">
        <v>3.5999999999999997E-2</v>
      </c>
      <c r="I150" s="258">
        <v>0.1115</v>
      </c>
      <c r="J150" s="258">
        <v>0.25</v>
      </c>
      <c r="K150" s="256">
        <v>5.3999999999999999E-2</v>
      </c>
      <c r="N150" s="257" t="s">
        <v>349</v>
      </c>
      <c r="O150" s="258">
        <v>0.25</v>
      </c>
    </row>
    <row r="151" spans="1:15" ht="15.75">
      <c r="A151" s="257" t="s">
        <v>350</v>
      </c>
      <c r="B151" s="258">
        <v>0.2</v>
      </c>
      <c r="G151" s="257" t="s">
        <v>350</v>
      </c>
      <c r="H151" s="258">
        <v>2.1999999999999999E-2</v>
      </c>
      <c r="I151" s="258">
        <v>9.0499999999999997E-2</v>
      </c>
      <c r="J151" s="258">
        <v>0.2</v>
      </c>
      <c r="K151" s="256">
        <v>3.3000000000000002E-2</v>
      </c>
      <c r="N151" s="257" t="s">
        <v>350</v>
      </c>
      <c r="O151" s="258">
        <v>0.2</v>
      </c>
    </row>
    <row r="152" spans="1:15" ht="15.75">
      <c r="A152" s="254" t="s">
        <v>525</v>
      </c>
      <c r="B152" s="255">
        <v>0.2</v>
      </c>
      <c r="G152" s="254" t="s">
        <v>525</v>
      </c>
      <c r="H152" s="255">
        <v>2.1999999999999999E-2</v>
      </c>
      <c r="I152" s="255">
        <v>9.0499999999999997E-2</v>
      </c>
      <c r="J152" s="255">
        <v>0.2</v>
      </c>
      <c r="K152" s="256">
        <v>3.3000000000000002E-2</v>
      </c>
      <c r="N152" s="254" t="s">
        <v>525</v>
      </c>
      <c r="O152" s="255">
        <v>0.2</v>
      </c>
    </row>
    <row r="153" spans="1:15" ht="15.75">
      <c r="A153" s="257" t="s">
        <v>445</v>
      </c>
      <c r="B153" s="258">
        <v>0.3</v>
      </c>
      <c r="G153" s="257" t="s">
        <v>445</v>
      </c>
      <c r="H153" s="258">
        <v>4.4999999999999998E-2</v>
      </c>
      <c r="I153" s="258">
        <v>0.125</v>
      </c>
      <c r="J153" s="258">
        <v>0.3</v>
      </c>
      <c r="K153" s="256">
        <v>6.7500000000000004E-2</v>
      </c>
      <c r="N153" s="257" t="s">
        <v>445</v>
      </c>
      <c r="O153" s="258">
        <v>0.3</v>
      </c>
    </row>
    <row r="154" spans="1:15" ht="15.75">
      <c r="A154" s="257" t="s">
        <v>351</v>
      </c>
      <c r="B154" s="258">
        <v>0.18</v>
      </c>
      <c r="G154" s="257" t="s">
        <v>351</v>
      </c>
      <c r="H154" s="258">
        <v>0.1</v>
      </c>
      <c r="I154" s="258">
        <v>0.20749999999999999</v>
      </c>
      <c r="J154" s="258">
        <v>0.18</v>
      </c>
      <c r="K154" s="256">
        <v>0.15</v>
      </c>
      <c r="N154" s="257" t="s">
        <v>351</v>
      </c>
      <c r="O154" s="258">
        <v>0.18</v>
      </c>
    </row>
    <row r="155" spans="1:15" ht="15.75">
      <c r="A155" s="257" t="s">
        <v>352</v>
      </c>
      <c r="B155" s="258">
        <v>0.55000000000000004</v>
      </c>
      <c r="G155" s="257" t="s">
        <v>352</v>
      </c>
      <c r="H155" s="258">
        <v>5.0000000000000001E-3</v>
      </c>
      <c r="I155" s="258">
        <v>6.5000000000000002E-2</v>
      </c>
      <c r="J155" s="258">
        <v>0.55000000000000004</v>
      </c>
      <c r="K155" s="256">
        <v>7.4999999999999997E-3</v>
      </c>
      <c r="N155" s="257" t="s">
        <v>352</v>
      </c>
      <c r="O155" s="258">
        <v>0.55000000000000004</v>
      </c>
    </row>
    <row r="156" spans="1:15" ht="15.75">
      <c r="A156" s="257" t="s">
        <v>353</v>
      </c>
      <c r="B156" s="258">
        <v>0.21</v>
      </c>
      <c r="G156" s="257" t="s">
        <v>353</v>
      </c>
      <c r="H156" s="258">
        <v>4.0000000000000001E-3</v>
      </c>
      <c r="I156" s="258">
        <v>6.3500000000000001E-2</v>
      </c>
      <c r="J156" s="258">
        <v>0.21</v>
      </c>
      <c r="K156" s="256">
        <v>6.0000000000000001E-3</v>
      </c>
      <c r="N156" s="257" t="s">
        <v>353</v>
      </c>
      <c r="O156" s="258">
        <v>0.21</v>
      </c>
    </row>
    <row r="157" spans="1:15" ht="15.75">
      <c r="A157" s="257" t="s">
        <v>354</v>
      </c>
      <c r="B157" s="258">
        <v>0.4</v>
      </c>
      <c r="G157" s="257" t="s">
        <v>354</v>
      </c>
      <c r="H157" s="258">
        <v>0</v>
      </c>
      <c r="I157" s="258">
        <v>5.7500000000000002E-2</v>
      </c>
      <c r="J157" s="258">
        <v>0.4</v>
      </c>
      <c r="K157" s="256">
        <v>0</v>
      </c>
      <c r="N157" s="257" t="s">
        <v>354</v>
      </c>
      <c r="O157" s="258">
        <v>0.4</v>
      </c>
    </row>
    <row r="158" spans="1:15" ht="15.75">
      <c r="A158" s="254" t="s">
        <v>355</v>
      </c>
      <c r="B158" s="255">
        <v>0.25</v>
      </c>
      <c r="G158" s="254" t="s">
        <v>355</v>
      </c>
      <c r="H158" s="255">
        <v>1.9E-2</v>
      </c>
      <c r="I158" s="255">
        <v>8.5999999999999993E-2</v>
      </c>
      <c r="J158" s="255">
        <v>0.25</v>
      </c>
      <c r="K158" s="256">
        <v>2.8500000000000001E-2</v>
      </c>
      <c r="N158" s="254" t="s">
        <v>355</v>
      </c>
      <c r="O158" s="255">
        <v>0.25</v>
      </c>
    </row>
    <row r="159" spans="1:15" ht="15.75">
      <c r="A159" s="257" t="s">
        <v>356</v>
      </c>
      <c r="B159" s="258">
        <v>0.34</v>
      </c>
      <c r="G159" s="257" t="s">
        <v>356</v>
      </c>
      <c r="H159" s="258">
        <v>7.4999999999999997E-2</v>
      </c>
      <c r="I159" s="258">
        <v>0.17</v>
      </c>
      <c r="J159" s="258">
        <v>0.34</v>
      </c>
      <c r="K159" s="256">
        <v>0.1125</v>
      </c>
      <c r="N159" s="257" t="s">
        <v>356</v>
      </c>
      <c r="O159" s="258">
        <v>0.34</v>
      </c>
    </row>
    <row r="160" spans="1:15" ht="15.75">
      <c r="A160" s="257" t="s">
        <v>357</v>
      </c>
      <c r="B160" s="258">
        <v>0.22</v>
      </c>
      <c r="G160" s="257" t="s">
        <v>357</v>
      </c>
      <c r="H160" s="258">
        <v>4.4999999999999998E-2</v>
      </c>
      <c r="I160" s="258">
        <v>0.125</v>
      </c>
      <c r="J160" s="258">
        <v>0.22</v>
      </c>
      <c r="K160" s="256">
        <v>6.7500000000000004E-2</v>
      </c>
      <c r="N160" s="257" t="s">
        <v>357</v>
      </c>
      <c r="O160" s="258">
        <v>0.22</v>
      </c>
    </row>
    <row r="161" spans="1:15" ht="15.75">
      <c r="A161" s="257" t="s">
        <v>358</v>
      </c>
      <c r="B161" s="258">
        <v>0.35</v>
      </c>
      <c r="G161" s="257" t="s">
        <v>358</v>
      </c>
      <c r="H161" s="258">
        <v>4.4999999999999998E-2</v>
      </c>
      <c r="I161" s="258">
        <v>0.125</v>
      </c>
      <c r="J161" s="258">
        <v>0.35</v>
      </c>
      <c r="K161" s="256">
        <v>6.7500000000000004E-2</v>
      </c>
      <c r="N161" s="257" t="s">
        <v>358</v>
      </c>
      <c r="O161" s="258">
        <v>0.35</v>
      </c>
    </row>
    <row r="162" spans="1:15" ht="15.75">
      <c r="A162" s="257" t="s">
        <v>359</v>
      </c>
      <c r="B162" s="258">
        <v>0.27850000000000003</v>
      </c>
      <c r="G162" s="257" t="s">
        <v>359</v>
      </c>
      <c r="H162" s="258">
        <v>3.9899999999999998E-2</v>
      </c>
      <c r="I162" s="258">
        <v>0.1173</v>
      </c>
      <c r="J162" s="258">
        <v>0.27850000000000003</v>
      </c>
      <c r="K162" s="256">
        <v>5.9799999999999999E-2</v>
      </c>
      <c r="N162" s="257" t="s">
        <v>359</v>
      </c>
      <c r="O162" s="258">
        <v>0.27850000000000003</v>
      </c>
    </row>
    <row r="164" spans="1:15" ht="12.75">
      <c r="A164" s="259" t="s">
        <v>363</v>
      </c>
      <c r="B164" s="259" t="s">
        <v>446</v>
      </c>
    </row>
    <row r="165" spans="1:15">
      <c r="A165" s="1" t="s">
        <v>366</v>
      </c>
      <c r="B165" s="260">
        <v>0.27850000000000003</v>
      </c>
    </row>
    <row r="166" spans="1:15">
      <c r="A166" s="1" t="s">
        <v>441</v>
      </c>
      <c r="B166" s="260">
        <v>0.21909999999999999</v>
      </c>
    </row>
    <row r="167" spans="1:15">
      <c r="A167" s="1" t="s">
        <v>368</v>
      </c>
      <c r="B167" s="260">
        <v>0.26</v>
      </c>
    </row>
    <row r="168" spans="1:15">
      <c r="A168" s="1" t="s">
        <v>370</v>
      </c>
      <c r="B168" s="260">
        <v>0.14923076923076922</v>
      </c>
    </row>
    <row r="169" spans="1:15">
      <c r="A169" s="1" t="s">
        <v>367</v>
      </c>
      <c r="B169" s="260">
        <v>0.27150000000000002</v>
      </c>
    </row>
    <row r="170" spans="1:15">
      <c r="A170" s="1" t="s">
        <v>365</v>
      </c>
      <c r="B170" s="260">
        <v>0.16380952380952379</v>
      </c>
    </row>
    <row r="171" spans="1:15">
      <c r="A171" s="1" t="s">
        <v>371</v>
      </c>
      <c r="B171" s="260">
        <v>0.19222222222222221</v>
      </c>
    </row>
    <row r="172" spans="1:15">
      <c r="A172" s="1" t="s">
        <v>373</v>
      </c>
      <c r="B172" s="260">
        <v>0.33250000000000002</v>
      </c>
    </row>
    <row r="173" spans="1:15">
      <c r="A173" s="1" t="s">
        <v>364</v>
      </c>
      <c r="B173" s="260">
        <v>0.1968</v>
      </c>
    </row>
    <row r="174" spans="1:15" ht="15.75">
      <c r="A174" s="261" t="s">
        <v>526</v>
      </c>
      <c r="B174" s="262">
        <v>0.23569999999999999</v>
      </c>
    </row>
  </sheetData>
  <pageMargins left="0.7" right="0.7" top="0.75" bottom="0.75"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topLeftCell="A121" workbookViewId="0">
      <selection activeCell="B158" sqref="B158"/>
    </sheetView>
  </sheetViews>
  <sheetFormatPr baseColWidth="10" defaultRowHeight="12"/>
  <cols>
    <col min="1" max="1" width="20.85546875" customWidth="1"/>
    <col min="2" max="2" width="14" customWidth="1"/>
    <col min="3" max="3" width="28.85546875" bestFit="1" customWidth="1"/>
    <col min="4" max="4" width="25.85546875" customWidth="1"/>
    <col min="5" max="5" width="20.28515625" bestFit="1" customWidth="1"/>
    <col min="6" max="6" width="20.85546875" bestFit="1" customWidth="1"/>
  </cols>
  <sheetData>
    <row r="1" spans="1:7" ht="15.75">
      <c r="A1" s="249" t="s">
        <v>360</v>
      </c>
      <c r="B1" s="50" t="s">
        <v>537</v>
      </c>
      <c r="C1" s="249" t="s">
        <v>361</v>
      </c>
      <c r="D1" s="249" t="s">
        <v>440</v>
      </c>
      <c r="E1" s="283" t="s">
        <v>362</v>
      </c>
      <c r="F1" s="283" t="s">
        <v>660</v>
      </c>
      <c r="G1" s="284" t="s">
        <v>363</v>
      </c>
    </row>
    <row r="2" spans="1:7" ht="15.75">
      <c r="A2" s="44" t="s">
        <v>497</v>
      </c>
      <c r="B2" s="50">
        <v>390</v>
      </c>
      <c r="C2" s="285">
        <v>5.4999999999999997E-3</v>
      </c>
      <c r="D2" s="286">
        <v>6.7395648390921437E-2</v>
      </c>
      <c r="E2" s="287">
        <v>7.3956483909214405E-3</v>
      </c>
      <c r="F2" s="287">
        <v>0.55000000000000004</v>
      </c>
      <c r="G2" s="1" t="s">
        <v>371</v>
      </c>
    </row>
    <row r="3" spans="1:7" ht="15.75">
      <c r="A3" s="44" t="s">
        <v>251</v>
      </c>
      <c r="B3" s="50">
        <v>13.2</v>
      </c>
      <c r="C3" s="285">
        <v>4.99E-2</v>
      </c>
      <c r="D3" s="286">
        <v>0.12709870085581454</v>
      </c>
      <c r="E3" s="287">
        <v>6.7098700855814528E-2</v>
      </c>
      <c r="F3" s="287">
        <v>0.15</v>
      </c>
      <c r="G3" s="1" t="s">
        <v>365</v>
      </c>
    </row>
    <row r="4" spans="1:7" ht="15.75">
      <c r="A4" s="44" t="s">
        <v>538</v>
      </c>
      <c r="B4" s="50">
        <v>3.25</v>
      </c>
      <c r="C4" s="285">
        <v>2.4400000000000002E-2</v>
      </c>
      <c r="D4" s="286">
        <v>9.2809785588815114E-2</v>
      </c>
      <c r="E4" s="287">
        <v>3.2809785588815123E-2</v>
      </c>
      <c r="F4" s="287">
        <v>0</v>
      </c>
      <c r="G4" s="1" t="s">
        <v>364</v>
      </c>
    </row>
    <row r="5" spans="1:7" ht="15.75">
      <c r="A5" s="44" t="s">
        <v>252</v>
      </c>
      <c r="B5" s="50">
        <v>138.4</v>
      </c>
      <c r="C5" s="285">
        <v>3.3300000000000003E-2</v>
      </c>
      <c r="D5" s="286">
        <v>0.10477728934866981</v>
      </c>
      <c r="E5" s="287">
        <v>4.477728934866982E-2</v>
      </c>
      <c r="F5" s="287">
        <v>0.3</v>
      </c>
      <c r="G5" s="1" t="s">
        <v>366</v>
      </c>
    </row>
    <row r="6" spans="1:7" ht="15.75">
      <c r="A6" s="44" t="s">
        <v>253</v>
      </c>
      <c r="B6" s="50">
        <v>537.79999999999995</v>
      </c>
      <c r="C6" s="285">
        <v>8.3099999999999993E-2</v>
      </c>
      <c r="D6" s="286">
        <v>0.17174152387010394</v>
      </c>
      <c r="E6" s="287">
        <v>0.11174152387010394</v>
      </c>
      <c r="F6" s="287">
        <v>0.35</v>
      </c>
      <c r="G6" s="1" t="s">
        <v>367</v>
      </c>
    </row>
    <row r="7" spans="1:7" ht="15.75">
      <c r="A7" s="44" t="s">
        <v>254</v>
      </c>
      <c r="B7" s="50">
        <v>11.6</v>
      </c>
      <c r="C7" s="285">
        <v>3.9899999999999998E-2</v>
      </c>
      <c r="D7" s="286">
        <v>0.11365206741777553</v>
      </c>
      <c r="E7" s="287">
        <v>5.3652067417775541E-2</v>
      </c>
      <c r="F7" s="287">
        <v>0.2</v>
      </c>
      <c r="G7" s="1" t="s">
        <v>365</v>
      </c>
    </row>
    <row r="8" spans="1:7" ht="15.75">
      <c r="A8" s="44" t="s">
        <v>255</v>
      </c>
      <c r="B8" s="50">
        <v>2.6</v>
      </c>
      <c r="C8" s="285">
        <v>1.77E-2</v>
      </c>
      <c r="D8" s="286">
        <v>8.3800541185329008E-2</v>
      </c>
      <c r="E8" s="287">
        <v>2.3800541185329004E-2</v>
      </c>
      <c r="F8" s="287">
        <v>0.28000000000000003</v>
      </c>
      <c r="G8" s="1" t="s">
        <v>370</v>
      </c>
    </row>
    <row r="9" spans="1:7" ht="15.75">
      <c r="A9" s="44" t="s">
        <v>256</v>
      </c>
      <c r="B9" s="50">
        <v>1454.7</v>
      </c>
      <c r="C9" s="285">
        <v>0</v>
      </c>
      <c r="D9" s="286">
        <v>0.06</v>
      </c>
      <c r="E9" s="287">
        <v>0</v>
      </c>
      <c r="F9" s="287">
        <v>0.3</v>
      </c>
      <c r="G9" s="1" t="s">
        <v>368</v>
      </c>
    </row>
    <row r="10" spans="1:7" ht="15.75">
      <c r="A10" s="44" t="s">
        <v>257</v>
      </c>
      <c r="B10" s="50">
        <v>436.9</v>
      </c>
      <c r="C10" s="285">
        <v>0</v>
      </c>
      <c r="D10" s="286">
        <v>0.06</v>
      </c>
      <c r="E10" s="287">
        <v>0</v>
      </c>
      <c r="F10" s="287">
        <v>0.25</v>
      </c>
      <c r="G10" s="1" t="s">
        <v>364</v>
      </c>
    </row>
    <row r="11" spans="1:7" ht="15.75">
      <c r="A11" s="44" t="s">
        <v>369</v>
      </c>
      <c r="B11" s="50">
        <v>75.2</v>
      </c>
      <c r="C11" s="285">
        <v>2.4400000000000002E-2</v>
      </c>
      <c r="D11" s="286">
        <v>9.2809785588815114E-2</v>
      </c>
      <c r="E11" s="287">
        <v>3.2809785588815123E-2</v>
      </c>
      <c r="F11" s="287">
        <v>0.20119999999999999</v>
      </c>
      <c r="G11" s="1" t="s">
        <v>365</v>
      </c>
    </row>
    <row r="12" spans="1:7" ht="15.75">
      <c r="A12" s="44" t="s">
        <v>258</v>
      </c>
      <c r="B12" s="50">
        <v>8.5</v>
      </c>
      <c r="C12" s="285">
        <v>2.1100000000000001E-2</v>
      </c>
      <c r="D12" s="286">
        <v>8.8372396554262253E-2</v>
      </c>
      <c r="E12" s="287">
        <v>2.8372396554262259E-2</v>
      </c>
      <c r="F12" s="287">
        <v>0</v>
      </c>
      <c r="G12" s="1" t="s">
        <v>370</v>
      </c>
    </row>
    <row r="13" spans="1:7" ht="15.75">
      <c r="A13" s="44" t="s">
        <v>259</v>
      </c>
      <c r="B13" s="50">
        <v>33.9</v>
      </c>
      <c r="C13" s="285">
        <v>2.4400000000000002E-2</v>
      </c>
      <c r="D13" s="286">
        <v>9.2809785588815114E-2</v>
      </c>
      <c r="E13" s="287">
        <v>3.2809785588815123E-2</v>
      </c>
      <c r="F13" s="287">
        <v>0</v>
      </c>
      <c r="G13" s="1" t="s">
        <v>371</v>
      </c>
    </row>
    <row r="14" spans="1:7" ht="15.75">
      <c r="A14" s="44" t="s">
        <v>260</v>
      </c>
      <c r="B14" s="50">
        <v>172.9</v>
      </c>
      <c r="C14" s="285">
        <v>3.9899999999999998E-2</v>
      </c>
      <c r="D14" s="286">
        <v>0.11365206741777553</v>
      </c>
      <c r="E14" s="287">
        <v>5.3652067417775541E-2</v>
      </c>
      <c r="F14" s="287">
        <v>0.27500000000000002</v>
      </c>
      <c r="G14" s="1" t="s">
        <v>441</v>
      </c>
    </row>
    <row r="15" spans="1:7" ht="15.75">
      <c r="A15" s="44" t="s">
        <v>261</v>
      </c>
      <c r="B15" s="50">
        <v>4.4000000000000004</v>
      </c>
      <c r="C15" s="285">
        <v>7.2099999999999997E-2</v>
      </c>
      <c r="D15" s="286">
        <v>0.15695022708826106</v>
      </c>
      <c r="E15" s="287">
        <v>9.6950227088261065E-2</v>
      </c>
      <c r="F15" s="287">
        <v>0.25</v>
      </c>
      <c r="G15" s="1" t="s">
        <v>370</v>
      </c>
    </row>
    <row r="16" spans="1:7" ht="15.75">
      <c r="A16" s="44" t="s">
        <v>262</v>
      </c>
      <c r="B16" s="50">
        <v>76.099999999999994</v>
      </c>
      <c r="C16" s="285">
        <v>8.3099999999999993E-2</v>
      </c>
      <c r="D16" s="286">
        <v>0.17174152387010394</v>
      </c>
      <c r="E16" s="287">
        <v>0.11174152387010394</v>
      </c>
      <c r="F16" s="287">
        <v>0.18</v>
      </c>
      <c r="G16" s="1" t="s">
        <v>365</v>
      </c>
    </row>
    <row r="17" spans="1:7" ht="15.75">
      <c r="A17" s="44" t="s">
        <v>263</v>
      </c>
      <c r="B17" s="50">
        <v>531.20000000000005</v>
      </c>
      <c r="C17" s="285">
        <v>6.7000000000000002E-3</v>
      </c>
      <c r="D17" s="286">
        <v>6.9009244403486117E-2</v>
      </c>
      <c r="E17" s="287">
        <v>9.0092444034861191E-3</v>
      </c>
      <c r="F17" s="287">
        <v>0.33989999999999998</v>
      </c>
      <c r="G17" s="1" t="s">
        <v>364</v>
      </c>
    </row>
    <row r="18" spans="1:7" ht="15.75">
      <c r="A18" s="44" t="s">
        <v>372</v>
      </c>
      <c r="B18" s="50">
        <v>1.7</v>
      </c>
      <c r="C18" s="285">
        <v>9.98E-2</v>
      </c>
      <c r="D18" s="286">
        <v>0.19419740171162905</v>
      </c>
      <c r="E18" s="287">
        <v>0.13419740171162906</v>
      </c>
      <c r="F18" s="287">
        <v>0.26850000000000002</v>
      </c>
      <c r="G18" s="1" t="s">
        <v>367</v>
      </c>
    </row>
    <row r="19" spans="1:7" ht="15.75">
      <c r="A19" s="44" t="s">
        <v>264</v>
      </c>
      <c r="B19" s="50">
        <v>5.5570000000000004</v>
      </c>
      <c r="C19" s="285">
        <v>7.7999999999999996E-3</v>
      </c>
      <c r="D19" s="286">
        <v>7.0488374081670399E-2</v>
      </c>
      <c r="E19" s="287">
        <v>1.0488374081670407E-2</v>
      </c>
      <c r="F19" s="287">
        <v>0</v>
      </c>
      <c r="G19" s="1" t="s">
        <v>370</v>
      </c>
    </row>
    <row r="20" spans="1:7" ht="15.75">
      <c r="A20" s="44" t="s">
        <v>265</v>
      </c>
      <c r="B20" s="50">
        <v>33</v>
      </c>
      <c r="C20" s="285">
        <v>3.9899999999999998E-2</v>
      </c>
      <c r="D20" s="286">
        <v>0.11365206741777553</v>
      </c>
      <c r="E20" s="287">
        <v>5.3652067417775541E-2</v>
      </c>
      <c r="F20" s="287">
        <v>0.25</v>
      </c>
      <c r="G20" s="1" t="s">
        <v>367</v>
      </c>
    </row>
    <row r="21" spans="1:7" ht="15.75">
      <c r="A21" s="44" t="s">
        <v>266</v>
      </c>
      <c r="B21" s="50">
        <v>18.3</v>
      </c>
      <c r="C21" s="285">
        <v>7.2099999999999997E-2</v>
      </c>
      <c r="D21" s="286">
        <v>0.15695022708826106</v>
      </c>
      <c r="E21" s="287">
        <v>9.6950227088261065E-2</v>
      </c>
      <c r="F21" s="287">
        <v>0.1</v>
      </c>
      <c r="G21" s="1" t="s">
        <v>365</v>
      </c>
    </row>
    <row r="22" spans="1:7" ht="15.75">
      <c r="A22" s="44" t="s">
        <v>267</v>
      </c>
      <c r="B22" s="50">
        <v>15.8</v>
      </c>
      <c r="C22" s="285">
        <v>9.4000000000000004E-3</v>
      </c>
      <c r="D22" s="286">
        <v>7.2639835431756644E-2</v>
      </c>
      <c r="E22" s="287">
        <v>1.2639835431756645E-2</v>
      </c>
      <c r="F22" s="287">
        <v>0.22</v>
      </c>
      <c r="G22" s="1" t="s">
        <v>366</v>
      </c>
    </row>
    <row r="23" spans="1:7" ht="15.75">
      <c r="A23" s="44" t="s">
        <v>268</v>
      </c>
      <c r="B23" s="50">
        <v>2346.1</v>
      </c>
      <c r="C23" s="285">
        <v>2.4400000000000002E-2</v>
      </c>
      <c r="D23" s="286">
        <v>9.2809785588815114E-2</v>
      </c>
      <c r="E23" s="287">
        <v>3.2809785588815123E-2</v>
      </c>
      <c r="F23" s="287">
        <v>0.34</v>
      </c>
      <c r="G23" s="1" t="s">
        <v>367</v>
      </c>
    </row>
    <row r="24" spans="1:7" ht="15.75">
      <c r="A24" s="44" t="s">
        <v>269</v>
      </c>
      <c r="B24" s="50">
        <v>56.7</v>
      </c>
      <c r="C24" s="285">
        <v>2.1100000000000001E-2</v>
      </c>
      <c r="D24" s="286">
        <v>8.8372396554262253E-2</v>
      </c>
      <c r="E24" s="287">
        <v>2.8372396554262259E-2</v>
      </c>
      <c r="F24" s="287">
        <v>0.1</v>
      </c>
      <c r="G24" s="1" t="s">
        <v>365</v>
      </c>
    </row>
    <row r="25" spans="1:7" ht="15.75">
      <c r="A25" s="44" t="s">
        <v>502</v>
      </c>
      <c r="B25" s="50">
        <v>12.5</v>
      </c>
      <c r="C25" s="285">
        <v>7.2099999999999997E-2</v>
      </c>
      <c r="D25" s="286">
        <v>0.15695022708826106</v>
      </c>
      <c r="E25" s="287">
        <v>9.6950227088261065E-2</v>
      </c>
      <c r="F25" s="287">
        <v>0.2792</v>
      </c>
      <c r="G25" s="1" t="s">
        <v>366</v>
      </c>
    </row>
    <row r="26" spans="1:7" ht="15.75">
      <c r="A26" s="44" t="s">
        <v>270</v>
      </c>
      <c r="B26" s="50">
        <v>16.8</v>
      </c>
      <c r="C26" s="285">
        <v>6.0999999999999999E-2</v>
      </c>
      <c r="D26" s="286">
        <v>0.1420244639720378</v>
      </c>
      <c r="E26" s="287">
        <v>8.2024463972037803E-2</v>
      </c>
      <c r="F26" s="287">
        <v>0</v>
      </c>
      <c r="G26" s="1" t="s">
        <v>441</v>
      </c>
    </row>
    <row r="27" spans="1:7" ht="15.75">
      <c r="A27" s="44" t="s">
        <v>503</v>
      </c>
      <c r="B27" s="50">
        <v>32.1</v>
      </c>
      <c r="C27" s="285">
        <v>6.0999999999999999E-2</v>
      </c>
      <c r="D27" s="286">
        <v>0.1420244639720378</v>
      </c>
      <c r="E27" s="287">
        <v>8.2024463972037803E-2</v>
      </c>
      <c r="F27" s="287">
        <v>0.33</v>
      </c>
      <c r="G27" s="1" t="s">
        <v>366</v>
      </c>
    </row>
    <row r="28" spans="1:7" ht="15.75">
      <c r="A28" s="44" t="s">
        <v>271</v>
      </c>
      <c r="B28" s="50">
        <v>1785.4</v>
      </c>
      <c r="C28" s="285">
        <v>0</v>
      </c>
      <c r="D28" s="286">
        <v>0.06</v>
      </c>
      <c r="E28" s="287">
        <v>0</v>
      </c>
      <c r="F28" s="287">
        <v>0.26500000000000001</v>
      </c>
      <c r="G28" s="1" t="s">
        <v>373</v>
      </c>
    </row>
    <row r="29" spans="1:7" ht="15.75">
      <c r="A29" s="44" t="s">
        <v>272</v>
      </c>
      <c r="B29" s="50">
        <v>3.2</v>
      </c>
      <c r="C29" s="285">
        <v>6.7000000000000002E-3</v>
      </c>
      <c r="D29" s="286">
        <v>6.9009244403486117E-2</v>
      </c>
      <c r="E29" s="287">
        <v>9.0092444034861191E-3</v>
      </c>
      <c r="F29" s="287">
        <v>0</v>
      </c>
      <c r="G29" s="1" t="s">
        <v>370</v>
      </c>
    </row>
    <row r="30" spans="1:7" ht="15.75">
      <c r="A30" s="44" t="s">
        <v>504</v>
      </c>
      <c r="B30" s="50">
        <v>1.9</v>
      </c>
      <c r="C30" s="285">
        <v>6.0999999999999999E-2</v>
      </c>
      <c r="D30" s="286">
        <v>0.1420244639720378</v>
      </c>
      <c r="E30" s="287">
        <v>8.2024463972037803E-2</v>
      </c>
      <c r="F30" s="287">
        <v>0.2792</v>
      </c>
      <c r="G30" s="1" t="s">
        <v>366</v>
      </c>
    </row>
    <row r="31" spans="1:7" ht="15.75">
      <c r="A31" s="44" t="s">
        <v>273</v>
      </c>
      <c r="B31" s="50">
        <v>258.10000000000002</v>
      </c>
      <c r="C31" s="285">
        <v>6.7000000000000002E-3</v>
      </c>
      <c r="D31" s="286">
        <v>6.9009244403486117E-2</v>
      </c>
      <c r="E31" s="287">
        <v>9.0092444034861191E-3</v>
      </c>
      <c r="F31" s="287">
        <v>0.22500000000000001</v>
      </c>
      <c r="G31" s="1" t="s">
        <v>367</v>
      </c>
    </row>
    <row r="32" spans="1:7" ht="15.75">
      <c r="A32" s="44" t="s">
        <v>274</v>
      </c>
      <c r="B32" s="50">
        <v>10354.799999999999</v>
      </c>
      <c r="C32" s="285">
        <v>6.7000000000000002E-3</v>
      </c>
      <c r="D32" s="286">
        <v>6.9009244403486117E-2</v>
      </c>
      <c r="E32" s="287">
        <v>9.0092444034861191E-3</v>
      </c>
      <c r="F32" s="287">
        <v>0.25</v>
      </c>
      <c r="G32" s="1" t="s">
        <v>441</v>
      </c>
    </row>
    <row r="33" spans="1:7" ht="15.75">
      <c r="A33" s="44" t="s">
        <v>275</v>
      </c>
      <c r="B33" s="50">
        <v>377.7</v>
      </c>
      <c r="C33" s="285">
        <v>2.1100000000000001E-2</v>
      </c>
      <c r="D33" s="286">
        <v>8.8372396554262253E-2</v>
      </c>
      <c r="E33" s="287">
        <v>2.8372396554262259E-2</v>
      </c>
      <c r="F33" s="287">
        <v>0.25</v>
      </c>
      <c r="G33" s="1" t="s">
        <v>367</v>
      </c>
    </row>
    <row r="34" spans="1:7" ht="15.75">
      <c r="A34" s="44" t="s">
        <v>539</v>
      </c>
      <c r="B34" s="50">
        <v>33.1</v>
      </c>
      <c r="C34" s="285">
        <v>7.2099999999999997E-2</v>
      </c>
      <c r="D34" s="286">
        <v>0.15695022708826106</v>
      </c>
      <c r="E34" s="287">
        <v>9.6950227088261065E-2</v>
      </c>
      <c r="F34" s="287">
        <v>0.2792</v>
      </c>
      <c r="G34" s="1" t="s">
        <v>366</v>
      </c>
    </row>
    <row r="35" spans="1:7" ht="15.75">
      <c r="A35" s="44" t="s">
        <v>540</v>
      </c>
      <c r="B35" s="50">
        <v>14.2</v>
      </c>
      <c r="C35" s="285">
        <v>3.9899999999999998E-2</v>
      </c>
      <c r="D35" s="286">
        <v>0.11365206741777553</v>
      </c>
      <c r="E35" s="287">
        <v>5.3652067417775541E-2</v>
      </c>
      <c r="F35" s="287">
        <v>0.2792</v>
      </c>
      <c r="G35" s="1" t="s">
        <v>366</v>
      </c>
    </row>
    <row r="36" spans="1:7" ht="15.75">
      <c r="A36" s="44" t="s">
        <v>506</v>
      </c>
      <c r="B36" s="50">
        <v>1.2</v>
      </c>
      <c r="C36" s="285">
        <v>4.99E-2</v>
      </c>
      <c r="D36" s="286">
        <v>0.12709870085581454</v>
      </c>
      <c r="E36" s="287">
        <v>6.7098700855814528E-2</v>
      </c>
      <c r="F36" s="287">
        <v>0.27</v>
      </c>
      <c r="G36" s="1" t="s">
        <v>368</v>
      </c>
    </row>
    <row r="37" spans="1:7" ht="15.75">
      <c r="A37" s="44" t="s">
        <v>276</v>
      </c>
      <c r="B37" s="50">
        <v>49.6</v>
      </c>
      <c r="C37" s="285">
        <v>2.7699999999999999E-2</v>
      </c>
      <c r="D37" s="286">
        <v>9.7247174623367988E-2</v>
      </c>
      <c r="E37" s="287">
        <v>3.7247174623367983E-2</v>
      </c>
      <c r="F37" s="287">
        <v>0.3</v>
      </c>
      <c r="G37" s="1" t="s">
        <v>367</v>
      </c>
    </row>
    <row r="38" spans="1:7" ht="15.75">
      <c r="A38" s="44" t="s">
        <v>541</v>
      </c>
      <c r="B38" s="50">
        <v>34.200000000000003</v>
      </c>
      <c r="C38" s="285">
        <v>3.9899999999999998E-2</v>
      </c>
      <c r="D38" s="286">
        <v>0.11365206741777553</v>
      </c>
      <c r="E38" s="287">
        <v>5.3652067417775541E-2</v>
      </c>
      <c r="F38" s="287">
        <v>0.2792</v>
      </c>
      <c r="G38" s="1" t="s">
        <v>366</v>
      </c>
    </row>
    <row r="39" spans="1:7" ht="15.75">
      <c r="A39" s="44" t="s">
        <v>277</v>
      </c>
      <c r="B39" s="50">
        <v>57.1</v>
      </c>
      <c r="C39" s="285">
        <v>2.7699999999999999E-2</v>
      </c>
      <c r="D39" s="286">
        <v>9.7247174623367988E-2</v>
      </c>
      <c r="E39" s="287">
        <v>3.7247174623367983E-2</v>
      </c>
      <c r="F39" s="287">
        <v>0.2</v>
      </c>
      <c r="G39" s="1" t="s">
        <v>365</v>
      </c>
    </row>
    <row r="40" spans="1:7" ht="15.75">
      <c r="A40" s="44" t="s">
        <v>374</v>
      </c>
      <c r="B40" s="50">
        <v>77.2</v>
      </c>
      <c r="C40" s="285">
        <v>9.98E-2</v>
      </c>
      <c r="D40" s="286">
        <v>0.19419740171162905</v>
      </c>
      <c r="E40" s="287">
        <v>0.13419740171162906</v>
      </c>
      <c r="F40" s="287">
        <v>0.27350000000000002</v>
      </c>
      <c r="G40" s="1" t="s">
        <v>370</v>
      </c>
    </row>
    <row r="41" spans="1:7" ht="15.75">
      <c r="A41" s="44" t="s">
        <v>278</v>
      </c>
      <c r="B41" s="50">
        <v>1</v>
      </c>
      <c r="C41" s="285">
        <v>1.3299999999999999E-2</v>
      </c>
      <c r="D41" s="286">
        <v>7.7884022472591852E-2</v>
      </c>
      <c r="E41" s="287">
        <v>1.7884022472591847E-2</v>
      </c>
      <c r="F41" s="287">
        <v>0.25</v>
      </c>
      <c r="G41" s="1" t="s">
        <v>370</v>
      </c>
    </row>
    <row r="42" spans="1:7" ht="15.75">
      <c r="A42" s="44" t="s">
        <v>279</v>
      </c>
      <c r="B42" s="50">
        <v>23.2</v>
      </c>
      <c r="C42" s="285">
        <v>4.99E-2</v>
      </c>
      <c r="D42" s="286">
        <v>0.12709870085581454</v>
      </c>
      <c r="E42" s="287">
        <v>6.7098700855814528E-2</v>
      </c>
      <c r="F42" s="287">
        <v>0.125</v>
      </c>
      <c r="G42" s="1" t="s">
        <v>364</v>
      </c>
    </row>
    <row r="43" spans="1:7" ht="15.75">
      <c r="A43" s="44" t="s">
        <v>280</v>
      </c>
      <c r="B43" s="50">
        <v>205.3</v>
      </c>
      <c r="C43" s="285">
        <v>7.7999999999999996E-3</v>
      </c>
      <c r="D43" s="286">
        <v>7.0488374081670399E-2</v>
      </c>
      <c r="E43" s="287">
        <v>1.0488374081670407E-2</v>
      </c>
      <c r="F43" s="287">
        <v>0.19</v>
      </c>
      <c r="G43" s="1" t="s">
        <v>365</v>
      </c>
    </row>
    <row r="44" spans="1:7" ht="15.75">
      <c r="A44" s="44" t="s">
        <v>281</v>
      </c>
      <c r="B44" s="50">
        <v>342.4</v>
      </c>
      <c r="C44" s="285">
        <v>0</v>
      </c>
      <c r="D44" s="286">
        <v>0.06</v>
      </c>
      <c r="E44" s="287">
        <v>0</v>
      </c>
      <c r="F44" s="287">
        <v>0.23499999999999999</v>
      </c>
      <c r="G44" s="1" t="s">
        <v>364</v>
      </c>
    </row>
    <row r="45" spans="1:7" ht="15.75">
      <c r="A45" s="44" t="s">
        <v>282</v>
      </c>
      <c r="B45" s="50">
        <v>64.099999999999994</v>
      </c>
      <c r="C45" s="285">
        <v>4.99E-2</v>
      </c>
      <c r="D45" s="286">
        <v>0.12709870085581454</v>
      </c>
      <c r="E45" s="287">
        <v>6.7098700855814528E-2</v>
      </c>
      <c r="F45" s="287">
        <v>0.27</v>
      </c>
      <c r="G45" s="1" t="s">
        <v>370</v>
      </c>
    </row>
    <row r="46" spans="1:7" ht="15.75">
      <c r="A46" s="44" t="s">
        <v>283</v>
      </c>
      <c r="B46" s="50">
        <v>100.9</v>
      </c>
      <c r="C46" s="285">
        <v>7.2099999999999997E-2</v>
      </c>
      <c r="D46" s="286">
        <v>0.15695022708826106</v>
      </c>
      <c r="E46" s="287">
        <v>9.6950227088261065E-2</v>
      </c>
      <c r="F46" s="287">
        <v>0.22</v>
      </c>
      <c r="G46" s="1" t="s">
        <v>367</v>
      </c>
    </row>
    <row r="47" spans="1:7" ht="15.75">
      <c r="A47" s="44" t="s">
        <v>284</v>
      </c>
      <c r="B47" s="50">
        <v>286.5</v>
      </c>
      <c r="C47" s="285">
        <v>7.2099999999999997E-2</v>
      </c>
      <c r="D47" s="286">
        <v>0.15695022708826106</v>
      </c>
      <c r="E47" s="287">
        <v>9.6950227088261065E-2</v>
      </c>
      <c r="F47" s="287">
        <v>0.22500000000000001</v>
      </c>
      <c r="G47" s="1" t="s">
        <v>366</v>
      </c>
    </row>
    <row r="48" spans="1:7" ht="15.75">
      <c r="A48" s="44" t="s">
        <v>375</v>
      </c>
      <c r="B48" s="50">
        <v>25.2</v>
      </c>
      <c r="C48" s="285">
        <v>3.9899999999999998E-2</v>
      </c>
      <c r="D48" s="286">
        <v>0.11365206741777553</v>
      </c>
      <c r="E48" s="287">
        <v>5.3652067417775541E-2</v>
      </c>
      <c r="F48" s="287">
        <v>0.3</v>
      </c>
      <c r="G48" s="1" t="s">
        <v>367</v>
      </c>
    </row>
    <row r="49" spans="1:7" ht="15.75">
      <c r="A49" s="44" t="s">
        <v>285</v>
      </c>
      <c r="B49" s="50">
        <v>26.5</v>
      </c>
      <c r="C49" s="285">
        <v>7.7999999999999996E-3</v>
      </c>
      <c r="D49" s="286">
        <v>7.0488374081670399E-2</v>
      </c>
      <c r="E49" s="287">
        <v>1.0488374081670407E-2</v>
      </c>
      <c r="F49" s="287">
        <v>0.2</v>
      </c>
      <c r="G49" s="1" t="s">
        <v>365</v>
      </c>
    </row>
    <row r="50" spans="1:7" ht="15.75">
      <c r="A50" s="44" t="s">
        <v>542</v>
      </c>
      <c r="B50" s="50">
        <v>55.6</v>
      </c>
      <c r="C50" s="285">
        <v>4.99E-2</v>
      </c>
      <c r="D50" s="286">
        <v>0.12709870085581454</v>
      </c>
      <c r="E50" s="287">
        <v>6.7098700855814528E-2</v>
      </c>
      <c r="F50" s="287">
        <v>0.2792</v>
      </c>
      <c r="G50" s="1" t="s">
        <v>366</v>
      </c>
    </row>
    <row r="51" spans="1:7" ht="15.75">
      <c r="A51" s="44" t="s">
        <v>286</v>
      </c>
      <c r="B51" s="50">
        <v>4.5</v>
      </c>
      <c r="C51" s="285">
        <v>4.99E-2</v>
      </c>
      <c r="D51" s="286">
        <v>0.12709870085581454</v>
      </c>
      <c r="E51" s="287">
        <v>6.7098700855814528E-2</v>
      </c>
      <c r="F51" s="287">
        <v>0.2</v>
      </c>
      <c r="G51" s="1" t="s">
        <v>441</v>
      </c>
    </row>
    <row r="52" spans="1:7" ht="15.75">
      <c r="A52" s="44" t="s">
        <v>287</v>
      </c>
      <c r="B52" s="50">
        <v>272.2</v>
      </c>
      <c r="C52" s="285">
        <v>0</v>
      </c>
      <c r="D52" s="286">
        <v>0.06</v>
      </c>
      <c r="E52" s="287">
        <v>0</v>
      </c>
      <c r="F52" s="287">
        <v>0.2</v>
      </c>
      <c r="G52" s="1" t="s">
        <v>364</v>
      </c>
    </row>
    <row r="53" spans="1:7" ht="15.75">
      <c r="A53" s="44" t="s">
        <v>288</v>
      </c>
      <c r="B53" s="50">
        <v>2829.2</v>
      </c>
      <c r="C53" s="285">
        <v>5.4999999999999997E-3</v>
      </c>
      <c r="D53" s="286">
        <v>6.7395648390921437E-2</v>
      </c>
      <c r="E53" s="287">
        <v>7.3956483909214405E-3</v>
      </c>
      <c r="F53" s="287">
        <v>0.33329999999999999</v>
      </c>
      <c r="G53" s="1" t="s">
        <v>364</v>
      </c>
    </row>
    <row r="54" spans="1:7" ht="15.75">
      <c r="A54" s="44" t="s">
        <v>508</v>
      </c>
      <c r="B54" s="50">
        <v>18.2</v>
      </c>
      <c r="C54" s="285">
        <v>3.9899999999999998E-2</v>
      </c>
      <c r="D54" s="286">
        <v>0.11365206741777553</v>
      </c>
      <c r="E54" s="287">
        <v>5.3652067417775541E-2</v>
      </c>
      <c r="F54" s="287">
        <v>0.2792</v>
      </c>
      <c r="G54" s="1" t="s">
        <v>366</v>
      </c>
    </row>
    <row r="55" spans="1:7" ht="15.75">
      <c r="A55" s="44" t="s">
        <v>376</v>
      </c>
      <c r="B55" s="50">
        <v>16.5</v>
      </c>
      <c r="C55" s="285">
        <v>3.9899999999999998E-2</v>
      </c>
      <c r="D55" s="286">
        <v>0.11365206741777553</v>
      </c>
      <c r="E55" s="287">
        <v>5.3652067417775541E-2</v>
      </c>
      <c r="F55" s="287">
        <v>0.15</v>
      </c>
      <c r="G55" s="1" t="s">
        <v>365</v>
      </c>
    </row>
    <row r="56" spans="1:7" ht="15.75">
      <c r="A56" s="44" t="s">
        <v>289</v>
      </c>
      <c r="B56" s="50">
        <v>3868.3</v>
      </c>
      <c r="C56" s="285">
        <v>0</v>
      </c>
      <c r="D56" s="286">
        <v>0.06</v>
      </c>
      <c r="E56" s="287">
        <v>0</v>
      </c>
      <c r="F56" s="287">
        <v>0.29649999999999999</v>
      </c>
      <c r="G56" s="1" t="s">
        <v>364</v>
      </c>
    </row>
    <row r="57" spans="1:7" ht="15.75">
      <c r="A57" s="44" t="s">
        <v>509</v>
      </c>
      <c r="B57" s="50">
        <v>38.6</v>
      </c>
      <c r="C57" s="285">
        <v>7.2099999999999997E-2</v>
      </c>
      <c r="D57" s="286">
        <v>0.15695022708826106</v>
      </c>
      <c r="E57" s="287">
        <v>9.6950227088261065E-2</v>
      </c>
      <c r="F57" s="287">
        <v>0.25</v>
      </c>
      <c r="G57" s="1" t="s">
        <v>366</v>
      </c>
    </row>
    <row r="58" spans="1:7" ht="15.75">
      <c r="A58" s="44" t="s">
        <v>290</v>
      </c>
      <c r="B58" s="50">
        <v>235.6</v>
      </c>
      <c r="C58" s="285">
        <v>0.1108</v>
      </c>
      <c r="D58" s="286">
        <v>0.20898869849347193</v>
      </c>
      <c r="E58" s="287">
        <v>0.14898869849347193</v>
      </c>
      <c r="F58" s="287">
        <v>0.28999999999999998</v>
      </c>
      <c r="G58" s="1" t="s">
        <v>364</v>
      </c>
    </row>
    <row r="59" spans="1:7" ht="15.75">
      <c r="A59" s="44" t="s">
        <v>291</v>
      </c>
      <c r="B59" s="50">
        <v>58.8</v>
      </c>
      <c r="C59" s="285">
        <v>2.7699999999999999E-2</v>
      </c>
      <c r="D59" s="286">
        <v>9.7247174623367988E-2</v>
      </c>
      <c r="E59" s="287">
        <v>3.7247174623367983E-2</v>
      </c>
      <c r="F59" s="287">
        <v>0.25</v>
      </c>
      <c r="G59" s="1" t="s">
        <v>367</v>
      </c>
    </row>
    <row r="60" spans="1:7" ht="15.75">
      <c r="A60" s="44" t="s">
        <v>543</v>
      </c>
      <c r="B60" s="50">
        <v>0.5</v>
      </c>
      <c r="C60" s="285">
        <v>4.4000000000000003E-3</v>
      </c>
      <c r="D60" s="286">
        <v>6.5916518712737154E-2</v>
      </c>
      <c r="E60" s="287">
        <v>5.9165187127371531E-3</v>
      </c>
      <c r="F60" s="287">
        <v>0</v>
      </c>
      <c r="G60" s="1" t="s">
        <v>364</v>
      </c>
    </row>
    <row r="61" spans="1:7" ht="15.75">
      <c r="A61" s="44" t="s">
        <v>292</v>
      </c>
      <c r="B61" s="50">
        <v>19.399999999999999</v>
      </c>
      <c r="C61" s="285">
        <v>7.2099999999999997E-2</v>
      </c>
      <c r="D61" s="286">
        <v>0.15695022708826106</v>
      </c>
      <c r="E61" s="287">
        <v>9.6950227088261065E-2</v>
      </c>
      <c r="F61" s="287">
        <v>0.3</v>
      </c>
      <c r="G61" s="1" t="s">
        <v>367</v>
      </c>
    </row>
    <row r="62" spans="1:7" ht="15.75">
      <c r="A62" s="44" t="s">
        <v>293</v>
      </c>
      <c r="B62" s="50">
        <v>290.10000000000002</v>
      </c>
      <c r="C62" s="285">
        <v>4.4000000000000003E-3</v>
      </c>
      <c r="D62" s="286">
        <v>6.5916518712737154E-2</v>
      </c>
      <c r="E62" s="287">
        <v>5.9165187127371531E-3</v>
      </c>
      <c r="F62" s="287">
        <v>0.16500000000000001</v>
      </c>
      <c r="G62" s="1" t="s">
        <v>441</v>
      </c>
    </row>
    <row r="63" spans="1:7" ht="15.75">
      <c r="A63" s="44" t="s">
        <v>294</v>
      </c>
      <c r="B63" s="50">
        <v>138.4</v>
      </c>
      <c r="C63" s="285">
        <v>2.7699999999999999E-2</v>
      </c>
      <c r="D63" s="286">
        <v>9.7247174623367988E-2</v>
      </c>
      <c r="E63" s="287">
        <v>3.7247174623367983E-2</v>
      </c>
      <c r="F63" s="287">
        <v>0.19</v>
      </c>
      <c r="G63" s="1" t="s">
        <v>365</v>
      </c>
    </row>
    <row r="64" spans="1:7" ht="15.75">
      <c r="A64" s="44" t="s">
        <v>295</v>
      </c>
      <c r="B64" s="50">
        <v>17</v>
      </c>
      <c r="C64" s="285">
        <v>2.1100000000000001E-2</v>
      </c>
      <c r="D64" s="286">
        <v>8.8372396554262253E-2</v>
      </c>
      <c r="E64" s="287">
        <v>2.8372396554262259E-2</v>
      </c>
      <c r="F64" s="287">
        <v>0.2</v>
      </c>
      <c r="G64" s="1" t="s">
        <v>364</v>
      </c>
    </row>
    <row r="65" spans="1:7" ht="15.75">
      <c r="A65" s="44" t="s">
        <v>296</v>
      </c>
      <c r="B65" s="50">
        <v>2048.5</v>
      </c>
      <c r="C65" s="285">
        <v>2.4400000000000002E-2</v>
      </c>
      <c r="D65" s="286">
        <v>9.2809785588815114E-2</v>
      </c>
      <c r="E65" s="287">
        <v>3.2809785588815123E-2</v>
      </c>
      <c r="F65" s="287">
        <v>0.34610000000000002</v>
      </c>
      <c r="G65" s="1" t="s">
        <v>441</v>
      </c>
    </row>
    <row r="66" spans="1:7" ht="15.75">
      <c r="A66" s="44" t="s">
        <v>297</v>
      </c>
      <c r="B66" s="50">
        <v>888.5</v>
      </c>
      <c r="C66" s="285">
        <v>2.4400000000000002E-2</v>
      </c>
      <c r="D66" s="286">
        <v>9.2809785588815114E-2</v>
      </c>
      <c r="E66" s="287">
        <v>3.2809785588815123E-2</v>
      </c>
      <c r="F66" s="287">
        <v>0.25</v>
      </c>
      <c r="G66" s="1" t="s">
        <v>441</v>
      </c>
    </row>
    <row r="67" spans="1:7" ht="15.75">
      <c r="A67" s="44" t="s">
        <v>298</v>
      </c>
      <c r="B67" s="50">
        <v>250.8</v>
      </c>
      <c r="C67" s="285">
        <v>1.77E-2</v>
      </c>
      <c r="D67" s="286">
        <v>8.3800541185329008E-2</v>
      </c>
      <c r="E67" s="287">
        <v>2.3800541185329004E-2</v>
      </c>
      <c r="F67" s="287">
        <v>0.125</v>
      </c>
      <c r="G67" s="1" t="s">
        <v>364</v>
      </c>
    </row>
    <row r="68" spans="1:7" ht="15.75">
      <c r="A68" s="44" t="s">
        <v>299</v>
      </c>
      <c r="B68" s="50">
        <v>1.4</v>
      </c>
      <c r="C68" s="285">
        <v>4.4000000000000003E-3</v>
      </c>
      <c r="D68" s="286">
        <v>6.5916518712737154E-2</v>
      </c>
      <c r="E68" s="287">
        <v>5.9165187127371531E-3</v>
      </c>
      <c r="F68" s="287">
        <v>0</v>
      </c>
      <c r="G68" s="1" t="s">
        <v>364</v>
      </c>
    </row>
    <row r="69" spans="1:7" ht="15.75">
      <c r="A69" s="44" t="s">
        <v>300</v>
      </c>
      <c r="B69" s="50">
        <v>305.7</v>
      </c>
      <c r="C69" s="285">
        <v>7.7999999999999996E-3</v>
      </c>
      <c r="D69" s="286">
        <v>7.0488374081670399E-2</v>
      </c>
      <c r="E69" s="287">
        <v>1.0488374081670407E-2</v>
      </c>
      <c r="F69" s="287">
        <v>0.26500000000000001</v>
      </c>
      <c r="G69" s="1" t="s">
        <v>371</v>
      </c>
    </row>
    <row r="70" spans="1:7" ht="15.75">
      <c r="A70" s="44" t="s">
        <v>301</v>
      </c>
      <c r="B70" s="50">
        <v>2141.1999999999998</v>
      </c>
      <c r="C70" s="285">
        <v>2.1100000000000001E-2</v>
      </c>
      <c r="D70" s="286">
        <v>8.8372396554262253E-2</v>
      </c>
      <c r="E70" s="287">
        <v>2.8372396554262259E-2</v>
      </c>
      <c r="F70" s="287">
        <v>0.314</v>
      </c>
      <c r="G70" s="1" t="s">
        <v>364</v>
      </c>
    </row>
    <row r="71" spans="1:7" ht="15.75">
      <c r="A71" s="44" t="s">
        <v>302</v>
      </c>
      <c r="B71" s="50">
        <v>13.9</v>
      </c>
      <c r="C71" s="285">
        <v>9.98E-2</v>
      </c>
      <c r="D71" s="286">
        <v>0.19419740171162905</v>
      </c>
      <c r="E71" s="287">
        <v>0.13419740171162906</v>
      </c>
      <c r="F71" s="287">
        <v>0.25</v>
      </c>
      <c r="G71" s="1" t="s">
        <v>370</v>
      </c>
    </row>
    <row r="72" spans="1:7" ht="15.75">
      <c r="A72" s="44" t="s">
        <v>303</v>
      </c>
      <c r="B72" s="50">
        <v>4601.5</v>
      </c>
      <c r="C72" s="285">
        <v>7.7999999999999996E-3</v>
      </c>
      <c r="D72" s="286">
        <v>7.0488374081670399E-2</v>
      </c>
      <c r="E72" s="287">
        <v>1.0488374081670407E-2</v>
      </c>
      <c r="F72" s="287">
        <v>0.3306</v>
      </c>
      <c r="G72" s="1" t="s">
        <v>441</v>
      </c>
    </row>
    <row r="73" spans="1:7" ht="15.75">
      <c r="A73" s="44" t="s">
        <v>544</v>
      </c>
      <c r="B73" s="50">
        <v>1</v>
      </c>
      <c r="C73" s="285">
        <v>4.4000000000000003E-3</v>
      </c>
      <c r="D73" s="286">
        <v>6.5916518712737154E-2</v>
      </c>
      <c r="E73" s="287">
        <v>5.9165187127371531E-3</v>
      </c>
      <c r="F73" s="287">
        <v>0</v>
      </c>
      <c r="G73" s="1" t="s">
        <v>364</v>
      </c>
    </row>
    <row r="74" spans="1:7" ht="15.75">
      <c r="A74" s="44" t="s">
        <v>304</v>
      </c>
      <c r="B74" s="50">
        <v>35.799999999999997</v>
      </c>
      <c r="C74" s="285">
        <v>4.99E-2</v>
      </c>
      <c r="D74" s="286">
        <v>0.12709870085581454</v>
      </c>
      <c r="E74" s="287">
        <v>6.7098700855814528E-2</v>
      </c>
      <c r="F74" s="287">
        <v>0.2</v>
      </c>
      <c r="G74" s="1" t="s">
        <v>371</v>
      </c>
    </row>
    <row r="75" spans="1:7" ht="15.75">
      <c r="A75" s="44" t="s">
        <v>305</v>
      </c>
      <c r="B75" s="50">
        <v>217.9</v>
      </c>
      <c r="C75" s="285">
        <v>2.1100000000000001E-2</v>
      </c>
      <c r="D75" s="286">
        <v>8.8372396554262253E-2</v>
      </c>
      <c r="E75" s="287">
        <v>2.8372396554262259E-2</v>
      </c>
      <c r="F75" s="287">
        <v>0.2</v>
      </c>
      <c r="G75" s="1" t="s">
        <v>365</v>
      </c>
    </row>
    <row r="76" spans="1:7" ht="15.75">
      <c r="A76" s="44" t="s">
        <v>442</v>
      </c>
      <c r="B76" s="50">
        <v>60.9</v>
      </c>
      <c r="C76" s="285">
        <v>4.99E-2</v>
      </c>
      <c r="D76" s="286">
        <v>0.12709870085581454</v>
      </c>
      <c r="E76" s="287">
        <v>6.7098700855814528E-2</v>
      </c>
      <c r="F76" s="287">
        <v>0.3</v>
      </c>
      <c r="G76" s="1" t="s">
        <v>366</v>
      </c>
    </row>
    <row r="77" spans="1:7" ht="15.75">
      <c r="A77" s="44" t="s">
        <v>528</v>
      </c>
      <c r="B77" s="50">
        <v>1410.4</v>
      </c>
      <c r="C77" s="285">
        <v>5.4999999999999997E-3</v>
      </c>
      <c r="D77" s="286">
        <v>6.7395648390921437E-2</v>
      </c>
      <c r="E77" s="287">
        <v>7.3956483909214405E-3</v>
      </c>
      <c r="F77" s="287">
        <v>0.24199999999999999</v>
      </c>
      <c r="G77" s="1" t="s">
        <v>441</v>
      </c>
    </row>
    <row r="78" spans="1:7" ht="15.75">
      <c r="A78" s="44" t="s">
        <v>306</v>
      </c>
      <c r="B78" s="50">
        <v>163.6</v>
      </c>
      <c r="C78" s="285">
        <v>5.4999999999999997E-3</v>
      </c>
      <c r="D78" s="286">
        <v>6.7395648390921437E-2</v>
      </c>
      <c r="E78" s="287">
        <v>7.3956483909214405E-3</v>
      </c>
      <c r="F78" s="287">
        <v>0.15</v>
      </c>
      <c r="G78" s="1" t="s">
        <v>371</v>
      </c>
    </row>
    <row r="79" spans="1:7" ht="15.75">
      <c r="A79" s="44" t="s">
        <v>307</v>
      </c>
      <c r="B79" s="50">
        <v>31.3</v>
      </c>
      <c r="C79" s="285">
        <v>1.3299999999999999E-2</v>
      </c>
      <c r="D79" s="286">
        <v>7.7884022472591852E-2</v>
      </c>
      <c r="E79" s="287">
        <v>1.7884022472591847E-2</v>
      </c>
      <c r="F79" s="287">
        <v>0.15</v>
      </c>
      <c r="G79" s="1" t="s">
        <v>365</v>
      </c>
    </row>
    <row r="80" spans="1:7" ht="15.75">
      <c r="A80" s="44" t="s">
        <v>377</v>
      </c>
      <c r="B80" s="50">
        <v>45.7</v>
      </c>
      <c r="C80" s="285">
        <v>6.0999999999999999E-2</v>
      </c>
      <c r="D80" s="286">
        <v>0.1420244639720378</v>
      </c>
      <c r="E80" s="287">
        <v>8.2024463972037803E-2</v>
      </c>
      <c r="F80" s="287">
        <v>0.15</v>
      </c>
      <c r="G80" s="1" t="s">
        <v>371</v>
      </c>
    </row>
    <row r="81" spans="1:7" ht="15.75">
      <c r="A81" s="44" t="s">
        <v>308</v>
      </c>
      <c r="B81" s="50">
        <v>10.5</v>
      </c>
      <c r="C81" s="285">
        <v>0</v>
      </c>
      <c r="D81" s="286">
        <v>0.06</v>
      </c>
      <c r="E81" s="287">
        <v>0</v>
      </c>
      <c r="F81" s="287">
        <v>0.125</v>
      </c>
      <c r="G81" s="1" t="s">
        <v>364</v>
      </c>
    </row>
    <row r="82" spans="1:7" ht="15.75">
      <c r="A82" s="44" t="s">
        <v>309</v>
      </c>
      <c r="B82" s="50">
        <v>48.4</v>
      </c>
      <c r="C82" s="285">
        <v>1.3299999999999999E-2</v>
      </c>
      <c r="D82" s="286">
        <v>7.7884022472591852E-2</v>
      </c>
      <c r="E82" s="287">
        <v>1.7884022472591847E-2</v>
      </c>
      <c r="F82" s="287">
        <v>0.15</v>
      </c>
      <c r="G82" s="1" t="s">
        <v>365</v>
      </c>
    </row>
    <row r="83" spans="1:7" ht="15.75">
      <c r="A83" s="44" t="s">
        <v>310</v>
      </c>
      <c r="B83" s="50">
        <v>64.900000000000006</v>
      </c>
      <c r="C83" s="285">
        <v>0</v>
      </c>
      <c r="D83" s="286">
        <v>0.06</v>
      </c>
      <c r="E83" s="287">
        <v>0</v>
      </c>
      <c r="F83" s="287">
        <v>0.29220000000000002</v>
      </c>
      <c r="G83" s="1" t="s">
        <v>364</v>
      </c>
    </row>
    <row r="84" spans="1:7" ht="15.75">
      <c r="A84" s="44" t="s">
        <v>529</v>
      </c>
      <c r="B84" s="50">
        <v>55.5</v>
      </c>
      <c r="C84" s="285">
        <v>5.4999999999999997E-3</v>
      </c>
      <c r="D84" s="286">
        <v>6.7395648390921437E-2</v>
      </c>
      <c r="E84" s="287">
        <v>7.3956483909214405E-3</v>
      </c>
      <c r="F84" s="287">
        <v>0.12</v>
      </c>
      <c r="G84" s="1" t="s">
        <v>441</v>
      </c>
    </row>
    <row r="85" spans="1:7" ht="15.75">
      <c r="A85" s="44" t="s">
        <v>312</v>
      </c>
      <c r="B85" s="50">
        <v>11.3</v>
      </c>
      <c r="C85" s="285">
        <v>3.9899999999999998E-2</v>
      </c>
      <c r="D85" s="286">
        <v>0.11365206741777553</v>
      </c>
      <c r="E85" s="287">
        <v>5.3652067417775541E-2</v>
      </c>
      <c r="F85" s="287">
        <v>0.1</v>
      </c>
      <c r="G85" s="1" t="s">
        <v>365</v>
      </c>
    </row>
    <row r="86" spans="1:7" ht="15.75">
      <c r="A86" s="44" t="s">
        <v>313</v>
      </c>
      <c r="B86" s="50">
        <v>338.1</v>
      </c>
      <c r="C86" s="285">
        <v>1.3299999999999999E-2</v>
      </c>
      <c r="D86" s="286">
        <v>7.7884022472591852E-2</v>
      </c>
      <c r="E86" s="287">
        <v>1.7884022472591847E-2</v>
      </c>
      <c r="F86" s="287">
        <v>0.25</v>
      </c>
      <c r="G86" s="1" t="s">
        <v>441</v>
      </c>
    </row>
    <row r="87" spans="1:7" ht="15.75">
      <c r="A87" s="44" t="s">
        <v>314</v>
      </c>
      <c r="B87" s="50">
        <v>9.6</v>
      </c>
      <c r="C87" s="285">
        <v>1.3299999999999999E-2</v>
      </c>
      <c r="D87" s="286">
        <v>7.7884022472591852E-2</v>
      </c>
      <c r="E87" s="287">
        <v>1.7884022472591847E-2</v>
      </c>
      <c r="F87" s="287">
        <v>0.35</v>
      </c>
      <c r="G87" s="1" t="s">
        <v>364</v>
      </c>
    </row>
    <row r="88" spans="1:7" ht="15.75">
      <c r="A88" s="44" t="s">
        <v>315</v>
      </c>
      <c r="B88" s="50">
        <v>12.6</v>
      </c>
      <c r="C88" s="285">
        <v>1.77E-2</v>
      </c>
      <c r="D88" s="286">
        <v>8.3800541185329008E-2</v>
      </c>
      <c r="E88" s="287">
        <v>2.3800541185329004E-2</v>
      </c>
      <c r="F88" s="287">
        <v>0.15</v>
      </c>
      <c r="G88" s="1" t="s">
        <v>441</v>
      </c>
    </row>
    <row r="89" spans="1:7" ht="15.75">
      <c r="A89" s="44" t="s">
        <v>316</v>
      </c>
      <c r="B89" s="50">
        <v>1294.7</v>
      </c>
      <c r="C89" s="285">
        <v>1.3299999999999999E-2</v>
      </c>
      <c r="D89" s="286">
        <v>7.7884022472591852E-2</v>
      </c>
      <c r="E89" s="287">
        <v>1.7884022472591847E-2</v>
      </c>
      <c r="F89" s="287">
        <v>0.3</v>
      </c>
      <c r="G89" s="1" t="s">
        <v>367</v>
      </c>
    </row>
    <row r="90" spans="1:7" ht="15.75">
      <c r="A90" s="44" t="s">
        <v>378</v>
      </c>
      <c r="B90" s="50">
        <v>8</v>
      </c>
      <c r="C90" s="285">
        <v>7.2099999999999997E-2</v>
      </c>
      <c r="D90" s="286">
        <v>0.15695022708826106</v>
      </c>
      <c r="E90" s="287">
        <v>9.6950227088261065E-2</v>
      </c>
      <c r="F90" s="287">
        <v>0.12</v>
      </c>
      <c r="G90" s="1" t="s">
        <v>365</v>
      </c>
    </row>
    <row r="91" spans="1:7" ht="15.75">
      <c r="A91" s="44" t="s">
        <v>379</v>
      </c>
      <c r="B91" s="50">
        <v>12</v>
      </c>
      <c r="C91" s="285">
        <v>6.0999999999999999E-2</v>
      </c>
      <c r="D91" s="286">
        <v>0.1420244639720378</v>
      </c>
      <c r="E91" s="287">
        <v>8.2024463972037803E-2</v>
      </c>
      <c r="F91" s="287">
        <v>0.21959999999999999</v>
      </c>
      <c r="G91" s="1" t="s">
        <v>441</v>
      </c>
    </row>
    <row r="92" spans="1:7" ht="15.75">
      <c r="A92" s="44" t="s">
        <v>317</v>
      </c>
      <c r="B92" s="50">
        <v>4.5999999999999996</v>
      </c>
      <c r="C92" s="285">
        <v>3.9899999999999998E-2</v>
      </c>
      <c r="D92" s="286">
        <v>0.11365206741777553</v>
      </c>
      <c r="E92" s="287">
        <v>5.3652067417775541E-2</v>
      </c>
      <c r="F92" s="287">
        <v>0.09</v>
      </c>
      <c r="G92" s="1" t="s">
        <v>365</v>
      </c>
    </row>
    <row r="93" spans="1:7" ht="15.75">
      <c r="A93" s="44" t="s">
        <v>516</v>
      </c>
      <c r="B93" s="50">
        <v>1.5</v>
      </c>
      <c r="C93" s="285">
        <v>2.4400000000000002E-2</v>
      </c>
      <c r="D93" s="286">
        <v>9.2809785588815114E-2</v>
      </c>
      <c r="E93" s="287">
        <v>3.2809785588815123E-2</v>
      </c>
      <c r="F93" s="287">
        <v>0.27350000000000002</v>
      </c>
      <c r="G93" s="1" t="s">
        <v>370</v>
      </c>
    </row>
    <row r="94" spans="1:7" ht="15.75">
      <c r="A94" s="44" t="s">
        <v>380</v>
      </c>
      <c r="B94" s="50">
        <v>110</v>
      </c>
      <c r="C94" s="285">
        <v>2.7699999999999999E-2</v>
      </c>
      <c r="D94" s="286">
        <v>9.7247174623367988E-2</v>
      </c>
      <c r="E94" s="287">
        <v>3.7247174623367983E-2</v>
      </c>
      <c r="F94" s="287">
        <v>0.3</v>
      </c>
      <c r="G94" s="1" t="s">
        <v>366</v>
      </c>
    </row>
    <row r="95" spans="1:7" ht="15.75">
      <c r="A95" s="44" t="s">
        <v>318</v>
      </c>
      <c r="B95" s="50">
        <v>15.9</v>
      </c>
      <c r="C95" s="285">
        <v>6.0999999999999999E-2</v>
      </c>
      <c r="D95" s="286">
        <v>0.1420244639720378</v>
      </c>
      <c r="E95" s="287">
        <v>8.2024463972037803E-2</v>
      </c>
      <c r="F95" s="287">
        <v>0.32</v>
      </c>
      <c r="G95" s="1" t="s">
        <v>366</v>
      </c>
    </row>
    <row r="96" spans="1:7" ht="15.75">
      <c r="A96" s="44" t="s">
        <v>319</v>
      </c>
      <c r="B96" s="50">
        <v>13</v>
      </c>
      <c r="C96" s="285">
        <v>2.4400000000000002E-2</v>
      </c>
      <c r="D96" s="286">
        <v>9.2809785588815114E-2</v>
      </c>
      <c r="E96" s="287">
        <v>3.2809785588815123E-2</v>
      </c>
      <c r="F96" s="287">
        <v>0.33</v>
      </c>
      <c r="G96" s="1" t="s">
        <v>366</v>
      </c>
    </row>
    <row r="97" spans="1:7" ht="15.75">
      <c r="A97" s="44" t="s">
        <v>320</v>
      </c>
      <c r="B97" s="50">
        <v>879.3</v>
      </c>
      <c r="C97" s="285">
        <v>0</v>
      </c>
      <c r="D97" s="286">
        <v>0.06</v>
      </c>
      <c r="E97" s="287">
        <v>0</v>
      </c>
      <c r="F97" s="287">
        <v>0.25</v>
      </c>
      <c r="G97" s="1" t="s">
        <v>364</v>
      </c>
    </row>
    <row r="98" spans="1:7" ht="15.75">
      <c r="A98" s="44" t="s">
        <v>321</v>
      </c>
      <c r="B98" s="50">
        <v>166.1</v>
      </c>
      <c r="C98" s="285">
        <v>0</v>
      </c>
      <c r="D98" s="286">
        <v>0.06</v>
      </c>
      <c r="E98" s="287">
        <v>0</v>
      </c>
      <c r="F98" s="287">
        <v>0.28000000000000003</v>
      </c>
      <c r="G98" s="1" t="s">
        <v>368</v>
      </c>
    </row>
    <row r="99" spans="1:7" ht="15.75">
      <c r="A99" s="44" t="s">
        <v>381</v>
      </c>
      <c r="B99" s="50">
        <v>11.8</v>
      </c>
      <c r="C99" s="285">
        <v>6.0999999999999999E-2</v>
      </c>
      <c r="D99" s="286">
        <v>0.1420244639720378</v>
      </c>
      <c r="E99" s="287">
        <v>8.2024463972037803E-2</v>
      </c>
      <c r="F99" s="287">
        <v>0.26850000000000002</v>
      </c>
      <c r="G99" s="1" t="s">
        <v>367</v>
      </c>
    </row>
    <row r="100" spans="1:7" ht="15.75">
      <c r="A100" s="44" t="s">
        <v>322</v>
      </c>
      <c r="B100" s="50">
        <v>568.5</v>
      </c>
      <c r="C100" s="285">
        <v>3.9899999999999998E-2</v>
      </c>
      <c r="D100" s="286">
        <v>0.11365206741777553</v>
      </c>
      <c r="E100" s="287">
        <v>5.3652067417775541E-2</v>
      </c>
      <c r="F100" s="287">
        <v>0.3</v>
      </c>
      <c r="G100" s="1" t="s">
        <v>366</v>
      </c>
    </row>
    <row r="101" spans="1:7" ht="15.75">
      <c r="A101" s="44" t="s">
        <v>323</v>
      </c>
      <c r="B101" s="50">
        <v>499.8</v>
      </c>
      <c r="C101" s="285">
        <v>0</v>
      </c>
      <c r="D101" s="286">
        <v>0.06</v>
      </c>
      <c r="E101" s="287">
        <v>0</v>
      </c>
      <c r="F101" s="287">
        <v>0.27</v>
      </c>
      <c r="G101" s="1" t="s">
        <v>364</v>
      </c>
    </row>
    <row r="102" spans="1:7" ht="15.75">
      <c r="A102" s="44" t="s">
        <v>324</v>
      </c>
      <c r="B102" s="50">
        <v>81.8</v>
      </c>
      <c r="C102" s="285">
        <v>7.7999999999999996E-3</v>
      </c>
      <c r="D102" s="286">
        <v>7.0488374081670399E-2</v>
      </c>
      <c r="E102" s="287">
        <v>1.0488374081670407E-2</v>
      </c>
      <c r="F102" s="287">
        <v>0.12</v>
      </c>
      <c r="G102" s="1" t="s">
        <v>371</v>
      </c>
    </row>
    <row r="103" spans="1:7" ht="15.75">
      <c r="A103" s="44" t="s">
        <v>325</v>
      </c>
      <c r="B103" s="50">
        <v>243.6</v>
      </c>
      <c r="C103" s="285">
        <v>7.2099999999999997E-2</v>
      </c>
      <c r="D103" s="286">
        <v>0.15695022708826106</v>
      </c>
      <c r="E103" s="287">
        <v>9.6950227088261065E-2</v>
      </c>
      <c r="F103" s="287">
        <v>0.33</v>
      </c>
      <c r="G103" s="1" t="s">
        <v>441</v>
      </c>
    </row>
    <row r="104" spans="1:7" ht="15.75">
      <c r="A104" s="44" t="s">
        <v>326</v>
      </c>
      <c r="B104" s="50">
        <v>46.2</v>
      </c>
      <c r="C104" s="285">
        <v>2.1100000000000001E-2</v>
      </c>
      <c r="D104" s="286">
        <v>8.8372396554262253E-2</v>
      </c>
      <c r="E104" s="287">
        <v>2.8372396554262259E-2</v>
      </c>
      <c r="F104" s="287">
        <v>0.25</v>
      </c>
      <c r="G104" s="1" t="s">
        <v>367</v>
      </c>
    </row>
    <row r="105" spans="1:7" ht="15.75">
      <c r="A105" s="44" t="s">
        <v>327</v>
      </c>
      <c r="B105" s="50">
        <v>16.899999999999999</v>
      </c>
      <c r="C105" s="285">
        <v>4.99E-2</v>
      </c>
      <c r="D105" s="286">
        <v>0.12709870085581454</v>
      </c>
      <c r="E105" s="287">
        <v>6.7098700855814528E-2</v>
      </c>
      <c r="F105" s="287">
        <v>0.3</v>
      </c>
      <c r="G105" s="1" t="s">
        <v>441</v>
      </c>
    </row>
    <row r="106" spans="1:7" ht="15.75">
      <c r="A106" s="44" t="s">
        <v>328</v>
      </c>
      <c r="B106" s="50">
        <v>30.9</v>
      </c>
      <c r="C106" s="285">
        <v>2.7699999999999999E-2</v>
      </c>
      <c r="D106" s="286">
        <v>9.7247174623367988E-2</v>
      </c>
      <c r="E106" s="287">
        <v>3.7247174623367983E-2</v>
      </c>
      <c r="F106" s="287">
        <v>0.1</v>
      </c>
      <c r="G106" s="1" t="s">
        <v>367</v>
      </c>
    </row>
    <row r="107" spans="1:7" ht="15.75">
      <c r="A107" s="44" t="s">
        <v>329</v>
      </c>
      <c r="B107" s="50">
        <v>202.6</v>
      </c>
      <c r="C107" s="285">
        <v>1.3299999999999999E-2</v>
      </c>
      <c r="D107" s="286">
        <v>7.7884022472591852E-2</v>
      </c>
      <c r="E107" s="287">
        <v>1.7884022472591847E-2</v>
      </c>
      <c r="F107" s="287">
        <v>0.28000000000000003</v>
      </c>
      <c r="G107" s="1" t="s">
        <v>367</v>
      </c>
    </row>
    <row r="108" spans="1:7" ht="15.75">
      <c r="A108" s="44" t="s">
        <v>330</v>
      </c>
      <c r="B108" s="50">
        <v>284.8</v>
      </c>
      <c r="C108" s="285">
        <v>2.1100000000000001E-2</v>
      </c>
      <c r="D108" s="286">
        <v>8.8372396554262253E-2</v>
      </c>
      <c r="E108" s="287">
        <v>2.8372396554262259E-2</v>
      </c>
      <c r="F108" s="287">
        <v>0.3</v>
      </c>
      <c r="G108" s="1" t="s">
        <v>441</v>
      </c>
    </row>
    <row r="109" spans="1:7" ht="15.75">
      <c r="A109" s="44" t="s">
        <v>331</v>
      </c>
      <c r="B109" s="50">
        <v>545</v>
      </c>
      <c r="C109" s="285">
        <v>9.4000000000000004E-3</v>
      </c>
      <c r="D109" s="286">
        <v>7.2639835431756644E-2</v>
      </c>
      <c r="E109" s="287">
        <v>1.2639835431756645E-2</v>
      </c>
      <c r="F109" s="287">
        <v>0.19</v>
      </c>
      <c r="G109" s="1" t="s">
        <v>365</v>
      </c>
    </row>
    <row r="110" spans="1:7" ht="15.75">
      <c r="A110" s="44" t="s">
        <v>332</v>
      </c>
      <c r="B110" s="50">
        <v>230.1</v>
      </c>
      <c r="C110" s="285">
        <v>2.7699999999999999E-2</v>
      </c>
      <c r="D110" s="286">
        <v>9.7247174623367988E-2</v>
      </c>
      <c r="E110" s="287">
        <v>3.7247174623367983E-2</v>
      </c>
      <c r="F110" s="287">
        <v>0.21</v>
      </c>
      <c r="G110" s="1" t="s">
        <v>364</v>
      </c>
    </row>
    <row r="111" spans="1:7" ht="15.75">
      <c r="A111" s="44" t="s">
        <v>333</v>
      </c>
      <c r="B111" s="50">
        <v>210.1</v>
      </c>
      <c r="C111" s="285">
        <v>5.4999999999999997E-3</v>
      </c>
      <c r="D111" s="286">
        <v>6.7395648390921437E-2</v>
      </c>
      <c r="E111" s="287">
        <v>7.3956483909214405E-3</v>
      </c>
      <c r="F111" s="287">
        <v>0.1</v>
      </c>
      <c r="G111" s="1" t="s">
        <v>371</v>
      </c>
    </row>
    <row r="112" spans="1:7" ht="15.75">
      <c r="A112" s="44" t="s">
        <v>545</v>
      </c>
      <c r="B112" s="50">
        <v>5.2</v>
      </c>
      <c r="C112" s="285">
        <v>9.4000000000000004E-3</v>
      </c>
      <c r="D112" s="286">
        <v>7.2639835431756644E-2</v>
      </c>
      <c r="E112" s="287">
        <v>1.2639835431756645E-2</v>
      </c>
      <c r="F112" s="287">
        <v>0</v>
      </c>
      <c r="G112" s="1" t="s">
        <v>371</v>
      </c>
    </row>
    <row r="113" spans="1:7" ht="15.75">
      <c r="A113" s="44" t="s">
        <v>334</v>
      </c>
      <c r="B113" s="50">
        <v>199</v>
      </c>
      <c r="C113" s="285">
        <v>2.4400000000000002E-2</v>
      </c>
      <c r="D113" s="286">
        <v>9.2809785588815114E-2</v>
      </c>
      <c r="E113" s="287">
        <v>3.2809785588815123E-2</v>
      </c>
      <c r="F113" s="287">
        <v>0.16</v>
      </c>
      <c r="G113" s="1" t="s">
        <v>365</v>
      </c>
    </row>
    <row r="114" spans="1:7" ht="15.75">
      <c r="A114" s="44" t="s">
        <v>335</v>
      </c>
      <c r="B114" s="50">
        <v>1860.6</v>
      </c>
      <c r="C114" s="285">
        <v>2.7699999999999999E-2</v>
      </c>
      <c r="D114" s="286">
        <v>9.7247174623367988E-2</v>
      </c>
      <c r="E114" s="287">
        <v>3.7247174623367983E-2</v>
      </c>
      <c r="F114" s="287">
        <v>0.2</v>
      </c>
      <c r="G114" s="1" t="s">
        <v>365</v>
      </c>
    </row>
    <row r="115" spans="1:7" ht="15.75">
      <c r="A115" s="44" t="s">
        <v>521</v>
      </c>
      <c r="B115" s="50">
        <v>7.9</v>
      </c>
      <c r="C115" s="285">
        <v>4.99E-2</v>
      </c>
      <c r="D115" s="286">
        <v>0.12709870085581454</v>
      </c>
      <c r="E115" s="287">
        <v>6.7098700855814528E-2</v>
      </c>
      <c r="F115" s="287">
        <v>0.2792</v>
      </c>
      <c r="G115" s="1" t="s">
        <v>366</v>
      </c>
    </row>
    <row r="116" spans="1:7" ht="15.75">
      <c r="A116" s="44" t="s">
        <v>336</v>
      </c>
      <c r="B116" s="50">
        <v>746.3</v>
      </c>
      <c r="C116" s="285">
        <v>6.7000000000000002E-3</v>
      </c>
      <c r="D116" s="286">
        <v>6.9009244403486117E-2</v>
      </c>
      <c r="E116" s="287">
        <v>9.0092444034861191E-3</v>
      </c>
      <c r="F116" s="287">
        <v>0.2</v>
      </c>
      <c r="G116" s="1" t="s">
        <v>371</v>
      </c>
    </row>
    <row r="117" spans="1:7" ht="15.75">
      <c r="A117" s="44" t="s">
        <v>382</v>
      </c>
      <c r="B117" s="50">
        <v>15.7</v>
      </c>
      <c r="C117" s="285">
        <v>4.99E-2</v>
      </c>
      <c r="D117" s="286">
        <v>0.12709870085581454</v>
      </c>
      <c r="E117" s="287">
        <v>6.7098700855814528E-2</v>
      </c>
      <c r="F117" s="287">
        <v>0.2792</v>
      </c>
      <c r="G117" s="1" t="s">
        <v>366</v>
      </c>
    </row>
    <row r="118" spans="1:7" ht="15.75">
      <c r="A118" s="44" t="s">
        <v>337</v>
      </c>
      <c r="B118" s="50">
        <v>43.9</v>
      </c>
      <c r="C118" s="285">
        <v>4.99E-2</v>
      </c>
      <c r="D118" s="286">
        <v>0.12709870085581454</v>
      </c>
      <c r="E118" s="287">
        <v>6.7098700855814528E-2</v>
      </c>
      <c r="F118" s="287">
        <v>0.15</v>
      </c>
      <c r="G118" s="1" t="s">
        <v>365</v>
      </c>
    </row>
    <row r="119" spans="1:7" ht="15.75">
      <c r="A119" s="44" t="s">
        <v>546</v>
      </c>
      <c r="B119" s="50">
        <v>1</v>
      </c>
      <c r="C119" s="285">
        <v>1.3299999999999999E-2</v>
      </c>
      <c r="D119" s="286">
        <v>7.7884022472591852E-2</v>
      </c>
      <c r="E119" s="287">
        <v>1.7884022472591847E-2</v>
      </c>
      <c r="F119" s="287">
        <v>0</v>
      </c>
      <c r="G119" s="1" t="s">
        <v>371</v>
      </c>
    </row>
    <row r="120" spans="1:7" ht="15.75">
      <c r="A120" s="44" t="s">
        <v>338</v>
      </c>
      <c r="B120" s="50">
        <v>307.89999999999998</v>
      </c>
      <c r="C120" s="285">
        <v>0</v>
      </c>
      <c r="D120" s="286">
        <v>0.06</v>
      </c>
      <c r="E120" s="287">
        <v>0</v>
      </c>
      <c r="F120" s="287">
        <v>0.17</v>
      </c>
      <c r="G120" s="1" t="s">
        <v>441</v>
      </c>
    </row>
    <row r="121" spans="1:7" ht="15.75">
      <c r="A121" s="44" t="s">
        <v>383</v>
      </c>
      <c r="B121" s="50">
        <v>100.3</v>
      </c>
      <c r="C121" s="285">
        <v>9.4000000000000004E-3</v>
      </c>
      <c r="D121" s="286">
        <v>7.2639835431756644E-2</v>
      </c>
      <c r="E121" s="287">
        <v>1.2639835431756645E-2</v>
      </c>
      <c r="F121" s="287">
        <v>0.22</v>
      </c>
      <c r="G121" s="1" t="s">
        <v>365</v>
      </c>
    </row>
    <row r="122" spans="1:7" ht="15.75">
      <c r="A122" s="44" t="s">
        <v>339</v>
      </c>
      <c r="B122" s="50">
        <v>49.5</v>
      </c>
      <c r="C122" s="285">
        <v>2.4400000000000002E-2</v>
      </c>
      <c r="D122" s="286">
        <v>9.2809785588815114E-2</v>
      </c>
      <c r="E122" s="287">
        <v>3.2809785588815123E-2</v>
      </c>
      <c r="F122" s="287">
        <v>0.17</v>
      </c>
      <c r="G122" s="1" t="s">
        <v>365</v>
      </c>
    </row>
    <row r="123" spans="1:7" ht="15.75">
      <c r="A123" s="44" t="s">
        <v>340</v>
      </c>
      <c r="B123" s="50">
        <v>350.6</v>
      </c>
      <c r="C123" s="285">
        <v>2.1100000000000001E-2</v>
      </c>
      <c r="D123" s="286">
        <v>8.8372396554262253E-2</v>
      </c>
      <c r="E123" s="287">
        <v>2.8372396554262259E-2</v>
      </c>
      <c r="F123" s="287">
        <v>0.28000000000000003</v>
      </c>
      <c r="G123" s="1" t="s">
        <v>366</v>
      </c>
    </row>
    <row r="124" spans="1:7" ht="15.75">
      <c r="A124" s="44" t="s">
        <v>341</v>
      </c>
      <c r="B124" s="50">
        <v>1381.3</v>
      </c>
      <c r="C124" s="285">
        <v>2.1100000000000001E-2</v>
      </c>
      <c r="D124" s="286">
        <v>8.8372396554262253E-2</v>
      </c>
      <c r="E124" s="287">
        <v>2.8372396554262259E-2</v>
      </c>
      <c r="F124" s="287">
        <v>0.28000000000000003</v>
      </c>
      <c r="G124" s="1" t="s">
        <v>364</v>
      </c>
    </row>
    <row r="125" spans="1:7" ht="15.75">
      <c r="A125" s="44" t="s">
        <v>342</v>
      </c>
      <c r="B125" s="50">
        <v>78.8</v>
      </c>
      <c r="C125" s="285">
        <v>4.99E-2</v>
      </c>
      <c r="D125" s="286">
        <v>0.12709870085581454</v>
      </c>
      <c r="E125" s="287">
        <v>6.7098700855814528E-2</v>
      </c>
      <c r="F125" s="287">
        <v>0.28000000000000003</v>
      </c>
      <c r="G125" s="1" t="s">
        <v>441</v>
      </c>
    </row>
    <row r="126" spans="1:7" ht="15.75">
      <c r="A126" s="44" t="s">
        <v>443</v>
      </c>
      <c r="B126" s="50">
        <v>1.5</v>
      </c>
      <c r="C126" s="285">
        <v>1.77E-2</v>
      </c>
      <c r="D126" s="286">
        <v>8.3800541185329008E-2</v>
      </c>
      <c r="E126" s="287">
        <v>2.3800541185329004E-2</v>
      </c>
      <c r="F126" s="287">
        <v>0.245</v>
      </c>
      <c r="G126" s="1" t="s">
        <v>370</v>
      </c>
    </row>
    <row r="127" spans="1:7" ht="15.75">
      <c r="A127" s="44" t="s">
        <v>384</v>
      </c>
      <c r="B127" s="50">
        <v>0.71299999999999997</v>
      </c>
      <c r="C127" s="285">
        <v>7.2099999999999997E-2</v>
      </c>
      <c r="D127" s="286">
        <v>0.15695022708826106</v>
      </c>
      <c r="E127" s="287">
        <v>9.6950227088261065E-2</v>
      </c>
      <c r="F127" s="287">
        <v>0.26850000000000002</v>
      </c>
      <c r="G127" s="1" t="s">
        <v>370</v>
      </c>
    </row>
    <row r="128" spans="1:7" ht="15.75">
      <c r="A128" s="44" t="s">
        <v>385</v>
      </c>
      <c r="B128" s="50">
        <v>5.2</v>
      </c>
      <c r="C128" s="285">
        <v>3.9899999999999998E-2</v>
      </c>
      <c r="D128" s="286">
        <v>0.11365206741777553</v>
      </c>
      <c r="E128" s="287">
        <v>5.3652067417775541E-2</v>
      </c>
      <c r="F128" s="287">
        <v>0.34499999999999997</v>
      </c>
      <c r="G128" s="1" t="s">
        <v>367</v>
      </c>
    </row>
    <row r="129" spans="1:7" ht="15.75">
      <c r="A129" s="44" t="s">
        <v>344</v>
      </c>
      <c r="B129" s="50">
        <v>571.1</v>
      </c>
      <c r="C129" s="285">
        <v>0</v>
      </c>
      <c r="D129" s="286">
        <v>0.06</v>
      </c>
      <c r="E129" s="287">
        <v>0</v>
      </c>
      <c r="F129" s="287">
        <v>0.22</v>
      </c>
      <c r="G129" s="1" t="s">
        <v>364</v>
      </c>
    </row>
    <row r="130" spans="1:7" ht="15.75">
      <c r="A130" s="44" t="s">
        <v>345</v>
      </c>
      <c r="B130" s="50">
        <v>701</v>
      </c>
      <c r="C130" s="285">
        <v>0</v>
      </c>
      <c r="D130" s="286">
        <v>0.06</v>
      </c>
      <c r="E130" s="287">
        <v>0</v>
      </c>
      <c r="F130" s="287">
        <v>0.1792</v>
      </c>
      <c r="G130" s="1" t="s">
        <v>364</v>
      </c>
    </row>
    <row r="131" spans="1:7" ht="15.75">
      <c r="A131" s="44" t="s">
        <v>346</v>
      </c>
      <c r="B131" s="50">
        <v>970.9</v>
      </c>
      <c r="C131" s="285">
        <v>6.7000000000000002E-3</v>
      </c>
      <c r="D131" s="286">
        <v>6.9009244403486117E-2</v>
      </c>
      <c r="E131" s="287">
        <v>9.0092444034861191E-3</v>
      </c>
      <c r="F131" s="287">
        <v>0.17</v>
      </c>
      <c r="G131" s="1" t="s">
        <v>441</v>
      </c>
    </row>
    <row r="132" spans="1:7" ht="15.75">
      <c r="A132" s="44" t="s">
        <v>348</v>
      </c>
      <c r="B132" s="50">
        <v>404.8</v>
      </c>
      <c r="C132" s="285">
        <v>1.77E-2</v>
      </c>
      <c r="D132" s="286">
        <v>8.3800541185329008E-2</v>
      </c>
      <c r="E132" s="287">
        <v>2.3800541185329004E-2</v>
      </c>
      <c r="F132" s="287">
        <v>0.2</v>
      </c>
      <c r="G132" s="1" t="s">
        <v>441</v>
      </c>
    </row>
    <row r="133" spans="1:7" ht="15.75">
      <c r="A133" s="44" t="s">
        <v>530</v>
      </c>
      <c r="B133" s="50">
        <v>28.9</v>
      </c>
      <c r="C133" s="285">
        <v>2.1100000000000001E-2</v>
      </c>
      <c r="D133" s="286">
        <v>8.8372396554262253E-2</v>
      </c>
      <c r="E133" s="287">
        <v>2.8372396554262259E-2</v>
      </c>
      <c r="F133" s="287">
        <v>0.25</v>
      </c>
      <c r="G133" s="1" t="s">
        <v>370</v>
      </c>
    </row>
    <row r="134" spans="1:7" ht="15.75">
      <c r="A134" s="44" t="s">
        <v>349</v>
      </c>
      <c r="B134" s="50">
        <v>48.6</v>
      </c>
      <c r="C134" s="285">
        <v>3.9899999999999998E-2</v>
      </c>
      <c r="D134" s="286">
        <v>0.11365206741777553</v>
      </c>
      <c r="E134" s="287">
        <v>5.3652067417775541E-2</v>
      </c>
      <c r="F134" s="287">
        <v>0.25</v>
      </c>
      <c r="G134" s="1" t="s">
        <v>366</v>
      </c>
    </row>
    <row r="135" spans="1:7" ht="15.75">
      <c r="A135" s="44" t="s">
        <v>350</v>
      </c>
      <c r="B135" s="50">
        <v>798.4</v>
      </c>
      <c r="C135" s="285">
        <v>2.4400000000000002E-2</v>
      </c>
      <c r="D135" s="286">
        <v>9.2809785588815114E-2</v>
      </c>
      <c r="E135" s="287">
        <v>3.2809785588815123E-2</v>
      </c>
      <c r="F135" s="287">
        <v>0.2</v>
      </c>
      <c r="G135" s="1" t="s">
        <v>364</v>
      </c>
    </row>
    <row r="136" spans="1:7" ht="15.75">
      <c r="A136" s="44" t="s">
        <v>547</v>
      </c>
      <c r="B136" s="50">
        <v>1.5</v>
      </c>
      <c r="C136" s="285">
        <v>1.77E-2</v>
      </c>
      <c r="D136" s="286">
        <v>8.3800541185329008E-2</v>
      </c>
      <c r="E136" s="287">
        <v>2.3800541185329004E-2</v>
      </c>
      <c r="F136" s="287">
        <v>0.26850000000000002</v>
      </c>
      <c r="G136" s="1" t="s">
        <v>370</v>
      </c>
    </row>
    <row r="137" spans="1:7" ht="15.75">
      <c r="A137" s="44" t="s">
        <v>445</v>
      </c>
      <c r="B137" s="50">
        <v>27</v>
      </c>
      <c r="C137" s="285">
        <v>4.99E-2</v>
      </c>
      <c r="D137" s="286">
        <v>0.12709870085581454</v>
      </c>
      <c r="E137" s="287">
        <v>6.7098700855814528E-2</v>
      </c>
      <c r="F137" s="287">
        <v>0.3</v>
      </c>
      <c r="G137" s="1" t="s">
        <v>366</v>
      </c>
    </row>
    <row r="138" spans="1:7" ht="15.75">
      <c r="A138" s="44" t="s">
        <v>351</v>
      </c>
      <c r="B138" s="50">
        <v>131.80000000000001</v>
      </c>
      <c r="C138" s="285">
        <v>0.1108</v>
      </c>
      <c r="D138" s="286">
        <v>0.20898869849347193</v>
      </c>
      <c r="E138" s="287">
        <v>0.14898869849347193</v>
      </c>
      <c r="F138" s="287">
        <v>0.18</v>
      </c>
      <c r="G138" s="1" t="s">
        <v>365</v>
      </c>
    </row>
    <row r="139" spans="1:7" ht="15.75">
      <c r="A139" s="44" t="s">
        <v>352</v>
      </c>
      <c r="B139" s="50">
        <v>399.5</v>
      </c>
      <c r="C139" s="285">
        <v>5.4999999999999997E-3</v>
      </c>
      <c r="D139" s="286">
        <v>6.7395648390921437E-2</v>
      </c>
      <c r="E139" s="287">
        <v>7.3956483909214405E-3</v>
      </c>
      <c r="F139" s="287">
        <v>0.55000000000000004</v>
      </c>
      <c r="G139" s="1" t="s">
        <v>371</v>
      </c>
    </row>
    <row r="140" spans="1:7" ht="15.75">
      <c r="A140" s="44" t="s">
        <v>353</v>
      </c>
      <c r="B140" s="50">
        <v>2988.9</v>
      </c>
      <c r="C140" s="285">
        <v>4.4000000000000003E-3</v>
      </c>
      <c r="D140" s="286">
        <v>6.5916518712737154E-2</v>
      </c>
      <c r="E140" s="287">
        <v>5.9165187127371531E-3</v>
      </c>
      <c r="F140" s="287">
        <v>0.2</v>
      </c>
      <c r="G140" s="1" t="s">
        <v>364</v>
      </c>
    </row>
    <row r="141" spans="1:7" ht="15.75">
      <c r="A141" s="44" t="s">
        <v>386</v>
      </c>
      <c r="B141" s="50">
        <v>17419</v>
      </c>
      <c r="C141" s="285">
        <v>0</v>
      </c>
      <c r="D141" s="286">
        <v>0.06</v>
      </c>
      <c r="E141" s="287">
        <v>0</v>
      </c>
      <c r="F141" s="287">
        <v>0.4</v>
      </c>
      <c r="G141" s="1" t="s">
        <v>373</v>
      </c>
    </row>
    <row r="142" spans="1:7" ht="15.75">
      <c r="A142" s="44" t="s">
        <v>355</v>
      </c>
      <c r="B142" s="50">
        <v>57.5</v>
      </c>
      <c r="C142" s="285">
        <v>2.1100000000000001E-2</v>
      </c>
      <c r="D142" s="286">
        <v>8.8372396554262253E-2</v>
      </c>
      <c r="E142" s="287">
        <v>2.8372396554262259E-2</v>
      </c>
      <c r="F142" s="287">
        <v>0.25</v>
      </c>
      <c r="G142" s="1" t="s">
        <v>367</v>
      </c>
    </row>
    <row r="143" spans="1:7" ht="15.75">
      <c r="A143" s="44" t="s">
        <v>356</v>
      </c>
      <c r="B143" s="50">
        <v>381.3</v>
      </c>
      <c r="C143" s="285">
        <v>0.1108</v>
      </c>
      <c r="D143" s="286">
        <v>0.20898869849347193</v>
      </c>
      <c r="E143" s="287">
        <v>0.14898869849347193</v>
      </c>
      <c r="F143" s="287">
        <v>0.34</v>
      </c>
      <c r="G143" s="1" t="s">
        <v>367</v>
      </c>
    </row>
    <row r="144" spans="1:7" ht="15.75">
      <c r="A144" s="44" t="s">
        <v>357</v>
      </c>
      <c r="B144" s="50">
        <v>186.2</v>
      </c>
      <c r="C144" s="285">
        <v>4.99E-2</v>
      </c>
      <c r="D144" s="286">
        <v>0.12709870085581454</v>
      </c>
      <c r="E144" s="287">
        <v>6.7098700855814528E-2</v>
      </c>
      <c r="F144" s="287">
        <v>0.22</v>
      </c>
      <c r="G144" s="1" t="s">
        <v>441</v>
      </c>
    </row>
    <row r="145" spans="1:7" ht="15.75">
      <c r="A145" s="44" t="s">
        <v>358</v>
      </c>
      <c r="B145" s="50">
        <v>27.1</v>
      </c>
      <c r="C145" s="285">
        <v>6.0999999999999999E-2</v>
      </c>
      <c r="D145" s="286">
        <v>0.1420244639720378</v>
      </c>
      <c r="E145" s="287">
        <v>8.2024463972037803E-2</v>
      </c>
      <c r="F145" s="287">
        <v>0.35</v>
      </c>
      <c r="G145" s="1" t="s">
        <v>366</v>
      </c>
    </row>
    <row r="148" spans="1:7">
      <c r="A148" s="288" t="s">
        <v>363</v>
      </c>
      <c r="B148" s="289" t="s">
        <v>661</v>
      </c>
      <c r="C148" s="289" t="s">
        <v>662</v>
      </c>
      <c r="D148" s="289" t="s">
        <v>663</v>
      </c>
      <c r="E148" s="289" t="s">
        <v>446</v>
      </c>
    </row>
    <row r="149" spans="1:7">
      <c r="A149" s="1" t="s">
        <v>366</v>
      </c>
      <c r="B149" s="3">
        <v>0.11763246078639468</v>
      </c>
      <c r="C149" s="3">
        <v>5.7632460786394696E-2</v>
      </c>
      <c r="D149" s="3">
        <v>4.2860141203343201E-2</v>
      </c>
      <c r="E149" s="3">
        <v>0.28176912215127448</v>
      </c>
    </row>
    <row r="150" spans="1:7">
      <c r="A150" s="1" t="s">
        <v>441</v>
      </c>
      <c r="B150" s="3">
        <v>7.4878900916589053E-2</v>
      </c>
      <c r="C150" s="3">
        <v>1.4878900916589057E-2</v>
      </c>
      <c r="D150" s="3">
        <v>1.1065149492733515E-2</v>
      </c>
      <c r="E150" s="3">
        <v>0.26901598451108144</v>
      </c>
    </row>
    <row r="151" spans="1:7">
      <c r="A151" s="1" t="s">
        <v>368</v>
      </c>
      <c r="B151" s="3">
        <v>6.0049641455626995E-2</v>
      </c>
      <c r="C151" s="3">
        <v>4.9641455626989779E-5</v>
      </c>
      <c r="D151" s="3">
        <v>3.6917385943279897E-5</v>
      </c>
      <c r="E151" s="3">
        <v>0.29792971639950683</v>
      </c>
    </row>
    <row r="152" spans="1:7">
      <c r="A152" s="1" t="s">
        <v>370</v>
      </c>
      <c r="B152" s="3">
        <v>0.14605171333175698</v>
      </c>
      <c r="C152" s="3">
        <v>8.6051713331757013E-2</v>
      </c>
      <c r="D152" s="3">
        <v>6.3994987093443478E-2</v>
      </c>
      <c r="E152" s="3">
        <v>0.24903473271694745</v>
      </c>
    </row>
    <row r="153" spans="1:7">
      <c r="A153" s="1" t="s">
        <v>367</v>
      </c>
      <c r="B153" s="3">
        <v>0.10420480154981845</v>
      </c>
      <c r="C153" s="3">
        <v>4.4204801549818443E-2</v>
      </c>
      <c r="D153" s="3">
        <v>3.287425194827439E-2</v>
      </c>
      <c r="E153" s="3">
        <v>0.31189916074334167</v>
      </c>
    </row>
    <row r="154" spans="1:7">
      <c r="A154" s="1" t="s">
        <v>365</v>
      </c>
      <c r="B154" s="3">
        <v>9.646030891294588E-2</v>
      </c>
      <c r="C154" s="3">
        <v>3.6460308912945903E-2</v>
      </c>
      <c r="D154" s="3">
        <v>2.7114823261117443E-2</v>
      </c>
      <c r="E154" s="3">
        <v>0.19041308501203602</v>
      </c>
    </row>
    <row r="155" spans="1:7">
      <c r="A155" s="1" t="s">
        <v>371</v>
      </c>
      <c r="B155" s="3">
        <v>7.1054732760947523E-2</v>
      </c>
      <c r="C155" s="3">
        <v>1.1054732760947508E-2</v>
      </c>
      <c r="D155" s="3">
        <v>8.2211899445960458E-3</v>
      </c>
      <c r="E155" s="3">
        <v>0.30343029025055818</v>
      </c>
    </row>
    <row r="156" spans="1:7">
      <c r="A156" s="1" t="s">
        <v>373</v>
      </c>
      <c r="B156" s="3">
        <v>5.9999999999999991E-2</v>
      </c>
      <c r="C156" s="3">
        <v>0</v>
      </c>
      <c r="D156" s="3">
        <v>0</v>
      </c>
      <c r="E156" s="3">
        <v>0.38744928245610383</v>
      </c>
    </row>
    <row r="157" spans="1:7">
      <c r="A157" s="1" t="s">
        <v>364</v>
      </c>
      <c r="B157" s="3">
        <v>7.1603848615376359E-2</v>
      </c>
      <c r="C157" s="3">
        <v>1.1603848615376351E-2</v>
      </c>
      <c r="D157" s="3">
        <v>8.6295567354059011E-3</v>
      </c>
      <c r="E157" s="3">
        <v>0.26796155230354574</v>
      </c>
    </row>
    <row r="158" spans="1:7">
      <c r="A158" s="1" t="s">
        <v>526</v>
      </c>
      <c r="B158" s="3">
        <v>7.4519630457428931E-2</v>
      </c>
      <c r="C158" s="3">
        <v>1.4519630457428928E-2</v>
      </c>
      <c r="D158" s="3">
        <v>1.0797967033409689E-2</v>
      </c>
      <c r="E158" s="3">
        <v>0.29948591657557866</v>
      </c>
    </row>
  </sheetData>
  <pageMargins left="0.7" right="0.7" top="0.75" bottom="0.75"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D23" sqref="D23"/>
    </sheetView>
  </sheetViews>
  <sheetFormatPr baseColWidth="10" defaultRowHeight="12"/>
  <cols>
    <col min="1" max="1" width="34" bestFit="1" customWidth="1"/>
    <col min="2" max="2" width="16" style="181" customWidth="1"/>
    <col min="3" max="3" width="19.85546875" style="181" bestFit="1" customWidth="1"/>
    <col min="4" max="4" width="22.140625" style="181" bestFit="1" customWidth="1"/>
    <col min="5" max="5" width="14.140625" bestFit="1" customWidth="1"/>
  </cols>
  <sheetData>
    <row r="1" spans="1:5">
      <c r="B1" s="161" t="s">
        <v>403</v>
      </c>
      <c r="C1" s="161" t="s">
        <v>436</v>
      </c>
      <c r="D1" s="161" t="s">
        <v>437</v>
      </c>
      <c r="E1" s="200" t="s">
        <v>404</v>
      </c>
    </row>
    <row r="2" spans="1:5" ht="12.75">
      <c r="A2" s="60" t="s">
        <v>11</v>
      </c>
      <c r="B2" s="201">
        <v>233715</v>
      </c>
      <c r="C2" s="201">
        <v>132609</v>
      </c>
      <c r="D2" s="201">
        <v>126429</v>
      </c>
      <c r="E2" s="202">
        <f>B2-C2+D2</f>
        <v>227535</v>
      </c>
    </row>
    <row r="3" spans="1:5" ht="12.75">
      <c r="A3" s="60" t="s">
        <v>433</v>
      </c>
      <c r="B3" s="201">
        <v>8067</v>
      </c>
      <c r="C3" s="201">
        <v>3813</v>
      </c>
      <c r="D3" s="201">
        <v>4915</v>
      </c>
      <c r="E3" s="202">
        <f>B3-C3+D3</f>
        <v>9169</v>
      </c>
    </row>
    <row r="4" spans="1:5" ht="12.75">
      <c r="A4" s="60" t="s">
        <v>30</v>
      </c>
      <c r="B4" s="201">
        <v>71230</v>
      </c>
      <c r="C4" s="201">
        <v>42524</v>
      </c>
      <c r="D4" s="201">
        <v>38158</v>
      </c>
      <c r="E4" s="202">
        <f>B4-C4+D4</f>
        <v>66864</v>
      </c>
    </row>
    <row r="5" spans="1:5" ht="12.75">
      <c r="A5" s="60" t="s">
        <v>451</v>
      </c>
      <c r="B5" s="201">
        <v>733</v>
      </c>
      <c r="C5" s="201">
        <v>294</v>
      </c>
      <c r="D5" s="201">
        <v>597</v>
      </c>
      <c r="E5" s="202">
        <f>B5-C5+D5</f>
        <v>1036</v>
      </c>
    </row>
    <row r="6" spans="1:5" ht="12.75">
      <c r="A6" s="60" t="s">
        <v>31</v>
      </c>
      <c r="B6" s="201">
        <v>119355</v>
      </c>
      <c r="C6" s="201"/>
      <c r="D6" s="201">
        <v>130457</v>
      </c>
      <c r="E6" s="202"/>
    </row>
    <row r="7" spans="1:5" ht="12.75">
      <c r="A7" s="60" t="s">
        <v>32</v>
      </c>
      <c r="B7" s="201">
        <f>53463+2500+8499</f>
        <v>64462</v>
      </c>
      <c r="C7" s="201"/>
      <c r="D7" s="201">
        <f>53463+2500+8499</f>
        <v>64462</v>
      </c>
      <c r="E7" s="202"/>
    </row>
    <row r="8" spans="1:5" ht="12.75">
      <c r="A8" s="60" t="s">
        <v>247</v>
      </c>
      <c r="B8" s="201"/>
      <c r="C8" s="201"/>
      <c r="D8" s="201"/>
      <c r="E8" s="202"/>
    </row>
    <row r="9" spans="1:5" ht="12.75">
      <c r="A9" s="60" t="s">
        <v>248</v>
      </c>
      <c r="B9" s="201">
        <f>21120+20481+164065</f>
        <v>205666</v>
      </c>
      <c r="C9" s="201"/>
      <c r="D9" s="201">
        <f>177645+21514+33769</f>
        <v>232928</v>
      </c>
      <c r="E9" s="202"/>
    </row>
    <row r="10" spans="1:5" ht="12.75">
      <c r="A10" s="60" t="s">
        <v>395</v>
      </c>
      <c r="B10" s="201">
        <v>0</v>
      </c>
      <c r="C10" s="201"/>
      <c r="D10" s="201">
        <v>0</v>
      </c>
      <c r="E10" s="202"/>
    </row>
    <row r="11" spans="1:5" ht="12.75">
      <c r="A11" s="60" t="s">
        <v>399</v>
      </c>
      <c r="B11" s="201">
        <v>0</v>
      </c>
      <c r="C11" s="201"/>
      <c r="D11" s="201">
        <v>0</v>
      </c>
      <c r="E11" s="202"/>
    </row>
    <row r="12" spans="1:5" ht="12.75">
      <c r="A12" s="60" t="s">
        <v>33</v>
      </c>
      <c r="B12" s="201"/>
      <c r="C12" s="201"/>
      <c r="D12" s="201"/>
      <c r="E12" s="202"/>
    </row>
    <row r="13" spans="1:5" ht="12.75">
      <c r="A13" s="60" t="s">
        <v>34</v>
      </c>
      <c r="B13" s="203"/>
      <c r="C13" s="201"/>
      <c r="D13" s="201"/>
      <c r="E13" s="202"/>
    </row>
    <row r="14" spans="1:5" ht="12.75">
      <c r="A14" s="60" t="s">
        <v>107</v>
      </c>
      <c r="B14" s="182">
        <v>0.26369999999999999</v>
      </c>
      <c r="C14" s="182">
        <f>6392/24416</f>
        <v>0.26179554390563564</v>
      </c>
      <c r="D14" s="182">
        <f>11387/42980</f>
        <v>0.26493718008375988</v>
      </c>
      <c r="E14" s="1"/>
    </row>
    <row r="15" spans="1:5" ht="12.75">
      <c r="A15" s="60" t="s">
        <v>108</v>
      </c>
      <c r="B15" s="161"/>
      <c r="C15" s="161"/>
      <c r="D15" s="161"/>
      <c r="E15" s="1"/>
    </row>
    <row r="16" spans="1:5" s="2" customFormat="1" ht="12.75">
      <c r="A16" s="225" t="s">
        <v>405</v>
      </c>
      <c r="B16" s="226"/>
      <c r="C16" s="226"/>
      <c r="D16" s="226"/>
      <c r="E16" s="227"/>
    </row>
    <row r="17" spans="1:5" ht="12.75">
      <c r="A17" s="62" t="s">
        <v>406</v>
      </c>
      <c r="B17" s="183">
        <v>772</v>
      </c>
      <c r="C17" s="204"/>
      <c r="D17" s="204" t="s">
        <v>101</v>
      </c>
      <c r="E17" s="205"/>
    </row>
    <row r="18" spans="1:5" ht="12.75">
      <c r="A18" s="62" t="s">
        <v>407</v>
      </c>
      <c r="B18" s="183">
        <v>774</v>
      </c>
      <c r="C18" s="204"/>
      <c r="D18" s="204" t="s">
        <v>101</v>
      </c>
      <c r="E18" s="205"/>
    </row>
    <row r="19" spans="1:5" ht="12.75">
      <c r="A19" s="62" t="s">
        <v>408</v>
      </c>
      <c r="B19" s="183">
        <v>744</v>
      </c>
      <c r="C19" s="204"/>
      <c r="D19" s="204" t="s">
        <v>101</v>
      </c>
      <c r="E19" s="205"/>
    </row>
    <row r="20" spans="1:5" ht="12.75">
      <c r="A20" s="62" t="s">
        <v>409</v>
      </c>
      <c r="B20" s="183">
        <v>715</v>
      </c>
      <c r="C20" s="204"/>
      <c r="D20" s="204" t="s">
        <v>101</v>
      </c>
      <c r="E20" s="205"/>
    </row>
    <row r="21" spans="1:5" ht="12.75">
      <c r="A21" s="62" t="s">
        <v>410</v>
      </c>
      <c r="B21" s="183">
        <v>674</v>
      </c>
      <c r="C21" s="204"/>
      <c r="D21" s="204" t="s">
        <v>101</v>
      </c>
      <c r="E21" s="205"/>
    </row>
    <row r="22" spans="1:5" ht="12.75">
      <c r="A22" s="62" t="s">
        <v>411</v>
      </c>
      <c r="B22" s="183">
        <v>2592</v>
      </c>
      <c r="C22" s="204"/>
      <c r="D22" s="204" t="s">
        <v>101</v>
      </c>
      <c r="E22" s="205"/>
    </row>
    <row r="29" spans="1:5">
      <c r="D29" s="201">
        <v>75872</v>
      </c>
    </row>
    <row r="30" spans="1:5">
      <c r="D30" s="201">
        <v>2404</v>
      </c>
    </row>
    <row r="31" spans="1:5">
      <c r="D31" s="201">
        <v>24171</v>
      </c>
    </row>
    <row r="32" spans="1:5">
      <c r="D32" s="201">
        <v>276</v>
      </c>
    </row>
  </sheetData>
  <pageMargins left="0.7" right="0.7" top="0.75" bottom="0.75"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6" sqref="F6"/>
    </sheetView>
  </sheetViews>
  <sheetFormatPr baseColWidth="10" defaultRowHeight="12"/>
  <cols>
    <col min="1" max="1" width="6.7109375" bestFit="1" customWidth="1"/>
    <col min="2" max="2" width="17" bestFit="1" customWidth="1"/>
    <col min="3" max="3" width="19.140625" bestFit="1" customWidth="1"/>
  </cols>
  <sheetData>
    <row r="1" spans="1:6">
      <c r="A1" t="s">
        <v>243</v>
      </c>
      <c r="B1" t="s">
        <v>245</v>
      </c>
      <c r="C1" t="s">
        <v>453</v>
      </c>
      <c r="D1" t="s">
        <v>461</v>
      </c>
      <c r="E1" t="s">
        <v>463</v>
      </c>
      <c r="F1" t="s">
        <v>487</v>
      </c>
    </row>
    <row r="2" spans="1:6">
      <c r="A2" t="s">
        <v>60</v>
      </c>
      <c r="B2" t="s">
        <v>105</v>
      </c>
      <c r="C2" t="s">
        <v>454</v>
      </c>
      <c r="D2" t="s">
        <v>462</v>
      </c>
      <c r="E2">
        <v>1</v>
      </c>
      <c r="F2" t="s">
        <v>462</v>
      </c>
    </row>
    <row r="3" spans="1:6">
      <c r="A3" t="s">
        <v>54</v>
      </c>
      <c r="B3" t="s">
        <v>239</v>
      </c>
      <c r="C3" t="s">
        <v>457</v>
      </c>
      <c r="D3" t="s">
        <v>463</v>
      </c>
      <c r="E3">
        <v>2</v>
      </c>
      <c r="F3" t="s">
        <v>492</v>
      </c>
    </row>
    <row r="4" spans="1:6">
      <c r="C4" t="s">
        <v>455</v>
      </c>
      <c r="D4" t="s">
        <v>464</v>
      </c>
      <c r="F4" t="s">
        <v>493</v>
      </c>
    </row>
    <row r="5" spans="1:6">
      <c r="C5" t="s">
        <v>456</v>
      </c>
      <c r="F5" t="s">
        <v>494</v>
      </c>
    </row>
    <row r="6" spans="1:6">
      <c r="F6" t="s">
        <v>491</v>
      </c>
    </row>
  </sheetData>
  <pageMargins left="0.7" right="0.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zoomScaleNormal="100" zoomScalePageLayoutView="125" workbookViewId="0">
      <selection activeCell="A40" sqref="A40"/>
    </sheetView>
  </sheetViews>
  <sheetFormatPr baseColWidth="10" defaultRowHeight="15.75"/>
  <cols>
    <col min="1" max="1" width="23" style="47" bestFit="1" customWidth="1"/>
    <col min="2" max="2" width="14.28515625" style="47" customWidth="1"/>
    <col min="3" max="13" width="14.28515625" style="52" customWidth="1"/>
    <col min="14" max="14" width="12.7109375" bestFit="1" customWidth="1"/>
  </cols>
  <sheetData>
    <row r="1" spans="1:14">
      <c r="A1" s="42"/>
      <c r="B1" s="43" t="s">
        <v>14</v>
      </c>
      <c r="C1" s="43">
        <v>1</v>
      </c>
      <c r="D1" s="43">
        <v>2</v>
      </c>
      <c r="E1" s="43">
        <v>3</v>
      </c>
      <c r="F1" s="43">
        <v>4</v>
      </c>
      <c r="G1" s="43">
        <v>5</v>
      </c>
      <c r="H1" s="43">
        <v>6</v>
      </c>
      <c r="I1" s="43">
        <v>7</v>
      </c>
      <c r="J1" s="43">
        <v>8</v>
      </c>
      <c r="K1" s="43">
        <v>9</v>
      </c>
      <c r="L1" s="43">
        <v>10</v>
      </c>
      <c r="M1" s="50" t="s">
        <v>46</v>
      </c>
    </row>
    <row r="2" spans="1:14">
      <c r="A2" s="45" t="s">
        <v>21</v>
      </c>
      <c r="B2" s="87"/>
      <c r="C2" s="88">
        <f>'Input sheet'!B23</f>
        <v>2.5000000000000001E-2</v>
      </c>
      <c r="D2" s="88">
        <f>C2</f>
        <v>2.5000000000000001E-2</v>
      </c>
      <c r="E2" s="88">
        <f>D2</f>
        <v>2.5000000000000001E-2</v>
      </c>
      <c r="F2" s="88">
        <f>E2</f>
        <v>2.5000000000000001E-2</v>
      </c>
      <c r="G2" s="88">
        <f>F2</f>
        <v>2.5000000000000001E-2</v>
      </c>
      <c r="H2" s="88">
        <f>G2-((G2-$M$2)/5)</f>
        <v>2.4E-2</v>
      </c>
      <c r="I2" s="88">
        <f>G2-((G2-$M$2)/5)*2</f>
        <v>2.3E-2</v>
      </c>
      <c r="J2" s="88">
        <f>G2-((G2-$M$2)/5)*3</f>
        <v>2.1999999999999999E-2</v>
      </c>
      <c r="K2" s="88">
        <f>G2-((G2-$M$2)/5)*4</f>
        <v>2.1000000000000001E-2</v>
      </c>
      <c r="L2" s="88">
        <f>G2-((G2-$M$2)/5)*5</f>
        <v>0.02</v>
      </c>
      <c r="M2" s="89">
        <f>IF('Input sheet'!B54="Yes",'Input sheet'!B55,'Input sheet'!B27)</f>
        <v>0.02</v>
      </c>
    </row>
    <row r="3" spans="1:14">
      <c r="A3" s="45" t="s">
        <v>11</v>
      </c>
      <c r="B3" s="90">
        <f>'Input sheet'!B8</f>
        <v>24603</v>
      </c>
      <c r="C3" s="91">
        <f>B3*(1+C2)</f>
        <v>25218.074999999997</v>
      </c>
      <c r="D3" s="91">
        <f t="shared" ref="D3:L3" si="0">C3*(1+D2)</f>
        <v>25848.526874999996</v>
      </c>
      <c r="E3" s="91">
        <f t="shared" si="0"/>
        <v>26494.740046874995</v>
      </c>
      <c r="F3" s="91">
        <f t="shared" si="0"/>
        <v>27157.108548046868</v>
      </c>
      <c r="G3" s="91">
        <f t="shared" si="0"/>
        <v>27836.036261748039</v>
      </c>
      <c r="H3" s="91">
        <f t="shared" si="0"/>
        <v>28504.101132029991</v>
      </c>
      <c r="I3" s="91">
        <f t="shared" si="0"/>
        <v>29159.695458066679</v>
      </c>
      <c r="J3" s="91">
        <f t="shared" si="0"/>
        <v>29801.208758144145</v>
      </c>
      <c r="K3" s="91">
        <f t="shared" si="0"/>
        <v>30427.034142065168</v>
      </c>
      <c r="L3" s="91">
        <f t="shared" si="0"/>
        <v>31035.574824906471</v>
      </c>
      <c r="M3" s="107">
        <f>L3*(1+M2)</f>
        <v>31656.286321404601</v>
      </c>
    </row>
    <row r="4" spans="1:14">
      <c r="A4" s="45" t="s">
        <v>27</v>
      </c>
      <c r="B4" s="92">
        <f>B5/B3</f>
        <v>6.118874787400462E-2</v>
      </c>
      <c r="C4" s="88">
        <f>'Input sheet'!$B$24-(('Input sheet'!$B$24-$B$4)/10)*(10-C1)</f>
        <v>6.3569873086604153E-2</v>
      </c>
      <c r="D4" s="88">
        <f>'Input sheet'!$B$24-(('Input sheet'!$B$24-$B$4)/10)*(10-D1)</f>
        <v>6.59509982992037E-2</v>
      </c>
      <c r="E4" s="88">
        <f>'Input sheet'!$B$24-(('Input sheet'!$B$24-$B$4)/10)*(10-E1)</f>
        <v>6.8332123511803233E-2</v>
      </c>
      <c r="F4" s="88">
        <f>'Input sheet'!$B$24-(('Input sheet'!$B$24-$B$4)/10)*(10-F1)</f>
        <v>7.0713248724402766E-2</v>
      </c>
      <c r="G4" s="88">
        <f>'Input sheet'!$B$24-(('Input sheet'!$B$24-$B$4)/10)*(10-G1)</f>
        <v>7.3094373937002313E-2</v>
      </c>
      <c r="H4" s="88">
        <f>'Input sheet'!$B$24-(('Input sheet'!$B$24-$B$4)/10)*(10-H1)</f>
        <v>7.5475499149601846E-2</v>
      </c>
      <c r="I4" s="88">
        <f>'Input sheet'!$B$24-(('Input sheet'!$B$24-$B$4)/10)*(10-I1)</f>
        <v>7.7856624362201393E-2</v>
      </c>
      <c r="J4" s="88">
        <f>'Input sheet'!$B$24-(('Input sheet'!$B$24-$B$4)/10)*(10-J1)</f>
        <v>8.0237749574800926E-2</v>
      </c>
      <c r="K4" s="88">
        <f>'Input sheet'!$B$24-(('Input sheet'!$B$24-$B$4)/10)*(10-K1)</f>
        <v>8.2618874787400473E-2</v>
      </c>
      <c r="L4" s="88">
        <f>'Input sheet'!$B$24-(('Input sheet'!$B$24-$B$4)/10)*(10-L1)</f>
        <v>8.5000000000000006E-2</v>
      </c>
      <c r="M4" s="89">
        <f>L4</f>
        <v>8.5000000000000006E-2</v>
      </c>
    </row>
    <row r="5" spans="1:14">
      <c r="A5" s="45" t="s">
        <v>26</v>
      </c>
      <c r="B5" s="90">
        <f>IF('Input sheet'!B14="Yes",IF('Input sheet'!B13="Yes",'Input sheet'!B9+'Operating lease converter'!F32+'R&amp; D converter'!D39,'Input sheet'!B9+'Operating lease converter'!F32),IF('Input sheet'!B13="Yes",'Input sheet'!B9+'R&amp; D converter'!D39,'Input sheet'!B9))</f>
        <v>1505.4267639441357</v>
      </c>
      <c r="C5" s="91">
        <f t="shared" ref="C5:M5" si="1">C4*C3</f>
        <v>1603.109827238465</v>
      </c>
      <c r="D5" s="91">
        <f t="shared" si="1"/>
        <v>1704.736151970046</v>
      </c>
      <c r="E5" s="91">
        <f t="shared" si="1"/>
        <v>1810.4418492961815</v>
      </c>
      <c r="F5" s="91">
        <f t="shared" si="1"/>
        <v>1920.3673713936428</v>
      </c>
      <c r="G5" s="91">
        <f t="shared" si="1"/>
        <v>2034.6576434401672</v>
      </c>
      <c r="H5" s="91">
        <f t="shared" si="1"/>
        <v>2151.3612607506948</v>
      </c>
      <c r="I5" s="91">
        <f t="shared" si="1"/>
        <v>2270.2754557948874</v>
      </c>
      <c r="J5" s="91">
        <f t="shared" si="1"/>
        <v>2391.1819253623339</v>
      </c>
      <c r="K5" s="91">
        <f t="shared" si="1"/>
        <v>2513.8473239352411</v>
      </c>
      <c r="L5" s="91">
        <f t="shared" si="1"/>
        <v>2638.0238601170504</v>
      </c>
      <c r="M5" s="107">
        <f t="shared" si="1"/>
        <v>2690.7843373193914</v>
      </c>
      <c r="N5" s="109">
        <f>M5-B5</f>
        <v>1185.3575733752557</v>
      </c>
    </row>
    <row r="6" spans="1:14">
      <c r="A6" s="45" t="s">
        <v>143</v>
      </c>
      <c r="B6" s="93">
        <f>'Input sheet'!B20</f>
        <v>0.32</v>
      </c>
      <c r="C6" s="94">
        <f>B6</f>
        <v>0.32</v>
      </c>
      <c r="D6" s="94">
        <f>C6</f>
        <v>0.32</v>
      </c>
      <c r="E6" s="94">
        <f>D6</f>
        <v>0.32</v>
      </c>
      <c r="F6" s="94">
        <f>E6</f>
        <v>0.32</v>
      </c>
      <c r="G6" s="94">
        <f>F6</f>
        <v>0.32</v>
      </c>
      <c r="H6" s="94">
        <f>G6+($M$6-$G$6)/5</f>
        <v>0.32200000000000001</v>
      </c>
      <c r="I6" s="94">
        <f>H6+($M$6-$G$6)/5</f>
        <v>0.32400000000000001</v>
      </c>
      <c r="J6" s="94">
        <f>I6+($M$6-$G$6)/5</f>
        <v>0.32600000000000001</v>
      </c>
      <c r="K6" s="94">
        <f>J6+($M$6-$G$6)/5</f>
        <v>0.32800000000000001</v>
      </c>
      <c r="L6" s="94">
        <f>K6+($M$6-$G$6)/5</f>
        <v>0.33</v>
      </c>
      <c r="M6" s="94">
        <f>IF('Input sheet'!B49="Yes",'Input sheet'!B20,'Input sheet'!B21)</f>
        <v>0.33</v>
      </c>
    </row>
    <row r="7" spans="1:14">
      <c r="A7" s="45" t="s">
        <v>12</v>
      </c>
      <c r="B7" s="90">
        <f>IF(B5&gt;0,B5*(1-B6),B5)</f>
        <v>1023.6901994820122</v>
      </c>
      <c r="C7" s="91">
        <f>IF(C5&gt;0,IF(C5&lt;B10,C5,C5-(C5-B10)*C6),C5)</f>
        <v>1090.1146825221563</v>
      </c>
      <c r="D7" s="91">
        <f t="shared" ref="D7:L7" si="2">IF(D5&gt;0,IF(D5&lt;C10,D5,D5-(D5-C10)*D6),D5)</f>
        <v>1159.2205833396313</v>
      </c>
      <c r="E7" s="91">
        <f t="shared" si="2"/>
        <v>1231.1004575214033</v>
      </c>
      <c r="F7" s="91">
        <f t="shared" si="2"/>
        <v>1305.8498125476772</v>
      </c>
      <c r="G7" s="91">
        <f t="shared" si="2"/>
        <v>1383.5671975393138</v>
      </c>
      <c r="H7" s="91">
        <f t="shared" si="2"/>
        <v>1458.6229347889712</v>
      </c>
      <c r="I7" s="91">
        <f t="shared" si="2"/>
        <v>1534.706208117344</v>
      </c>
      <c r="J7" s="91">
        <f t="shared" si="2"/>
        <v>1611.6566176942131</v>
      </c>
      <c r="K7" s="91">
        <f t="shared" si="2"/>
        <v>1689.3054016844821</v>
      </c>
      <c r="L7" s="91">
        <f t="shared" si="2"/>
        <v>1767.4759862784238</v>
      </c>
      <c r="M7" s="91">
        <f>M5*(1-M6)</f>
        <v>1802.8255060039921</v>
      </c>
    </row>
    <row r="8" spans="1:14">
      <c r="A8" s="45" t="s">
        <v>15</v>
      </c>
      <c r="B8" s="90"/>
      <c r="C8" s="91">
        <f t="shared" ref="C8:L8" si="3">(C3-B3)/C38</f>
        <v>449.79749999999791</v>
      </c>
      <c r="D8" s="91">
        <f t="shared" si="3"/>
        <v>452.49223534589578</v>
      </c>
      <c r="E8" s="91">
        <f t="shared" si="3"/>
        <v>455.35972703819476</v>
      </c>
      <c r="F8" s="91">
        <f t="shared" si="3"/>
        <v>458.39735838868046</v>
      </c>
      <c r="G8" s="91">
        <f t="shared" si="3"/>
        <v>461.60285994383338</v>
      </c>
      <c r="H8" s="91">
        <f t="shared" si="3"/>
        <v>446.37531218282186</v>
      </c>
      <c r="I8" s="91">
        <f t="shared" si="3"/>
        <v>430.60866440932722</v>
      </c>
      <c r="J8" s="91">
        <f t="shared" si="3"/>
        <v>414.32811072772995</v>
      </c>
      <c r="K8" s="91">
        <f t="shared" si="3"/>
        <v>397.56123917756173</v>
      </c>
      <c r="L8" s="91">
        <f t="shared" si="3"/>
        <v>380.33792677581459</v>
      </c>
      <c r="M8" s="95">
        <f>IF(M2&gt;0,(M2/M40)*M7,0)</f>
        <v>600.94183533466389</v>
      </c>
      <c r="N8" s="109">
        <f>SUM(C8:M8)</f>
        <v>4947.8027693245213</v>
      </c>
    </row>
    <row r="9" spans="1:14">
      <c r="A9" s="45" t="s">
        <v>16</v>
      </c>
      <c r="B9" s="90"/>
      <c r="C9" s="91">
        <f t="shared" ref="C9:L9" si="4">C7-C8</f>
        <v>640.31718252215842</v>
      </c>
      <c r="D9" s="91">
        <f t="shared" si="4"/>
        <v>706.7283479937355</v>
      </c>
      <c r="E9" s="91">
        <f t="shared" si="4"/>
        <v>775.74073048320861</v>
      </c>
      <c r="F9" s="91">
        <f t="shared" si="4"/>
        <v>847.45245415899672</v>
      </c>
      <c r="G9" s="91">
        <f t="shared" si="4"/>
        <v>921.9643375954804</v>
      </c>
      <c r="H9" s="91">
        <f t="shared" si="4"/>
        <v>1012.2476226061493</v>
      </c>
      <c r="I9" s="91">
        <f t="shared" si="4"/>
        <v>1104.0975437080167</v>
      </c>
      <c r="J9" s="91">
        <f t="shared" si="4"/>
        <v>1197.328506966483</v>
      </c>
      <c r="K9" s="91">
        <f t="shared" si="4"/>
        <v>1291.7441625069205</v>
      </c>
      <c r="L9" s="91">
        <f t="shared" si="4"/>
        <v>1387.1380595026092</v>
      </c>
      <c r="M9" s="95">
        <f>M7-M8</f>
        <v>1201.8836706693282</v>
      </c>
    </row>
    <row r="10" spans="1:14">
      <c r="A10" s="45" t="s">
        <v>49</v>
      </c>
      <c r="B10" s="90">
        <f>IF('Input sheet'!B51="Yes",'Input sheet'!B52,0)</f>
        <v>0</v>
      </c>
      <c r="C10" s="91">
        <f>IF(C5&lt;0,B10-C5,IF(B10&gt;C5,B10-C5,0))</f>
        <v>0</v>
      </c>
      <c r="D10" s="91">
        <f t="shared" ref="D10:M10" si="5">IF(D5&lt;0,C10-D5,IF(C10&gt;D5,C10-D5,0))</f>
        <v>0</v>
      </c>
      <c r="E10" s="91">
        <f t="shared" si="5"/>
        <v>0</v>
      </c>
      <c r="F10" s="91">
        <f t="shared" si="5"/>
        <v>0</v>
      </c>
      <c r="G10" s="91">
        <f t="shared" si="5"/>
        <v>0</v>
      </c>
      <c r="H10" s="91">
        <f t="shared" si="5"/>
        <v>0</v>
      </c>
      <c r="I10" s="91">
        <f t="shared" si="5"/>
        <v>0</v>
      </c>
      <c r="J10" s="91">
        <f t="shared" si="5"/>
        <v>0</v>
      </c>
      <c r="K10" s="91">
        <f t="shared" si="5"/>
        <v>0</v>
      </c>
      <c r="L10" s="91">
        <f t="shared" si="5"/>
        <v>0</v>
      </c>
      <c r="M10" s="91">
        <f t="shared" si="5"/>
        <v>0</v>
      </c>
    </row>
    <row r="11" spans="1:14">
      <c r="A11" s="45"/>
      <c r="B11" s="87"/>
      <c r="C11" s="96"/>
      <c r="D11" s="96"/>
      <c r="E11" s="96"/>
      <c r="F11" s="96"/>
      <c r="G11" s="96"/>
      <c r="H11" s="96"/>
      <c r="I11" s="96"/>
      <c r="J11" s="96"/>
      <c r="K11" s="96"/>
      <c r="L11" s="96"/>
      <c r="M11" s="96"/>
    </row>
    <row r="12" spans="1:14">
      <c r="A12" s="45" t="s">
        <v>149</v>
      </c>
      <c r="B12" s="92"/>
      <c r="C12" s="88">
        <f>'Input sheet'!B28</f>
        <v>7.6717607805619731E-2</v>
      </c>
      <c r="D12" s="88">
        <f>C12</f>
        <v>7.6717607805619731E-2</v>
      </c>
      <c r="E12" s="88">
        <f>D12</f>
        <v>7.6717607805619731E-2</v>
      </c>
      <c r="F12" s="88">
        <f>E12</f>
        <v>7.6717607805619731E-2</v>
      </c>
      <c r="G12" s="88">
        <f>F12</f>
        <v>7.6717607805619731E-2</v>
      </c>
      <c r="H12" s="88">
        <f>G12-($G$12-$M$12)/5</f>
        <v>7.337408624449579E-2</v>
      </c>
      <c r="I12" s="88">
        <f>H12-($G$12-$M$12)/5</f>
        <v>7.0030564683371849E-2</v>
      </c>
      <c r="J12" s="88">
        <f>I12-($G$12-$M$12)/5</f>
        <v>6.6687043122247908E-2</v>
      </c>
      <c r="K12" s="88">
        <f>J12-($G$12-$M$12)/5</f>
        <v>6.3343521561123967E-2</v>
      </c>
      <c r="L12" s="88">
        <f>K12-($G$12-$M$12)/5</f>
        <v>6.0000000000000019E-2</v>
      </c>
      <c r="M12" s="89">
        <f>IF('Input sheet'!B38="Yes",'Input sheet'!B39,'Input sheet'!B27+0.045)</f>
        <v>0.06</v>
      </c>
    </row>
    <row r="13" spans="1:14">
      <c r="A13" s="46" t="s">
        <v>150</v>
      </c>
      <c r="B13" s="87"/>
      <c r="C13" s="153">
        <f>1/(1+C12)</f>
        <v>0.9287486270778349</v>
      </c>
      <c r="D13" s="153">
        <f>C13*(1/(1+D12))</f>
        <v>0.86257401229896324</v>
      </c>
      <c r="E13" s="153">
        <f t="shared" ref="E13:L13" si="6">D13*(1/(1+E12))</f>
        <v>0.80111442967568158</v>
      </c>
      <c r="F13" s="153">
        <f t="shared" si="6"/>
        <v>0.74403392669353197</v>
      </c>
      <c r="G13" s="153">
        <f t="shared" si="6"/>
        <v>0.69102048791594828</v>
      </c>
      <c r="H13" s="153">
        <f t="shared" si="6"/>
        <v>0.64378346447106782</v>
      </c>
      <c r="I13" s="153">
        <f t="shared" si="6"/>
        <v>0.60164960302939285</v>
      </c>
      <c r="J13" s="153">
        <f t="shared" si="6"/>
        <v>0.56403572810665581</v>
      </c>
      <c r="K13" s="153">
        <f t="shared" si="6"/>
        <v>0.53043604128850042</v>
      </c>
      <c r="L13" s="153">
        <f t="shared" si="6"/>
        <v>0.50041135970613237</v>
      </c>
      <c r="M13" s="96"/>
    </row>
    <row r="14" spans="1:14">
      <c r="A14" s="46" t="s">
        <v>22</v>
      </c>
      <c r="B14" s="87"/>
      <c r="C14" s="91">
        <f t="shared" ref="C14:L14" si="7">C9*C13</f>
        <v>594.69370416180209</v>
      </c>
      <c r="D14" s="91">
        <f t="shared" si="7"/>
        <v>609.60550673437433</v>
      </c>
      <c r="E14" s="91">
        <f t="shared" si="7"/>
        <v>621.45709287725231</v>
      </c>
      <c r="F14" s="91">
        <f t="shared" si="7"/>
        <v>630.53337715398868</v>
      </c>
      <c r="G14" s="91">
        <f t="shared" si="7"/>
        <v>637.09624640633297</v>
      </c>
      <c r="H14" s="91">
        <f t="shared" si="7"/>
        <v>651.66828138398876</v>
      </c>
      <c r="I14" s="91">
        <f t="shared" si="7"/>
        <v>664.27984887765592</v>
      </c>
      <c r="J14" s="91">
        <f t="shared" si="7"/>
        <v>675.33605620969536</v>
      </c>
      <c r="K14" s="91">
        <f t="shared" si="7"/>
        <v>685.18765991770022</v>
      </c>
      <c r="L14" s="91">
        <f t="shared" si="7"/>
        <v>694.13964245582656</v>
      </c>
      <c r="M14" s="96"/>
    </row>
    <row r="15" spans="1:14">
      <c r="A15" s="46"/>
      <c r="B15" s="45"/>
      <c r="C15" s="51"/>
      <c r="D15" s="51"/>
      <c r="E15" s="51"/>
      <c r="F15" s="51"/>
      <c r="G15" s="51"/>
      <c r="H15" s="51"/>
      <c r="I15" s="51"/>
      <c r="J15" s="51"/>
      <c r="K15" s="51"/>
      <c r="L15" s="51"/>
    </row>
    <row r="16" spans="1:14">
      <c r="A16" s="48" t="s">
        <v>23</v>
      </c>
      <c r="B16" s="90">
        <f>M9</f>
        <v>1201.8836706693282</v>
      </c>
      <c r="C16" s="51"/>
      <c r="D16" s="51"/>
      <c r="E16" s="51"/>
      <c r="F16" s="51"/>
      <c r="G16" s="51"/>
      <c r="H16" s="51"/>
      <c r="I16" s="51"/>
      <c r="J16" s="51"/>
      <c r="K16" s="51"/>
      <c r="L16" s="51"/>
    </row>
    <row r="17" spans="1:12">
      <c r="A17" s="48" t="s">
        <v>145</v>
      </c>
      <c r="B17" s="92">
        <f>M12</f>
        <v>0.06</v>
      </c>
      <c r="C17" s="51"/>
      <c r="D17" s="51"/>
      <c r="E17" s="51"/>
      <c r="F17" s="51"/>
      <c r="G17" s="51"/>
      <c r="H17" s="51"/>
      <c r="I17" s="51"/>
      <c r="J17" s="51"/>
      <c r="K17" s="51"/>
      <c r="L17" s="51"/>
    </row>
    <row r="18" spans="1:12">
      <c r="A18" s="48" t="s">
        <v>24</v>
      </c>
      <c r="B18" s="90">
        <f>B16/(B17-M2)</f>
        <v>30047.091766733211</v>
      </c>
      <c r="C18" s="51"/>
      <c r="D18" s="154"/>
      <c r="E18" s="51"/>
      <c r="F18" s="51"/>
      <c r="G18" s="51"/>
      <c r="H18" s="51"/>
      <c r="I18" s="51"/>
      <c r="J18" s="51"/>
      <c r="K18" s="51"/>
      <c r="L18" s="51"/>
    </row>
    <row r="19" spans="1:12">
      <c r="A19" s="48" t="s">
        <v>25</v>
      </c>
      <c r="B19" s="97">
        <f>B18*L13</f>
        <v>15035.906046205901</v>
      </c>
      <c r="C19" s="51"/>
      <c r="D19" s="51"/>
      <c r="E19" s="51"/>
      <c r="F19" s="51"/>
      <c r="G19" s="51"/>
      <c r="H19" s="51"/>
      <c r="I19" s="51"/>
      <c r="J19" s="51"/>
      <c r="K19" s="51"/>
      <c r="L19" s="51"/>
    </row>
    <row r="20" spans="1:12">
      <c r="A20" s="48" t="s">
        <v>47</v>
      </c>
      <c r="B20" s="97">
        <f>SUM(C14:L14)</f>
        <v>6463.9974161786176</v>
      </c>
      <c r="C20" s="51"/>
      <c r="D20" s="51"/>
      <c r="E20" s="51"/>
      <c r="F20" s="51"/>
      <c r="G20" s="51"/>
      <c r="H20" s="51"/>
      <c r="I20" s="51"/>
      <c r="J20" s="51"/>
      <c r="K20" s="51"/>
      <c r="L20" s="51"/>
    </row>
    <row r="21" spans="1:12">
      <c r="A21" s="48" t="s">
        <v>48</v>
      </c>
      <c r="B21" s="97">
        <f>B19+B20</f>
        <v>21499.903462384518</v>
      </c>
      <c r="C21" s="51"/>
      <c r="D21" s="51"/>
      <c r="E21" s="51"/>
      <c r="F21" s="51"/>
      <c r="G21" s="51"/>
      <c r="H21" s="51"/>
      <c r="I21" s="51"/>
      <c r="J21" s="51"/>
      <c r="K21" s="51"/>
      <c r="L21" s="51"/>
    </row>
    <row r="22" spans="1:12">
      <c r="A22" s="48" t="s">
        <v>113</v>
      </c>
      <c r="B22" s="98">
        <f>IF('Input sheet'!B44="Yes",'Input sheet'!B45,0)</f>
        <v>0</v>
      </c>
      <c r="C22" s="51"/>
      <c r="D22" s="51"/>
      <c r="E22" s="51"/>
      <c r="F22" s="51"/>
      <c r="G22" s="51"/>
      <c r="H22" s="51"/>
      <c r="I22" s="51"/>
      <c r="J22" s="51"/>
      <c r="K22" s="51"/>
      <c r="L22" s="51"/>
    </row>
    <row r="23" spans="1:12">
      <c r="A23" s="48" t="s">
        <v>114</v>
      </c>
      <c r="B23" s="99">
        <f>IF('Input sheet'!B46="B",('Input sheet'!B11+'Input sheet'!B12)*'Input sheet'!B47,'Valuation output'!B21*'Input sheet'!B47)</f>
        <v>10749.951731192259</v>
      </c>
      <c r="C23" s="51"/>
      <c r="D23" s="51"/>
      <c r="E23" s="51"/>
      <c r="F23" s="51"/>
      <c r="G23" s="51"/>
      <c r="H23" s="51"/>
      <c r="I23" s="51"/>
      <c r="J23" s="51"/>
      <c r="K23" s="51"/>
      <c r="L23" s="51"/>
    </row>
    <row r="24" spans="1:12">
      <c r="A24" s="48" t="s">
        <v>45</v>
      </c>
      <c r="B24" s="90">
        <f>B21*(1-B22)+B23*B22</f>
        <v>21499.903462384518</v>
      </c>
      <c r="C24" s="51"/>
      <c r="D24" s="51"/>
      <c r="E24" s="51"/>
      <c r="F24" s="51"/>
      <c r="G24" s="51"/>
      <c r="H24" s="51"/>
      <c r="I24" s="51"/>
      <c r="J24" s="51"/>
      <c r="K24" s="51"/>
      <c r="L24" s="51"/>
    </row>
    <row r="25" spans="1:12">
      <c r="A25" s="48" t="s">
        <v>398</v>
      </c>
      <c r="B25" s="90">
        <f>IF('Input sheet'!B14="Yes",'Input sheet'!B12+'Operating lease converter'!C28,'Input sheet'!B12)</f>
        <v>13675.485888446912</v>
      </c>
      <c r="C25" s="51"/>
      <c r="D25" s="51"/>
      <c r="E25" s="51"/>
      <c r="F25" s="51"/>
      <c r="G25" s="51"/>
      <c r="H25" s="51"/>
      <c r="I25" s="51"/>
      <c r="J25" s="51"/>
      <c r="K25" s="51"/>
      <c r="L25" s="51"/>
    </row>
    <row r="26" spans="1:12">
      <c r="A26" s="48" t="s">
        <v>400</v>
      </c>
      <c r="B26" s="90">
        <f>'Input sheet'!B17</f>
        <v>1138</v>
      </c>
      <c r="C26" s="51"/>
      <c r="D26" s="51"/>
      <c r="E26" s="51"/>
      <c r="F26" s="51"/>
      <c r="G26" s="51"/>
      <c r="H26" s="51"/>
      <c r="I26" s="51"/>
      <c r="J26" s="51"/>
      <c r="K26" s="51"/>
      <c r="L26" s="51"/>
    </row>
    <row r="27" spans="1:12">
      <c r="A27" s="48" t="s">
        <v>397</v>
      </c>
      <c r="B27" s="90">
        <f>IF('Input sheet'!B57="YES",'Input sheet'!B15-'Input sheet'!B58*('Input sheet'!B21-'Input sheet'!B59),'Input sheet'!B15)</f>
        <v>3862</v>
      </c>
      <c r="C27" s="51"/>
      <c r="D27" s="51"/>
      <c r="E27" s="51"/>
      <c r="F27" s="51"/>
      <c r="G27" s="51"/>
      <c r="H27" s="51"/>
      <c r="I27" s="51"/>
      <c r="J27" s="51"/>
      <c r="K27" s="51"/>
      <c r="L27" s="51"/>
    </row>
    <row r="28" spans="1:12">
      <c r="A28" s="48" t="s">
        <v>396</v>
      </c>
      <c r="B28" s="90">
        <f>'Input sheet'!B16</f>
        <v>0</v>
      </c>
      <c r="C28" s="51"/>
      <c r="D28" s="51"/>
      <c r="E28" s="51"/>
      <c r="F28" s="51"/>
      <c r="G28" s="51"/>
      <c r="H28" s="51"/>
      <c r="I28" s="51"/>
      <c r="J28" s="51"/>
      <c r="K28" s="51"/>
      <c r="L28" s="51"/>
    </row>
    <row r="29" spans="1:12">
      <c r="A29" s="48" t="s">
        <v>55</v>
      </c>
      <c r="B29" s="97">
        <f>B24-B25-B26+B27+B28</f>
        <v>10548.417573937606</v>
      </c>
      <c r="C29" s="51"/>
      <c r="D29" s="51"/>
      <c r="E29" s="51"/>
      <c r="F29" s="51"/>
      <c r="G29" s="51"/>
      <c r="H29" s="51"/>
      <c r="I29" s="51"/>
      <c r="J29" s="51"/>
      <c r="K29" s="51"/>
      <c r="L29" s="51"/>
    </row>
    <row r="30" spans="1:12">
      <c r="A30" s="48" t="s">
        <v>61</v>
      </c>
      <c r="B30" s="100">
        <f>IF('Input sheet'!B30="No",0,'Option value'!D27)</f>
        <v>0</v>
      </c>
      <c r="C30" s="51"/>
      <c r="D30" s="51"/>
      <c r="E30" s="51"/>
      <c r="F30" s="51"/>
      <c r="G30" s="51"/>
      <c r="H30" s="51"/>
      <c r="I30" s="51"/>
      <c r="J30" s="51"/>
      <c r="K30" s="51"/>
      <c r="L30" s="51"/>
    </row>
    <row r="31" spans="1:12">
      <c r="A31" s="48" t="s">
        <v>62</v>
      </c>
      <c r="B31" s="97">
        <f>B29-B30</f>
        <v>10548.417573937606</v>
      </c>
      <c r="C31" s="51"/>
      <c r="D31" s="51"/>
      <c r="E31" s="51"/>
      <c r="F31" s="51"/>
      <c r="G31" s="51"/>
      <c r="H31" s="51"/>
      <c r="I31" s="51"/>
      <c r="J31" s="51"/>
      <c r="K31" s="51"/>
      <c r="L31" s="51"/>
    </row>
    <row r="32" spans="1:12">
      <c r="A32" s="48" t="s">
        <v>13</v>
      </c>
      <c r="B32" s="101">
        <f>'Input sheet'!B18</f>
        <v>549.5</v>
      </c>
      <c r="C32" s="51"/>
      <c r="D32" s="51"/>
      <c r="E32" s="51"/>
      <c r="F32" s="51"/>
      <c r="G32" s="51"/>
      <c r="H32" s="51"/>
      <c r="I32" s="51"/>
      <c r="J32" s="51"/>
      <c r="K32" s="51"/>
      <c r="L32" s="51"/>
    </row>
    <row r="33" spans="1:13">
      <c r="A33" s="48" t="s">
        <v>97</v>
      </c>
      <c r="B33" s="102">
        <f>B31/B32</f>
        <v>19.196392309258609</v>
      </c>
      <c r="C33" s="51"/>
      <c r="D33" s="51"/>
      <c r="E33" s="51"/>
      <c r="F33" s="51"/>
      <c r="G33" s="51"/>
      <c r="H33" s="51"/>
      <c r="I33" s="51"/>
      <c r="J33" s="51"/>
      <c r="K33" s="51"/>
      <c r="L33" s="51"/>
    </row>
    <row r="34" spans="1:13">
      <c r="A34" s="48" t="s">
        <v>104</v>
      </c>
      <c r="B34" s="103">
        <f>'Input sheet'!B19</f>
        <v>15.31</v>
      </c>
      <c r="C34" s="51"/>
      <c r="D34" s="51"/>
      <c r="E34" s="51"/>
      <c r="F34" s="51"/>
      <c r="G34" s="51"/>
      <c r="H34" s="51"/>
      <c r="I34" s="51"/>
      <c r="J34" s="51"/>
      <c r="K34" s="51"/>
      <c r="L34" s="51"/>
    </row>
    <row r="35" spans="1:13">
      <c r="A35" s="48" t="s">
        <v>53</v>
      </c>
      <c r="B35" s="93">
        <f>B34/B33</f>
        <v>0.79754569261516062</v>
      </c>
      <c r="C35" s="51"/>
      <c r="D35" s="51"/>
      <c r="E35" s="51"/>
      <c r="F35" s="51"/>
      <c r="G35" s="51"/>
      <c r="H35" s="51"/>
      <c r="I35" s="51"/>
      <c r="J35" s="51"/>
      <c r="K35" s="51"/>
      <c r="L35" s="51"/>
    </row>
    <row r="36" spans="1:13">
      <c r="A36" s="46"/>
      <c r="B36" s="45"/>
      <c r="C36" s="51"/>
      <c r="D36" s="51"/>
      <c r="E36" s="51"/>
      <c r="F36" s="51"/>
      <c r="G36" s="51"/>
      <c r="H36" s="51"/>
      <c r="I36" s="51"/>
      <c r="J36" s="51"/>
      <c r="K36" s="51"/>
      <c r="L36" s="51"/>
    </row>
    <row r="37" spans="1:13">
      <c r="A37" s="49" t="s">
        <v>18</v>
      </c>
      <c r="B37" s="87"/>
      <c r="C37" s="96"/>
      <c r="D37" s="96"/>
      <c r="E37" s="96"/>
      <c r="F37" s="96"/>
      <c r="G37" s="96"/>
      <c r="H37" s="96"/>
      <c r="I37" s="96"/>
      <c r="J37" s="96"/>
      <c r="K37" s="96"/>
      <c r="L37" s="96"/>
      <c r="M37" s="96" t="s">
        <v>44</v>
      </c>
    </row>
    <row r="38" spans="1:13">
      <c r="A38" s="44" t="s">
        <v>39</v>
      </c>
      <c r="B38" s="87"/>
      <c r="C38" s="104">
        <f>'Input sheet'!I24</f>
        <v>1.3674486852416921</v>
      </c>
      <c r="D38" s="104">
        <f>C38+($L$38-C38)/($L$1-C1)</f>
        <v>1.3932877202148375</v>
      </c>
      <c r="E38" s="104">
        <f t="shared" ref="E38:K38" si="8">D38+($L$38-D38)/($L$1-D1)</f>
        <v>1.4191267551879827</v>
      </c>
      <c r="F38" s="104">
        <f t="shared" si="8"/>
        <v>1.4449657901611281</v>
      </c>
      <c r="G38" s="104">
        <f t="shared" si="8"/>
        <v>1.4708048251342736</v>
      </c>
      <c r="H38" s="104">
        <f t="shared" si="8"/>
        <v>1.4966438601074188</v>
      </c>
      <c r="I38" s="104">
        <f t="shared" si="8"/>
        <v>1.522482895080564</v>
      </c>
      <c r="J38" s="104">
        <f t="shared" si="8"/>
        <v>1.5483219300537094</v>
      </c>
      <c r="K38" s="104">
        <f t="shared" si="8"/>
        <v>1.5741609650268549</v>
      </c>
      <c r="L38" s="104">
        <f>'Input sheet'!B25</f>
        <v>1.6</v>
      </c>
      <c r="M38" s="96"/>
    </row>
    <row r="39" spans="1:13">
      <c r="A39" s="44" t="s">
        <v>19</v>
      </c>
      <c r="B39" s="105">
        <f>IF('Input sheet'!B14="Yes",IF('Input sheet'!B13="Yes",'Input sheet'!B11+'Input sheet'!B12-'Input sheet'!B15+'Operating lease converter'!F33+'R&amp; D converter'!D35,'Input sheet'!B11+'Input sheet'!B12-'Input sheet'!B15+'Operating lease converter'!F33),IF('Input sheet'!B13="Yes",'Input sheet'!B11+'Input sheet'!B12-'Input sheet'!B15+'R&amp; D converter'!D35,'Input sheet'!B11+'Input sheet'!B12-'Input sheet'!B15))</f>
        <v>19426.185888446915</v>
      </c>
      <c r="C39" s="106">
        <f t="shared" ref="C39:L39" si="9">B39+C8</f>
        <v>19875.983388446912</v>
      </c>
      <c r="D39" s="106">
        <f t="shared" si="9"/>
        <v>20328.475623792809</v>
      </c>
      <c r="E39" s="106">
        <f t="shared" si="9"/>
        <v>20783.835350831003</v>
      </c>
      <c r="F39" s="106">
        <f t="shared" si="9"/>
        <v>21242.232709219683</v>
      </c>
      <c r="G39" s="106">
        <f t="shared" si="9"/>
        <v>21703.835569163515</v>
      </c>
      <c r="H39" s="106">
        <f t="shared" si="9"/>
        <v>22150.210881346338</v>
      </c>
      <c r="I39" s="106">
        <f t="shared" si="9"/>
        <v>22580.819545755665</v>
      </c>
      <c r="J39" s="106">
        <f t="shared" si="9"/>
        <v>22995.147656483394</v>
      </c>
      <c r="K39" s="106">
        <f t="shared" si="9"/>
        <v>23392.708895660955</v>
      </c>
      <c r="L39" s="106">
        <f t="shared" si="9"/>
        <v>23773.046822436769</v>
      </c>
      <c r="M39" s="96"/>
    </row>
    <row r="40" spans="1:13">
      <c r="A40" s="44" t="s">
        <v>20</v>
      </c>
      <c r="B40" s="92">
        <f t="shared" ref="B40:L40" si="10">B7/B39</f>
        <v>5.269640707447458E-2</v>
      </c>
      <c r="C40" s="88">
        <f t="shared" si="10"/>
        <v>5.4845823787304779E-2</v>
      </c>
      <c r="D40" s="88">
        <f t="shared" si="10"/>
        <v>5.702447172098133E-2</v>
      </c>
      <c r="E40" s="88">
        <f t="shared" si="10"/>
        <v>5.9233555151897412E-2</v>
      </c>
      <c r="F40" s="88">
        <f t="shared" si="10"/>
        <v>6.1474225916982081E-2</v>
      </c>
      <c r="G40" s="88">
        <f t="shared" si="10"/>
        <v>6.3747589366418972E-2</v>
      </c>
      <c r="H40" s="88">
        <f t="shared" si="10"/>
        <v>6.5851424286770169E-2</v>
      </c>
      <c r="I40" s="88">
        <f t="shared" si="10"/>
        <v>6.7965035768855001E-2</v>
      </c>
      <c r="J40" s="88">
        <f t="shared" si="10"/>
        <v>7.0086813173378892E-2</v>
      </c>
      <c r="K40" s="88">
        <f t="shared" si="10"/>
        <v>7.2215039704009082E-2</v>
      </c>
      <c r="L40" s="108">
        <f t="shared" si="10"/>
        <v>7.434789488616568E-2</v>
      </c>
      <c r="M40" s="88">
        <f>IF('Input sheet'!B41="Yes",'Input sheet'!B42,'Valuation output'!L12)</f>
        <v>6.0000000000000019E-2</v>
      </c>
    </row>
    <row r="41" spans="1:13">
      <c r="A41" s="46"/>
    </row>
  </sheetData>
  <phoneticPr fontId="6" type="noConversion"/>
  <pageMargins left="0.7" right="0.7" top="0.75" bottom="0.75"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88" zoomScaleNormal="88" zoomScalePageLayoutView="88" workbookViewId="0">
      <selection activeCell="N40" sqref="N40"/>
    </sheetView>
  </sheetViews>
  <sheetFormatPr baseColWidth="10" defaultRowHeight="15.75"/>
  <cols>
    <col min="1" max="1" width="20.28515625" style="338" customWidth="1"/>
    <col min="2" max="2" width="12.85546875" style="338" bestFit="1" customWidth="1"/>
    <col min="3" max="3" width="17.7109375" style="338" customWidth="1"/>
    <col min="4" max="4" width="16.42578125" style="338" customWidth="1"/>
    <col min="5" max="5" width="13.85546875" style="338" customWidth="1"/>
    <col min="6" max="6" width="24.7109375" style="339" customWidth="1"/>
    <col min="7" max="7" width="40" style="338" customWidth="1"/>
    <col min="8" max="8" width="17" customWidth="1"/>
  </cols>
  <sheetData>
    <row r="1" spans="1:11" ht="16.5" thickBot="1">
      <c r="A1" s="377" t="str">
        <f>'Input sheet'!B2</f>
        <v>Veolia</v>
      </c>
      <c r="B1" s="378"/>
      <c r="C1" s="378"/>
      <c r="D1" s="378"/>
      <c r="E1" s="378"/>
      <c r="F1" s="378"/>
      <c r="G1" s="379"/>
    </row>
    <row r="2" spans="1:11">
      <c r="A2" s="380" t="s">
        <v>673</v>
      </c>
      <c r="B2" s="380"/>
      <c r="C2" s="380"/>
      <c r="D2" s="380"/>
      <c r="E2" s="380"/>
      <c r="F2" s="380"/>
      <c r="G2" s="380"/>
    </row>
    <row r="3" spans="1:11" ht="15.95" customHeight="1">
      <c r="A3" s="386" t="s">
        <v>712</v>
      </c>
      <c r="B3" s="387"/>
      <c r="C3" s="387"/>
      <c r="D3" s="387"/>
      <c r="E3" s="387"/>
      <c r="F3" s="387"/>
      <c r="G3" s="388"/>
      <c r="H3" s="395" t="s">
        <v>699</v>
      </c>
      <c r="I3" s="396"/>
      <c r="J3" s="396"/>
      <c r="K3" s="397"/>
    </row>
    <row r="4" spans="1:11" ht="15.95" customHeight="1">
      <c r="A4" s="389"/>
      <c r="B4" s="390"/>
      <c r="C4" s="390"/>
      <c r="D4" s="390"/>
      <c r="E4" s="390"/>
      <c r="F4" s="390"/>
      <c r="G4" s="391"/>
      <c r="H4" s="398"/>
      <c r="I4" s="399"/>
      <c r="J4" s="399"/>
      <c r="K4" s="400"/>
    </row>
    <row r="5" spans="1:11" ht="12" customHeight="1">
      <c r="A5" s="389"/>
      <c r="B5" s="390"/>
      <c r="C5" s="390"/>
      <c r="D5" s="390"/>
      <c r="E5" s="390"/>
      <c r="F5" s="390"/>
      <c r="G5" s="391"/>
      <c r="H5" s="398"/>
      <c r="I5" s="399"/>
      <c r="J5" s="399"/>
      <c r="K5" s="400"/>
    </row>
    <row r="6" spans="1:11" ht="12" customHeight="1">
      <c r="A6" s="392"/>
      <c r="B6" s="393"/>
      <c r="C6" s="393"/>
      <c r="D6" s="393"/>
      <c r="E6" s="393"/>
      <c r="F6" s="393"/>
      <c r="G6" s="394"/>
      <c r="H6" s="401"/>
      <c r="I6" s="402"/>
      <c r="J6" s="402"/>
      <c r="K6" s="403"/>
    </row>
    <row r="7" spans="1:11">
      <c r="A7" s="381" t="s">
        <v>674</v>
      </c>
      <c r="B7" s="382"/>
      <c r="C7" s="382"/>
      <c r="D7" s="382"/>
      <c r="E7" s="382"/>
      <c r="F7" s="382"/>
      <c r="G7" s="383"/>
    </row>
    <row r="8" spans="1:11">
      <c r="A8" s="309"/>
      <c r="B8" s="304" t="s">
        <v>675</v>
      </c>
      <c r="C8" s="305" t="s">
        <v>676</v>
      </c>
      <c r="D8" s="304" t="s">
        <v>677</v>
      </c>
      <c r="E8" s="304"/>
      <c r="F8" s="304" t="s">
        <v>44</v>
      </c>
      <c r="G8" s="306" t="s">
        <v>684</v>
      </c>
    </row>
    <row r="9" spans="1:11">
      <c r="A9" s="310" t="s">
        <v>685</v>
      </c>
      <c r="B9" s="311">
        <f>'Valuation output'!B3</f>
        <v>24603</v>
      </c>
      <c r="C9" s="312">
        <f>'Input sheet'!B23</f>
        <v>2.5000000000000001E-2</v>
      </c>
      <c r="D9" s="313" t="s">
        <v>686</v>
      </c>
      <c r="E9" s="313"/>
      <c r="F9" s="312">
        <f>'Valuation output'!M2</f>
        <v>0.02</v>
      </c>
      <c r="G9" s="336" t="s">
        <v>711</v>
      </c>
      <c r="H9" s="404" t="s">
        <v>700</v>
      </c>
      <c r="I9" s="405"/>
      <c r="J9" s="405"/>
      <c r="K9" s="406"/>
    </row>
    <row r="10" spans="1:11">
      <c r="A10" s="310" t="s">
        <v>687</v>
      </c>
      <c r="B10" s="312">
        <f>'Valuation output'!B4</f>
        <v>6.118874787400462E-2</v>
      </c>
      <c r="C10" s="314">
        <f>B10</f>
        <v>6.118874787400462E-2</v>
      </c>
      <c r="D10" s="315">
        <f>F10</f>
        <v>8.5000000000000006E-2</v>
      </c>
      <c r="E10" s="315"/>
      <c r="F10" s="312">
        <f>'Valuation output'!M4</f>
        <v>8.5000000000000006E-2</v>
      </c>
      <c r="G10" s="341" t="s">
        <v>710</v>
      </c>
      <c r="H10" s="407"/>
      <c r="I10" s="408"/>
      <c r="J10" s="408"/>
      <c r="K10" s="409"/>
    </row>
    <row r="11" spans="1:11">
      <c r="A11" s="310" t="s">
        <v>143</v>
      </c>
      <c r="B11" s="312">
        <f>'Valuation output'!B6</f>
        <v>0.32</v>
      </c>
      <c r="C11" s="314">
        <f>B11</f>
        <v>0.32</v>
      </c>
      <c r="D11" s="315">
        <f>F11</f>
        <v>0.33</v>
      </c>
      <c r="E11" s="315"/>
      <c r="F11" s="312">
        <f>'Valuation output'!M6</f>
        <v>0.33</v>
      </c>
      <c r="G11" s="341" t="s">
        <v>706</v>
      </c>
      <c r="H11" s="407"/>
      <c r="I11" s="408"/>
      <c r="J11" s="408"/>
      <c r="K11" s="409"/>
    </row>
    <row r="12" spans="1:11">
      <c r="A12" s="310" t="s">
        <v>688</v>
      </c>
      <c r="B12" s="313"/>
      <c r="C12" s="316" t="s">
        <v>692</v>
      </c>
      <c r="D12" s="317">
        <f>'Input sheet'!B25</f>
        <v>1.6</v>
      </c>
      <c r="E12" s="318" t="s">
        <v>704</v>
      </c>
      <c r="F12" s="319">
        <f>'Valuation output'!M2/'Valuation output'!M40</f>
        <v>0.33333333333333326</v>
      </c>
      <c r="G12" s="341" t="s">
        <v>709</v>
      </c>
      <c r="H12" s="407"/>
      <c r="I12" s="408"/>
      <c r="J12" s="408"/>
      <c r="K12" s="409"/>
    </row>
    <row r="13" spans="1:11">
      <c r="A13" s="343" t="s">
        <v>702</v>
      </c>
      <c r="B13" s="347">
        <f>'Valuation output'!B40</f>
        <v>5.269640707447458E-2</v>
      </c>
      <c r="C13" s="350" t="s">
        <v>703</v>
      </c>
      <c r="D13" s="351">
        <f>Diagnostics!B6</f>
        <v>0.26055517150702534</v>
      </c>
      <c r="E13" s="344"/>
      <c r="F13" s="345">
        <f>'Valuation output'!M40</f>
        <v>6.0000000000000019E-2</v>
      </c>
      <c r="G13" s="346" t="s">
        <v>708</v>
      </c>
      <c r="H13" s="407"/>
      <c r="I13" s="408"/>
      <c r="J13" s="408"/>
      <c r="K13" s="409"/>
    </row>
    <row r="14" spans="1:11" ht="16.5" thickBot="1">
      <c r="A14" s="320" t="s">
        <v>689</v>
      </c>
      <c r="B14" s="348"/>
      <c r="C14" s="314">
        <f>'Valuation output'!C12</f>
        <v>7.6717607805619731E-2</v>
      </c>
      <c r="D14" s="315">
        <f>F14</f>
        <v>0.06</v>
      </c>
      <c r="E14" s="349"/>
      <c r="F14" s="321">
        <f>'Valuation output'!M12</f>
        <v>0.06</v>
      </c>
      <c r="G14" s="342" t="s">
        <v>707</v>
      </c>
      <c r="H14" s="410"/>
      <c r="I14" s="411"/>
      <c r="J14" s="411"/>
      <c r="K14" s="412"/>
    </row>
    <row r="15" spans="1:11" ht="16.5" thickBot="1">
      <c r="A15" s="384" t="s">
        <v>679</v>
      </c>
      <c r="B15" s="384"/>
      <c r="C15" s="384"/>
      <c r="D15" s="384"/>
      <c r="E15" s="384"/>
      <c r="F15" s="384"/>
      <c r="G15" s="384"/>
    </row>
    <row r="16" spans="1:11">
      <c r="A16" s="303"/>
      <c r="B16" s="307" t="s">
        <v>11</v>
      </c>
      <c r="C16" s="307" t="s">
        <v>678</v>
      </c>
      <c r="D16" s="307" t="s">
        <v>693</v>
      </c>
      <c r="E16" s="307" t="s">
        <v>680</v>
      </c>
      <c r="F16" s="307" t="s">
        <v>690</v>
      </c>
      <c r="G16" s="353" t="s">
        <v>16</v>
      </c>
      <c r="H16" s="413" t="s">
        <v>701</v>
      </c>
      <c r="I16" s="414"/>
      <c r="J16" s="414"/>
      <c r="K16" s="415"/>
    </row>
    <row r="17" spans="1:11">
      <c r="A17" s="322">
        <v>1</v>
      </c>
      <c r="B17" s="323">
        <f>'Valuation output'!C3</f>
        <v>25218.074999999997</v>
      </c>
      <c r="C17" s="324">
        <f>'Valuation output'!C4</f>
        <v>6.3569873086604153E-2</v>
      </c>
      <c r="D17" s="311">
        <f>B17*C17</f>
        <v>1603.109827238465</v>
      </c>
      <c r="E17" s="323">
        <f>'Valuation output'!C7</f>
        <v>1090.1146825221563</v>
      </c>
      <c r="F17" s="323">
        <f>'Valuation output'!C8</f>
        <v>449.79749999999791</v>
      </c>
      <c r="G17" s="354">
        <f>E17-F17</f>
        <v>640.31718252215842</v>
      </c>
      <c r="H17" s="416"/>
      <c r="I17" s="417"/>
      <c r="J17" s="417"/>
      <c r="K17" s="418"/>
    </row>
    <row r="18" spans="1:11">
      <c r="A18" s="322">
        <v>2</v>
      </c>
      <c r="B18" s="323">
        <f>'Valuation output'!D3</f>
        <v>25848.526874999996</v>
      </c>
      <c r="C18" s="324">
        <f>'Valuation output'!D4</f>
        <v>6.59509982992037E-2</v>
      </c>
      <c r="D18" s="311">
        <f t="shared" ref="D18:D27" si="0">B18*C18</f>
        <v>1704.736151970046</v>
      </c>
      <c r="E18" s="323">
        <f>'Valuation output'!D7</f>
        <v>1159.2205833396313</v>
      </c>
      <c r="F18" s="323">
        <f>'Valuation output'!D8</f>
        <v>452.49223534589578</v>
      </c>
      <c r="G18" s="354">
        <f t="shared" ref="G18:G27" si="1">E18-F18</f>
        <v>706.7283479937355</v>
      </c>
      <c r="H18" s="416"/>
      <c r="I18" s="417"/>
      <c r="J18" s="417"/>
      <c r="K18" s="418"/>
    </row>
    <row r="19" spans="1:11">
      <c r="A19" s="322">
        <v>3</v>
      </c>
      <c r="B19" s="323">
        <f>'Valuation output'!E3</f>
        <v>26494.740046874995</v>
      </c>
      <c r="C19" s="324">
        <f>'Valuation output'!E4</f>
        <v>6.8332123511803233E-2</v>
      </c>
      <c r="D19" s="311">
        <f t="shared" si="0"/>
        <v>1810.4418492961815</v>
      </c>
      <c r="E19" s="323">
        <f>'Valuation output'!E7</f>
        <v>1231.1004575214033</v>
      </c>
      <c r="F19" s="323">
        <f>'Valuation output'!E8</f>
        <v>455.35972703819476</v>
      </c>
      <c r="G19" s="354">
        <f t="shared" si="1"/>
        <v>775.74073048320861</v>
      </c>
      <c r="H19" s="416"/>
      <c r="I19" s="417"/>
      <c r="J19" s="417"/>
      <c r="K19" s="418"/>
    </row>
    <row r="20" spans="1:11">
      <c r="A20" s="322">
        <v>4</v>
      </c>
      <c r="B20" s="323">
        <f>'Valuation output'!F3</f>
        <v>27157.108548046868</v>
      </c>
      <c r="C20" s="324">
        <f>'Valuation output'!F4</f>
        <v>7.0713248724402766E-2</v>
      </c>
      <c r="D20" s="311">
        <f t="shared" si="0"/>
        <v>1920.3673713936428</v>
      </c>
      <c r="E20" s="323">
        <f>'Valuation output'!F7</f>
        <v>1305.8498125476772</v>
      </c>
      <c r="F20" s="323">
        <f>'Valuation output'!F8</f>
        <v>458.39735838868046</v>
      </c>
      <c r="G20" s="354">
        <f t="shared" si="1"/>
        <v>847.45245415899672</v>
      </c>
      <c r="H20" s="416"/>
      <c r="I20" s="417"/>
      <c r="J20" s="417"/>
      <c r="K20" s="418"/>
    </row>
    <row r="21" spans="1:11">
      <c r="A21" s="322">
        <v>5</v>
      </c>
      <c r="B21" s="323">
        <f>'Valuation output'!G3</f>
        <v>27836.036261748039</v>
      </c>
      <c r="C21" s="324">
        <f>'Valuation output'!G4</f>
        <v>7.3094373937002313E-2</v>
      </c>
      <c r="D21" s="311">
        <f t="shared" si="0"/>
        <v>2034.6576434401672</v>
      </c>
      <c r="E21" s="323">
        <f>'Valuation output'!G7</f>
        <v>1383.5671975393138</v>
      </c>
      <c r="F21" s="323">
        <f>'Valuation output'!G8</f>
        <v>461.60285994383338</v>
      </c>
      <c r="G21" s="354">
        <f t="shared" si="1"/>
        <v>921.9643375954804</v>
      </c>
      <c r="H21" s="416"/>
      <c r="I21" s="417"/>
      <c r="J21" s="417"/>
      <c r="K21" s="418"/>
    </row>
    <row r="22" spans="1:11">
      <c r="A22" s="322">
        <v>6</v>
      </c>
      <c r="B22" s="323">
        <f>'Valuation output'!H3</f>
        <v>28504.101132029991</v>
      </c>
      <c r="C22" s="324">
        <f>'Valuation output'!H4</f>
        <v>7.5475499149601846E-2</v>
      </c>
      <c r="D22" s="311">
        <f t="shared" si="0"/>
        <v>2151.3612607506948</v>
      </c>
      <c r="E22" s="323">
        <f>'Valuation output'!H7</f>
        <v>1458.6229347889712</v>
      </c>
      <c r="F22" s="323">
        <f>'Valuation output'!H8</f>
        <v>446.37531218282186</v>
      </c>
      <c r="G22" s="354">
        <f t="shared" si="1"/>
        <v>1012.2476226061493</v>
      </c>
      <c r="H22" s="416"/>
      <c r="I22" s="417"/>
      <c r="J22" s="417"/>
      <c r="K22" s="418"/>
    </row>
    <row r="23" spans="1:11">
      <c r="A23" s="322">
        <v>7</v>
      </c>
      <c r="B23" s="323">
        <f>'Valuation output'!I3</f>
        <v>29159.695458066679</v>
      </c>
      <c r="C23" s="324">
        <f>'Valuation output'!I4</f>
        <v>7.7856624362201393E-2</v>
      </c>
      <c r="D23" s="311">
        <f t="shared" si="0"/>
        <v>2270.2754557948874</v>
      </c>
      <c r="E23" s="323">
        <f>'Valuation output'!I7</f>
        <v>1534.706208117344</v>
      </c>
      <c r="F23" s="323">
        <f>'Valuation output'!I8</f>
        <v>430.60866440932722</v>
      </c>
      <c r="G23" s="354">
        <f t="shared" si="1"/>
        <v>1104.0975437080167</v>
      </c>
      <c r="H23" s="416"/>
      <c r="I23" s="417"/>
      <c r="J23" s="417"/>
      <c r="K23" s="418"/>
    </row>
    <row r="24" spans="1:11">
      <c r="A24" s="322">
        <v>8</v>
      </c>
      <c r="B24" s="323">
        <f>'Valuation output'!J3</f>
        <v>29801.208758144145</v>
      </c>
      <c r="C24" s="324">
        <f>'Valuation output'!J4</f>
        <v>8.0237749574800926E-2</v>
      </c>
      <c r="D24" s="311">
        <f t="shared" si="0"/>
        <v>2391.1819253623339</v>
      </c>
      <c r="E24" s="323">
        <f>'Valuation output'!J7</f>
        <v>1611.6566176942131</v>
      </c>
      <c r="F24" s="323">
        <f>'Valuation output'!J8</f>
        <v>414.32811072772995</v>
      </c>
      <c r="G24" s="354">
        <f t="shared" si="1"/>
        <v>1197.328506966483</v>
      </c>
      <c r="H24" s="416"/>
      <c r="I24" s="417"/>
      <c r="J24" s="417"/>
      <c r="K24" s="418"/>
    </row>
    <row r="25" spans="1:11">
      <c r="A25" s="322">
        <v>9</v>
      </c>
      <c r="B25" s="323">
        <f>'Valuation output'!K3</f>
        <v>30427.034142065168</v>
      </c>
      <c r="C25" s="324">
        <f>'Valuation output'!K4</f>
        <v>8.2618874787400473E-2</v>
      </c>
      <c r="D25" s="311">
        <f t="shared" si="0"/>
        <v>2513.8473239352411</v>
      </c>
      <c r="E25" s="323">
        <f>'Valuation output'!K7</f>
        <v>1689.3054016844821</v>
      </c>
      <c r="F25" s="323">
        <f>'Valuation output'!K8</f>
        <v>397.56123917756173</v>
      </c>
      <c r="G25" s="354">
        <f t="shared" si="1"/>
        <v>1291.7441625069205</v>
      </c>
      <c r="H25" s="416"/>
      <c r="I25" s="417"/>
      <c r="J25" s="417"/>
      <c r="K25" s="418"/>
    </row>
    <row r="26" spans="1:11">
      <c r="A26" s="322">
        <v>10</v>
      </c>
      <c r="B26" s="323">
        <f>'Valuation output'!L3</f>
        <v>31035.574824906471</v>
      </c>
      <c r="C26" s="324">
        <f>'Valuation output'!L4</f>
        <v>8.5000000000000006E-2</v>
      </c>
      <c r="D26" s="311">
        <f t="shared" si="0"/>
        <v>2638.0238601170504</v>
      </c>
      <c r="E26" s="323">
        <f>'Valuation output'!L7</f>
        <v>1767.4759862784238</v>
      </c>
      <c r="F26" s="323">
        <f>'Valuation output'!L8</f>
        <v>380.33792677581459</v>
      </c>
      <c r="G26" s="354">
        <f t="shared" si="1"/>
        <v>1387.1380595026092</v>
      </c>
      <c r="H26" s="416"/>
      <c r="I26" s="417"/>
      <c r="J26" s="417"/>
      <c r="K26" s="418"/>
    </row>
    <row r="27" spans="1:11" ht="16.5" thickBot="1">
      <c r="A27" s="325" t="s">
        <v>46</v>
      </c>
      <c r="B27" s="326">
        <f>'Valuation output'!M3</f>
        <v>31656.286321404601</v>
      </c>
      <c r="C27" s="327">
        <f>'Valuation output'!M4</f>
        <v>8.5000000000000006E-2</v>
      </c>
      <c r="D27" s="311">
        <f t="shared" si="0"/>
        <v>2690.7843373193914</v>
      </c>
      <c r="E27" s="326">
        <f>'Valuation output'!M7</f>
        <v>1802.8255060039921</v>
      </c>
      <c r="F27" s="326">
        <f>'Valuation output'!M8</f>
        <v>600.94183533466389</v>
      </c>
      <c r="G27" s="354">
        <f t="shared" si="1"/>
        <v>1201.8836706693282</v>
      </c>
      <c r="H27" s="419"/>
      <c r="I27" s="420"/>
      <c r="J27" s="420"/>
      <c r="K27" s="421"/>
    </row>
    <row r="28" spans="1:11" ht="16.5" thickBot="1">
      <c r="A28" s="385" t="s">
        <v>681</v>
      </c>
      <c r="B28" s="385"/>
      <c r="C28" s="385"/>
      <c r="D28" s="385"/>
      <c r="E28" s="385"/>
      <c r="F28" s="385"/>
      <c r="G28" s="385"/>
    </row>
    <row r="29" spans="1:11">
      <c r="A29" s="430" t="s">
        <v>682</v>
      </c>
      <c r="B29" s="431"/>
      <c r="C29" s="432"/>
      <c r="D29" s="328">
        <f>'Valuation output'!B18</f>
        <v>30047.091766733211</v>
      </c>
      <c r="E29" s="329"/>
      <c r="F29" s="330"/>
      <c r="G29" s="331"/>
      <c r="H29" s="422" t="s">
        <v>705</v>
      </c>
      <c r="I29" s="423"/>
      <c r="J29" s="423"/>
      <c r="K29" s="423"/>
    </row>
    <row r="30" spans="1:11">
      <c r="A30" s="374" t="s">
        <v>683</v>
      </c>
      <c r="B30" s="375"/>
      <c r="C30" s="376"/>
      <c r="D30" s="332">
        <f>'Valuation output'!B19</f>
        <v>15035.906046205901</v>
      </c>
      <c r="E30" s="333"/>
      <c r="F30" s="334"/>
      <c r="G30" s="335"/>
      <c r="H30" s="422"/>
      <c r="I30" s="423"/>
      <c r="J30" s="423"/>
      <c r="K30" s="423"/>
    </row>
    <row r="31" spans="1:11">
      <c r="A31" s="374" t="s">
        <v>47</v>
      </c>
      <c r="B31" s="375"/>
      <c r="C31" s="376"/>
      <c r="D31" s="332">
        <f>'Valuation output'!B20</f>
        <v>6463.9974161786176</v>
      </c>
      <c r="E31" s="333"/>
      <c r="F31" s="334"/>
      <c r="G31" s="335"/>
      <c r="H31" s="422"/>
      <c r="I31" s="423"/>
      <c r="J31" s="423"/>
      <c r="K31" s="423"/>
    </row>
    <row r="32" spans="1:11">
      <c r="A32" s="374" t="s">
        <v>45</v>
      </c>
      <c r="B32" s="375"/>
      <c r="C32" s="376"/>
      <c r="D32" s="332">
        <f>'Valuation output'!B21</f>
        <v>21499.903462384518</v>
      </c>
      <c r="E32" s="333"/>
      <c r="F32" s="334"/>
      <c r="G32" s="335"/>
      <c r="H32" s="422"/>
      <c r="I32" s="423"/>
      <c r="J32" s="423"/>
      <c r="K32" s="423"/>
    </row>
    <row r="33" spans="1:11">
      <c r="A33" s="374" t="s">
        <v>694</v>
      </c>
      <c r="B33" s="375"/>
      <c r="C33" s="376"/>
      <c r="D33" s="355">
        <f>D32-'Valuation output'!B24</f>
        <v>0</v>
      </c>
      <c r="E33" s="424" t="s">
        <v>113</v>
      </c>
      <c r="F33" s="425"/>
      <c r="G33" s="356">
        <f>'Valuation output'!B22</f>
        <v>0</v>
      </c>
      <c r="H33" s="408"/>
      <c r="I33" s="423"/>
      <c r="J33" s="423"/>
      <c r="K33" s="423"/>
    </row>
    <row r="34" spans="1:11">
      <c r="A34" s="374" t="s">
        <v>695</v>
      </c>
      <c r="B34" s="375"/>
      <c r="C34" s="376"/>
      <c r="D34" s="332">
        <f>'Valuation output'!B25+'Valuation output'!B26</f>
        <v>14813.485888446912</v>
      </c>
      <c r="E34" s="333"/>
      <c r="F34" s="334"/>
      <c r="G34" s="335"/>
      <c r="H34" s="422"/>
      <c r="I34" s="423"/>
      <c r="J34" s="423"/>
      <c r="K34" s="423"/>
    </row>
    <row r="35" spans="1:11">
      <c r="A35" s="374" t="s">
        <v>696</v>
      </c>
      <c r="B35" s="375"/>
      <c r="C35" s="376"/>
      <c r="D35" s="332">
        <f>'Valuation output'!B27+'Valuation output'!B28</f>
        <v>3862</v>
      </c>
      <c r="E35" s="333"/>
      <c r="F35" s="334"/>
      <c r="G35" s="335"/>
      <c r="H35" s="422"/>
      <c r="I35" s="423"/>
      <c r="J35" s="423"/>
      <c r="K35" s="423"/>
    </row>
    <row r="36" spans="1:11">
      <c r="A36" s="374" t="s">
        <v>55</v>
      </c>
      <c r="B36" s="375"/>
      <c r="C36" s="376"/>
      <c r="D36" s="332">
        <f>D32-D33-D34+D35</f>
        <v>10548.417573937606</v>
      </c>
      <c r="E36" s="333"/>
      <c r="F36" s="334"/>
      <c r="G36" s="335"/>
      <c r="H36" s="422"/>
      <c r="I36" s="423"/>
      <c r="J36" s="423"/>
      <c r="K36" s="423"/>
    </row>
    <row r="37" spans="1:11">
      <c r="A37" s="374" t="s">
        <v>697</v>
      </c>
      <c r="B37" s="375"/>
      <c r="C37" s="376"/>
      <c r="D37" s="332">
        <f>'Valuation output'!B30</f>
        <v>0</v>
      </c>
      <c r="E37" s="333"/>
      <c r="F37" s="334"/>
      <c r="G37" s="335"/>
      <c r="H37" s="422"/>
      <c r="I37" s="423"/>
      <c r="J37" s="423"/>
      <c r="K37" s="423"/>
    </row>
    <row r="38" spans="1:11" ht="16.5" thickBot="1">
      <c r="A38" s="433" t="s">
        <v>691</v>
      </c>
      <c r="B38" s="434"/>
      <c r="C38" s="434"/>
      <c r="D38" s="340">
        <f>'Valuation output'!B32</f>
        <v>549.5</v>
      </c>
      <c r="E38" s="334"/>
      <c r="F38" s="337"/>
      <c r="G38" s="335"/>
      <c r="H38" s="422"/>
      <c r="I38" s="423"/>
      <c r="J38" s="423"/>
      <c r="K38" s="423"/>
    </row>
    <row r="39" spans="1:11" ht="16.5" thickBot="1">
      <c r="A39" s="428" t="s">
        <v>667</v>
      </c>
      <c r="B39" s="429"/>
      <c r="C39" s="429"/>
      <c r="D39" s="308">
        <f>(D36-D37)/D38</f>
        <v>19.196392309258609</v>
      </c>
      <c r="E39" s="426" t="s">
        <v>698</v>
      </c>
      <c r="F39" s="427"/>
      <c r="G39" s="352">
        <f>'Input sheet'!B19</f>
        <v>15.31</v>
      </c>
      <c r="H39" s="422"/>
      <c r="I39" s="423"/>
      <c r="J39" s="423"/>
      <c r="K39" s="423"/>
    </row>
  </sheetData>
  <mergeCells count="23">
    <mergeCell ref="A39:C39"/>
    <mergeCell ref="A29:C29"/>
    <mergeCell ref="A38:C38"/>
    <mergeCell ref="A31:C31"/>
    <mergeCell ref="A34:C34"/>
    <mergeCell ref="A33:C33"/>
    <mergeCell ref="A32:C32"/>
    <mergeCell ref="A37:C37"/>
    <mergeCell ref="A35:C35"/>
    <mergeCell ref="H3:K6"/>
    <mergeCell ref="H9:K14"/>
    <mergeCell ref="H16:K27"/>
    <mergeCell ref="H29:K39"/>
    <mergeCell ref="E33:F33"/>
    <mergeCell ref="E39:F39"/>
    <mergeCell ref="A36:C36"/>
    <mergeCell ref="A1:G1"/>
    <mergeCell ref="A2:G2"/>
    <mergeCell ref="A7:G7"/>
    <mergeCell ref="A15:G15"/>
    <mergeCell ref="A28:G28"/>
    <mergeCell ref="A3:G6"/>
    <mergeCell ref="A30:C30"/>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sqref="A1:G15"/>
    </sheetView>
  </sheetViews>
  <sheetFormatPr baseColWidth="10" defaultRowHeight="12"/>
  <cols>
    <col min="2" max="2" width="11.85546875" bestFit="1" customWidth="1"/>
  </cols>
  <sheetData>
    <row r="1" spans="1:8">
      <c r="C1" s="436" t="s">
        <v>716</v>
      </c>
      <c r="D1" s="437"/>
      <c r="E1" s="437"/>
      <c r="F1" s="437"/>
      <c r="G1" s="438"/>
    </row>
    <row r="2" spans="1:8">
      <c r="C2" s="358">
        <v>60</v>
      </c>
      <c r="D2" s="358">
        <v>70</v>
      </c>
      <c r="E2" s="358">
        <v>80</v>
      </c>
      <c r="F2" s="358">
        <v>90</v>
      </c>
      <c r="G2" s="358">
        <v>100</v>
      </c>
      <c r="H2" s="362">
        <v>150</v>
      </c>
    </row>
    <row r="3" spans="1:8">
      <c r="A3" s="435" t="s">
        <v>102</v>
      </c>
      <c r="B3" s="1" t="s">
        <v>713</v>
      </c>
      <c r="C3" s="361">
        <v>-60.34</v>
      </c>
      <c r="D3" s="361">
        <v>-63.3</v>
      </c>
      <c r="E3" s="361">
        <v>-66.290000000000006</v>
      </c>
      <c r="F3" s="361">
        <v>-68.739999999999995</v>
      </c>
      <c r="G3" s="361">
        <v>-71.16</v>
      </c>
    </row>
    <row r="4" spans="1:8">
      <c r="A4" s="435"/>
      <c r="B4" s="1" t="s">
        <v>714</v>
      </c>
      <c r="C4" s="361">
        <v>-12.34</v>
      </c>
      <c r="D4" s="361">
        <v>-7.28</v>
      </c>
      <c r="E4" s="361">
        <v>-1.5</v>
      </c>
      <c r="F4" s="361">
        <v>3.78</v>
      </c>
      <c r="G4" s="361">
        <v>9.4700000000000006</v>
      </c>
    </row>
    <row r="5" spans="1:8">
      <c r="A5" s="435"/>
      <c r="B5" s="1" t="s">
        <v>715</v>
      </c>
      <c r="C5" s="361">
        <v>30.81</v>
      </c>
      <c r="D5" s="361">
        <v>43.08</v>
      </c>
      <c r="E5" s="361">
        <v>56.75</v>
      </c>
      <c r="F5" s="361">
        <v>68.989999999999995</v>
      </c>
      <c r="G5" s="361">
        <v>81.97</v>
      </c>
    </row>
    <row r="6" spans="1:8">
      <c r="C6" s="436" t="s">
        <v>717</v>
      </c>
      <c r="D6" s="437"/>
      <c r="E6" s="437"/>
      <c r="F6" s="437"/>
      <c r="G6" s="438"/>
    </row>
    <row r="7" spans="1:8">
      <c r="C7" s="358">
        <v>60</v>
      </c>
      <c r="D7" s="358">
        <v>70</v>
      </c>
      <c r="E7" s="358">
        <v>80</v>
      </c>
      <c r="F7" s="358">
        <v>90</v>
      </c>
      <c r="G7" s="358">
        <v>100</v>
      </c>
      <c r="H7" s="362">
        <v>150</v>
      </c>
    </row>
    <row r="8" spans="1:8">
      <c r="A8" s="435" t="s">
        <v>102</v>
      </c>
      <c r="B8" s="1" t="s">
        <v>713</v>
      </c>
      <c r="C8" s="359">
        <v>11.25</v>
      </c>
      <c r="D8" s="359">
        <v>19.510000000000002</v>
      </c>
      <c r="E8" s="359">
        <v>28.81</v>
      </c>
      <c r="F8" s="359">
        <v>37.22</v>
      </c>
      <c r="G8" s="363">
        <v>46.22</v>
      </c>
    </row>
    <row r="9" spans="1:8">
      <c r="A9" s="435"/>
      <c r="B9" s="1" t="s">
        <v>714</v>
      </c>
      <c r="C9" s="359">
        <v>59.25</v>
      </c>
      <c r="D9" s="359">
        <v>75.53</v>
      </c>
      <c r="E9" s="359">
        <v>93.6</v>
      </c>
      <c r="F9" s="359">
        <v>109.75</v>
      </c>
      <c r="G9" s="359">
        <v>126.85</v>
      </c>
    </row>
    <row r="10" spans="1:8">
      <c r="A10" s="435"/>
      <c r="B10" s="1" t="s">
        <v>715</v>
      </c>
      <c r="C10" s="359">
        <v>102.4</v>
      </c>
      <c r="D10" s="359">
        <v>125.89</v>
      </c>
      <c r="E10" s="360">
        <v>151.85</v>
      </c>
      <c r="F10" s="359">
        <v>174.96</v>
      </c>
      <c r="G10" s="359">
        <v>199.35</v>
      </c>
    </row>
    <row r="11" spans="1:8">
      <c r="C11" s="436" t="s">
        <v>718</v>
      </c>
      <c r="D11" s="437"/>
      <c r="E11" s="437"/>
      <c r="F11" s="437"/>
      <c r="G11" s="438"/>
    </row>
    <row r="12" spans="1:8">
      <c r="C12" s="358">
        <v>60</v>
      </c>
      <c r="D12" s="358">
        <v>70</v>
      </c>
      <c r="E12" s="358">
        <v>80</v>
      </c>
      <c r="F12" s="358">
        <v>90</v>
      </c>
      <c r="G12" s="358">
        <v>100</v>
      </c>
      <c r="H12" s="362">
        <v>150</v>
      </c>
    </row>
    <row r="13" spans="1:8">
      <c r="A13" s="435" t="s">
        <v>102</v>
      </c>
      <c r="B13" s="1" t="s">
        <v>713</v>
      </c>
      <c r="C13" s="359">
        <v>82.66</v>
      </c>
      <c r="D13" s="359">
        <v>102.11</v>
      </c>
      <c r="E13" s="359">
        <v>123.68</v>
      </c>
      <c r="F13" s="359">
        <v>142.94999999999999</v>
      </c>
      <c r="G13" s="359">
        <v>163.33000000000001</v>
      </c>
    </row>
    <row r="14" spans="1:8">
      <c r="A14" s="435"/>
      <c r="B14" s="1" t="s">
        <v>714</v>
      </c>
      <c r="C14" s="359">
        <v>130.65</v>
      </c>
      <c r="D14" s="359">
        <v>158.13</v>
      </c>
      <c r="E14" s="359">
        <v>188.47</v>
      </c>
      <c r="F14" s="359">
        <v>215.48</v>
      </c>
      <c r="G14" s="364">
        <v>243.97</v>
      </c>
    </row>
    <row r="15" spans="1:8">
      <c r="A15" s="435"/>
      <c r="B15" s="1" t="s">
        <v>715</v>
      </c>
      <c r="C15" s="359">
        <v>173.8</v>
      </c>
      <c r="D15" s="359">
        <v>208.49</v>
      </c>
      <c r="E15" s="365">
        <v>246.72</v>
      </c>
      <c r="F15" s="364">
        <v>280.68</v>
      </c>
      <c r="G15" s="364">
        <v>316.45999999999998</v>
      </c>
    </row>
  </sheetData>
  <mergeCells count="6">
    <mergeCell ref="A13:A15"/>
    <mergeCell ref="C1:G1"/>
    <mergeCell ref="A3:A5"/>
    <mergeCell ref="C6:G6"/>
    <mergeCell ref="A8:A10"/>
    <mergeCell ref="C11:G11"/>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C15" sqref="C15"/>
    </sheetView>
  </sheetViews>
  <sheetFormatPr baseColWidth="10" defaultRowHeight="12"/>
  <sheetData>
    <row r="1" spans="1:7" s="7" customFormat="1" ht="18.75">
      <c r="A1" s="6" t="s">
        <v>63</v>
      </c>
      <c r="B1" s="6"/>
    </row>
    <row r="2" spans="1:7" ht="12.75">
      <c r="A2" s="8" t="s">
        <v>64</v>
      </c>
      <c r="B2" s="8"/>
      <c r="D2" s="28">
        <f>'Input sheet'!B19</f>
        <v>15.31</v>
      </c>
    </row>
    <row r="3" spans="1:7" ht="12.75">
      <c r="A3" s="8" t="s">
        <v>65</v>
      </c>
      <c r="B3" s="8"/>
      <c r="D3" s="9">
        <f>'Input sheet'!B32</f>
        <v>46.13</v>
      </c>
    </row>
    <row r="4" spans="1:7" ht="12.75">
      <c r="A4" s="8" t="s">
        <v>66</v>
      </c>
      <c r="B4" s="8"/>
      <c r="D4" s="12">
        <f>'Input sheet'!B33</f>
        <v>4.55</v>
      </c>
    </row>
    <row r="5" spans="1:7" ht="12.75">
      <c r="A5" s="8" t="s">
        <v>67</v>
      </c>
      <c r="B5" s="8"/>
      <c r="D5" s="10">
        <f>'Input sheet'!B34</f>
        <v>0.3</v>
      </c>
      <c r="E5" s="8" t="s">
        <v>68</v>
      </c>
    </row>
    <row r="6" spans="1:7" ht="12.75">
      <c r="A6" s="8" t="s">
        <v>69</v>
      </c>
      <c r="B6" s="8"/>
      <c r="D6" s="11">
        <v>0</v>
      </c>
    </row>
    <row r="7" spans="1:7" ht="12.75">
      <c r="A7" s="8" t="s">
        <v>70</v>
      </c>
      <c r="B7" s="8"/>
      <c r="D7" s="11">
        <f>'Input sheet'!B27</f>
        <v>2.5999999999999999E-3</v>
      </c>
    </row>
    <row r="8" spans="1:7" ht="12.75">
      <c r="A8" s="8" t="s">
        <v>71</v>
      </c>
      <c r="B8" s="8"/>
      <c r="D8" s="12">
        <f>'Input sheet'!B31</f>
        <v>20.02</v>
      </c>
    </row>
    <row r="9" spans="1:7" ht="12.75">
      <c r="A9" s="8" t="s">
        <v>72</v>
      </c>
      <c r="B9" s="8"/>
      <c r="D9" s="13">
        <f>'Input sheet'!B18</f>
        <v>549.5</v>
      </c>
    </row>
    <row r="10" spans="1:7" ht="12.75">
      <c r="A10" s="8"/>
      <c r="B10" s="8"/>
    </row>
    <row r="11" spans="1:7" s="16" customFormat="1" ht="13.5">
      <c r="A11" s="14" t="s">
        <v>73</v>
      </c>
      <c r="B11" s="15"/>
    </row>
    <row r="12" spans="1:7" s="8" customFormat="1" ht="12.75">
      <c r="A12" s="17" t="s">
        <v>74</v>
      </c>
    </row>
    <row r="13" spans="1:7" s="8" customFormat="1" ht="12.75">
      <c r="A13" s="8" t="s">
        <v>75</v>
      </c>
      <c r="C13" s="18">
        <f>D2</f>
        <v>15.31</v>
      </c>
      <c r="D13" s="8" t="s">
        <v>76</v>
      </c>
      <c r="F13" s="19">
        <f>D8</f>
        <v>20.02</v>
      </c>
      <c r="G13" s="20"/>
    </row>
    <row r="14" spans="1:7" s="8" customFormat="1" ht="12.75">
      <c r="A14" s="8" t="s">
        <v>77</v>
      </c>
      <c r="C14" s="18">
        <f>D3</f>
        <v>46.13</v>
      </c>
      <c r="D14" s="8" t="s">
        <v>78</v>
      </c>
      <c r="F14" s="21">
        <f>D9</f>
        <v>549.5</v>
      </c>
      <c r="G14" s="20"/>
    </row>
    <row r="15" spans="1:7" s="8" customFormat="1" ht="12.75">
      <c r="A15" s="8" t="s">
        <v>79</v>
      </c>
      <c r="C15" s="18" t="e">
        <f ca="1">(C13*F14+C26*F13)/(F14+F13)</f>
        <v>#NUM!</v>
      </c>
      <c r="D15" s="8" t="s">
        <v>80</v>
      </c>
      <c r="F15" s="22">
        <f>D7</f>
        <v>2.5999999999999999E-3</v>
      </c>
    </row>
    <row r="16" spans="1:7" s="8" customFormat="1" ht="12.75">
      <c r="A16" s="8" t="s">
        <v>81</v>
      </c>
      <c r="C16" s="18">
        <f>C14</f>
        <v>46.13</v>
      </c>
      <c r="D16" s="8" t="s">
        <v>82</v>
      </c>
      <c r="F16" s="23">
        <f>D5^2</f>
        <v>0.09</v>
      </c>
    </row>
    <row r="17" spans="1:7" s="8" customFormat="1" ht="12.75">
      <c r="A17" s="8" t="s">
        <v>83</v>
      </c>
      <c r="C17" s="18">
        <f>D4</f>
        <v>4.55</v>
      </c>
      <c r="D17" s="8" t="s">
        <v>84</v>
      </c>
      <c r="F17" s="22">
        <f>D6</f>
        <v>0</v>
      </c>
    </row>
    <row r="18" spans="1:7" s="8" customFormat="1" ht="12.75">
      <c r="C18" s="17"/>
      <c r="D18" s="8" t="s">
        <v>85</v>
      </c>
      <c r="F18" s="24">
        <f>F15-F17</f>
        <v>2.5999999999999999E-3</v>
      </c>
    </row>
    <row r="19" spans="1:7" s="8" customFormat="1" ht="12.75"/>
    <row r="20" spans="1:7" s="8" customFormat="1" ht="12.75">
      <c r="A20" s="8" t="s">
        <v>86</v>
      </c>
      <c r="B20" s="19" t="e">
        <f ca="1">(LN(C15/C16)+(F18+(F16/2))*C17)/(((F16)^(0.5))*(C17^0.5))</f>
        <v>#NUM!</v>
      </c>
    </row>
    <row r="21" spans="1:7" s="8" customFormat="1" ht="12.75">
      <c r="A21" s="8" t="s">
        <v>87</v>
      </c>
      <c r="B21" s="19" t="e">
        <f ca="1">NORMSDIST(B20)</f>
        <v>#NUM!</v>
      </c>
    </row>
    <row r="22" spans="1:7" s="8" customFormat="1" ht="12.75"/>
    <row r="23" spans="1:7" s="8" customFormat="1" ht="15.75" customHeight="1">
      <c r="A23" s="8" t="s">
        <v>88</v>
      </c>
      <c r="B23" s="19" t="e">
        <f ca="1">B20-((F16^0.5)*(C17^(0.5)))</f>
        <v>#NUM!</v>
      </c>
    </row>
    <row r="24" spans="1:7" s="8" customFormat="1" ht="12.75">
      <c r="A24" s="8" t="s">
        <v>89</v>
      </c>
      <c r="B24" s="19" t="e">
        <f ca="1">NORMSDIST(B23)</f>
        <v>#NUM!</v>
      </c>
    </row>
    <row r="25" spans="1:7" ht="13.5" thickBot="1">
      <c r="A25" s="8"/>
      <c r="B25" s="8"/>
    </row>
    <row r="26" spans="1:7" s="8" customFormat="1" ht="13.5" thickBot="1">
      <c r="A26" s="8" t="s">
        <v>90</v>
      </c>
      <c r="C26" s="25" t="e">
        <f ca="1">((EXP((0-F17)*C17))*C15*B21-C16*(EXP((0-F15)*C17))*B24)</f>
        <v>#NUM!</v>
      </c>
      <c r="G26" s="26"/>
    </row>
    <row r="27" spans="1:7" s="8" customFormat="1" ht="13.5" thickBot="1">
      <c r="A27" s="8" t="s">
        <v>91</v>
      </c>
      <c r="D27" s="27" t="e">
        <f ca="1">C26*D8</f>
        <v>#NUM!</v>
      </c>
    </row>
  </sheetData>
  <pageMargins left="0.7" right="0.7" top="0.75" bottom="0.75"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125" zoomScaleNormal="125" zoomScalePageLayoutView="125" workbookViewId="0">
      <selection activeCell="B10" sqref="B10:C10"/>
    </sheetView>
  </sheetViews>
  <sheetFormatPr baseColWidth="10" defaultColWidth="10.85546875" defaultRowHeight="15"/>
  <cols>
    <col min="1" max="1" width="61.7109375" style="5" customWidth="1"/>
    <col min="2" max="2" width="43.85546875" style="5" customWidth="1"/>
    <col min="3" max="3" width="68" style="5" bestFit="1" customWidth="1"/>
    <col min="4" max="16384" width="10.85546875" style="5"/>
  </cols>
  <sheetData>
    <row r="1" spans="1:4" s="144" customFormat="1" ht="12.75">
      <c r="A1" s="146" t="s">
        <v>98</v>
      </c>
      <c r="B1" s="147"/>
    </row>
    <row r="2" spans="1:4" s="144" customFormat="1" ht="12.75">
      <c r="A2" s="147" t="s">
        <v>7</v>
      </c>
      <c r="B2" s="148">
        <f>'Valuation output'!B39</f>
        <v>19426.185888446915</v>
      </c>
    </row>
    <row r="3" spans="1:4" s="144" customFormat="1" ht="12.75">
      <c r="A3" s="147" t="s">
        <v>8</v>
      </c>
      <c r="B3" s="148">
        <f>'Valuation output'!L39</f>
        <v>23773.046822436769</v>
      </c>
    </row>
    <row r="4" spans="1:4" s="144" customFormat="1" ht="12.75">
      <c r="A4" s="147" t="s">
        <v>9</v>
      </c>
      <c r="B4" s="148">
        <f>B3-B2</f>
        <v>4346.8609339898539</v>
      </c>
    </row>
    <row r="5" spans="1:4" s="144" customFormat="1" ht="12.75">
      <c r="A5" s="147" t="s">
        <v>10</v>
      </c>
      <c r="B5" s="148">
        <f>'Valuation output'!L5-'Valuation output'!B5</f>
        <v>1132.5970961729147</v>
      </c>
    </row>
    <row r="6" spans="1:4" s="144" customFormat="1" ht="12.75">
      <c r="A6" s="147" t="s">
        <v>4</v>
      </c>
      <c r="B6" s="149">
        <f>B5/B4</f>
        <v>0.26055517150702534</v>
      </c>
    </row>
    <row r="7" spans="1:4" s="144" customFormat="1" ht="12.75">
      <c r="A7" s="147" t="s">
        <v>5</v>
      </c>
      <c r="B7" s="149">
        <f>'Valuation output'!L40</f>
        <v>7.434789488616568E-2</v>
      </c>
    </row>
    <row r="8" spans="1:4" s="144" customFormat="1" ht="12.75">
      <c r="A8" s="147" t="s">
        <v>241</v>
      </c>
      <c r="B8" s="149">
        <f>(1/'Valuation output'!L13)^(1/10)-1</f>
        <v>7.1685325529670108E-2</v>
      </c>
    </row>
    <row r="9" spans="1:4" s="144" customFormat="1" ht="13.5" thickBot="1">
      <c r="A9" s="150" t="s">
        <v>29</v>
      </c>
      <c r="B9" s="151">
        <f>'Valuation output'!B33/'Valuation output'!B34</f>
        <v>1.2538466563852781</v>
      </c>
    </row>
    <row r="10" spans="1:4" s="144" customFormat="1" ht="13.5" thickBot="1">
      <c r="A10" s="152"/>
      <c r="B10" s="439" t="str">
        <f>IF(B9="NA","Value is negative. See below",IF(B9&gt;2,"Value seems high. See below",IF(B9&lt;0.5,"Value seems low. See below"," ")))</f>
        <v xml:space="preserve"> </v>
      </c>
      <c r="C10" s="440"/>
    </row>
    <row r="11" spans="1:4" s="8" customFormat="1" ht="13.5">
      <c r="A11" s="211" t="s">
        <v>6</v>
      </c>
      <c r="B11" s="212" t="s">
        <v>0</v>
      </c>
      <c r="C11" s="213" t="s">
        <v>1</v>
      </c>
    </row>
    <row r="12" spans="1:4" s="8" customFormat="1" ht="12.75">
      <c r="A12" s="222" t="s">
        <v>155</v>
      </c>
      <c r="B12" s="214" t="s">
        <v>2</v>
      </c>
      <c r="C12" s="215" t="s">
        <v>3</v>
      </c>
    </row>
    <row r="13" spans="1:4" s="8" customFormat="1" ht="12.75">
      <c r="A13" s="222" t="s">
        <v>156</v>
      </c>
      <c r="B13" s="216" t="s">
        <v>153</v>
      </c>
      <c r="C13" s="217" t="s">
        <v>154</v>
      </c>
      <c r="D13" s="8" t="s">
        <v>160</v>
      </c>
    </row>
    <row r="14" spans="1:4" s="8" customFormat="1" ht="12.75">
      <c r="A14" s="223" t="s">
        <v>157</v>
      </c>
      <c r="B14" s="218" t="s">
        <v>151</v>
      </c>
      <c r="C14" s="219" t="s">
        <v>152</v>
      </c>
      <c r="D14" s="8" t="s">
        <v>160</v>
      </c>
    </row>
    <row r="15" spans="1:4" s="8" customFormat="1" ht="13.5" thickBot="1">
      <c r="A15" s="224" t="s">
        <v>162</v>
      </c>
      <c r="B15" s="220" t="s">
        <v>158</v>
      </c>
      <c r="C15" s="221" t="s">
        <v>159</v>
      </c>
      <c r="D15" s="8" t="s">
        <v>161</v>
      </c>
    </row>
    <row r="16" spans="1:4">
      <c r="B16" s="77"/>
    </row>
  </sheetData>
  <mergeCells count="1">
    <mergeCell ref="B10:C10"/>
  </mergeCells>
  <phoneticPr fontId="6" type="noConversion"/>
  <pageMargins left="0.7" right="0.7" top="0.75" bottom="0.75"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workbookViewId="0">
      <selection activeCell="B14" sqref="B14"/>
    </sheetView>
  </sheetViews>
  <sheetFormatPr baseColWidth="10" defaultRowHeight="12"/>
  <sheetData>
    <row r="1" spans="1:10" s="6" customFormat="1" ht="18.75">
      <c r="A1" s="29" t="s">
        <v>412</v>
      </c>
      <c r="B1" s="29"/>
      <c r="C1" s="29"/>
      <c r="D1" s="29"/>
      <c r="E1" s="29"/>
      <c r="F1" s="29"/>
      <c r="G1" s="29"/>
      <c r="H1" s="29"/>
      <c r="I1" s="29"/>
      <c r="J1" s="29"/>
    </row>
    <row r="2" spans="1:10" s="8" customFormat="1" ht="12.75">
      <c r="A2" s="8" t="s">
        <v>413</v>
      </c>
    </row>
    <row r="3" spans="1:10" s="8" customFormat="1" ht="12.75">
      <c r="A3" s="8" t="s">
        <v>414</v>
      </c>
    </row>
    <row r="4" spans="1:10" s="8" customFormat="1" ht="12.75"/>
    <row r="5" spans="1:10" s="8" customFormat="1" ht="12.75">
      <c r="A5" s="17" t="s">
        <v>6</v>
      </c>
    </row>
    <row r="6" spans="1:10" s="8" customFormat="1" ht="12.75">
      <c r="A6" s="8" t="s">
        <v>415</v>
      </c>
      <c r="F6" s="130">
        <v>2</v>
      </c>
      <c r="G6" s="8" t="s">
        <v>416</v>
      </c>
    </row>
    <row r="7" spans="1:10" s="8" customFormat="1" ht="12.75">
      <c r="A7" s="8" t="s">
        <v>417</v>
      </c>
      <c r="F7" s="33">
        <v>70.7</v>
      </c>
      <c r="G7" s="8" t="s">
        <v>418</v>
      </c>
    </row>
    <row r="8" spans="1:10" s="8" customFormat="1" ht="12.75">
      <c r="A8" s="8" t="s">
        <v>419</v>
      </c>
    </row>
    <row r="9" spans="1:10" s="8" customFormat="1" ht="12.75">
      <c r="A9" s="8" t="s">
        <v>420</v>
      </c>
    </row>
    <row r="10" spans="1:10" s="186" customFormat="1" ht="12.75">
      <c r="A10" s="184" t="s">
        <v>121</v>
      </c>
      <c r="B10" s="184" t="s">
        <v>421</v>
      </c>
      <c r="C10" s="185"/>
      <c r="D10" s="185"/>
      <c r="E10" s="185"/>
      <c r="F10" s="185"/>
      <c r="G10" s="185"/>
      <c r="H10" s="185"/>
      <c r="I10" s="185"/>
    </row>
    <row r="11" spans="1:10" s="186" customFormat="1" ht="12.75">
      <c r="A11" s="187">
        <v>-1</v>
      </c>
      <c r="B11" s="188">
        <v>78</v>
      </c>
      <c r="C11" s="185" t="s">
        <v>422</v>
      </c>
      <c r="D11" s="185"/>
      <c r="E11" s="185"/>
      <c r="F11" s="185"/>
      <c r="G11" s="185"/>
      <c r="H11" s="185"/>
      <c r="I11" s="185"/>
    </row>
    <row r="12" spans="1:10" s="186" customFormat="1" ht="12.75">
      <c r="A12" s="187">
        <f>IF((0-A11)&lt;$F$6,IF(A11&gt;-1,,A11-1),)</f>
        <v>-2</v>
      </c>
      <c r="B12" s="188">
        <v>75</v>
      </c>
      <c r="C12" s="185" t="s">
        <v>423</v>
      </c>
      <c r="D12" s="185"/>
      <c r="E12" s="185"/>
      <c r="F12" s="185"/>
      <c r="G12" s="185"/>
      <c r="H12" s="185"/>
      <c r="I12" s="185"/>
    </row>
    <row r="13" spans="1:10" s="186" customFormat="1" ht="12.75">
      <c r="A13" s="187">
        <f t="shared" ref="A13:A20" si="0">IF((0-A12)&lt;$F$6,IF(A12&gt;-1,,A12-1),)</f>
        <v>0</v>
      </c>
      <c r="B13" s="188"/>
      <c r="C13" s="185"/>
      <c r="D13" s="185"/>
      <c r="E13" s="185"/>
      <c r="F13" s="185"/>
      <c r="G13" s="185"/>
      <c r="H13" s="185"/>
      <c r="I13" s="185"/>
    </row>
    <row r="14" spans="1:10" s="186" customFormat="1" ht="12.75">
      <c r="A14" s="187">
        <f t="shared" si="0"/>
        <v>0</v>
      </c>
      <c r="B14" s="188"/>
      <c r="C14" s="185"/>
      <c r="D14" s="185"/>
      <c r="E14" s="185"/>
      <c r="F14" s="185"/>
      <c r="G14" s="185"/>
      <c r="H14" s="185"/>
      <c r="I14" s="185"/>
    </row>
    <row r="15" spans="1:10" s="186" customFormat="1" ht="12.75">
      <c r="A15" s="187">
        <f t="shared" si="0"/>
        <v>0</v>
      </c>
      <c r="B15" s="188"/>
      <c r="C15" s="185"/>
      <c r="D15" s="185"/>
      <c r="E15" s="185"/>
      <c r="F15" s="185"/>
      <c r="G15" s="185"/>
      <c r="H15" s="185"/>
      <c r="I15" s="185"/>
    </row>
    <row r="16" spans="1:10" s="186" customFormat="1" ht="12.75">
      <c r="A16" s="187">
        <f t="shared" si="0"/>
        <v>0</v>
      </c>
      <c r="B16" s="188"/>
      <c r="C16" s="185"/>
      <c r="D16" s="185"/>
      <c r="E16" s="185"/>
      <c r="F16" s="185"/>
      <c r="G16" s="185"/>
      <c r="H16" s="185"/>
      <c r="I16" s="185"/>
    </row>
    <row r="17" spans="1:9" s="186" customFormat="1" ht="12.75">
      <c r="A17" s="187">
        <f t="shared" si="0"/>
        <v>0</v>
      </c>
      <c r="B17" s="188"/>
      <c r="C17" s="185"/>
      <c r="D17" s="185"/>
      <c r="E17" s="185"/>
      <c r="F17" s="185"/>
      <c r="G17" s="185"/>
      <c r="H17" s="185"/>
      <c r="I17" s="185"/>
    </row>
    <row r="18" spans="1:9" s="186" customFormat="1" ht="12.75">
      <c r="A18" s="187">
        <f t="shared" si="0"/>
        <v>0</v>
      </c>
      <c r="B18" s="188"/>
      <c r="C18" s="185"/>
      <c r="D18" s="185"/>
      <c r="E18" s="185"/>
      <c r="F18" s="185"/>
      <c r="G18" s="185"/>
      <c r="H18" s="185"/>
      <c r="I18" s="185"/>
    </row>
    <row r="19" spans="1:9" s="186" customFormat="1" ht="12.75">
      <c r="A19" s="187">
        <f t="shared" si="0"/>
        <v>0</v>
      </c>
      <c r="B19" s="188"/>
      <c r="C19" s="185"/>
      <c r="D19" s="185"/>
      <c r="E19" s="185"/>
      <c r="F19" s="185"/>
      <c r="G19" s="185"/>
      <c r="H19" s="185"/>
      <c r="I19" s="185"/>
    </row>
    <row r="20" spans="1:9" s="186" customFormat="1" ht="12.75">
      <c r="A20" s="187">
        <f t="shared" si="0"/>
        <v>0</v>
      </c>
      <c r="B20" s="188"/>
      <c r="C20" s="185"/>
      <c r="D20" s="185"/>
      <c r="E20" s="185"/>
      <c r="F20" s="185"/>
      <c r="G20" s="185"/>
      <c r="H20" s="185"/>
      <c r="I20" s="185"/>
    </row>
    <row r="21" spans="1:9" s="186" customFormat="1" ht="12.75">
      <c r="A21" s="185"/>
      <c r="B21" s="185"/>
      <c r="C21" s="185"/>
      <c r="D21" s="185"/>
      <c r="E21" s="185"/>
      <c r="F21" s="185"/>
      <c r="G21" s="185"/>
      <c r="H21" s="185"/>
      <c r="I21" s="185"/>
    </row>
    <row r="22" spans="1:9" s="186" customFormat="1" ht="12.75">
      <c r="A22" s="189" t="s">
        <v>125</v>
      </c>
      <c r="B22" s="185"/>
      <c r="C22" s="185"/>
      <c r="D22" s="185"/>
      <c r="E22" s="185"/>
      <c r="F22" s="185"/>
      <c r="G22" s="185"/>
      <c r="H22" s="185"/>
      <c r="I22" s="185"/>
    </row>
    <row r="23" spans="1:9" s="186" customFormat="1" ht="12.75">
      <c r="A23" s="184" t="s">
        <v>121</v>
      </c>
      <c r="B23" s="184" t="s">
        <v>424</v>
      </c>
      <c r="C23" s="190" t="s">
        <v>425</v>
      </c>
      <c r="D23" s="191"/>
      <c r="E23" s="185" t="s">
        <v>426</v>
      </c>
      <c r="F23" s="185"/>
      <c r="G23" s="185"/>
      <c r="H23" s="185"/>
      <c r="I23" s="185"/>
    </row>
    <row r="24" spans="1:9" s="186" customFormat="1" ht="12.75">
      <c r="A24" s="184" t="s">
        <v>427</v>
      </c>
      <c r="B24" s="184">
        <f>F7</f>
        <v>70.7</v>
      </c>
      <c r="C24" s="184">
        <f>1</f>
        <v>1</v>
      </c>
      <c r="D24" s="184">
        <f>B24*C24</f>
        <v>70.7</v>
      </c>
      <c r="E24" s="185"/>
      <c r="F24" s="185"/>
      <c r="G24" s="185"/>
      <c r="H24" s="185"/>
      <c r="I24" s="185"/>
    </row>
    <row r="25" spans="1:9" s="186" customFormat="1" ht="12.75">
      <c r="A25" s="187">
        <f>A11</f>
        <v>-1</v>
      </c>
      <c r="B25" s="184">
        <f>B11</f>
        <v>78</v>
      </c>
      <c r="C25" s="184">
        <f>IF(A25&lt;0,($F$6+A25)/$F$6,0)</f>
        <v>0.5</v>
      </c>
      <c r="D25" s="184">
        <f>B25*C25</f>
        <v>39</v>
      </c>
      <c r="E25" s="192">
        <f t="shared" ref="E25:E34" si="1">IF(A25&lt;0,B25/$F$6,0)</f>
        <v>39</v>
      </c>
      <c r="F25" s="185"/>
      <c r="G25" s="185"/>
      <c r="H25" s="185"/>
      <c r="I25" s="185"/>
    </row>
    <row r="26" spans="1:9" s="186" customFormat="1" ht="12.75">
      <c r="A26" s="187">
        <f t="shared" ref="A26:B34" si="2">A12</f>
        <v>-2</v>
      </c>
      <c r="B26" s="184">
        <f t="shared" si="2"/>
        <v>75</v>
      </c>
      <c r="C26" s="184">
        <f>IF(A26&lt;0,($F$6+A26)/$F$6,0)</f>
        <v>0</v>
      </c>
      <c r="D26" s="184">
        <f t="shared" ref="D26:D34" si="3">B26*C26</f>
        <v>0</v>
      </c>
      <c r="E26" s="192">
        <f t="shared" si="1"/>
        <v>37.5</v>
      </c>
      <c r="F26" s="185"/>
      <c r="G26" s="185"/>
      <c r="H26" s="185"/>
      <c r="I26" s="185"/>
    </row>
    <row r="27" spans="1:9" s="186" customFormat="1" ht="12.75">
      <c r="A27" s="187">
        <f t="shared" si="2"/>
        <v>0</v>
      </c>
      <c r="B27" s="184">
        <f t="shared" si="2"/>
        <v>0</v>
      </c>
      <c r="C27" s="184">
        <f>IF(A27&lt;0,($F$6+A27)/$F$6,0)</f>
        <v>0</v>
      </c>
      <c r="D27" s="184">
        <f t="shared" si="3"/>
        <v>0</v>
      </c>
      <c r="E27" s="192">
        <f t="shared" si="1"/>
        <v>0</v>
      </c>
      <c r="F27" s="185"/>
      <c r="G27" s="185"/>
      <c r="H27" s="185"/>
      <c r="I27" s="185"/>
    </row>
    <row r="28" spans="1:9" s="186" customFormat="1" ht="12.75">
      <c r="A28" s="187">
        <f t="shared" si="2"/>
        <v>0</v>
      </c>
      <c r="B28" s="184">
        <f t="shared" si="2"/>
        <v>0</v>
      </c>
      <c r="C28" s="184">
        <f t="shared" ref="C28:C34" si="4">IF(A28&lt;0,($F$6+A28)/$F$6,0)</f>
        <v>0</v>
      </c>
      <c r="D28" s="184">
        <f t="shared" si="3"/>
        <v>0</v>
      </c>
      <c r="E28" s="192">
        <f t="shared" si="1"/>
        <v>0</v>
      </c>
      <c r="F28" s="185"/>
      <c r="G28" s="185"/>
      <c r="H28" s="185"/>
      <c r="I28" s="185"/>
    </row>
    <row r="29" spans="1:9" s="186" customFormat="1" ht="12.75">
      <c r="A29" s="187">
        <f t="shared" si="2"/>
        <v>0</v>
      </c>
      <c r="B29" s="184">
        <f t="shared" si="2"/>
        <v>0</v>
      </c>
      <c r="C29" s="184">
        <f t="shared" si="4"/>
        <v>0</v>
      </c>
      <c r="D29" s="184">
        <f t="shared" si="3"/>
        <v>0</v>
      </c>
      <c r="E29" s="192">
        <f t="shared" si="1"/>
        <v>0</v>
      </c>
      <c r="F29" s="185"/>
      <c r="G29" s="185"/>
      <c r="H29" s="185"/>
      <c r="I29" s="185"/>
    </row>
    <row r="30" spans="1:9" s="186" customFormat="1" ht="12.75">
      <c r="A30" s="187">
        <f t="shared" si="2"/>
        <v>0</v>
      </c>
      <c r="B30" s="184">
        <f t="shared" si="2"/>
        <v>0</v>
      </c>
      <c r="C30" s="184">
        <f t="shared" si="4"/>
        <v>0</v>
      </c>
      <c r="D30" s="184">
        <f t="shared" si="3"/>
        <v>0</v>
      </c>
      <c r="E30" s="192">
        <f t="shared" si="1"/>
        <v>0</v>
      </c>
      <c r="F30" s="185"/>
      <c r="G30" s="185"/>
      <c r="H30" s="185"/>
      <c r="I30" s="185"/>
    </row>
    <row r="31" spans="1:9" s="186" customFormat="1" ht="12.75">
      <c r="A31" s="187">
        <f t="shared" si="2"/>
        <v>0</v>
      </c>
      <c r="B31" s="184">
        <f t="shared" si="2"/>
        <v>0</v>
      </c>
      <c r="C31" s="184">
        <f t="shared" si="4"/>
        <v>0</v>
      </c>
      <c r="D31" s="184">
        <f t="shared" si="3"/>
        <v>0</v>
      </c>
      <c r="E31" s="192">
        <f t="shared" si="1"/>
        <v>0</v>
      </c>
      <c r="F31" s="185"/>
      <c r="G31" s="185"/>
      <c r="H31" s="185"/>
      <c r="I31" s="185"/>
    </row>
    <row r="32" spans="1:9" s="186" customFormat="1" ht="12.75">
      <c r="A32" s="187">
        <f t="shared" si="2"/>
        <v>0</v>
      </c>
      <c r="B32" s="184">
        <f t="shared" si="2"/>
        <v>0</v>
      </c>
      <c r="C32" s="184">
        <f t="shared" si="4"/>
        <v>0</v>
      </c>
      <c r="D32" s="184">
        <f t="shared" si="3"/>
        <v>0</v>
      </c>
      <c r="E32" s="192">
        <f t="shared" si="1"/>
        <v>0</v>
      </c>
      <c r="F32" s="185"/>
      <c r="G32" s="185"/>
      <c r="H32" s="185"/>
      <c r="I32" s="185"/>
    </row>
    <row r="33" spans="1:9" s="186" customFormat="1" ht="12.75">
      <c r="A33" s="187">
        <f t="shared" si="2"/>
        <v>0</v>
      </c>
      <c r="B33" s="184">
        <f t="shared" si="2"/>
        <v>0</v>
      </c>
      <c r="C33" s="184">
        <f t="shared" si="4"/>
        <v>0</v>
      </c>
      <c r="D33" s="184">
        <f t="shared" si="3"/>
        <v>0</v>
      </c>
      <c r="E33" s="192">
        <f t="shared" si="1"/>
        <v>0</v>
      </c>
      <c r="F33" s="185"/>
      <c r="G33" s="185"/>
      <c r="H33" s="185"/>
      <c r="I33" s="185"/>
    </row>
    <row r="34" spans="1:9" s="186" customFormat="1" ht="15.95" customHeight="1" thickBot="1">
      <c r="A34" s="187">
        <f t="shared" si="2"/>
        <v>0</v>
      </c>
      <c r="B34" s="184">
        <f t="shared" si="2"/>
        <v>0</v>
      </c>
      <c r="C34" s="184">
        <f t="shared" si="4"/>
        <v>0</v>
      </c>
      <c r="D34" s="193">
        <f t="shared" si="3"/>
        <v>0</v>
      </c>
      <c r="E34" s="194">
        <f t="shared" si="1"/>
        <v>0</v>
      </c>
      <c r="F34" s="185"/>
      <c r="G34" s="185"/>
      <c r="H34" s="185"/>
      <c r="I34" s="185"/>
    </row>
    <row r="35" spans="1:9" s="8" customFormat="1" ht="13.5" thickBot="1">
      <c r="A35" s="8" t="s">
        <v>428</v>
      </c>
      <c r="D35" s="195">
        <f>SUM(D24:D34)</f>
        <v>109.7</v>
      </c>
      <c r="E35" s="25">
        <f>SUM(E25:E34)</f>
        <v>76.5</v>
      </c>
    </row>
    <row r="36" spans="1:9" ht="12.75" thickBot="1"/>
    <row r="37" spans="1:9" s="8" customFormat="1" ht="13.5" thickBot="1">
      <c r="A37" s="8" t="s">
        <v>429</v>
      </c>
      <c r="D37" s="195">
        <f>E35</f>
        <v>76.5</v>
      </c>
    </row>
    <row r="38" spans="1:9" s="8" customFormat="1" ht="13.5" thickBot="1"/>
    <row r="39" spans="1:9" s="8" customFormat="1" ht="12.75">
      <c r="A39" s="8" t="s">
        <v>430</v>
      </c>
      <c r="D39" s="196">
        <f>F7-D37</f>
        <v>-5.7999999999999972</v>
      </c>
      <c r="E39" s="8" t="s">
        <v>431</v>
      </c>
    </row>
    <row r="40" spans="1:9" ht="12.75">
      <c r="A40" t="s">
        <v>432</v>
      </c>
      <c r="D40" s="197">
        <f>D39*'Input sheet'!B21</f>
        <v>-1.9139999999999993</v>
      </c>
      <c r="E40" s="8"/>
    </row>
  </sheetData>
  <conditionalFormatting sqref="B14:B20">
    <cfRule type="cellIs" dxfId="1" priority="3" stopIfTrue="1" operator="equal">
      <formula>0</formula>
    </cfRule>
  </conditionalFormatting>
  <conditionalFormatting sqref="B11:B13">
    <cfRule type="cellIs" dxfId="0" priority="1" stopIfTrue="1" operator="equal">
      <formula>0</formula>
    </cfRule>
  </conditionalFormatting>
  <pageMargins left="0.7" right="0.7" top="0.75" bottom="0.75" header="0.5" footer="0.5"/>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125" zoomScaleNormal="125" zoomScalePageLayoutView="125" workbookViewId="0">
      <selection activeCell="E5" sqref="E5"/>
    </sheetView>
  </sheetViews>
  <sheetFormatPr baseColWidth="10" defaultRowHeight="12"/>
  <sheetData>
    <row r="1" spans="1:11" s="6" customFormat="1" ht="18.75">
      <c r="A1" s="29" t="s">
        <v>118</v>
      </c>
      <c r="B1" s="29"/>
      <c r="C1" s="29"/>
      <c r="D1" s="29"/>
      <c r="E1" s="29"/>
      <c r="F1" s="29"/>
      <c r="G1" s="29"/>
      <c r="H1" s="29"/>
      <c r="I1" s="29"/>
      <c r="J1" s="29"/>
      <c r="K1" s="29"/>
    </row>
    <row r="2" spans="1:11" s="6" customFormat="1" ht="18.75">
      <c r="A2" s="29" t="s">
        <v>163</v>
      </c>
      <c r="B2" s="29"/>
      <c r="C2" s="29"/>
      <c r="D2" s="29"/>
      <c r="E2" s="29"/>
      <c r="F2" s="29"/>
      <c r="G2" s="29"/>
      <c r="H2" s="29"/>
      <c r="I2" s="29"/>
      <c r="J2" s="29"/>
      <c r="K2" s="29"/>
    </row>
    <row r="3" spans="1:11" s="17" customFormat="1" ht="12.75">
      <c r="A3" s="17" t="s">
        <v>6</v>
      </c>
    </row>
    <row r="4" spans="1:11" s="8" customFormat="1" ht="12.75">
      <c r="A4" s="8" t="s">
        <v>119</v>
      </c>
      <c r="E4" s="33">
        <v>446.2</v>
      </c>
    </row>
    <row r="5" spans="1:11" s="15" customFormat="1" ht="12.75">
      <c r="A5" s="15" t="s">
        <v>120</v>
      </c>
    </row>
    <row r="6" spans="1:11" s="8" customFormat="1" ht="12.75">
      <c r="A6" s="30" t="s">
        <v>121</v>
      </c>
      <c r="B6" s="30" t="s">
        <v>122</v>
      </c>
      <c r="C6" s="8" t="s">
        <v>123</v>
      </c>
    </row>
    <row r="7" spans="1:11" s="8" customFormat="1" ht="12.75">
      <c r="A7" s="30">
        <v>1</v>
      </c>
      <c r="B7" s="183">
        <v>357.7</v>
      </c>
    </row>
    <row r="8" spans="1:11" s="8" customFormat="1" ht="12.75">
      <c r="A8" s="30">
        <v>2</v>
      </c>
      <c r="B8" s="183">
        <v>191.2</v>
      </c>
    </row>
    <row r="9" spans="1:11" s="8" customFormat="1" ht="12.75">
      <c r="A9" s="30">
        <v>3</v>
      </c>
      <c r="B9" s="183">
        <v>191.2</v>
      </c>
    </row>
    <row r="10" spans="1:11" s="8" customFormat="1" ht="12.75">
      <c r="A10" s="30">
        <v>4</v>
      </c>
      <c r="B10" s="183">
        <v>118.9</v>
      </c>
    </row>
    <row r="11" spans="1:11" s="8" customFormat="1" ht="12.75">
      <c r="A11" s="30">
        <v>5</v>
      </c>
      <c r="B11" s="183">
        <v>118.9</v>
      </c>
    </row>
    <row r="12" spans="1:11" s="8" customFormat="1" ht="12.75">
      <c r="A12" s="30" t="s">
        <v>124</v>
      </c>
      <c r="B12" s="183">
        <v>509.5</v>
      </c>
    </row>
    <row r="13" spans="1:11" s="8" customFormat="1" ht="12.75"/>
    <row r="14" spans="1:11" s="31" customFormat="1" ht="16.5" thickBot="1">
      <c r="A14" s="31" t="s">
        <v>125</v>
      </c>
    </row>
    <row r="15" spans="1:11" s="8" customFormat="1" ht="13.5" thickBot="1">
      <c r="A15" s="8" t="s">
        <v>126</v>
      </c>
      <c r="C15" s="78">
        <f>'Cost of capital worksheet'!B24</f>
        <v>3.0100000000000002E-2</v>
      </c>
      <c r="D15" s="8" t="s">
        <v>238</v>
      </c>
    </row>
    <row r="16" spans="1:11" s="8" customFormat="1" ht="12.75"/>
    <row r="17" spans="1:7" s="8" customFormat="1" ht="12.75">
      <c r="D17" s="34"/>
    </row>
    <row r="18" spans="1:7" s="8" customFormat="1" ht="12.75">
      <c r="A18" s="8" t="s">
        <v>127</v>
      </c>
      <c r="D18" s="35">
        <f>IF(B12&gt;0,ROUND(B12/AVERAGE(B7:B11),0),0)</f>
        <v>3</v>
      </c>
      <c r="E18" s="8" t="s">
        <v>128</v>
      </c>
    </row>
    <row r="19" spans="1:7" s="17" customFormat="1" ht="12.75">
      <c r="E19" s="8" t="s">
        <v>129</v>
      </c>
    </row>
    <row r="20" spans="1:7" s="15" customFormat="1" ht="12.75">
      <c r="A20" s="15" t="s">
        <v>130</v>
      </c>
    </row>
    <row r="21" spans="1:7" s="8" customFormat="1" ht="12.75">
      <c r="A21" s="30" t="s">
        <v>121</v>
      </c>
      <c r="B21" s="30" t="s">
        <v>122</v>
      </c>
      <c r="C21" s="30" t="s">
        <v>131</v>
      </c>
    </row>
    <row r="22" spans="1:7" s="8" customFormat="1" ht="12.75">
      <c r="A22" s="19">
        <f>A7</f>
        <v>1</v>
      </c>
      <c r="B22" s="28">
        <f>B7</f>
        <v>357.7</v>
      </c>
      <c r="C22" s="9">
        <f>B22/(1+$C$15)^A22</f>
        <v>347.24784001553246</v>
      </c>
    </row>
    <row r="23" spans="1:7" s="8" customFormat="1" ht="12.75">
      <c r="A23" s="19">
        <f t="shared" ref="A23:B26" si="0">A8</f>
        <v>2</v>
      </c>
      <c r="B23" s="28">
        <f t="shared" si="0"/>
        <v>191.2</v>
      </c>
      <c r="C23" s="9">
        <f>B23/(1+$C$15)^A23</f>
        <v>180.1893479050222</v>
      </c>
    </row>
    <row r="24" spans="1:7" s="8" customFormat="1" ht="12.75">
      <c r="A24" s="19">
        <f t="shared" si="0"/>
        <v>3</v>
      </c>
      <c r="B24" s="28">
        <f t="shared" si="0"/>
        <v>191.2</v>
      </c>
      <c r="C24" s="9">
        <f>B24/(1+$C$15)^A24</f>
        <v>174.92413154550258</v>
      </c>
    </row>
    <row r="25" spans="1:7" s="8" customFormat="1" ht="12.75">
      <c r="A25" s="19">
        <f t="shared" si="0"/>
        <v>4</v>
      </c>
      <c r="B25" s="28">
        <f t="shared" si="0"/>
        <v>118.9</v>
      </c>
      <c r="C25" s="9">
        <f>B25/(1+$C$15)^A25</f>
        <v>105.6000942791447</v>
      </c>
    </row>
    <row r="26" spans="1:7" s="8" customFormat="1" ht="12.75">
      <c r="A26" s="19">
        <f t="shared" si="0"/>
        <v>5</v>
      </c>
      <c r="B26" s="28">
        <f t="shared" si="0"/>
        <v>118.9</v>
      </c>
      <c r="C26" s="9">
        <f>B26/(1+$C$15)^A26</f>
        <v>102.51441052241987</v>
      </c>
    </row>
    <row r="27" spans="1:7" s="8" customFormat="1" ht="13.5" thickBot="1">
      <c r="A27" s="36" t="str">
        <f>A12</f>
        <v>6 and beyond</v>
      </c>
      <c r="B27" s="37">
        <f>IF(B12&gt;0,IF(D18&gt;0,B12/D18,B12),0)</f>
        <v>169.83333333333334</v>
      </c>
      <c r="C27" s="38">
        <f>IF(D18&gt;0,(B27*(1-(1+C15)^(-D18))/C15)/(1+$C$15)^5,B27/(1+C15)^6)</f>
        <v>414.11006417929116</v>
      </c>
      <c r="D27" s="8" t="s">
        <v>132</v>
      </c>
    </row>
    <row r="28" spans="1:7" s="8" customFormat="1" ht="13.5" thickBot="1">
      <c r="A28" s="32" t="s">
        <v>133</v>
      </c>
      <c r="B28" s="39"/>
      <c r="C28" s="40">
        <f>SUM(C22:C27)</f>
        <v>1324.585888446913</v>
      </c>
    </row>
    <row r="29" spans="1:7" s="8" customFormat="1" ht="12.75"/>
    <row r="30" spans="1:7" s="8" customFormat="1" ht="12.75">
      <c r="A30" s="15" t="s">
        <v>134</v>
      </c>
    </row>
    <row r="31" spans="1:7" s="8" customFormat="1" ht="13.5" thickBot="1">
      <c r="A31" s="8" t="s">
        <v>135</v>
      </c>
      <c r="F31" s="38">
        <f>C28/(5+D18)</f>
        <v>165.57323605586413</v>
      </c>
      <c r="G31" s="8" t="s">
        <v>136</v>
      </c>
    </row>
    <row r="32" spans="1:7" s="8" customFormat="1" ht="13.5" thickBot="1">
      <c r="A32" s="8" t="s">
        <v>137</v>
      </c>
      <c r="F32" s="79">
        <f>E4-F31</f>
        <v>280.62676394413586</v>
      </c>
      <c r="G32" s="8" t="s">
        <v>139</v>
      </c>
    </row>
    <row r="33" spans="1:7" s="8" customFormat="1" ht="13.5" thickBot="1">
      <c r="A33" s="8" t="s">
        <v>138</v>
      </c>
      <c r="F33" s="41">
        <f>C28</f>
        <v>1324.585888446913</v>
      </c>
      <c r="G33" s="8" t="s">
        <v>140</v>
      </c>
    </row>
    <row r="34" spans="1:7" ht="12.75">
      <c r="A34" s="8" t="s">
        <v>527</v>
      </c>
      <c r="F34" s="241">
        <f>C28/(5+D18)</f>
        <v>165.57323605586413</v>
      </c>
    </row>
  </sheetData>
  <pageMargins left="0.7" right="0.7" top="0.75" bottom="0.75"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topLeftCell="A13" workbookViewId="0">
      <selection activeCell="B18" sqref="B18"/>
    </sheetView>
  </sheetViews>
  <sheetFormatPr baseColWidth="10" defaultRowHeight="12"/>
  <cols>
    <col min="1" max="1" width="40.140625" bestFit="1" customWidth="1"/>
    <col min="2" max="2" width="17.28515625" bestFit="1" customWidth="1"/>
    <col min="8" max="8" width="19.42578125" bestFit="1" customWidth="1"/>
    <col min="12" max="12" width="18.140625" bestFit="1" customWidth="1"/>
  </cols>
  <sheetData>
    <row r="1" spans="1:12" s="110" customFormat="1" ht="19.5">
      <c r="A1" s="110" t="s">
        <v>184</v>
      </c>
      <c r="B1" s="266"/>
      <c r="C1" s="238"/>
      <c r="H1" s="127" t="s">
        <v>647</v>
      </c>
    </row>
    <row r="2" spans="1:12" s="14" customFormat="1" ht="15" customHeight="1">
      <c r="A2" s="14" t="s">
        <v>6</v>
      </c>
      <c r="B2" s="265"/>
      <c r="C2" s="238"/>
      <c r="H2" s="164" t="s">
        <v>360</v>
      </c>
      <c r="I2" s="164" t="s">
        <v>11</v>
      </c>
      <c r="J2" s="164" t="s">
        <v>387</v>
      </c>
      <c r="K2" s="164" t="s">
        <v>389</v>
      </c>
      <c r="L2" s="164" t="s">
        <v>388</v>
      </c>
    </row>
    <row r="3" spans="1:12" s="8" customFormat="1" ht="15" customHeight="1">
      <c r="A3" s="111" t="s">
        <v>185</v>
      </c>
      <c r="B3" s="112"/>
      <c r="H3" s="162"/>
      <c r="I3" s="230"/>
      <c r="J3" s="121">
        <f>IF(I3=0,0,VLOOKUP(H3,'Country equity risk premiums'!$A$2:$D$145,4))</f>
        <v>0</v>
      </c>
      <c r="K3" s="121">
        <f>IF(I3&gt;0,I3/$I$15,)</f>
        <v>0</v>
      </c>
      <c r="L3" s="121">
        <f t="shared" ref="L3:L11" si="0">IF(K3=0,0,J3*K3)</f>
        <v>0</v>
      </c>
    </row>
    <row r="4" spans="1:12" s="8" customFormat="1" ht="15" customHeight="1">
      <c r="A4" s="112" t="s">
        <v>186</v>
      </c>
      <c r="B4" s="118">
        <f>'Input sheet'!B18</f>
        <v>549.5</v>
      </c>
      <c r="H4" s="230"/>
      <c r="I4" s="230"/>
      <c r="J4" s="121">
        <f>IF(I4=0,0,VLOOKUP(H4,'Country equity risk premiums'!$A$2:$D$145,4))</f>
        <v>0</v>
      </c>
      <c r="K4" s="121">
        <f t="shared" ref="K4:K14" si="1">IF(I4&gt;0,I4/$I$15,)</f>
        <v>0</v>
      </c>
      <c r="L4" s="121">
        <f t="shared" si="0"/>
        <v>0</v>
      </c>
    </row>
    <row r="5" spans="1:12" s="8" customFormat="1" ht="15" customHeight="1">
      <c r="A5" s="112" t="s">
        <v>187</v>
      </c>
      <c r="B5" s="119">
        <f>'Input sheet'!B19</f>
        <v>15.31</v>
      </c>
      <c r="H5" s="230"/>
      <c r="I5" s="230"/>
      <c r="J5" s="121">
        <f>IF(I5=0,0,VLOOKUP(H5,'Country equity risk premiums'!$A$2:$D$145,4))</f>
        <v>0</v>
      </c>
      <c r="K5" s="121">
        <f t="shared" si="1"/>
        <v>0</v>
      </c>
      <c r="L5" s="121">
        <f t="shared" si="0"/>
        <v>0</v>
      </c>
    </row>
    <row r="6" spans="1:12" s="8" customFormat="1" ht="15" customHeight="1">
      <c r="B6" s="114"/>
      <c r="H6" s="230"/>
      <c r="I6" s="162"/>
      <c r="J6" s="121">
        <f>IF(I6=0,0,VLOOKUP(H6,'Country equity risk premiums'!$A$2:$D$145,4))</f>
        <v>0</v>
      </c>
      <c r="K6" s="121">
        <f t="shared" si="1"/>
        <v>0</v>
      </c>
      <c r="L6" s="121">
        <f t="shared" si="0"/>
        <v>0</v>
      </c>
    </row>
    <row r="7" spans="1:12" s="8" customFormat="1" ht="15" customHeight="1">
      <c r="A7" s="8" t="s">
        <v>486</v>
      </c>
      <c r="B7" s="230" t="s">
        <v>493</v>
      </c>
      <c r="H7" s="230"/>
      <c r="I7" s="174"/>
      <c r="J7" s="121">
        <f>IF(I7=0,0,VLOOKUP(H7,'Country equity risk premiums'!$A$2:$D$145,4))</f>
        <v>0</v>
      </c>
      <c r="K7" s="121">
        <f t="shared" si="1"/>
        <v>0</v>
      </c>
      <c r="L7" s="121">
        <f t="shared" si="0"/>
        <v>0</v>
      </c>
    </row>
    <row r="8" spans="1:12" s="8" customFormat="1" ht="15" customHeight="1">
      <c r="A8" s="8" t="s">
        <v>488</v>
      </c>
      <c r="B8" s="239">
        <v>1.2</v>
      </c>
      <c r="H8" s="230"/>
      <c r="I8" s="162"/>
      <c r="J8" s="121">
        <f>IF(I8=0,0,VLOOKUP(H8,'Country equity risk premiums'!$A$2:$D$145,4))</f>
        <v>0</v>
      </c>
      <c r="K8" s="121">
        <f t="shared" si="1"/>
        <v>0</v>
      </c>
      <c r="L8" s="121">
        <f t="shared" si="0"/>
        <v>0</v>
      </c>
    </row>
    <row r="9" spans="1:12" s="8" customFormat="1" ht="15" customHeight="1">
      <c r="A9" s="8" t="s">
        <v>212</v>
      </c>
      <c r="B9" s="167">
        <f>IF(B7="Single Business(US)",VLOOKUP('Input sheet'!B6,'Industry Averages(US)'!A2:G96,7),IF(B7="Multibusiness(US)",L44,IF(B7="Single Business(Global)",VLOOKUP('Input sheet'!B7,'Global industry averages'!A2:G96,7),'Cost of capital worksheet'!L60)))</f>
        <v>1.1100000000000001</v>
      </c>
      <c r="H9" s="230"/>
      <c r="I9" s="162"/>
      <c r="J9" s="121">
        <f>IF(I9=0,0,VLOOKUP(H9,'Country equity risk premiums'!$A$2:$D$145,4))</f>
        <v>0</v>
      </c>
      <c r="K9" s="121">
        <f t="shared" si="1"/>
        <v>0</v>
      </c>
      <c r="L9" s="121">
        <f t="shared" si="0"/>
        <v>0</v>
      </c>
    </row>
    <row r="10" spans="1:12" s="8" customFormat="1" ht="15" customHeight="1">
      <c r="A10" s="8" t="s">
        <v>188</v>
      </c>
      <c r="B10" s="123">
        <f>'Input sheet'!B27</f>
        <v>2.5999999999999999E-3</v>
      </c>
      <c r="H10" s="230"/>
      <c r="I10" s="162"/>
      <c r="J10" s="121">
        <f>IF(I10=0,0,VLOOKUP(H10,'Country equity risk premiums'!$A$2:$D$145,4))</f>
        <v>0</v>
      </c>
      <c r="K10" s="121">
        <f t="shared" si="1"/>
        <v>0</v>
      </c>
      <c r="L10" s="121">
        <f t="shared" si="0"/>
        <v>0</v>
      </c>
    </row>
    <row r="11" spans="1:12" s="8" customFormat="1" ht="15" customHeight="1">
      <c r="A11" s="8" t="s">
        <v>452</v>
      </c>
      <c r="B11" s="231" t="s">
        <v>456</v>
      </c>
      <c r="H11" s="291"/>
      <c r="I11" s="162"/>
      <c r="J11" s="121">
        <f>IF(I11=0,0,VLOOKUP(H11,'Country equity risk premiums'!$A$2:$D$145,4))</f>
        <v>0</v>
      </c>
      <c r="K11" s="121">
        <f t="shared" si="1"/>
        <v>0</v>
      </c>
      <c r="L11" s="121">
        <f t="shared" si="0"/>
        <v>0</v>
      </c>
    </row>
    <row r="12" spans="1:12" s="8" customFormat="1" ht="15" customHeight="1">
      <c r="A12" s="8" t="s">
        <v>458</v>
      </c>
      <c r="B12" s="231">
        <v>5.7500000000000002E-2</v>
      </c>
      <c r="H12" s="230"/>
      <c r="I12" s="162"/>
      <c r="J12" s="121">
        <f>IF(I12=0,0,VLOOKUP(H12,'Country equity risk premiums'!$A$2:$D$145,4))</f>
        <v>0</v>
      </c>
      <c r="K12" s="121">
        <f t="shared" si="1"/>
        <v>0</v>
      </c>
      <c r="L12" s="121">
        <f>IF(K12=0,0,J12*K12)</f>
        <v>0</v>
      </c>
    </row>
    <row r="13" spans="1:12" s="8" customFormat="1" ht="15" customHeight="1">
      <c r="B13" s="231"/>
      <c r="H13" s="230"/>
      <c r="I13" s="230"/>
      <c r="J13" s="121"/>
      <c r="K13" s="121"/>
      <c r="L13" s="121"/>
    </row>
    <row r="14" spans="1:12" s="8" customFormat="1" ht="15" customHeight="1">
      <c r="A14" s="8" t="s">
        <v>459</v>
      </c>
      <c r="B14" s="233">
        <f>IF(B11="Will Input",B12,IF(B11="Country of Incorporation",VLOOKUP('Input sheet'!B5,'Country equity risk premiums'!A2:E145,4),IF(B11="Operating regions",'Cost of capital worksheet'!L28,'Cost of capital worksheet'!L15)))</f>
        <v>7.1603848615376359E-2</v>
      </c>
      <c r="H14" s="357"/>
      <c r="I14" s="162"/>
      <c r="J14" s="121"/>
      <c r="K14" s="121">
        <f t="shared" si="1"/>
        <v>0</v>
      </c>
      <c r="L14" s="121">
        <f>IF(K14=0,0,J14*K14)</f>
        <v>0</v>
      </c>
    </row>
    <row r="15" spans="1:12" s="8" customFormat="1" ht="15" customHeight="1">
      <c r="B15" s="114"/>
      <c r="H15" s="163" t="s">
        <v>390</v>
      </c>
      <c r="I15" s="163">
        <f>SUM(I3:I14)</f>
        <v>0</v>
      </c>
      <c r="J15" s="163"/>
      <c r="K15" s="121">
        <f>SUM(K3:K14)</f>
        <v>0</v>
      </c>
      <c r="L15" s="121">
        <f>SUM(L3:L14)</f>
        <v>0</v>
      </c>
    </row>
    <row r="16" spans="1:12" s="8" customFormat="1" ht="15" customHeight="1">
      <c r="A16" s="17" t="s">
        <v>189</v>
      </c>
      <c r="B16" s="114"/>
      <c r="H16" s="127" t="s">
        <v>460</v>
      </c>
    </row>
    <row r="17" spans="1:12" s="8" customFormat="1" ht="15" customHeight="1">
      <c r="A17" s="8" t="s">
        <v>190</v>
      </c>
      <c r="B17" s="119">
        <f>'Input sheet'!B12</f>
        <v>12350.9</v>
      </c>
      <c r="H17" s="19" t="s">
        <v>363</v>
      </c>
      <c r="I17" s="19" t="s">
        <v>11</v>
      </c>
      <c r="J17" s="19" t="s">
        <v>387</v>
      </c>
      <c r="K17" s="19" t="s">
        <v>389</v>
      </c>
      <c r="L17" s="19" t="s">
        <v>388</v>
      </c>
    </row>
    <row r="18" spans="1:12" s="8" customFormat="1" ht="15" customHeight="1">
      <c r="A18" s="8" t="s">
        <v>191</v>
      </c>
      <c r="B18" s="119">
        <f>'Input sheet'!B10</f>
        <v>372</v>
      </c>
      <c r="H18" s="19" t="str">
        <f>'Country equity risk premiums'!A149</f>
        <v>Africa</v>
      </c>
      <c r="I18" s="230"/>
      <c r="J18" s="24">
        <f>'Country equity risk premiums'!B149</f>
        <v>0.11763246078639468</v>
      </c>
      <c r="K18" s="121">
        <f>I18/$I$28</f>
        <v>0</v>
      </c>
      <c r="L18" s="165">
        <f>J18*K18</f>
        <v>0</v>
      </c>
    </row>
    <row r="19" spans="1:12" s="8" customFormat="1" ht="15" customHeight="1">
      <c r="A19" s="8" t="s">
        <v>192</v>
      </c>
      <c r="B19" s="113">
        <v>3</v>
      </c>
      <c r="H19" s="19" t="str">
        <f>'Country equity risk premiums'!A150</f>
        <v>Asia</v>
      </c>
      <c r="I19" s="230"/>
      <c r="J19" s="24">
        <f>'Country equity risk premiums'!B150</f>
        <v>7.4878900916589053E-2</v>
      </c>
      <c r="K19" s="121">
        <f t="shared" ref="K19:K28" si="2">I19/$I$28</f>
        <v>0</v>
      </c>
      <c r="L19" s="165">
        <f t="shared" ref="L19:L26" si="3">J19*K19</f>
        <v>0</v>
      </c>
    </row>
    <row r="20" spans="1:12" s="8" customFormat="1" ht="15" customHeight="1">
      <c r="A20" s="8" t="s">
        <v>465</v>
      </c>
      <c r="B20" s="130" t="s">
        <v>464</v>
      </c>
      <c r="H20" s="19" t="str">
        <f>'Country equity risk premiums'!A151</f>
        <v>Australia &amp; New Zealand</v>
      </c>
      <c r="I20" s="230"/>
      <c r="J20" s="24">
        <f>'Country equity risk premiums'!B151</f>
        <v>6.0049641455626995E-2</v>
      </c>
      <c r="K20" s="121">
        <f t="shared" si="2"/>
        <v>0</v>
      </c>
      <c r="L20" s="165">
        <f t="shared" si="3"/>
        <v>0</v>
      </c>
    </row>
    <row r="21" spans="1:12" s="8" customFormat="1" ht="15" customHeight="1">
      <c r="A21" s="8" t="s">
        <v>467</v>
      </c>
      <c r="B21" s="234">
        <v>3.5000000000000003E-2</v>
      </c>
      <c r="H21" s="19" t="str">
        <f>'Country equity risk premiums'!A152</f>
        <v>Caribbean</v>
      </c>
      <c r="I21" s="230"/>
      <c r="J21" s="24">
        <f>'Country equity risk premiums'!B152</f>
        <v>0.14605171333175698</v>
      </c>
      <c r="K21" s="121">
        <f t="shared" si="2"/>
        <v>0</v>
      </c>
      <c r="L21" s="165">
        <f t="shared" si="3"/>
        <v>0</v>
      </c>
    </row>
    <row r="22" spans="1:12" s="8" customFormat="1" ht="15" customHeight="1">
      <c r="A22" s="8" t="s">
        <v>466</v>
      </c>
      <c r="B22" s="130" t="s">
        <v>476</v>
      </c>
      <c r="H22" s="19" t="str">
        <f>'Country equity risk premiums'!A153</f>
        <v>Central and South America</v>
      </c>
      <c r="I22" s="230"/>
      <c r="J22" s="24">
        <f>'Country equity risk premiums'!B153</f>
        <v>0.10420480154981845</v>
      </c>
      <c r="K22" s="121">
        <f t="shared" si="2"/>
        <v>0</v>
      </c>
      <c r="L22" s="165">
        <f t="shared" si="3"/>
        <v>0</v>
      </c>
    </row>
    <row r="23" spans="1:12" s="8" customFormat="1" ht="15" customHeight="1">
      <c r="A23" s="8" t="s">
        <v>483</v>
      </c>
      <c r="B23" s="130">
        <v>1</v>
      </c>
      <c r="H23" s="19" t="str">
        <f>'Country equity risk premiums'!A154</f>
        <v>Eastern Europe &amp; Russia</v>
      </c>
      <c r="I23" s="230"/>
      <c r="J23" s="24">
        <f>'Country equity risk premiums'!B154</f>
        <v>9.646030891294588E-2</v>
      </c>
      <c r="K23" s="121">
        <f t="shared" si="2"/>
        <v>0</v>
      </c>
      <c r="L23" s="165">
        <f t="shared" si="3"/>
        <v>0</v>
      </c>
    </row>
    <row r="24" spans="1:12" s="8" customFormat="1" ht="15" customHeight="1">
      <c r="A24" s="8" t="s">
        <v>126</v>
      </c>
      <c r="B24" s="233">
        <f>IF(B20="Direct Input",B21,IF(B20="Synthetic Rating",'Synthetic rating'!D13,B10+VLOOKUP('Cost of capital worksheet'!B22,'Synthetic rating'!G39:H53,2)))</f>
        <v>3.0100000000000002E-2</v>
      </c>
      <c r="H24" s="19" t="str">
        <f>'Country equity risk premiums'!A155</f>
        <v>Middle East</v>
      </c>
      <c r="I24" s="230"/>
      <c r="J24" s="24">
        <f>'Country equity risk premiums'!B155</f>
        <v>7.1054732760947523E-2</v>
      </c>
      <c r="K24" s="121">
        <f t="shared" si="2"/>
        <v>0</v>
      </c>
      <c r="L24" s="165">
        <f t="shared" si="3"/>
        <v>0</v>
      </c>
    </row>
    <row r="25" spans="1:12" s="8" customFormat="1" ht="15" customHeight="1">
      <c r="A25" s="8" t="s">
        <v>193</v>
      </c>
      <c r="B25" s="236">
        <f>'Input sheet'!B21</f>
        <v>0.33</v>
      </c>
      <c r="H25" s="19" t="str">
        <f>'Country equity risk premiums'!A156</f>
        <v>North America</v>
      </c>
      <c r="I25" s="230"/>
      <c r="J25" s="24">
        <f>'Country equity risk premiums'!B156</f>
        <v>5.9999999999999991E-2</v>
      </c>
      <c r="K25" s="121">
        <f t="shared" si="2"/>
        <v>0</v>
      </c>
      <c r="L25" s="165">
        <f t="shared" si="3"/>
        <v>0</v>
      </c>
    </row>
    <row r="26" spans="1:12" s="8" customFormat="1" ht="15" customHeight="1">
      <c r="B26" s="114"/>
      <c r="H26" s="19" t="str">
        <f>'Country equity risk premiums'!A157</f>
        <v>Western Europe</v>
      </c>
      <c r="I26" s="230">
        <f>5741.5+8574.7</f>
        <v>14316.2</v>
      </c>
      <c r="J26" s="24">
        <f>'Country equity risk premiums'!B157</f>
        <v>7.1603848615376359E-2</v>
      </c>
      <c r="K26" s="121">
        <f t="shared" si="2"/>
        <v>1</v>
      </c>
      <c r="L26" s="165">
        <f t="shared" si="3"/>
        <v>7.1603848615376359E-2</v>
      </c>
    </row>
    <row r="27" spans="1:12" s="8" customFormat="1" ht="15" customHeight="1">
      <c r="A27" s="8" t="s">
        <v>194</v>
      </c>
      <c r="B27" s="113">
        <v>0</v>
      </c>
      <c r="H27" s="19" t="s">
        <v>720</v>
      </c>
      <c r="I27" s="230"/>
      <c r="J27" s="24">
        <v>7.4999999999999997E-2</v>
      </c>
      <c r="K27" s="121"/>
      <c r="L27" s="165"/>
    </row>
    <row r="28" spans="1:12" s="8" customFormat="1" ht="15" customHeight="1">
      <c r="A28" s="8" t="s">
        <v>195</v>
      </c>
      <c r="B28" s="113">
        <v>0</v>
      </c>
      <c r="H28" s="163" t="s">
        <v>390</v>
      </c>
      <c r="I28" s="163">
        <f>SUM(I18:I27)</f>
        <v>14316.2</v>
      </c>
      <c r="J28" s="123"/>
      <c r="K28" s="121">
        <f t="shared" si="2"/>
        <v>1</v>
      </c>
      <c r="L28" s="166">
        <f>SUM(L18:L27)</f>
        <v>7.1603848615376359E-2</v>
      </c>
    </row>
    <row r="29" spans="1:12" s="8" customFormat="1" ht="15" customHeight="1">
      <c r="A29" s="8" t="s">
        <v>196</v>
      </c>
      <c r="B29" s="113">
        <v>0</v>
      </c>
    </row>
    <row r="30" spans="1:12" s="8" customFormat="1" ht="15" customHeight="1">
      <c r="A30" s="8" t="s">
        <v>197</v>
      </c>
      <c r="B30" s="113">
        <v>0</v>
      </c>
      <c r="H30" s="110" t="s">
        <v>489</v>
      </c>
    </row>
    <row r="31" spans="1:12" s="8" customFormat="1" ht="15" customHeight="1">
      <c r="B31" s="114"/>
      <c r="H31" s="19" t="s">
        <v>401</v>
      </c>
      <c r="I31" s="19" t="s">
        <v>11</v>
      </c>
      <c r="J31" s="19" t="s">
        <v>171</v>
      </c>
      <c r="K31" s="19" t="s">
        <v>402</v>
      </c>
      <c r="L31" s="19" t="s">
        <v>213</v>
      </c>
    </row>
    <row r="32" spans="1:12" s="8" customFormat="1" ht="15" customHeight="1">
      <c r="A32" s="8" t="s">
        <v>198</v>
      </c>
      <c r="B32" s="119">
        <f>IF('Input sheet'!B14="Yes",'Operating lease converter'!F33,0)</f>
        <v>1324.585888446913</v>
      </c>
      <c r="H32" s="230"/>
      <c r="I32" s="175"/>
      <c r="J32" s="176">
        <f>IF(H32=0,,VLOOKUP(H32,'Industry Averages(US)'!$A$2:$S$96,15))</f>
        <v>0</v>
      </c>
      <c r="K32" s="177">
        <f>I32*J32</f>
        <v>0</v>
      </c>
      <c r="L32" s="176">
        <f>IF(J32=0,0,VLOOKUP(H32,'Industry Averages(US)'!$A$2:$S$96,7))</f>
        <v>0</v>
      </c>
    </row>
    <row r="33" spans="1:12" s="8" customFormat="1" ht="15" customHeight="1">
      <c r="B33" s="115"/>
      <c r="H33" s="230"/>
      <c r="I33" s="175"/>
      <c r="J33" s="176">
        <f>IF(H33=0,,VLOOKUP(H33,'Industry Averages(US)'!$A$2:$S$96,15))</f>
        <v>0</v>
      </c>
      <c r="K33" s="177">
        <f>I33*J33</f>
        <v>0</v>
      </c>
      <c r="L33" s="176">
        <f>IF(J33=0,0,VLOOKUP(H33,'Industry Averages(US)'!$A$2:$S$96,7))</f>
        <v>0</v>
      </c>
    </row>
    <row r="34" spans="1:12" s="8" customFormat="1" ht="15" customHeight="1">
      <c r="A34" s="17" t="s">
        <v>199</v>
      </c>
      <c r="B34" s="114"/>
      <c r="H34" s="230"/>
      <c r="I34" s="175"/>
      <c r="J34" s="176">
        <f>IF(H34=0,,VLOOKUP(H34,'Industry Averages(US)'!$A$2:$S$96,15))</f>
        <v>0</v>
      </c>
      <c r="K34" s="177">
        <f t="shared" ref="K34:K43" si="4">I34*J34</f>
        <v>0</v>
      </c>
      <c r="L34" s="176">
        <f>IF(J34=0,0,VLOOKUP(H34,'Industry Averages(US)'!$A$2:$S$96,7))</f>
        <v>0</v>
      </c>
    </row>
    <row r="35" spans="1:12" s="8" customFormat="1" ht="15" customHeight="1">
      <c r="A35" s="8" t="s">
        <v>200</v>
      </c>
      <c r="B35" s="113">
        <v>0</v>
      </c>
      <c r="H35" s="230"/>
      <c r="I35" s="175"/>
      <c r="J35" s="176">
        <f>IF(H35=0,,VLOOKUP(H35,'Industry Averages(US)'!$A$2:$S$96,15))</f>
        <v>0</v>
      </c>
      <c r="K35" s="177">
        <f t="shared" si="4"/>
        <v>0</v>
      </c>
      <c r="L35" s="176">
        <f>IF(J35=0,0,VLOOKUP(H35,'Industry Averages(US)'!$A$2:$S$96,7))</f>
        <v>0</v>
      </c>
    </row>
    <row r="36" spans="1:12" s="8" customFormat="1" ht="15" customHeight="1">
      <c r="A36" s="8" t="s">
        <v>201</v>
      </c>
      <c r="B36" s="113">
        <v>70</v>
      </c>
      <c r="H36" s="230"/>
      <c r="I36" s="175"/>
      <c r="J36" s="176">
        <f>IF(H36=0,,VLOOKUP(H36,'Industry Averages(US)'!$A$2:$S$96,15))</f>
        <v>0</v>
      </c>
      <c r="K36" s="177">
        <f t="shared" si="4"/>
        <v>0</v>
      </c>
      <c r="L36" s="176">
        <f>IF(J36=0,0,VLOOKUP(H36,'Industry Averages(US)'!$A$2:$S$96,7))</f>
        <v>0</v>
      </c>
    </row>
    <row r="37" spans="1:12" s="8" customFormat="1" ht="15" customHeight="1">
      <c r="A37" s="8" t="s">
        <v>202</v>
      </c>
      <c r="B37" s="113">
        <v>5</v>
      </c>
      <c r="H37" s="230"/>
      <c r="I37" s="175"/>
      <c r="J37" s="176">
        <f>IF(H37=0,,VLOOKUP(H37,'Industry Averages(US)'!$A$2:$S$96,15))</f>
        <v>0</v>
      </c>
      <c r="K37" s="177">
        <f t="shared" si="4"/>
        <v>0</v>
      </c>
      <c r="L37" s="176">
        <f>IF(J37=0,0,VLOOKUP(H37,'Industry Averages(US)'!$A$2:$S$96,7))</f>
        <v>0</v>
      </c>
    </row>
    <row r="38" spans="1:12" s="8" customFormat="1" ht="15" customHeight="1">
      <c r="H38" s="230"/>
      <c r="I38" s="175"/>
      <c r="J38" s="176">
        <f>IF(H38=0,,VLOOKUP(H38,'Industry Averages(US)'!$A$2:$S$96,15))</f>
        <v>0</v>
      </c>
      <c r="K38" s="177">
        <f t="shared" si="4"/>
        <v>0</v>
      </c>
      <c r="L38" s="176">
        <f>IF(J38=0,0,VLOOKUP(H38,'Industry Averages(US)'!$A$2:$S$96,7))</f>
        <v>0</v>
      </c>
    </row>
    <row r="39" spans="1:12" s="116" customFormat="1" ht="15" customHeight="1">
      <c r="A39" s="14" t="s">
        <v>125</v>
      </c>
      <c r="B39" s="8"/>
      <c r="C39" s="8"/>
      <c r="D39" s="8"/>
      <c r="E39" s="8"/>
      <c r="F39" s="8"/>
      <c r="G39" s="8"/>
      <c r="H39" s="230"/>
      <c r="I39" s="175"/>
      <c r="J39" s="176">
        <f>IF(H39=0,,VLOOKUP(H39,'Industry Averages(US)'!$A$2:$S$96,15))</f>
        <v>0</v>
      </c>
      <c r="K39" s="177">
        <f t="shared" si="4"/>
        <v>0</v>
      </c>
      <c r="L39" s="176">
        <f>IF(J39=0,0,VLOOKUP(H39,'Industry Averages(US)'!$A$2:$S$96,7))</f>
        <v>0</v>
      </c>
    </row>
    <row r="40" spans="1:12" s="8" customFormat="1" ht="15" customHeight="1">
      <c r="A40" s="19" t="s">
        <v>203</v>
      </c>
      <c r="B40" s="19"/>
      <c r="C40" s="120">
        <f>B18*(1-(1+B24)^(-B19))/B24+B17/(1+B24)^B19</f>
        <v>12351.572825564715</v>
      </c>
      <c r="H40" s="230"/>
      <c r="I40" s="175"/>
      <c r="J40" s="176">
        <f>IF(H40=0,,VLOOKUP(H40,'Industry Averages(US)'!$A$2:$S$96,15))</f>
        <v>0</v>
      </c>
      <c r="K40" s="177">
        <f t="shared" si="4"/>
        <v>0</v>
      </c>
      <c r="L40" s="176">
        <f>IF(J40=0,0,VLOOKUP(H40,'Industry Averages(US)'!$A$2:$S$96,7))</f>
        <v>0</v>
      </c>
    </row>
    <row r="41" spans="1:12" s="8" customFormat="1" ht="15" customHeight="1">
      <c r="A41" s="19" t="s">
        <v>204</v>
      </c>
      <c r="B41" s="19"/>
      <c r="C41" s="120">
        <f>B28*(1-(1+B24)^(-B29))/B24+B27/(1+B24)^B29</f>
        <v>0</v>
      </c>
      <c r="H41" s="230"/>
      <c r="I41" s="175"/>
      <c r="J41" s="176">
        <f>IF(H41=0,,VLOOKUP(H41,'Industry Averages(US)'!$A$2:$S$96,15))</f>
        <v>0</v>
      </c>
      <c r="K41" s="177">
        <f t="shared" si="4"/>
        <v>0</v>
      </c>
      <c r="L41" s="176">
        <f>IF(J41=0,0,VLOOKUP(H41,'Industry Averages(US)'!$A$2:$S$96,7))</f>
        <v>0</v>
      </c>
    </row>
    <row r="42" spans="1:12" s="8" customFormat="1" ht="15" customHeight="1">
      <c r="A42" s="19" t="s">
        <v>205</v>
      </c>
      <c r="B42" s="19"/>
      <c r="C42" s="120">
        <f>B32</f>
        <v>1324.585888446913</v>
      </c>
      <c r="H42" s="230"/>
      <c r="I42" s="175"/>
      <c r="J42" s="176">
        <f>IF(H42=0,,VLOOKUP(H42,'Industry Averages(US)'!$A$2:$S$96,15))</f>
        <v>0</v>
      </c>
      <c r="K42" s="177">
        <f t="shared" si="4"/>
        <v>0</v>
      </c>
      <c r="L42" s="176">
        <f>IF(J42=0,0,VLOOKUP(H42,'Industry Averages(US)'!$A$2:$S$96,7))</f>
        <v>0</v>
      </c>
    </row>
    <row r="43" spans="1:12" ht="12.75">
      <c r="A43" s="19" t="s">
        <v>206</v>
      </c>
      <c r="B43" s="19"/>
      <c r="C43" s="120">
        <f>B30-C41</f>
        <v>0</v>
      </c>
      <c r="D43" s="8"/>
      <c r="E43" s="8"/>
      <c r="F43" s="8"/>
      <c r="G43" s="8"/>
      <c r="H43" s="230"/>
      <c r="I43" s="175"/>
      <c r="J43" s="176">
        <f>IF(H43=0,,VLOOKUP(H43,'Industry Averages(US)'!$A$2:$S$96,15))</f>
        <v>0</v>
      </c>
      <c r="K43" s="177">
        <f t="shared" si="4"/>
        <v>0</v>
      </c>
      <c r="L43" s="176">
        <f>IF(J43=0,0,VLOOKUP(H43,'Industry Averages(US)'!$A$2:$S$96,7))</f>
        <v>0</v>
      </c>
    </row>
    <row r="44" spans="1:12" ht="12.75">
      <c r="A44" s="19" t="s">
        <v>214</v>
      </c>
      <c r="B44" s="19"/>
      <c r="C44" s="126">
        <f>IF(B7="Direct Input",B8,B9*(1+(1-B25)*(C47/B47)))</f>
        <v>2.3189797488971267</v>
      </c>
      <c r="D44" s="8"/>
      <c r="E44" s="8"/>
      <c r="F44" s="8"/>
      <c r="G44" s="8"/>
      <c r="H44" s="178" t="s">
        <v>242</v>
      </c>
      <c r="I44" s="179">
        <f>SUM(I32:I43)</f>
        <v>0</v>
      </c>
      <c r="J44" s="180"/>
      <c r="K44" s="177">
        <f>SUM(K32:K43)</f>
        <v>0</v>
      </c>
      <c r="L44" s="180" t="e">
        <f>L32*(K32/K44)+L33*K33/K44+L34*K34/K44+L35*K35/K44+L36*K36/K44+L37*K37/K44+L38*K38/K44+L39*K39/K44+L40*K40/K44+L41*K41/K44+L42*K42/K44+L43*K43/K44</f>
        <v>#DIV/0!</v>
      </c>
    </row>
    <row r="45" spans="1:12" ht="12.75">
      <c r="A45" s="8"/>
      <c r="B45" s="8"/>
      <c r="C45" s="126"/>
      <c r="D45" s="8"/>
      <c r="E45" s="8"/>
      <c r="F45" s="8"/>
      <c r="G45" s="8"/>
    </row>
    <row r="46" spans="1:12" ht="19.5">
      <c r="A46" s="116"/>
      <c r="B46" s="117" t="s">
        <v>185</v>
      </c>
      <c r="C46" s="117" t="s">
        <v>207</v>
      </c>
      <c r="D46" s="117" t="s">
        <v>199</v>
      </c>
      <c r="E46" s="117" t="s">
        <v>208</v>
      </c>
      <c r="F46" s="8"/>
      <c r="G46" s="116"/>
      <c r="H46" s="240" t="s">
        <v>490</v>
      </c>
    </row>
    <row r="47" spans="1:12" ht="12.75">
      <c r="A47" s="19" t="s">
        <v>209</v>
      </c>
      <c r="B47" s="120">
        <f>B4*B5</f>
        <v>8412.8450000000012</v>
      </c>
      <c r="C47" s="120">
        <f>C40+C41+C42</f>
        <v>13676.158714011628</v>
      </c>
      <c r="D47" s="120">
        <f>B35*B36</f>
        <v>0</v>
      </c>
      <c r="E47" s="119">
        <f>SUM(B47:D47)</f>
        <v>22089.003714011629</v>
      </c>
      <c r="F47" s="116"/>
      <c r="G47" s="8"/>
      <c r="H47" s="19" t="s">
        <v>401</v>
      </c>
      <c r="I47" s="19" t="s">
        <v>11</v>
      </c>
      <c r="J47" s="19" t="s">
        <v>171</v>
      </c>
      <c r="K47" s="19" t="s">
        <v>402</v>
      </c>
      <c r="L47" s="19" t="s">
        <v>213</v>
      </c>
    </row>
    <row r="48" spans="1:12" ht="13.5" thickBot="1">
      <c r="A48" s="19" t="s">
        <v>210</v>
      </c>
      <c r="B48" s="121">
        <f>B47/$E$47</f>
        <v>0.38086122438666237</v>
      </c>
      <c r="C48" s="121">
        <f>C47/$E$47</f>
        <v>0.61913877561333763</v>
      </c>
      <c r="D48" s="121">
        <f>D47/$E$47</f>
        <v>0</v>
      </c>
      <c r="E48" s="122">
        <f>SUM(B48:D48)</f>
        <v>1</v>
      </c>
      <c r="F48" s="8"/>
      <c r="G48" s="8"/>
      <c r="H48" s="230"/>
      <c r="I48" s="175"/>
      <c r="J48" s="176">
        <f>IF(H48=0,,VLOOKUP(H48,'Global industry averages'!$A$2:$O$96,15))</f>
        <v>0</v>
      </c>
      <c r="K48" s="177">
        <f>I48*J48</f>
        <v>0</v>
      </c>
      <c r="L48" s="176">
        <f>IF(H48=0,,VLOOKUP(H48,'Global industry averages'!$A$2:$O$96,7))</f>
        <v>0</v>
      </c>
    </row>
    <row r="49" spans="1:12" ht="13.5" thickBot="1">
      <c r="A49" s="19" t="s">
        <v>211</v>
      </c>
      <c r="B49" s="123">
        <f>B10+C44*B14</f>
        <v>0.16864787488215333</v>
      </c>
      <c r="C49" s="121">
        <f>B24*(1-B25)</f>
        <v>2.0166999999999997E-2</v>
      </c>
      <c r="D49" s="124">
        <f>B37/B36</f>
        <v>7.1428571428571425E-2</v>
      </c>
      <c r="E49" s="125">
        <f>B48*B49+C48*C49+D48*D49</f>
        <v>7.6717607805619731E-2</v>
      </c>
      <c r="F49" s="8"/>
      <c r="G49" s="8"/>
      <c r="H49" s="230"/>
      <c r="I49" s="175"/>
      <c r="J49" s="176">
        <f>IF(H49=0,,VLOOKUP(H49,'Global industry averages'!$A$2:$O$96,15))</f>
        <v>0</v>
      </c>
      <c r="K49" s="177">
        <f>I49*J49</f>
        <v>0</v>
      </c>
      <c r="L49" s="176">
        <f>IF(H49=0,,VLOOKUP(H49,'Global industry averages'!$A$2:$O$96,7))</f>
        <v>0</v>
      </c>
    </row>
    <row r="50" spans="1:12" ht="12.75">
      <c r="F50" s="8"/>
      <c r="H50" s="230"/>
      <c r="I50" s="175"/>
      <c r="J50" s="176">
        <f>IF(H50=0,,VLOOKUP(H50,'Global industry averages'!$A$2:$O$96,15))</f>
        <v>0</v>
      </c>
      <c r="K50" s="177">
        <f t="shared" ref="K50:K59" si="5">I50*J50</f>
        <v>0</v>
      </c>
      <c r="L50" s="176">
        <f>IF(H50=0,,VLOOKUP(H50,'Global industry averages'!$A$2:$O$96,7))</f>
        <v>0</v>
      </c>
    </row>
    <row r="51" spans="1:12" ht="12.75">
      <c r="H51" s="230"/>
      <c r="I51" s="175"/>
      <c r="J51" s="176">
        <f>IF(H51=0,,VLOOKUP(H51,'Global industry averages'!$A$2:$O$96,15))</f>
        <v>0</v>
      </c>
      <c r="K51" s="177">
        <f t="shared" si="5"/>
        <v>0</v>
      </c>
      <c r="L51" s="176">
        <f>IF(H51=0,,VLOOKUP(H51,'Global industry averages'!$A$2:$O$96,7))</f>
        <v>0</v>
      </c>
    </row>
    <row r="52" spans="1:12" ht="12.75">
      <c r="H52" s="230"/>
      <c r="I52" s="175"/>
      <c r="J52" s="176">
        <f>IF(H52=0,,VLOOKUP(H52,'Global industry averages'!$A$2:$O$96,15))</f>
        <v>0</v>
      </c>
      <c r="K52" s="177">
        <f t="shared" si="5"/>
        <v>0</v>
      </c>
      <c r="L52" s="176">
        <f>IF(H52=0,,VLOOKUP(H52,'Global industry averages'!$A$2:$O$96,7))</f>
        <v>0</v>
      </c>
    </row>
    <row r="53" spans="1:12" ht="12.75">
      <c r="H53" s="230"/>
      <c r="I53" s="175"/>
      <c r="J53" s="176">
        <f>IF(H53=0,,VLOOKUP(H53,'Global industry averages'!$A$2:$O$96,15))</f>
        <v>0</v>
      </c>
      <c r="K53" s="177">
        <f t="shared" si="5"/>
        <v>0</v>
      </c>
      <c r="L53" s="176">
        <f>IF(H53=0,,VLOOKUP(H53,'Global industry averages'!$A$2:$O$96,7))</f>
        <v>0</v>
      </c>
    </row>
    <row r="54" spans="1:12" ht="12.75">
      <c r="H54" s="230"/>
      <c r="I54" s="175"/>
      <c r="J54" s="176">
        <f>IF(H54=0,,VLOOKUP(H54,'Global industry averages'!$A$2:$O$96,15))</f>
        <v>0</v>
      </c>
      <c r="K54" s="177">
        <f t="shared" si="5"/>
        <v>0</v>
      </c>
      <c r="L54" s="176">
        <f>IF(H54=0,,VLOOKUP(H54,'Global industry averages'!$A$2:$O$96,7))</f>
        <v>0</v>
      </c>
    </row>
    <row r="55" spans="1:12" ht="12.75">
      <c r="H55" s="230"/>
      <c r="I55" s="175"/>
      <c r="J55" s="176">
        <f>IF(H55=0,,VLOOKUP(H55,'Global industry averages'!$A$2:$O$96,15))</f>
        <v>0</v>
      </c>
      <c r="K55" s="177">
        <f t="shared" si="5"/>
        <v>0</v>
      </c>
      <c r="L55" s="176">
        <f>IF(H55=0,,VLOOKUP(H55,'Global industry averages'!$A$2:$O$96,7))</f>
        <v>0</v>
      </c>
    </row>
    <row r="56" spans="1:12" ht="12.75">
      <c r="H56" s="230"/>
      <c r="I56" s="175"/>
      <c r="J56" s="176">
        <f>IF(H56=0,,VLOOKUP(H56,'Global industry averages'!$A$2:$O$96,15))</f>
        <v>0</v>
      </c>
      <c r="K56" s="177">
        <f t="shared" si="5"/>
        <v>0</v>
      </c>
      <c r="L56" s="176">
        <f>IF(H56=0,,VLOOKUP(H56,'Global industry averages'!$A$2:$O$96,7))</f>
        <v>0</v>
      </c>
    </row>
    <row r="57" spans="1:12" ht="12.75">
      <c r="H57" s="230"/>
      <c r="I57" s="175"/>
      <c r="J57" s="176">
        <f>IF(H57=0,,VLOOKUP(H57,'Global industry averages'!$A$2:$O$96,15))</f>
        <v>0</v>
      </c>
      <c r="K57" s="177">
        <f t="shared" si="5"/>
        <v>0</v>
      </c>
      <c r="L57" s="176">
        <f>IF(H57=0,,VLOOKUP(H57,'Global industry averages'!$A$2:$O$96,7))</f>
        <v>0</v>
      </c>
    </row>
    <row r="58" spans="1:12" ht="12.75">
      <c r="H58" s="230"/>
      <c r="I58" s="175"/>
      <c r="J58" s="176">
        <f>IF(H58=0,,VLOOKUP(H58,'Global industry averages'!$A$2:$O$96,15))</f>
        <v>0</v>
      </c>
      <c r="K58" s="177">
        <f t="shared" si="5"/>
        <v>0</v>
      </c>
      <c r="L58" s="176">
        <f>IF(H58=0,,VLOOKUP(H58,'Global industry averages'!$A$2:$O$96,7))</f>
        <v>0</v>
      </c>
    </row>
    <row r="59" spans="1:12" ht="12.75">
      <c r="H59" s="230"/>
      <c r="I59" s="175"/>
      <c r="J59" s="176">
        <f>IF(H59=0,,VLOOKUP(H59,'Global industry averages'!$A$2:$O$96,15))</f>
        <v>0</v>
      </c>
      <c r="K59" s="177">
        <f t="shared" si="5"/>
        <v>0</v>
      </c>
      <c r="L59" s="176">
        <f>IF(H59=0,,VLOOKUP(H59,'Global industry averages'!$A$2:$O$96,7))</f>
        <v>0</v>
      </c>
    </row>
    <row r="60" spans="1:12" ht="12.75">
      <c r="H60" s="178" t="s">
        <v>242</v>
      </c>
      <c r="I60" s="179">
        <f>SUM(I48:I59)</f>
        <v>0</v>
      </c>
      <c r="J60" s="180"/>
      <c r="K60" s="177">
        <f>SUM(K48:K59)</f>
        <v>0</v>
      </c>
      <c r="L60" s="180" t="e">
        <f>L48*(K48/K60)+L49*K49/K60+L50*K50/K60+L51*K51/K60+L52*K52/K60+L53*K53/K60+L54*K54/K60+L55*K55/K60+L56*K56/K60+L57*K57/K60+L58*K58/K60+L59*K59/K60</f>
        <v>#DIV/0!</v>
      </c>
    </row>
  </sheetData>
  <pageMargins left="0.7" right="0.7" top="0.75" bottom="0.75" header="0.5" footer="0.5"/>
  <pageSetup orientation="portrait" horizontalDpi="4294967292" verticalDpi="4294967292"/>
  <legacy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'Answer keys'!$C$2:$C$5</xm:f>
          </x14:formula1>
          <xm:sqref>B11</xm:sqref>
        </x14:dataValidation>
        <x14:dataValidation type="list" allowBlank="1" showInputMessage="1" showErrorMessage="1">
          <x14:formula1>
            <xm:f>'Answer keys'!$D$2:$D$4</xm:f>
          </x14:formula1>
          <xm:sqref>B20</xm:sqref>
        </x14:dataValidation>
        <x14:dataValidation type="list" allowBlank="1" showInputMessage="1" showErrorMessage="1">
          <x14:formula1>
            <xm:f>'Synthetic rating'!$G$39:$G$53</xm:f>
          </x14:formula1>
          <xm:sqref>B22</xm:sqref>
        </x14:dataValidation>
        <x14:dataValidation type="list" allowBlank="1" showInputMessage="1" showErrorMessage="1">
          <x14:formula1>
            <xm:f>'Answer keys'!$E$2:$E$3</xm:f>
          </x14:formula1>
          <xm:sqref>B23</xm:sqref>
        </x14:dataValidation>
        <x14:dataValidation type="list" allowBlank="1" showInputMessage="1" showErrorMessage="1">
          <x14:formula1>
            <xm:f>'Answer keys'!$F$2:$F$6</xm:f>
          </x14:formula1>
          <xm:sqref>B7</xm:sqref>
        </x14:dataValidation>
        <x14:dataValidation type="list" allowBlank="1" showInputMessage="1" showErrorMessage="1">
          <x14:formula1>
            <xm:f>'Global industry averages'!$A$2:$A$96</xm:f>
          </x14:formula1>
          <xm:sqref>H48:H59</xm:sqref>
        </x14:dataValidation>
        <x14:dataValidation type="list" allowBlank="1" showInputMessage="1" showErrorMessage="1">
          <x14:formula1>
            <xm:f>'Country equity risk premiums'!$A$2:$A$145</xm:f>
          </x14:formula1>
          <xm:sqref>H3:H13</xm:sqref>
        </x14:dataValidation>
        <x14:dataValidation type="list" allowBlank="1" showInputMessage="1" showErrorMessage="1">
          <x14:formula1>
            <xm:f>'Industry Averages(US)'!$A$2:$A$96</xm:f>
          </x14:formula1>
          <xm:sqref>H32:H43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Input sheet</vt:lpstr>
      <vt:lpstr>Valuation output</vt:lpstr>
      <vt:lpstr>Stories to Numbers</vt:lpstr>
      <vt:lpstr>What if</vt:lpstr>
      <vt:lpstr>Option value</vt:lpstr>
      <vt:lpstr>Diagnostics</vt:lpstr>
      <vt:lpstr>R&amp; D converter</vt:lpstr>
      <vt:lpstr>Operating lease converter</vt:lpstr>
      <vt:lpstr>Cost of capital worksheet</vt:lpstr>
      <vt:lpstr>Synthetic rating</vt:lpstr>
      <vt:lpstr>Industry Averages(US)</vt:lpstr>
      <vt:lpstr>Global industry averages</vt:lpstr>
      <vt:lpstr>Country tax rates</vt:lpstr>
      <vt:lpstr>Country equity risk premiums</vt:lpstr>
      <vt:lpstr>Trailing 12 month</vt:lpstr>
      <vt:lpstr>Answer keys</vt:lpstr>
    </vt:vector>
  </TitlesOfParts>
  <Company>Stern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Alex</cp:lastModifiedBy>
  <cp:lastPrinted>2011-01-17T15:04:26Z</cp:lastPrinted>
  <dcterms:created xsi:type="dcterms:W3CDTF">2000-02-22T13:53:50Z</dcterms:created>
  <dcterms:modified xsi:type="dcterms:W3CDTF">2017-01-13T15:57:24Z</dcterms:modified>
</cp:coreProperties>
</file>