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/>
  <bookViews>
    <workbookView xWindow="0" yWindow="0" windowWidth="22260" windowHeight="12648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" l="1"/>
  <c r="H11" i="1"/>
  <c r="G11" i="1"/>
  <c r="K11" i="1"/>
  <c r="S3" i="1" s="1"/>
  <c r="Q11" i="1"/>
  <c r="L3" i="1"/>
  <c r="M3" i="1"/>
  <c r="N3" i="1"/>
  <c r="O3" i="1"/>
  <c r="I3" i="1"/>
  <c r="X3" i="1" s="1"/>
  <c r="X11" i="1" s="1"/>
  <c r="I11" i="1" l="1"/>
  <c r="K7" i="1"/>
  <c r="L4" i="1" l="1"/>
  <c r="L5" i="1"/>
  <c r="L6" i="1"/>
  <c r="L8" i="1"/>
  <c r="L9" i="1"/>
  <c r="L10" i="1"/>
  <c r="N5" i="1"/>
  <c r="N6" i="1"/>
  <c r="N8" i="1"/>
  <c r="N9" i="1"/>
  <c r="N10" i="1"/>
  <c r="N4" i="1"/>
  <c r="O5" i="1"/>
  <c r="O6" i="1"/>
  <c r="O8" i="1"/>
  <c r="O9" i="1"/>
  <c r="O10" i="1"/>
  <c r="O4" i="1"/>
  <c r="M5" i="1"/>
  <c r="M6" i="1"/>
  <c r="M8" i="1"/>
  <c r="M9" i="1"/>
  <c r="M10" i="1"/>
  <c r="M4" i="1"/>
  <c r="M11" i="1" s="1"/>
  <c r="T3" i="1" s="1"/>
  <c r="Y3" i="1" s="1"/>
  <c r="O11" i="1" l="1"/>
  <c r="V3" i="1" s="1"/>
  <c r="N11" i="1"/>
  <c r="U3" i="1" s="1"/>
  <c r="L11" i="1"/>
  <c r="R3" i="1"/>
  <c r="L7" i="1"/>
  <c r="O7" i="1" l="1"/>
  <c r="N7" i="1"/>
  <c r="M7" i="1"/>
  <c r="H14" i="1"/>
  <c r="G14" i="1"/>
  <c r="S6" i="1" l="1"/>
  <c r="S10" i="1"/>
  <c r="S7" i="1"/>
  <c r="S4" i="1"/>
  <c r="S8" i="1"/>
  <c r="S5" i="1"/>
  <c r="S9" i="1"/>
  <c r="H13" i="1"/>
  <c r="G13" i="1"/>
  <c r="S11" i="1" l="1"/>
  <c r="V7" i="1"/>
  <c r="V8" i="1"/>
  <c r="V9" i="1"/>
  <c r="V4" i="1"/>
  <c r="V5" i="1"/>
  <c r="V10" i="1"/>
  <c r="V6" i="1"/>
  <c r="T6" i="1"/>
  <c r="Y6" i="1" s="1"/>
  <c r="T10" i="1"/>
  <c r="Y10" i="1" s="1"/>
  <c r="T4" i="1"/>
  <c r="Y4" i="1" s="1"/>
  <c r="T5" i="1"/>
  <c r="Y5" i="1" s="1"/>
  <c r="T7" i="1"/>
  <c r="Y7" i="1" s="1"/>
  <c r="T8" i="1"/>
  <c r="Y8" i="1" s="1"/>
  <c r="T9" i="1"/>
  <c r="Y9" i="1" s="1"/>
  <c r="V11" i="1"/>
  <c r="I5" i="1"/>
  <c r="I6" i="1"/>
  <c r="I7" i="1"/>
  <c r="I8" i="1"/>
  <c r="I9" i="1"/>
  <c r="I10" i="1"/>
  <c r="I4" i="1"/>
  <c r="R10" i="1" l="1"/>
  <c r="R7" i="1"/>
  <c r="R5" i="1"/>
  <c r="R8" i="1"/>
  <c r="R6" i="1"/>
  <c r="R9" i="1"/>
  <c r="R4" i="1"/>
  <c r="T11" i="1"/>
  <c r="X4" i="1"/>
  <c r="X14" i="1"/>
  <c r="X5" i="1" s="1"/>
  <c r="I14" i="1"/>
  <c r="X13" i="1"/>
  <c r="I13" i="1"/>
  <c r="X6" i="1"/>
  <c r="X8" i="1"/>
  <c r="X9" i="1"/>
  <c r="X10" i="1"/>
  <c r="U6" i="1" l="1"/>
  <c r="U10" i="1"/>
  <c r="U8" i="1"/>
  <c r="U5" i="1"/>
  <c r="U4" i="1"/>
  <c r="U7" i="1"/>
  <c r="U9" i="1"/>
  <c r="U11" i="1" l="1"/>
  <c r="R11" i="1" l="1"/>
  <c r="Y11" i="1"/>
  <c r="E3" i="1" l="1"/>
  <c r="E7" i="1"/>
  <c r="E8" i="1"/>
  <c r="E6" i="1"/>
  <c r="E10" i="1"/>
  <c r="E5" i="1"/>
  <c r="E4" i="1"/>
  <c r="E9" i="1"/>
  <c r="E11" i="1" l="1"/>
</calcChain>
</file>

<file path=xl/sharedStrings.xml><?xml version="1.0" encoding="utf-8"?>
<sst xmlns="http://schemas.openxmlformats.org/spreadsheetml/2006/main" count="40" uniqueCount="38">
  <si>
    <t>nom</t>
  </si>
  <si>
    <t>x</t>
  </si>
  <si>
    <t>y</t>
  </si>
  <si>
    <t>Tizers</t>
  </si>
  <si>
    <t>Sheggi</t>
  </si>
  <si>
    <t>JuTeu</t>
  </si>
  <si>
    <t>Henraille_la_fourmi</t>
  </si>
  <si>
    <t>wydjazkob</t>
  </si>
  <si>
    <t>TanPhyLaFourmy</t>
  </si>
  <si>
    <t>OCB_Green</t>
  </si>
  <si>
    <t>TDP</t>
  </si>
  <si>
    <t>Reçoit</t>
  </si>
  <si>
    <t>Doit recevoir</t>
  </si>
  <si>
    <t>TDP²</t>
  </si>
  <si>
    <t>TDC n-1</t>
  </si>
  <si>
    <t>TDC n</t>
  </si>
  <si>
    <t>Colonie JuTeu/OCB</t>
  </si>
  <si>
    <t>Convois semaine</t>
  </si>
  <si>
    <t>Colonie Tizers/OCB</t>
  </si>
  <si>
    <t>total</t>
  </si>
  <si>
    <t>moyenne</t>
  </si>
  <si>
    <t>Coordonnées</t>
  </si>
  <si>
    <t>A faire</t>
  </si>
  <si>
    <t>TDC (en milliers)</t>
  </si>
  <si>
    <t>Calcul des coeffs</t>
  </si>
  <si>
    <t>Production</t>
  </si>
  <si>
    <t>A recevoir</t>
  </si>
  <si>
    <t>10/TDP</t>
  </si>
  <si>
    <t>100/TDP²</t>
  </si>
  <si>
    <t>coeff</t>
  </si>
  <si>
    <t>coeff-1</t>
  </si>
  <si>
    <t>coeff-2</t>
  </si>
  <si>
    <t>B+</t>
  </si>
  <si>
    <t>TDC ~</t>
  </si>
  <si>
    <t>reel</t>
  </si>
  <si>
    <t>2^(N/3)</t>
  </si>
  <si>
    <t>J</t>
  </si>
  <si>
    <t>Kasbrik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</si>
</sst>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A500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43" fontId="4" fillId="0" borderId="4" xfId="2" applyFont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43" fontId="3" fillId="2" borderId="10" xfId="2" applyFont="1" applyFill="1" applyBorder="1" applyAlignment="1">
      <alignment horizontal="center" vertical="center"/>
    </xf>
    <xf numFmtId="43" fontId="3" fillId="2" borderId="11" xfId="2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2" borderId="13" xfId="2" applyFont="1" applyFill="1" applyBorder="1" applyAlignment="1">
      <alignment horizontal="center" vertical="center"/>
    </xf>
    <xf numFmtId="43" fontId="3" fillId="2" borderId="15" xfId="2" applyFont="1" applyFill="1" applyBorder="1" applyAlignment="1">
      <alignment horizontal="center" vertical="center"/>
    </xf>
    <xf numFmtId="43" fontId="3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164" fontId="3" fillId="2" borderId="19" xfId="2" applyNumberFormat="1" applyFont="1" applyFill="1" applyBorder="1" applyAlignment="1">
      <alignment horizontal="center" vertical="center"/>
    </xf>
    <xf numFmtId="164" fontId="3" fillId="2" borderId="20" xfId="2" applyNumberFormat="1" applyFont="1" applyFill="1" applyBorder="1" applyAlignment="1">
      <alignment horizontal="center" vertical="center"/>
    </xf>
    <xf numFmtId="164" fontId="3" fillId="2" borderId="21" xfId="2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2" fontId="3" fillId="2" borderId="3" xfId="2" applyNumberFormat="1" applyFont="1" applyFill="1" applyBorder="1" applyAlignment="1">
      <alignment horizontal="center" vertical="center"/>
    </xf>
    <xf numFmtId="1" fontId="3" fillId="2" borderId="3" xfId="2" applyNumberFormat="1" applyFont="1" applyFill="1" applyBorder="1" applyAlignment="1">
      <alignment horizontal="center" vertical="center"/>
    </xf>
    <xf numFmtId="2" fontId="3" fillId="4" borderId="6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2" fontId="3" fillId="2" borderId="0" xfId="2" applyNumberFormat="1" applyFont="1" applyFill="1" applyBorder="1" applyAlignment="1">
      <alignment horizontal="center" vertical="center"/>
    </xf>
    <xf numFmtId="0" fontId="3" fillId="2" borderId="5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1" fontId="3" fillId="4" borderId="7" xfId="2" applyNumberFormat="1" applyFont="1" applyFill="1" applyBorder="1" applyAlignment="1">
      <alignment horizontal="center" vertical="center"/>
    </xf>
    <xf numFmtId="2" fontId="3" fillId="4" borderId="5" xfId="2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5" borderId="1" xfId="2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3" fontId="5" fillId="5" borderId="5" xfId="2" applyNumberFormat="1" applyFont="1" applyFill="1" applyBorder="1" applyAlignment="1">
      <alignment horizontal="center" vertical="center"/>
    </xf>
    <xf numFmtId="3" fontId="5" fillId="5" borderId="7" xfId="2" applyNumberFormat="1" applyFont="1" applyFill="1" applyBorder="1" applyAlignment="1">
      <alignment horizontal="center" vertical="center"/>
    </xf>
    <xf numFmtId="2" fontId="3" fillId="4" borderId="22" xfId="2" applyNumberFormat="1" applyFont="1" applyFill="1" applyBorder="1" applyAlignment="1">
      <alignment horizontal="center" vertical="center"/>
    </xf>
    <xf numFmtId="43" fontId="3" fillId="2" borderId="23" xfId="2" applyFont="1" applyFill="1" applyBorder="1" applyAlignment="1">
      <alignment horizontal="center" vertical="center"/>
    </xf>
    <xf numFmtId="43" fontId="3" fillId="8" borderId="23" xfId="2" applyFont="1" applyFill="1" applyBorder="1" applyAlignment="1">
      <alignment horizontal="center" vertical="center"/>
    </xf>
    <xf numFmtId="43" fontId="3" fillId="2" borderId="24" xfId="2" applyFont="1" applyFill="1" applyBorder="1" applyAlignment="1">
      <alignment horizontal="center" vertical="center"/>
    </xf>
    <xf numFmtId="43" fontId="3" fillId="2" borderId="25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2" fontId="3" fillId="4" borderId="26" xfId="2" applyNumberFormat="1" applyFont="1" applyFill="1" applyBorder="1" applyAlignment="1">
      <alignment horizontal="center" vertical="center"/>
    </xf>
    <xf numFmtId="0" fontId="3" fillId="4" borderId="27" xfId="2" applyNumberFormat="1" applyFont="1" applyFill="1" applyBorder="1" applyAlignment="1">
      <alignment horizontal="center" vertical="center"/>
    </xf>
    <xf numFmtId="0" fontId="3" fillId="0" borderId="26" xfId="2" applyNumberFormat="1" applyFont="1" applyFill="1" applyBorder="1" applyAlignment="1">
      <alignment horizontal="center" vertical="center"/>
    </xf>
    <xf numFmtId="2" fontId="3" fillId="2" borderId="22" xfId="2" applyNumberFormat="1" applyFont="1" applyFill="1" applyBorder="1" applyAlignment="1">
      <alignment horizontal="center" vertical="center"/>
    </xf>
    <xf numFmtId="2" fontId="3" fillId="2" borderId="27" xfId="2" applyNumberFormat="1" applyFont="1" applyFill="1" applyBorder="1" applyAlignment="1">
      <alignment horizontal="center" vertical="center"/>
    </xf>
    <xf numFmtId="164" fontId="3" fillId="2" borderId="2" xfId="2" applyNumberFormat="1" applyFont="1" applyFill="1" applyBorder="1" applyAlignment="1">
      <alignment horizontal="center" vertical="center"/>
    </xf>
    <xf numFmtId="164" fontId="3" fillId="2" borderId="27" xfId="2" applyNumberFormat="1" applyFont="1" applyFill="1" applyBorder="1" applyAlignment="1">
      <alignment horizontal="center" vertical="center"/>
    </xf>
    <xf numFmtId="164" fontId="3" fillId="2" borderId="28" xfId="2" applyNumberFormat="1" applyFont="1" applyFill="1" applyBorder="1" applyAlignment="1">
      <alignment horizontal="center" vertical="center"/>
    </xf>
    <xf numFmtId="43" fontId="4" fillId="9" borderId="0" xfId="2" applyFont="1" applyFill="1" applyBorder="1" applyAlignment="1">
      <alignment horizontal="center" vertical="center"/>
    </xf>
    <xf numFmtId="0" fontId="3" fillId="9" borderId="0" xfId="2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164" fontId="3" fillId="5" borderId="5" xfId="2" applyNumberFormat="1" applyFont="1" applyFill="1" applyBorder="1" applyAlignment="1">
      <alignment horizontal="center" vertical="center"/>
    </xf>
    <xf numFmtId="164" fontId="3" fillId="5" borderId="6" xfId="2" applyNumberFormat="1" applyFont="1" applyFill="1" applyBorder="1" applyAlignment="1">
      <alignment horizontal="center" vertical="center"/>
    </xf>
    <xf numFmtId="164" fontId="3" fillId="5" borderId="7" xfId="2" applyNumberFormat="1" applyFont="1" applyFill="1" applyBorder="1" applyAlignment="1">
      <alignment horizontal="center" vertical="center"/>
    </xf>
    <xf numFmtId="164" fontId="3" fillId="2" borderId="29" xfId="2" applyNumberFormat="1" applyFont="1" applyFill="1" applyBorder="1" applyAlignment="1">
      <alignment horizontal="center" vertical="center"/>
    </xf>
    <xf numFmtId="11" fontId="3" fillId="0" borderId="0" xfId="2" applyNumberFormat="1" applyFont="1" applyBorder="1" applyAlignment="1">
      <alignment horizontal="center" vertical="center"/>
    </xf>
    <xf numFmtId="11" fontId="3" fillId="4" borderId="22" xfId="2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3" fontId="3" fillId="9" borderId="0" xfId="2" applyFont="1" applyFill="1" applyBorder="1" applyAlignment="1">
      <alignment horizontal="center" vertical="center"/>
    </xf>
    <xf numFmtId="43" fontId="3" fillId="2" borderId="12" xfId="2" applyFont="1" applyFill="1" applyBorder="1" applyAlignment="1">
      <alignment horizontal="center" vertical="center"/>
    </xf>
    <xf numFmtId="43" fontId="3" fillId="2" borderId="13" xfId="2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0021"/>
      <color rgb="FFCC0000"/>
      <color rgb="FF99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21904334911872"/>
          <c:y val="1.5337423312883436E-2"/>
          <c:w val="0.64797265110544455"/>
          <c:h val="0.91258111524403007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Feuil1!$D$3:$D$10</c:f>
              <c:strCache>
                <c:ptCount val="8"/>
                <c:pt idx="0">
                  <c:v>Kasbrik</c:v>
                </c:pt>
                <c:pt idx="1">
                  <c:v>JuTeu</c:v>
                </c:pt>
                <c:pt idx="2">
                  <c:v>Tizers</c:v>
                </c:pt>
                <c:pt idx="3">
                  <c:v>wydjazkob</c:v>
                </c:pt>
                <c:pt idx="4">
                  <c:v>OCB_Green</c:v>
                </c:pt>
                <c:pt idx="5">
                  <c:v>Sheggi</c:v>
                </c:pt>
                <c:pt idx="6">
                  <c:v>Henraille_la_fourmi</c:v>
                </c:pt>
                <c:pt idx="7">
                  <c:v>TanPhyLaFourmy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Feuil1!$B$3:$B$10</c:f>
              <c:numCache>
                <c:formatCode>_-* #\ ##0\ _€_-;\-* #\ ##0\ _€_-;_-* "-"??\ _€_-;_-@_-</c:formatCode>
                <c:ptCount val="8"/>
                <c:pt idx="0">
                  <c:v>40</c:v>
                </c:pt>
                <c:pt idx="1">
                  <c:v>27</c:v>
                </c:pt>
                <c:pt idx="2">
                  <c:v>10</c:v>
                </c:pt>
                <c:pt idx="3">
                  <c:v>34</c:v>
                </c:pt>
                <c:pt idx="4">
                  <c:v>34</c:v>
                </c:pt>
                <c:pt idx="5">
                  <c:v>43</c:v>
                </c:pt>
                <c:pt idx="6">
                  <c:v>36</c:v>
                </c:pt>
                <c:pt idx="7">
                  <c:v>25</c:v>
                </c:pt>
              </c:numCache>
            </c:numRef>
          </c:xVal>
          <c:yVal>
            <c:numRef>
              <c:f>Feuil1!$C$3:$C$10</c:f>
              <c:numCache>
                <c:formatCode>_-* #\ ##0\ _€_-;\-* #\ ##0\ _€_-;_-* "-"??\ _€_-;_-@_-</c:formatCode>
                <c:ptCount val="8"/>
                <c:pt idx="0">
                  <c:v>6</c:v>
                </c:pt>
                <c:pt idx="1">
                  <c:v>22</c:v>
                </c:pt>
                <c:pt idx="2">
                  <c:v>30</c:v>
                </c:pt>
                <c:pt idx="3">
                  <c:v>42</c:v>
                </c:pt>
                <c:pt idx="4">
                  <c:v>59</c:v>
                </c:pt>
                <c:pt idx="5">
                  <c:v>121</c:v>
                </c:pt>
                <c:pt idx="6">
                  <c:v>156</c:v>
                </c:pt>
                <c:pt idx="7">
                  <c:v>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28-4FB0-BFCE-85585B5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839888"/>
        <c:axId val="1274150432"/>
      </c:scatterChart>
      <c:valAx>
        <c:axId val="127083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4150432"/>
        <c:crosses val="autoZero"/>
        <c:crossBetween val="midCat"/>
      </c:valAx>
      <c:valAx>
        <c:axId val="12741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0839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144780</xdr:colOff>
      <xdr:row>15</xdr:row>
      <xdr:rowOff>144780</xdr:rowOff>
    </xdr:from>
    <xdr:to>
      <xdr:col>23</xdr:col>
      <xdr:colOff>30480</xdr:colOff>
      <xdr:row>42</xdr:row>
      <xdr:rowOff>175260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74A2256-12C6-440B-8E4F-FC00C57DD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4.fourmizzz.fr/Membre.php?Pseudo=JuTeu" TargetMode="External"/><Relationship Id="rId7" Type="http://schemas.openxmlformats.org/officeDocument/2006/relationships/hyperlink" Target="http://s4.fourmizzz.fr/Membre.php?Pseudo=OCB_Green" TargetMode="External"/><Relationship Id="rId2" Type="http://schemas.openxmlformats.org/officeDocument/2006/relationships/hyperlink" Target="http://s4.fourmizzz.fr/Membre.php?Pseudo=Sheggi" TargetMode="External"/><Relationship Id="rId1" Type="http://schemas.openxmlformats.org/officeDocument/2006/relationships/hyperlink" Target="http://s4.fourmizzz.fr/Membre.php?Pseudo=Tizers" TargetMode="External"/><Relationship Id="rId6" Type="http://schemas.openxmlformats.org/officeDocument/2006/relationships/hyperlink" Target="http://s4.fourmizzz.fr/Membre.php?Pseudo=TanPhyLaFourmy" TargetMode="External"/><Relationship Id="rId5" Type="http://schemas.openxmlformats.org/officeDocument/2006/relationships/hyperlink" Target="http://s4.fourmizzz.fr/Membre.php?Pseudo=wydjazkob" TargetMode="External"/><Relationship Id="rId4" Type="http://schemas.openxmlformats.org/officeDocument/2006/relationships/hyperlink" Target="http://s4.fourmizzz.fr/Membre.php?Pseudo=Henraille_la_fourmi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7" sqref="K7"/>
    </sheetView>
  </sheetViews>
  <sheetFormatPr baseColWidth="10" defaultColWidth="8.88671875" defaultRowHeight="14.4" x14ac:dyDescent="0.3"/>
  <cols>
    <col min="1" max="1" width="3.77734375" style="1" customWidth="1"/>
    <col min="2" max="2" width="5.77734375" style="1" bestFit="1" customWidth="1"/>
    <col min="3" max="3" width="6.77734375" style="1" bestFit="1" customWidth="1"/>
    <col min="4" max="4" width="18.88671875" style="1" bestFit="1" customWidth="1"/>
    <col min="5" max="5" width="15.109375" style="1" bestFit="1" customWidth="1"/>
    <col min="6" max="6" width="0.88671875" style="1" customWidth="1"/>
    <col min="7" max="9" width="9.21875" style="1" bestFit="1" customWidth="1"/>
    <col min="10" max="10" width="0.88671875" style="1" customWidth="1"/>
    <col min="11" max="11" width="8.33203125" style="1" bestFit="1" customWidth="1"/>
    <col min="12" max="12" width="9.33203125" style="1" bestFit="1" customWidth="1"/>
    <col min="13" max="13" width="8.5546875" style="1" bestFit="1" customWidth="1"/>
    <col min="14" max="14" width="10.21875" style="1" bestFit="1" customWidth="1"/>
    <col min="15" max="15" width="8.88671875" style="1" bestFit="1" customWidth="1"/>
    <col min="16" max="16" width="0.88671875" style="1" customWidth="1"/>
    <col min="17" max="17" width="5.21875" style="1" bestFit="1" customWidth="1"/>
    <col min="18" max="18" width="2.109375" style="1" customWidth="1"/>
    <col min="19" max="19" width="7.5546875" style="1" bestFit="1" customWidth="1"/>
    <col min="20" max="21" width="8.44140625" style="1" bestFit="1" customWidth="1"/>
    <col min="22" max="22" width="7.5546875" bestFit="1" customWidth="1"/>
    <col min="23" max="23" width="0.88671875" style="1" customWidth="1"/>
    <col min="24" max="25" width="16.33203125" style="1" bestFit="1" customWidth="1"/>
    <col min="26" max="26" width="18.88671875" style="1" bestFit="1" customWidth="1"/>
    <col min="27" max="16384" width="8.88671875" style="1"/>
  </cols>
  <sheetData>
    <row r="1" spans="1:28" x14ac:dyDescent="0.3">
      <c r="B1" s="70" t="s">
        <v>21</v>
      </c>
      <c r="C1" s="71"/>
      <c r="D1" s="73" t="s">
        <v>0</v>
      </c>
      <c r="E1" s="20" t="s">
        <v>17</v>
      </c>
      <c r="F1" s="24"/>
      <c r="G1" s="70" t="s">
        <v>23</v>
      </c>
      <c r="H1" s="75"/>
      <c r="I1" s="71"/>
      <c r="J1" s="24"/>
      <c r="K1" s="76" t="s">
        <v>10</v>
      </c>
      <c r="L1" s="77"/>
      <c r="M1" s="77"/>
      <c r="N1" s="77"/>
      <c r="O1" s="30"/>
      <c r="P1" s="24"/>
      <c r="Q1" s="44"/>
      <c r="R1" s="77" t="s">
        <v>24</v>
      </c>
      <c r="S1" s="77"/>
      <c r="T1" s="77"/>
      <c r="U1" s="77"/>
      <c r="V1" s="78"/>
      <c r="W1" s="24"/>
      <c r="X1" s="70" t="s">
        <v>25</v>
      </c>
      <c r="Y1" s="71"/>
      <c r="Z1" s="72"/>
      <c r="AA1" s="11"/>
    </row>
    <row r="2" spans="1:28" ht="15" thickBot="1" x14ac:dyDescent="0.35">
      <c r="A2" s="2"/>
      <c r="B2" s="18" t="s">
        <v>1</v>
      </c>
      <c r="C2" s="19" t="s">
        <v>2</v>
      </c>
      <c r="D2" s="74"/>
      <c r="E2" s="21" t="s">
        <v>22</v>
      </c>
      <c r="F2" s="23"/>
      <c r="G2" s="18" t="s">
        <v>14</v>
      </c>
      <c r="H2" s="22" t="s">
        <v>15</v>
      </c>
      <c r="I2" s="19" t="s">
        <v>33</v>
      </c>
      <c r="J2" s="23"/>
      <c r="K2" s="18" t="s">
        <v>10</v>
      </c>
      <c r="L2" s="22" t="s">
        <v>13</v>
      </c>
      <c r="M2" s="22" t="s">
        <v>27</v>
      </c>
      <c r="N2" s="22" t="s">
        <v>28</v>
      </c>
      <c r="O2" s="19" t="s">
        <v>35</v>
      </c>
      <c r="P2" s="23"/>
      <c r="Q2" s="50" t="s">
        <v>36</v>
      </c>
      <c r="R2" s="48" t="s">
        <v>32</v>
      </c>
      <c r="S2" s="48" t="s">
        <v>29</v>
      </c>
      <c r="T2" s="49" t="s">
        <v>30</v>
      </c>
      <c r="U2" s="48" t="s">
        <v>31</v>
      </c>
      <c r="V2" s="51" t="s">
        <v>34</v>
      </c>
      <c r="W2" s="23"/>
      <c r="X2" s="18" t="s">
        <v>11</v>
      </c>
      <c r="Y2" s="19" t="s">
        <v>12</v>
      </c>
      <c r="Z2" s="72"/>
      <c r="AA2" s="11"/>
    </row>
    <row r="3" spans="1:28" x14ac:dyDescent="0.3">
      <c r="A3" s="2"/>
      <c r="B3" s="27">
        <v>40</v>
      </c>
      <c r="C3" s="10">
        <v>6</v>
      </c>
      <c r="D3" s="4" t="s">
        <v>37</v>
      </c>
      <c r="E3" s="5">
        <f>(Y3-X3)*7+R3-$R$11/8</f>
        <v>298490078.59711653</v>
      </c>
      <c r="F3" s="6"/>
      <c r="G3" s="7">
        <v>56</v>
      </c>
      <c r="H3" s="7">
        <v>61</v>
      </c>
      <c r="I3" s="8">
        <f>(G3+H3)/2</f>
        <v>58.5</v>
      </c>
      <c r="J3" s="6"/>
      <c r="K3" s="9">
        <v>7.5</v>
      </c>
      <c r="L3" s="3">
        <f t="shared" ref="L3" si="0">K3^2</f>
        <v>56.25</v>
      </c>
      <c r="M3" s="3">
        <f>10/K3</f>
        <v>1.3333333333333333</v>
      </c>
      <c r="N3" s="3">
        <f t="shared" ref="N3" si="1">100/(K3^2)</f>
        <v>1.7777777777777777</v>
      </c>
      <c r="O3" s="32">
        <f t="shared" ref="O3" si="2">2^((LN(K3)-LN(2740))/LN(0.9)/3)</f>
        <v>416695.01200692763</v>
      </c>
      <c r="P3" s="23"/>
      <c r="Q3" s="52">
        <v>-3</v>
      </c>
      <c r="R3" s="68">
        <f>(10+Q3)/10*(Y3-X3)*8-(Y3-X3)*8</f>
        <v>-146199222.17001629</v>
      </c>
      <c r="S3" s="35">
        <f>(($K$11-K3)/$K$11+1)</f>
        <v>1.0416866315285098</v>
      </c>
      <c r="T3" s="35">
        <f>M3/$M$11</f>
        <v>0.931724165436151</v>
      </c>
      <c r="U3" s="35">
        <f t="shared" ref="U3" si="3">N3/$N$11</f>
        <v>0.75568083740621717</v>
      </c>
      <c r="V3" s="31">
        <f>O3/$O$11</f>
        <v>0.71309127550898499</v>
      </c>
      <c r="W3" s="23"/>
      <c r="X3" s="27">
        <f>48*I3*1000</f>
        <v>2808000</v>
      </c>
      <c r="Y3" s="67">
        <f>$X$11/8*T3</f>
        <v>63724342.570840113</v>
      </c>
      <c r="Z3" s="61"/>
      <c r="AA3" s="11"/>
    </row>
    <row r="4" spans="1:28" x14ac:dyDescent="0.3">
      <c r="A4" s="2"/>
      <c r="B4" s="58">
        <v>27</v>
      </c>
      <c r="C4" s="60">
        <v>22</v>
      </c>
      <c r="D4" s="4" t="s">
        <v>5</v>
      </c>
      <c r="E4" s="5">
        <f t="shared" ref="E4:E10" si="4">(Y4-X4)*7+R4-$R$11/8</f>
        <v>-824819499.23286712</v>
      </c>
      <c r="F4" s="6"/>
      <c r="G4" s="7">
        <v>4427</v>
      </c>
      <c r="H4" s="7">
        <v>5165</v>
      </c>
      <c r="I4" s="8">
        <f>(G4+H4)/2</f>
        <v>4796</v>
      </c>
      <c r="J4" s="6"/>
      <c r="K4" s="9">
        <v>7.5</v>
      </c>
      <c r="L4" s="3">
        <f t="shared" ref="L4:L10" si="5">K4^2</f>
        <v>56.25</v>
      </c>
      <c r="M4" s="3">
        <f>10/K4</f>
        <v>1.3333333333333333</v>
      </c>
      <c r="N4" s="3">
        <f t="shared" ref="N4:N10" si="6">100/(K4^2)</f>
        <v>1.7777777777777777</v>
      </c>
      <c r="O4" s="32">
        <f t="shared" ref="O4:O10" si="7">2^((LN(K4)-LN(2740))/LN(0.9)/3)</f>
        <v>416695.01200692763</v>
      </c>
      <c r="P4" s="23"/>
      <c r="Q4" s="52">
        <v>0</v>
      </c>
      <c r="R4" s="68">
        <f t="shared" ref="R4:R10" si="8">(10+Q4)/10*(Y4-X4)*8-(Y4-X4)*8</f>
        <v>0</v>
      </c>
      <c r="S4" s="35">
        <f>(($K$11-K4)/$K$11+1)</f>
        <v>1.0416866315285098</v>
      </c>
      <c r="T4" s="35">
        <f>M4/$M$11</f>
        <v>0.931724165436151</v>
      </c>
      <c r="U4" s="35">
        <f t="shared" ref="U4:U10" si="9">N4/$N$11</f>
        <v>0.75568083740621717</v>
      </c>
      <c r="V4" s="31">
        <f>O4/$O$11</f>
        <v>0.71309127550898499</v>
      </c>
      <c r="W4" s="23"/>
      <c r="X4" s="28">
        <f>48*I4*1000-X13</f>
        <v>184166400</v>
      </c>
      <c r="Y4" s="60">
        <f t="shared" ref="Y4:Y10" si="10">$X$11/8*T4</f>
        <v>63724342.570840113</v>
      </c>
      <c r="Z4" s="61"/>
      <c r="AA4" s="11"/>
    </row>
    <row r="5" spans="1:28" x14ac:dyDescent="0.3">
      <c r="A5" s="2"/>
      <c r="B5" s="28">
        <v>10</v>
      </c>
      <c r="C5" s="10">
        <v>30</v>
      </c>
      <c r="D5" s="4" t="s">
        <v>3</v>
      </c>
      <c r="E5" s="5">
        <f t="shared" si="4"/>
        <v>-343398699.23286718</v>
      </c>
      <c r="F5" s="6"/>
      <c r="G5" s="7">
        <v>3241</v>
      </c>
      <c r="H5" s="7">
        <v>2769</v>
      </c>
      <c r="I5" s="8">
        <f t="shared" ref="I5:I10" si="11">(G5+H5)/2</f>
        <v>3005</v>
      </c>
      <c r="J5" s="6"/>
      <c r="K5" s="9">
        <v>7.5</v>
      </c>
      <c r="L5" s="3">
        <f t="shared" si="5"/>
        <v>56.25</v>
      </c>
      <c r="M5" s="3">
        <f t="shared" ref="M5:M10" si="12">10/K5</f>
        <v>1.3333333333333333</v>
      </c>
      <c r="N5" s="3">
        <f t="shared" si="6"/>
        <v>1.7777777777777777</v>
      </c>
      <c r="O5" s="32">
        <f t="shared" si="7"/>
        <v>416695.01200692763</v>
      </c>
      <c r="P5" s="23"/>
      <c r="Q5" s="52">
        <v>0</v>
      </c>
      <c r="R5" s="68">
        <f t="shared" si="8"/>
        <v>0</v>
      </c>
      <c r="S5" s="35">
        <f t="shared" ref="S5:S10" si="13">(($K$11-K5)/$K$11+1)</f>
        <v>1.0416866315285098</v>
      </c>
      <c r="T5" s="35">
        <f t="shared" ref="T5:T10" si="14">M5/$M$11</f>
        <v>0.931724165436151</v>
      </c>
      <c r="U5" s="35">
        <f t="shared" si="9"/>
        <v>0.75568083740621717</v>
      </c>
      <c r="V5" s="31">
        <f t="shared" ref="V5:V11" si="15">O5/$O$11</f>
        <v>0.71309127550898499</v>
      </c>
      <c r="W5" s="23"/>
      <c r="X5" s="28">
        <f>48*I5*1000-X14</f>
        <v>115392000</v>
      </c>
      <c r="Y5" s="60">
        <f t="shared" si="10"/>
        <v>63724342.570840113</v>
      </c>
      <c r="Z5" s="61"/>
      <c r="AA5" s="11"/>
    </row>
    <row r="6" spans="1:28" x14ac:dyDescent="0.3">
      <c r="A6" s="2"/>
      <c r="B6" s="28">
        <v>34</v>
      </c>
      <c r="C6" s="10">
        <v>42</v>
      </c>
      <c r="D6" s="4" t="s">
        <v>7</v>
      </c>
      <c r="E6" s="5">
        <f t="shared" si="4"/>
        <v>-10251321.677769378</v>
      </c>
      <c r="F6" s="6"/>
      <c r="G6" s="7">
        <v>1734</v>
      </c>
      <c r="H6" s="7">
        <v>1386</v>
      </c>
      <c r="I6" s="8">
        <f t="shared" si="11"/>
        <v>1560</v>
      </c>
      <c r="J6" s="6"/>
      <c r="K6" s="9">
        <v>6.75</v>
      </c>
      <c r="L6" s="3">
        <f t="shared" si="5"/>
        <v>45.5625</v>
      </c>
      <c r="M6" s="3">
        <f t="shared" si="12"/>
        <v>1.4814814814814814</v>
      </c>
      <c r="N6" s="3">
        <f t="shared" si="6"/>
        <v>2.1947873799725652</v>
      </c>
      <c r="O6" s="32">
        <f t="shared" si="7"/>
        <v>525002.81701372447</v>
      </c>
      <c r="P6" s="23"/>
      <c r="Q6" s="52">
        <v>0</v>
      </c>
      <c r="R6" s="68">
        <f t="shared" si="8"/>
        <v>0</v>
      </c>
      <c r="S6" s="35">
        <f t="shared" si="13"/>
        <v>1.1375179683756589</v>
      </c>
      <c r="T6" s="35">
        <f t="shared" si="14"/>
        <v>1.0352490727068344</v>
      </c>
      <c r="U6" s="35">
        <f t="shared" si="9"/>
        <v>0.93293930543977432</v>
      </c>
      <c r="V6" s="31">
        <f t="shared" si="15"/>
        <v>0.89843870851015373</v>
      </c>
      <c r="W6" s="23"/>
      <c r="X6" s="28">
        <f>48*I6*1000</f>
        <v>74880000</v>
      </c>
      <c r="Y6" s="60">
        <f t="shared" si="10"/>
        <v>70804825.078711227</v>
      </c>
      <c r="Z6" s="61"/>
      <c r="AA6" s="11"/>
    </row>
    <row r="7" spans="1:28" x14ac:dyDescent="0.3">
      <c r="A7" s="2"/>
      <c r="B7" s="28">
        <v>34</v>
      </c>
      <c r="C7" s="10">
        <v>59</v>
      </c>
      <c r="D7" s="4" t="s">
        <v>9</v>
      </c>
      <c r="E7" s="5">
        <f t="shared" si="4"/>
        <v>263997648.44509774</v>
      </c>
      <c r="F7" s="6"/>
      <c r="G7" s="7">
        <v>700</v>
      </c>
      <c r="H7" s="7">
        <v>264</v>
      </c>
      <c r="I7" s="8">
        <f t="shared" si="11"/>
        <v>482</v>
      </c>
      <c r="J7" s="6"/>
      <c r="K7" s="9">
        <f>3.59</f>
        <v>3.59</v>
      </c>
      <c r="L7" s="3">
        <f t="shared" si="5"/>
        <v>12.8881</v>
      </c>
      <c r="M7" s="3">
        <f t="shared" si="12"/>
        <v>2.785515320334262</v>
      </c>
      <c r="N7" s="3">
        <f t="shared" si="6"/>
        <v>7.7590955998168853</v>
      </c>
      <c r="O7" s="32">
        <f t="shared" si="7"/>
        <v>2096455.4267391332</v>
      </c>
      <c r="P7" s="23"/>
      <c r="Q7" s="52">
        <v>0</v>
      </c>
      <c r="R7" s="68">
        <f t="shared" si="8"/>
        <v>0</v>
      </c>
      <c r="S7" s="35">
        <f t="shared" si="13"/>
        <v>1.5412873342916469</v>
      </c>
      <c r="T7" s="35">
        <f t="shared" si="14"/>
        <v>1.9464989528610399</v>
      </c>
      <c r="U7" s="35">
        <f t="shared" si="9"/>
        <v>3.2981624214662921</v>
      </c>
      <c r="V7" s="31">
        <f t="shared" si="15"/>
        <v>3.5876697133976925</v>
      </c>
      <c r="W7" s="23"/>
      <c r="X7" s="28">
        <f>48*I7*1000+X13+X14</f>
        <v>98025600</v>
      </c>
      <c r="Y7" s="60">
        <f t="shared" si="10"/>
        <v>133128849.38197796</v>
      </c>
      <c r="Z7" s="61"/>
      <c r="AA7" s="11"/>
    </row>
    <row r="8" spans="1:28" x14ac:dyDescent="0.3">
      <c r="A8" s="2"/>
      <c r="B8" s="28">
        <v>43</v>
      </c>
      <c r="C8" s="10">
        <v>121</v>
      </c>
      <c r="D8" s="4" t="s">
        <v>4</v>
      </c>
      <c r="E8" s="5">
        <f t="shared" si="4"/>
        <v>166649300.76713282</v>
      </c>
      <c r="F8" s="6"/>
      <c r="G8" s="7">
        <v>743</v>
      </c>
      <c r="H8" s="7">
        <v>1029</v>
      </c>
      <c r="I8" s="8">
        <f t="shared" si="11"/>
        <v>886</v>
      </c>
      <c r="J8" s="6"/>
      <c r="K8" s="9">
        <v>7.5</v>
      </c>
      <c r="L8" s="3">
        <f t="shared" si="5"/>
        <v>56.25</v>
      </c>
      <c r="M8" s="3">
        <f t="shared" si="12"/>
        <v>1.3333333333333333</v>
      </c>
      <c r="N8" s="3">
        <f t="shared" si="6"/>
        <v>1.7777777777777777</v>
      </c>
      <c r="O8" s="32">
        <f t="shared" si="7"/>
        <v>416695.01200692763</v>
      </c>
      <c r="P8" s="23"/>
      <c r="Q8" s="52">
        <v>0</v>
      </c>
      <c r="R8" s="68">
        <f t="shared" si="8"/>
        <v>0</v>
      </c>
      <c r="S8" s="35">
        <f t="shared" si="13"/>
        <v>1.0416866315285098</v>
      </c>
      <c r="T8" s="35">
        <f t="shared" si="14"/>
        <v>0.931724165436151</v>
      </c>
      <c r="U8" s="35">
        <f t="shared" si="9"/>
        <v>0.75568083740621717</v>
      </c>
      <c r="V8" s="31">
        <f t="shared" si="15"/>
        <v>0.71309127550898499</v>
      </c>
      <c r="W8" s="23"/>
      <c r="X8" s="28">
        <f>48*I8*1000</f>
        <v>42528000</v>
      </c>
      <c r="Y8" s="60">
        <f t="shared" si="10"/>
        <v>63724342.570840113</v>
      </c>
      <c r="Z8" s="61"/>
      <c r="AA8" s="11"/>
    </row>
    <row r="9" spans="1:28" x14ac:dyDescent="0.3">
      <c r="A9" s="2"/>
      <c r="B9" s="28">
        <v>36</v>
      </c>
      <c r="C9" s="10">
        <v>156</v>
      </c>
      <c r="D9" s="4" t="s">
        <v>6</v>
      </c>
      <c r="E9" s="5">
        <f t="shared" si="4"/>
        <v>266781283.02681902</v>
      </c>
      <c r="F9" s="6"/>
      <c r="G9" s="7">
        <v>307</v>
      </c>
      <c r="H9" s="7">
        <v>362</v>
      </c>
      <c r="I9" s="8">
        <f t="shared" si="11"/>
        <v>334.5</v>
      </c>
      <c r="J9" s="6"/>
      <c r="K9" s="9">
        <v>9.27</v>
      </c>
      <c r="L9" s="3">
        <f t="shared" si="5"/>
        <v>85.932899999999989</v>
      </c>
      <c r="M9" s="3">
        <f t="shared" si="12"/>
        <v>1.0787486515641855</v>
      </c>
      <c r="N9" s="3">
        <f t="shared" si="6"/>
        <v>1.1636986532515488</v>
      </c>
      <c r="O9" s="32">
        <f t="shared" si="7"/>
        <v>261834.88996859701</v>
      </c>
      <c r="P9" s="23"/>
      <c r="Q9" s="52">
        <v>0</v>
      </c>
      <c r="R9" s="68">
        <f t="shared" si="8"/>
        <v>0</v>
      </c>
      <c r="S9" s="35">
        <f t="shared" si="13"/>
        <v>0.81552467656923822</v>
      </c>
      <c r="T9" s="35">
        <f t="shared" si="14"/>
        <v>0.75382214032051054</v>
      </c>
      <c r="U9" s="35">
        <f t="shared" si="9"/>
        <v>0.49465393468740987</v>
      </c>
      <c r="V9" s="31">
        <f t="shared" si="15"/>
        <v>0.44807873931871656</v>
      </c>
      <c r="W9" s="23"/>
      <c r="X9" s="28">
        <f>48*I9*1000</f>
        <v>16056000</v>
      </c>
      <c r="Y9" s="60">
        <f t="shared" si="10"/>
        <v>51556911.465080999</v>
      </c>
      <c r="Z9" s="61"/>
      <c r="AA9" s="11"/>
    </row>
    <row r="10" spans="1:28" ht="15" thickBot="1" x14ac:dyDescent="0.35">
      <c r="A10" s="2"/>
      <c r="B10" s="29">
        <v>25</v>
      </c>
      <c r="C10" s="59">
        <v>173</v>
      </c>
      <c r="D10" s="4" t="s">
        <v>8</v>
      </c>
      <c r="E10" s="5">
        <f t="shared" si="4"/>
        <v>182551209.30733716</v>
      </c>
      <c r="F10" s="6"/>
      <c r="G10" s="7">
        <v>277</v>
      </c>
      <c r="H10" s="7">
        <v>277</v>
      </c>
      <c r="I10" s="8">
        <f t="shared" si="11"/>
        <v>277</v>
      </c>
      <c r="J10" s="6"/>
      <c r="K10" s="9">
        <v>13</v>
      </c>
      <c r="L10" s="3">
        <f t="shared" si="5"/>
        <v>169</v>
      </c>
      <c r="M10" s="3">
        <f t="shared" si="12"/>
        <v>0.76923076923076927</v>
      </c>
      <c r="N10" s="3">
        <f t="shared" si="6"/>
        <v>0.59171597633136097</v>
      </c>
      <c r="O10" s="32">
        <f t="shared" si="7"/>
        <v>124728.22242734386</v>
      </c>
      <c r="P10" s="23"/>
      <c r="Q10" s="55">
        <v>0</v>
      </c>
      <c r="R10" s="68">
        <f t="shared" si="8"/>
        <v>0</v>
      </c>
      <c r="S10" s="56">
        <f t="shared" si="13"/>
        <v>0.33892349464941696</v>
      </c>
      <c r="T10" s="56">
        <f t="shared" si="14"/>
        <v>0.53753317236701026</v>
      </c>
      <c r="U10" s="56">
        <f t="shared" si="9"/>
        <v>0.25152098878165513</v>
      </c>
      <c r="V10" s="57">
        <f t="shared" si="15"/>
        <v>0.21344773673749745</v>
      </c>
      <c r="W10" s="23"/>
      <c r="X10" s="29">
        <f>48*I10*1000</f>
        <v>13296000</v>
      </c>
      <c r="Y10" s="10">
        <f t="shared" si="10"/>
        <v>36764043.790869303</v>
      </c>
      <c r="Z10" s="61"/>
      <c r="AA10" s="11"/>
    </row>
    <row r="11" spans="1:28" ht="15" thickBot="1" x14ac:dyDescent="0.35">
      <c r="A11" s="2"/>
      <c r="B11" s="36"/>
      <c r="C11" s="37"/>
      <c r="D11" s="38"/>
      <c r="E11" s="43">
        <f>SUM(E3:E10)</f>
        <v>-5.0663948059082031E-7</v>
      </c>
      <c r="F11" s="34"/>
      <c r="G11" s="64">
        <f>SUM(G3:G10)</f>
        <v>11485</v>
      </c>
      <c r="H11" s="65">
        <f>SUM(H3:H10)</f>
        <v>11313</v>
      </c>
      <c r="I11" s="66">
        <f>SUM(I3:I10)</f>
        <v>11399</v>
      </c>
      <c r="J11" s="34"/>
      <c r="K11" s="40">
        <f>AVERAGE(K3:K10)</f>
        <v>7.8262499999999999</v>
      </c>
      <c r="L11" s="33">
        <f>AVERAGE(L3:L10)</f>
        <v>67.297937500000003</v>
      </c>
      <c r="M11" s="33">
        <f>AVERAGE(M3:M10)</f>
        <v>1.431038694493004</v>
      </c>
      <c r="N11" s="33">
        <f>AVERAGE(N3:N10)</f>
        <v>2.3525510900604338</v>
      </c>
      <c r="O11" s="39">
        <f>AVERAGE(O3:O10)</f>
        <v>584350.17552206363</v>
      </c>
      <c r="P11" s="34"/>
      <c r="Q11" s="53">
        <f>AVERAGE(Q3:Q10)</f>
        <v>-0.375</v>
      </c>
      <c r="R11" s="69">
        <f>SUM(R3:R10)</f>
        <v>-146199222.17001629</v>
      </c>
      <c r="S11" s="47">
        <f>AVERAGE(S3:S10)</f>
        <v>0.99999999999999989</v>
      </c>
      <c r="T11" s="47">
        <f>AVERAGE(T3:T10)</f>
        <v>0.99999999999999989</v>
      </c>
      <c r="U11" s="47">
        <f>AVERAGE(U3:U10)</f>
        <v>1</v>
      </c>
      <c r="V11" s="54">
        <f t="shared" si="15"/>
        <v>1</v>
      </c>
      <c r="W11" s="34"/>
      <c r="X11" s="45">
        <f>SUM(X3:X10)</f>
        <v>547152000</v>
      </c>
      <c r="Y11" s="46">
        <f>SUM(Y3:Y10)</f>
        <v>547152000</v>
      </c>
      <c r="Z11" s="62"/>
      <c r="AA11" s="11"/>
      <c r="AB11" s="11"/>
    </row>
    <row r="12" spans="1:28" x14ac:dyDescent="0.3">
      <c r="B12" s="12"/>
      <c r="D12" s="11"/>
      <c r="E12" s="11"/>
      <c r="F12" s="24"/>
      <c r="G12" s="11"/>
      <c r="H12" s="11"/>
      <c r="I12" s="11"/>
      <c r="J12" s="24"/>
      <c r="K12" s="11"/>
      <c r="L12" s="11"/>
      <c r="M12" s="11"/>
      <c r="N12" s="11"/>
      <c r="O12" s="11"/>
      <c r="P12" s="24"/>
      <c r="Q12" s="24"/>
      <c r="R12" s="41"/>
      <c r="S12" s="11"/>
      <c r="T12" s="11"/>
      <c r="U12" s="11"/>
      <c r="W12" s="24"/>
      <c r="X12" s="11"/>
      <c r="Y12" s="11"/>
      <c r="Z12" s="63"/>
      <c r="AA12" s="11"/>
    </row>
    <row r="13" spans="1:28" x14ac:dyDescent="0.3">
      <c r="B13" s="12"/>
      <c r="D13" s="1" t="s">
        <v>16</v>
      </c>
      <c r="G13" s="13">
        <f t="shared" ref="G13:I14" si="16">G4</f>
        <v>4427</v>
      </c>
      <c r="H13" s="13">
        <f t="shared" si="16"/>
        <v>5165</v>
      </c>
      <c r="I13" s="13">
        <f t="shared" si="16"/>
        <v>4796</v>
      </c>
      <c r="J13" s="25"/>
      <c r="P13" s="24"/>
      <c r="Q13" s="24"/>
      <c r="R13" s="42"/>
      <c r="X13" s="13">
        <f>48*I4*1000*0.2</f>
        <v>46041600</v>
      </c>
      <c r="Z13" s="63"/>
    </row>
    <row r="14" spans="1:28" x14ac:dyDescent="0.3">
      <c r="B14" s="12"/>
      <c r="D14" s="1" t="s">
        <v>18</v>
      </c>
      <c r="G14" s="13">
        <f t="shared" si="16"/>
        <v>3241</v>
      </c>
      <c r="H14" s="13">
        <f t="shared" si="16"/>
        <v>2769</v>
      </c>
      <c r="I14" s="13">
        <f t="shared" si="16"/>
        <v>3005</v>
      </c>
      <c r="J14" s="13"/>
      <c r="P14" s="11"/>
      <c r="Q14" s="11"/>
      <c r="R14" s="42"/>
      <c r="X14" s="13">
        <f>48*I5*1000*0.2</f>
        <v>28848000</v>
      </c>
    </row>
    <row r="15" spans="1:28" x14ac:dyDescent="0.3">
      <c r="B15" s="12"/>
      <c r="K15" s="26"/>
      <c r="R15" s="42"/>
    </row>
    <row r="16" spans="1:28" x14ac:dyDescent="0.3">
      <c r="B16" s="12"/>
      <c r="K16" s="26"/>
      <c r="R16" s="42"/>
    </row>
    <row r="17" spans="2:18" x14ac:dyDescent="0.3">
      <c r="B17" s="12"/>
      <c r="D17" s="14" t="s">
        <v>19</v>
      </c>
      <c r="K17" s="26"/>
      <c r="R17" s="42"/>
    </row>
    <row r="18" spans="2:18" x14ac:dyDescent="0.3">
      <c r="B18" s="12"/>
      <c r="D18" s="15" t="s">
        <v>20</v>
      </c>
      <c r="K18" s="26"/>
      <c r="R18" s="42"/>
    </row>
    <row r="19" spans="2:18" x14ac:dyDescent="0.3">
      <c r="B19" s="12"/>
      <c r="D19" s="16" t="s">
        <v>22</v>
      </c>
      <c r="K19" s="26"/>
      <c r="R19" s="42"/>
    </row>
    <row r="20" spans="2:18" x14ac:dyDescent="0.3">
      <c r="B20" s="12"/>
      <c r="D20" s="17" t="s">
        <v>26</v>
      </c>
      <c r="K20" s="26"/>
      <c r="R20" s="42"/>
    </row>
    <row r="21" spans="2:18" x14ac:dyDescent="0.3">
      <c r="B21" s="12"/>
      <c r="K21" s="26"/>
      <c r="R21" s="26"/>
    </row>
    <row r="22" spans="2:18" x14ac:dyDescent="0.3">
      <c r="B22" s="12"/>
      <c r="K22" s="26"/>
      <c r="R22" s="26"/>
    </row>
    <row r="23" spans="2:18" x14ac:dyDescent="0.3">
      <c r="B23" s="12"/>
      <c r="K23" s="26"/>
      <c r="R23" s="26"/>
    </row>
    <row r="24" spans="2:18" x14ac:dyDescent="0.3">
      <c r="B24" s="12"/>
    </row>
    <row r="25" spans="2:18" x14ac:dyDescent="0.3">
      <c r="B25" s="12"/>
    </row>
    <row r="26" spans="2:18" x14ac:dyDescent="0.3">
      <c r="B26" s="12"/>
    </row>
    <row r="27" spans="2:18" x14ac:dyDescent="0.3">
      <c r="B27" s="12"/>
    </row>
    <row r="28" spans="2:18" x14ac:dyDescent="0.3">
      <c r="B28" s="12"/>
    </row>
    <row r="29" spans="2:18" x14ac:dyDescent="0.3">
      <c r="B29" s="12"/>
    </row>
    <row r="30" spans="2:18" x14ac:dyDescent="0.3">
      <c r="B30" s="12"/>
    </row>
  </sheetData>
  <sortState ref="B4:D10">
    <sortCondition ref="C4:C10"/>
  </sortState>
  <mergeCells count="7">
    <mergeCell ref="X1:Y1"/>
    <mergeCell ref="Z1:Z2"/>
    <mergeCell ref="B1:C1"/>
    <mergeCell ref="D1:D2"/>
    <mergeCell ref="G1:I1"/>
    <mergeCell ref="K1:N1"/>
    <mergeCell ref="R1:V1"/>
  </mergeCells>
  <conditionalFormatting sqref="E3:E10">
    <cfRule type="cellIs" dxfId="8" priority="17" operator="lessThan">
      <formula>-1387343.28</formula>
    </cfRule>
    <cfRule type="cellIs" dxfId="7" priority="18" operator="greaterThan">
      <formula>-1387343.28</formula>
    </cfRule>
    <cfRule type="cellIs" dxfId="6" priority="19" operator="lessThan">
      <formula>3990272.85</formula>
    </cfRule>
    <cfRule type="cellIs" dxfId="5" priority="20" operator="greaterThan">
      <formula>3990272.85</formula>
    </cfRule>
  </conditionalFormatting>
  <conditionalFormatting sqref="E11">
    <cfRule type="cellIs" dxfId="4" priority="15" operator="equal">
      <formula>0</formula>
    </cfRule>
    <cfRule type="cellIs" dxfId="3" priority="16" operator="equal">
      <formula>0</formula>
    </cfRule>
  </conditionalFormatting>
  <conditionalFormatting sqref="X11:Y11">
    <cfRule type="duplicateValues" dxfId="2" priority="14"/>
  </conditionalFormatting>
  <conditionalFormatting sqref="T11:V11 Q11:R11">
    <cfRule type="cellIs" dxfId="1" priority="13" operator="equal">
      <formula>1</formula>
    </cfRule>
  </conditionalFormatting>
  <conditionalFormatting sqref="S11">
    <cfRule type="cellIs" dxfId="0" priority="5" operator="equal">
      <formula>1</formula>
    </cfRule>
  </conditionalFormatting>
  <hyperlinks>
    <hyperlink ref="D5" r:id="rId1" display="http://s4.fourmizzz.fr/Membre.php?Pseudo=Tizers"/>
    <hyperlink ref="D8" r:id="rId2" display="http://s4.fourmizzz.fr/Membre.php?Pseudo=Sheggi"/>
    <hyperlink ref="D4" r:id="rId3" display="http://s4.fourmizzz.fr/Membre.php?Pseudo=JuTeu"/>
    <hyperlink ref="D9" r:id="rId4" display="http://s4.fourmizzz.fr/Membre.php?Pseudo=Henraille_la_fourmi"/>
    <hyperlink ref="D6" r:id="rId5" display="http://s4.fourmizzz.fr/Membre.php?Pseudo=wydjazkob"/>
    <hyperlink ref="D10" r:id="rId6" display="http://s4.fourmizzz.fr/Membre.php?Pseudo=TanPhyLaFourmy"/>
    <hyperlink ref="D7" r:id="rId7" display="http://s4.fourmizzz.fr/Membre.php?Pseudo=OCB_Green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2017-02-23T16:37:11Z</dcterms:modified>
</cp:coreProperties>
</file>