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yannick\Desktop\"/>
    </mc:Choice>
  </mc:AlternateContent>
  <bookViews>
    <workbookView xWindow="0" yWindow="0" windowWidth="20490" windowHeight="7755" tabRatio="608"/>
  </bookViews>
  <sheets>
    <sheet name="Production Villages" sheetId="7" r:id="rId1"/>
    <sheet name="Troupes Romaines" sheetId="1" r:id="rId2"/>
    <sheet name="Troupes Gauloises" sheetId="2" r:id="rId3"/>
    <sheet name="Troupes Germaines" sheetId="3" r:id="rId4"/>
    <sheet name="Feuille de calculs romains" sheetId="4" r:id="rId5"/>
    <sheet name="Feuille de calculs gaulois" sheetId="5" r:id="rId6"/>
    <sheet name="Feuille de calculs germains" sheetId="6" r:id="rId7"/>
  </sheets>
  <definedNames>
    <definedName name="Artefact">'Feuille de calculs romains'!$E$34:$E$36</definedName>
    <definedName name="fsdfsdf">'Troupes Romaines'!$D$26:$D$28</definedName>
    <definedName name="Intervalle_de_temps">'Feuille de calculs romains'!$A$29:$A$37</definedName>
    <definedName name="Niveau">'Feuille de calculs romains'!$A$2:$A$22</definedName>
    <definedName name="Objet">'Feuille de calculs romains'!$E$28:$E$31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 i="1" l="1"/>
  <c r="D37" i="4" s="1"/>
  <c r="F4" i="7"/>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3" i="7"/>
  <c r="A5" i="7"/>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 i="7"/>
  <c r="D34" i="4" l="1"/>
  <c r="D31" i="4"/>
  <c r="D35" i="4"/>
  <c r="D32" i="4"/>
  <c r="D30" i="4"/>
  <c r="D36" i="4"/>
  <c r="D29" i="4"/>
  <c r="D33" i="4"/>
  <c r="M47" i="4"/>
  <c r="M41" i="4"/>
  <c r="M42" i="4"/>
  <c r="M43" i="4"/>
  <c r="M44" i="4"/>
  <c r="M45" i="4"/>
  <c r="M46" i="4"/>
  <c r="M40" i="4"/>
  <c r="G28" i="4"/>
  <c r="G34" i="4"/>
  <c r="G36" i="4"/>
  <c r="G35" i="4"/>
  <c r="K3" i="7" l="1"/>
  <c r="K11" i="7" s="1"/>
  <c r="L3" i="7"/>
  <c r="L11" i="7" s="1"/>
  <c r="J3" i="7"/>
  <c r="J11" i="7" s="1"/>
  <c r="I3" i="7"/>
  <c r="G31" i="4"/>
  <c r="G30" i="4"/>
  <c r="G29" i="4"/>
  <c r="C37" i="4"/>
  <c r="C36" i="4"/>
  <c r="C35" i="4"/>
  <c r="C34" i="4"/>
  <c r="C33" i="4"/>
  <c r="C32" i="4"/>
  <c r="C31" i="4"/>
  <c r="C30" i="4"/>
  <c r="C29" i="4"/>
  <c r="J2" i="4"/>
  <c r="I3" i="4"/>
  <c r="I4" i="4"/>
  <c r="I5" i="4"/>
  <c r="I6" i="4"/>
  <c r="I7" i="4"/>
  <c r="I8" i="4"/>
  <c r="I9" i="4"/>
  <c r="I10" i="4"/>
  <c r="I11" i="4"/>
  <c r="I12" i="4"/>
  <c r="I13" i="4"/>
  <c r="I14" i="4"/>
  <c r="I15" i="4"/>
  <c r="I16" i="4"/>
  <c r="I17" i="4"/>
  <c r="I18" i="4"/>
  <c r="I19" i="4"/>
  <c r="I20" i="4"/>
  <c r="I21" i="4"/>
  <c r="I22" i="4"/>
  <c r="H3" i="4"/>
  <c r="H4" i="4"/>
  <c r="H5" i="4"/>
  <c r="H6" i="4"/>
  <c r="H7" i="4"/>
  <c r="H8" i="4"/>
  <c r="H9" i="4"/>
  <c r="H10" i="4"/>
  <c r="H11" i="4"/>
  <c r="H12" i="4"/>
  <c r="H13" i="4"/>
  <c r="H14" i="4"/>
  <c r="H15" i="4"/>
  <c r="H16" i="4"/>
  <c r="H17" i="4"/>
  <c r="H18" i="4"/>
  <c r="H19" i="4"/>
  <c r="H20" i="4"/>
  <c r="H21" i="4"/>
  <c r="H22" i="4"/>
  <c r="I2" i="4"/>
  <c r="H2" i="4"/>
  <c r="G3" i="4"/>
  <c r="G4" i="4"/>
  <c r="G5" i="4"/>
  <c r="G6" i="4"/>
  <c r="G7" i="4"/>
  <c r="G8" i="4"/>
  <c r="G9" i="4"/>
  <c r="G10" i="4"/>
  <c r="G11" i="4"/>
  <c r="G12" i="4"/>
  <c r="G13" i="4"/>
  <c r="G14" i="4"/>
  <c r="G15" i="4"/>
  <c r="G16" i="4"/>
  <c r="G17" i="4"/>
  <c r="G18" i="4"/>
  <c r="G19" i="4"/>
  <c r="G20" i="4"/>
  <c r="G21" i="4"/>
  <c r="G22" i="4"/>
  <c r="F3" i="4"/>
  <c r="F4" i="4"/>
  <c r="F5" i="4"/>
  <c r="F6" i="4"/>
  <c r="F7" i="4"/>
  <c r="F8" i="4"/>
  <c r="F9" i="4"/>
  <c r="F10" i="4"/>
  <c r="F11" i="4"/>
  <c r="F12" i="4"/>
  <c r="F13" i="4"/>
  <c r="F14" i="4"/>
  <c r="F15" i="4"/>
  <c r="F16" i="4"/>
  <c r="F17" i="4"/>
  <c r="F18" i="4"/>
  <c r="F19" i="4"/>
  <c r="F20" i="4"/>
  <c r="F21" i="4"/>
  <c r="F22" i="4"/>
  <c r="G2" i="4"/>
  <c r="F2" i="4"/>
  <c r="E3" i="4"/>
  <c r="E4" i="4"/>
  <c r="E5" i="4"/>
  <c r="E6" i="4"/>
  <c r="E7" i="4"/>
  <c r="E8" i="4"/>
  <c r="E9" i="4"/>
  <c r="E10" i="4"/>
  <c r="E11" i="4"/>
  <c r="E12" i="4"/>
  <c r="E13" i="4"/>
  <c r="E14" i="4"/>
  <c r="E15" i="4"/>
  <c r="E16" i="4"/>
  <c r="E17" i="4"/>
  <c r="E18" i="4"/>
  <c r="E19" i="4"/>
  <c r="E20" i="4"/>
  <c r="E21" i="4"/>
  <c r="E22" i="4"/>
  <c r="E2" i="4"/>
  <c r="J22" i="4"/>
  <c r="J21" i="4"/>
  <c r="J20" i="4"/>
  <c r="J19" i="4"/>
  <c r="J18" i="4"/>
  <c r="J17" i="4"/>
  <c r="J16" i="4"/>
  <c r="J15" i="4"/>
  <c r="J14" i="4"/>
  <c r="J13" i="4"/>
  <c r="J12" i="4"/>
  <c r="J11" i="4"/>
  <c r="J10" i="4"/>
  <c r="J9" i="4"/>
  <c r="J8" i="4"/>
  <c r="J7" i="4"/>
  <c r="J6" i="4"/>
  <c r="J5" i="4"/>
  <c r="J4" i="4"/>
  <c r="J3" i="4"/>
  <c r="I11" i="7" l="1"/>
  <c r="M3" i="7"/>
  <c r="M11" i="7" s="1"/>
  <c r="B53" i="4"/>
  <c r="B54" i="4"/>
  <c r="D54" i="4" s="1"/>
  <c r="E54" i="4" s="1"/>
  <c r="B27" i="1" s="1"/>
  <c r="N33" i="4" s="1"/>
  <c r="C27" i="1" s="1"/>
  <c r="E27" i="1" s="1"/>
  <c r="B55" i="4"/>
  <c r="B51" i="4"/>
  <c r="D51" i="4" s="1"/>
  <c r="E51" i="4" s="1"/>
  <c r="B24" i="1" s="1"/>
  <c r="B52" i="4"/>
  <c r="D52" i="4" s="1"/>
  <c r="E52" i="4" s="1"/>
  <c r="B25" i="1" s="1"/>
  <c r="B50" i="4"/>
  <c r="D50" i="4" s="1"/>
  <c r="E50" i="4" s="1"/>
  <c r="B23" i="1" s="1"/>
  <c r="B43" i="4"/>
  <c r="C43" i="4" s="1"/>
  <c r="D43" i="4" s="1"/>
  <c r="E43" i="4" s="1"/>
  <c r="B16" i="1" s="1"/>
  <c r="L32" i="4" s="1"/>
  <c r="C16" i="1" s="1"/>
  <c r="B46" i="4"/>
  <c r="E46" i="4" s="1"/>
  <c r="B19" i="1" s="1"/>
  <c r="L35" i="4" s="1"/>
  <c r="C19" i="1" s="1"/>
  <c r="B41" i="4"/>
  <c r="D41" i="4" s="1"/>
  <c r="E41" i="4" s="1"/>
  <c r="B14" i="1" s="1"/>
  <c r="L30" i="4" s="1"/>
  <c r="C14" i="1" s="1"/>
  <c r="B47" i="4"/>
  <c r="E47" i="4" s="1"/>
  <c r="B20" i="1" s="1"/>
  <c r="L36" i="4" s="1"/>
  <c r="C20" i="1" s="1"/>
  <c r="B42" i="4"/>
  <c r="D42" i="4" s="1"/>
  <c r="E42" i="4" s="1"/>
  <c r="B15" i="1" s="1"/>
  <c r="L31" i="4" s="1"/>
  <c r="C15" i="1" s="1"/>
  <c r="B44" i="4"/>
  <c r="C44" i="4" s="1"/>
  <c r="D44" i="4" s="1"/>
  <c r="E44" i="4" s="1"/>
  <c r="B17" i="1" s="1"/>
  <c r="L33" i="4" s="1"/>
  <c r="C17" i="1" s="1"/>
  <c r="B45" i="4"/>
  <c r="C45" i="4" s="1"/>
  <c r="D45" i="4" s="1"/>
  <c r="E45" i="4" s="1"/>
  <c r="B18" i="1" s="1"/>
  <c r="L34" i="4" s="1"/>
  <c r="C18" i="1" s="1"/>
  <c r="B40" i="4"/>
  <c r="D40" i="4" s="1"/>
  <c r="E40" i="4" s="1"/>
  <c r="B13" i="1" s="1"/>
  <c r="D15" i="1" l="1"/>
  <c r="E15" i="1"/>
  <c r="F15" i="1"/>
  <c r="G15" i="1"/>
  <c r="F17" i="1"/>
  <c r="G17" i="1"/>
  <c r="E17" i="1"/>
  <c r="D17" i="1"/>
  <c r="D19" i="1"/>
  <c r="E19" i="1"/>
  <c r="F19" i="1"/>
  <c r="J8" i="1"/>
  <c r="G19" i="1"/>
  <c r="E16" i="1"/>
  <c r="F16" i="1"/>
  <c r="G16" i="1"/>
  <c r="D16" i="1"/>
  <c r="E20" i="1"/>
  <c r="F20" i="1"/>
  <c r="D20" i="1"/>
  <c r="J9" i="1"/>
  <c r="G20" i="1"/>
  <c r="G18" i="1"/>
  <c r="E18" i="1"/>
  <c r="F18" i="1"/>
  <c r="D18" i="1"/>
  <c r="G14" i="1"/>
  <c r="D14" i="1"/>
  <c r="E14" i="1"/>
  <c r="F14" i="1"/>
  <c r="J6" i="1"/>
  <c r="F27" i="1"/>
  <c r="G27" i="1"/>
  <c r="D27" i="1"/>
  <c r="H27" i="1" s="1"/>
  <c r="C54" i="4"/>
  <c r="L15" i="1"/>
  <c r="K15" i="1"/>
  <c r="J15" i="1"/>
  <c r="L18" i="1"/>
  <c r="K18" i="1"/>
  <c r="J18" i="1"/>
  <c r="I18" i="1"/>
  <c r="L14" i="1"/>
  <c r="K14" i="1"/>
  <c r="J14" i="1"/>
  <c r="L19" i="1"/>
  <c r="O8" i="1" s="1"/>
  <c r="K19" i="1"/>
  <c r="N8" i="1" s="1"/>
  <c r="J19" i="1"/>
  <c r="M8" i="1" s="1"/>
  <c r="I16" i="1"/>
  <c r="L16" i="1"/>
  <c r="K16" i="1"/>
  <c r="J16" i="1"/>
  <c r="L17" i="1"/>
  <c r="K17" i="1"/>
  <c r="J17" i="1"/>
  <c r="L20" i="1"/>
  <c r="O9" i="1" s="1"/>
  <c r="K20" i="1"/>
  <c r="N9" i="1" s="1"/>
  <c r="J20" i="1"/>
  <c r="M9" i="1" s="1"/>
  <c r="N31" i="4"/>
  <c r="C25" i="1" s="1"/>
  <c r="J4" i="1" s="1"/>
  <c r="N30" i="4"/>
  <c r="C24" i="1" s="1"/>
  <c r="N29" i="4"/>
  <c r="C23" i="1" s="1"/>
  <c r="K27" i="1"/>
  <c r="N6" i="1" s="1"/>
  <c r="J27" i="1"/>
  <c r="M6" i="1" s="1"/>
  <c r="L27" i="1"/>
  <c r="G44" i="4"/>
  <c r="D55" i="4"/>
  <c r="E55" i="4" s="1"/>
  <c r="B28" i="1" s="1"/>
  <c r="C55" i="4"/>
  <c r="C53" i="4"/>
  <c r="D53" i="4"/>
  <c r="E53" i="4" s="1"/>
  <c r="B26" i="1" s="1"/>
  <c r="I17" i="1"/>
  <c r="I19" i="1"/>
  <c r="L8" i="1" s="1"/>
  <c r="I15" i="1"/>
  <c r="I20" i="1"/>
  <c r="L9" i="1" s="1"/>
  <c r="I14" i="1"/>
  <c r="L29" i="4"/>
  <c r="C13" i="1" s="1"/>
  <c r="G40" i="4"/>
  <c r="H18" i="1" l="1"/>
  <c r="N18" i="1" s="1"/>
  <c r="O6" i="1"/>
  <c r="G23" i="1"/>
  <c r="F23" i="1"/>
  <c r="D23" i="1"/>
  <c r="E23" i="1"/>
  <c r="D24" i="1"/>
  <c r="E24" i="1"/>
  <c r="F24" i="1"/>
  <c r="G24" i="1"/>
  <c r="H14" i="1"/>
  <c r="M14" i="1" s="1"/>
  <c r="H16" i="1"/>
  <c r="N16" i="1" s="1"/>
  <c r="H19" i="1"/>
  <c r="K8" i="1" s="1"/>
  <c r="P8" i="1" s="1"/>
  <c r="I27" i="1"/>
  <c r="L6" i="1" s="1"/>
  <c r="E25" i="1"/>
  <c r="F25" i="1"/>
  <c r="D25" i="1"/>
  <c r="G25" i="1"/>
  <c r="J3" i="1"/>
  <c r="H20" i="1"/>
  <c r="K9" i="1" s="1"/>
  <c r="P9" i="1" s="1"/>
  <c r="H17" i="1"/>
  <c r="O17" i="1" s="1"/>
  <c r="H15" i="1"/>
  <c r="M15" i="1" s="1"/>
  <c r="E13" i="1"/>
  <c r="D13" i="1"/>
  <c r="J2" i="1"/>
  <c r="F13" i="1"/>
  <c r="G13" i="1"/>
  <c r="Q14" i="1"/>
  <c r="R15" i="1"/>
  <c r="Q17" i="1"/>
  <c r="R16" i="1"/>
  <c r="P20" i="1"/>
  <c r="R19" i="1"/>
  <c r="P15" i="1"/>
  <c r="Q20" i="1"/>
  <c r="P14" i="1"/>
  <c r="Q15" i="1"/>
  <c r="R17" i="1"/>
  <c r="P18" i="1"/>
  <c r="L13" i="1"/>
  <c r="K13" i="1"/>
  <c r="J13" i="1"/>
  <c r="R20" i="1"/>
  <c r="P16" i="1"/>
  <c r="P19" i="1"/>
  <c r="Q18" i="1"/>
  <c r="P17" i="1"/>
  <c r="Q16" i="1"/>
  <c r="Q19" i="1"/>
  <c r="R14" i="1"/>
  <c r="R18" i="1"/>
  <c r="N34" i="4"/>
  <c r="C28" i="1" s="1"/>
  <c r="N32" i="4"/>
  <c r="C26" i="1" s="1"/>
  <c r="E26" i="1" s="1"/>
  <c r="I25" i="1"/>
  <c r="L4" i="1" s="1"/>
  <c r="K25" i="1"/>
  <c r="N4" i="1" s="1"/>
  <c r="J25" i="1"/>
  <c r="M4" i="1" s="1"/>
  <c r="L25" i="1"/>
  <c r="O4" i="1" s="1"/>
  <c r="L23" i="1"/>
  <c r="K23" i="1"/>
  <c r="J23" i="1"/>
  <c r="I23" i="1"/>
  <c r="K24" i="1"/>
  <c r="N3" i="1" s="1"/>
  <c r="J24" i="1"/>
  <c r="M3" i="1" s="1"/>
  <c r="I24" i="1"/>
  <c r="L3" i="1" s="1"/>
  <c r="L24" i="1"/>
  <c r="O3" i="1" s="1"/>
  <c r="I13" i="1"/>
  <c r="M17" i="1" l="1"/>
  <c r="O19" i="1"/>
  <c r="R27" i="1"/>
  <c r="P27" i="1"/>
  <c r="N17" i="1"/>
  <c r="M18" i="1"/>
  <c r="O15" i="1"/>
  <c r="O18" i="1"/>
  <c r="N15" i="1"/>
  <c r="Q27" i="1"/>
  <c r="N19" i="1"/>
  <c r="K6" i="1"/>
  <c r="P6" i="1" s="1"/>
  <c r="H13" i="1"/>
  <c r="O13" i="1" s="1"/>
  <c r="M16" i="1"/>
  <c r="O14" i="1"/>
  <c r="H23" i="1"/>
  <c r="O23" i="1" s="1"/>
  <c r="O16" i="1"/>
  <c r="L2" i="1"/>
  <c r="H25" i="1"/>
  <c r="M25" i="1" s="1"/>
  <c r="M20" i="1"/>
  <c r="H24" i="1"/>
  <c r="N24" i="1" s="1"/>
  <c r="E28" i="1"/>
  <c r="G28" i="1"/>
  <c r="M2" i="1"/>
  <c r="N27" i="1"/>
  <c r="N20" i="1"/>
  <c r="N14" i="1"/>
  <c r="N2" i="1"/>
  <c r="O2" i="1"/>
  <c r="O20" i="1"/>
  <c r="M19" i="1"/>
  <c r="M27" i="1"/>
  <c r="F26" i="1"/>
  <c r="D26" i="1"/>
  <c r="G26" i="1"/>
  <c r="J5" i="1"/>
  <c r="O27" i="1"/>
  <c r="J7" i="1"/>
  <c r="F28" i="1"/>
  <c r="D28" i="1"/>
  <c r="R23" i="1"/>
  <c r="Q25" i="1"/>
  <c r="Q13" i="1"/>
  <c r="Q24" i="1"/>
  <c r="P23" i="1"/>
  <c r="R25" i="1"/>
  <c r="Q23" i="1"/>
  <c r="P25" i="1"/>
  <c r="P13" i="1"/>
  <c r="R13" i="1"/>
  <c r="I26" i="1"/>
  <c r="L5" i="1" s="1"/>
  <c r="L26" i="1"/>
  <c r="O5" i="1" s="1"/>
  <c r="K26" i="1"/>
  <c r="N5" i="1" s="1"/>
  <c r="J26" i="1"/>
  <c r="M5" i="1" s="1"/>
  <c r="J28" i="1"/>
  <c r="M7" i="1" s="1"/>
  <c r="I28" i="1"/>
  <c r="L7" i="1" s="1"/>
  <c r="L28" i="1"/>
  <c r="O7" i="1" s="1"/>
  <c r="K28" i="1"/>
  <c r="N7" i="1" s="1"/>
  <c r="P24" i="1"/>
  <c r="R24" i="1"/>
  <c r="N13" i="1" l="1"/>
  <c r="M24" i="1"/>
  <c r="M13" i="1"/>
  <c r="O25" i="1"/>
  <c r="K4" i="1"/>
  <c r="P4" i="1" s="1"/>
  <c r="M23" i="1"/>
  <c r="N23" i="1"/>
  <c r="K2" i="1"/>
  <c r="P2" i="1" s="1"/>
  <c r="K3" i="1"/>
  <c r="P3" i="1" s="1"/>
  <c r="N25" i="1"/>
  <c r="O24" i="1"/>
  <c r="H26" i="1"/>
  <c r="H28" i="1"/>
  <c r="P26" i="1"/>
  <c r="R26" i="1"/>
  <c r="Q28" i="1"/>
  <c r="R28" i="1"/>
  <c r="P28" i="1"/>
  <c r="Q26" i="1"/>
  <c r="K5" i="1" l="1"/>
  <c r="P5" i="1" s="1"/>
  <c r="O26" i="1"/>
  <c r="N26" i="1"/>
  <c r="M26" i="1"/>
  <c r="K7" i="1"/>
  <c r="P7" i="1" s="1"/>
  <c r="N28" i="1"/>
  <c r="M28" i="1"/>
  <c r="O28" i="1"/>
</calcChain>
</file>

<file path=xl/comments1.xml><?xml version="1.0" encoding="utf-8"?>
<comments xmlns="http://schemas.openxmlformats.org/spreadsheetml/2006/main">
  <authors>
    <author>yannick</author>
  </authors>
  <commentList>
    <comment ref="I17" authorId="0" shapeId="0">
      <text>
        <r>
          <rPr>
            <sz val="9"/>
            <color indexed="81"/>
            <rFont val="Tahoma"/>
            <family val="2"/>
          </rPr>
          <t>Le fichier contient plusieurs feuilles dont celle-ci est la première. Il vous faut la remplir avant de sélectionner l'une des autres pour deux raisons :
- Si vous êtes interessés par l'approximation de villages ressources nécessaires pour entraîner une ou des unités.
- Si vous souhaitez modifier l'intervalle de temps pour les calculs.</t>
        </r>
      </text>
    </comment>
    <comment ref="J17" authorId="0" shapeId="0">
      <text>
        <r>
          <rPr>
            <sz val="9"/>
            <color indexed="81"/>
            <rFont val="Tahoma"/>
            <family val="2"/>
          </rPr>
          <t>Les colonnes Bois/Argile/Fer/Cérales du tableau "Production par heure par village" sont à remplir. A côté, il vous faut entrer le nombre total de village que vous avez renseigné. Vous pouvez évidemment laisser la production du héros influencer la production du village dans lequel il est rattaché.
L'intervalle de temps est également à sélectionner, il est utile si vous souhaitez connaître les ressources nécessaires à l'entraînement d'unité et les valeurs jointes sur une durée plus longue ou plus courte que 24 heures.
Il est à noter que les informations peuvent être changées à tout moment sans perturbations des calculs et des résultats.</t>
        </r>
      </text>
    </comment>
    <comment ref="K17" authorId="0" shapeId="0">
      <text>
        <r>
          <rPr>
            <sz val="9"/>
            <color indexed="81"/>
            <rFont val="Tahoma"/>
            <family val="2"/>
          </rPr>
          <t>Ces tableaux théoriques ont été conçus par Bakhay et EkySs, de l'alliance ~F~ du serveur 
Speed frx3.</t>
        </r>
      </text>
    </comment>
  </commentList>
</comments>
</file>

<file path=xl/comments2.xml><?xml version="1.0" encoding="utf-8"?>
<comments xmlns="http://schemas.openxmlformats.org/spreadsheetml/2006/main">
  <authors>
    <author>yannick</author>
  </authors>
  <commentList>
    <comment ref="A8" authorId="0" shapeId="0">
      <text>
        <r>
          <rPr>
            <sz val="9"/>
            <color indexed="81"/>
            <rFont val="Tahoma"/>
            <family val="2"/>
          </rPr>
          <t>Pour sélectionner une option, il suffit de parcourir le menu déroulant de la cellule adjacente (sauf l'intervalle de temps qui se sélectionne sur la feuille "Production Villages" et se change automatiquement ici).
Exemple : pour choisir le niveau de la caserne, cliquez sur la cellule de droite pour faire apparaître le menu déroulant, choisissez le niveau requis et les valeurs des tableaux seront calculées automatiquement.</t>
        </r>
      </text>
    </comment>
    <comment ref="B8" authorId="0" shapeId="0">
      <text>
        <r>
          <rPr>
            <sz val="9"/>
            <color indexed="81"/>
            <rFont val="Tahoma"/>
            <family val="2"/>
          </rPr>
          <t>Le tableau sur la droite (en vert) regroupe les valeurs totales en confondant les unités qui sont produites dans deux bâtiments différents en même temps sur un seul village.
Si par exemple, vous entraînez des Equites Caesaris dans une Écurie et une Grande Écurie en même temps, ce tableau est fait pour vous.
Les tableaux ci-dessous (en bleu) regroupent les valeures totales en distinguant les unités qui sont produites dans chaque bâtiment :
- Premier tableau : Caserne, Écurie, Atelier
- Deuxième tableau : Grande Caserne, Grande Écurie
Si par exemple, vous entraînez des Equites Caesaris soit dans une Écurie ou soit dans une Grande Écurie, ces tableaux sont faits pour vous.</t>
        </r>
      </text>
    </comment>
    <comment ref="C8" authorId="0" shapeId="0">
      <text>
        <r>
          <rPr>
            <sz val="9"/>
            <color indexed="81"/>
            <rFont val="Tahoma"/>
            <family val="2"/>
          </rPr>
          <t>Ces tableaux théoriques ont été conçus par Bakhay et EkySs, de l'alliance ~F~ du serveur 
Speed frx3.</t>
        </r>
      </text>
    </comment>
  </commentList>
</comments>
</file>

<file path=xl/sharedStrings.xml><?xml version="1.0" encoding="utf-8"?>
<sst xmlns="http://schemas.openxmlformats.org/spreadsheetml/2006/main" count="158" uniqueCount="82">
  <si>
    <t>Légionnaire</t>
  </si>
  <si>
    <t>Prétorien</t>
  </si>
  <si>
    <t>Impérian</t>
  </si>
  <si>
    <t>Equites Legati</t>
  </si>
  <si>
    <t>Equites Imperatoris</t>
  </si>
  <si>
    <t>Equites Caesaris</t>
  </si>
  <si>
    <t>Bélier</t>
  </si>
  <si>
    <t>Catapulte de feu</t>
  </si>
  <si>
    <t>Ecurie</t>
  </si>
  <si>
    <t>Caserne</t>
  </si>
  <si>
    <t>Atelier</t>
  </si>
  <si>
    <t>Objet</t>
  </si>
  <si>
    <t>Artefact</t>
  </si>
  <si>
    <t>Abreuvoir</t>
  </si>
  <si>
    <t>Forge</t>
  </si>
  <si>
    <t>Grande caserne</t>
  </si>
  <si>
    <t>Grande écurie</t>
  </si>
  <si>
    <t>Intervalle de temps</t>
  </si>
  <si>
    <t>Argile</t>
  </si>
  <si>
    <t>Bois</t>
  </si>
  <si>
    <t>Fer</t>
  </si>
  <si>
    <t>Céréales</t>
  </si>
  <si>
    <t>Total</t>
  </si>
  <si>
    <t>Nombre d'unités entraînées</t>
  </si>
  <si>
    <t>Niveau</t>
  </si>
  <si>
    <t>Grande ecu</t>
  </si>
  <si>
    <t>3 jours</t>
  </si>
  <si>
    <t>2 jours</t>
  </si>
  <si>
    <t>4 jours</t>
  </si>
  <si>
    <t>5 jours</t>
  </si>
  <si>
    <t>6 jours</t>
  </si>
  <si>
    <t>7 jours</t>
  </si>
  <si>
    <t>1 jour</t>
  </si>
  <si>
    <t>1 heure</t>
  </si>
  <si>
    <t>12 heures</t>
  </si>
  <si>
    <t>Durée d'entraînement</t>
  </si>
  <si>
    <t>batiment</t>
  </si>
  <si>
    <t>abreuvoir</t>
  </si>
  <si>
    <t>objet</t>
  </si>
  <si>
    <t>artefact</t>
  </si>
  <si>
    <t>Durée d'entraînement d'une unité en secondes</t>
  </si>
  <si>
    <t>Aucun</t>
  </si>
  <si>
    <t>Rapport Ressources/  Attaque</t>
  </si>
  <si>
    <t>Rapport  Ressources/   Défense Infanterie</t>
  </si>
  <si>
    <t>Rapport  Ressources/  Défense Cavalerie</t>
  </si>
  <si>
    <t>Consommation totale</t>
  </si>
  <si>
    <t>Grande écu/cas</t>
  </si>
  <si>
    <t>nombres d'unités cas/écu/ate</t>
  </si>
  <si>
    <t>grande écu</t>
  </si>
  <si>
    <t>Ressources totales</t>
  </si>
  <si>
    <t>Villages</t>
  </si>
  <si>
    <t>Production par heure par village</t>
  </si>
  <si>
    <t xml:space="preserve">Production moyenne d'un village </t>
  </si>
  <si>
    <t>Intervalle de temps :</t>
  </si>
  <si>
    <t>Entrez le nombre de villages dans la cellule ci-dessous :</t>
  </si>
  <si>
    <t>Production totale du compte :</t>
  </si>
  <si>
    <t>Grande caserne / Grande écurie</t>
  </si>
  <si>
    <t>Caserne / Écurie / Atelier</t>
  </si>
  <si>
    <t>Rapport  Attaque/  Consommation</t>
  </si>
  <si>
    <t>Rapport  Défense Infanterie/   Consommation</t>
  </si>
  <si>
    <t>Coût total des unités entraînées</t>
  </si>
  <si>
    <t>Rapports</t>
  </si>
  <si>
    <t>Attributs</t>
  </si>
  <si>
    <t>Bâtiments et entraînements</t>
  </si>
  <si>
    <t xml:space="preserve">Intervalle de temps </t>
  </si>
  <si>
    <t xml:space="preserve">OPTIONS </t>
  </si>
  <si>
    <t xml:space="preserve">Ressources totales </t>
  </si>
  <si>
    <t>Défense contre l'infanterie totale</t>
  </si>
  <si>
    <t>Défense contre la cavalerie totale</t>
  </si>
  <si>
    <t>Attaque totale</t>
  </si>
  <si>
    <t>Rapport Défense Cavalerie/  Consommation</t>
  </si>
  <si>
    <t>Approximation du nombre de villages nécessaires pour produire en continu</t>
  </si>
  <si>
    <t xml:space="preserve">Ressources </t>
  </si>
  <si>
    <t xml:space="preserve">Consommation </t>
  </si>
  <si>
    <t xml:space="preserve">Défense contre la cavalerie </t>
  </si>
  <si>
    <t xml:space="preserve">Défense contre l'infanterie </t>
  </si>
  <si>
    <t xml:space="preserve">TOTAUX TOUS BÂTIMENTS CONFONDUS </t>
  </si>
  <si>
    <t>Note Options</t>
  </si>
  <si>
    <t>Note Tableaux</t>
  </si>
  <si>
    <t>Note Auteurs</t>
  </si>
  <si>
    <t>Pour afficher les commentaires, survolez les cellules ci-dessous avec le curseur.</t>
  </si>
  <si>
    <t>Note Feuilles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</si>
</sst>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_-* #,##0\ _€_-;\-* #,##0\ _€_-;_-* &quot;-&quot;??\ _€_-;_-@_-"/>
    <numFmt numFmtId="165" formatCode="&quot;Entrer le nombre de villages dans cette case. Nb de villages : &quot;\ 0"/>
    <numFmt numFmtId="166" formatCode="&quot;Produit n° &quot;\ 0"/>
    <numFmt numFmtId="167" formatCode="&quot;Nombre de villages : &quot;\ 0"/>
    <numFmt numFmtId="168" formatCode="_-* #,##0.0\ _€_-;\-* #,##0.0\ _€_-;_-* &quot;-&quot;??\ _€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0"/>
      <color theme="1"/>
      <name val="Calibri"/>
      <family val="2"/>
      <scheme val="minor"/>
    </font>
    <font>
      <sz val="9"/>
      <color indexed="81"/>
      <name val="Tahoma"/>
      <family val="2"/>
    </font>
  </fonts>
  <fills count="17">
    <fill>
      <patternFill patternType="none"/>
    </fill>
    <fill>
      <patternFill patternType="gray125"/>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F000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theme="9" tint="-0.49998474074526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3" tint="0.39997558519241921"/>
        <bgColor indexed="64"/>
      </patternFill>
    </fill>
    <fill>
      <patternFill patternType="solid">
        <fgColor theme="3"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7">
    <xf numFmtId="0" fontId="0" fillId="0" borderId="0" xfId="0"/>
    <xf numFmtId="0" fontId="0" fillId="0" borderId="0" xfId="0" applyAlignment="1">
      <alignment horizontal="center" vertical="center" wrapText="1"/>
    </xf>
    <xf numFmtId="0" fontId="0" fillId="0" borderId="0" xfId="0" applyAlignment="1">
      <alignment horizontal="center"/>
    </xf>
    <xf numFmtId="9" fontId="0" fillId="0" borderId="0" xfId="0" applyNumberFormat="1" applyAlignment="1">
      <alignment horizontal="center"/>
    </xf>
    <xf numFmtId="0" fontId="0" fillId="0" borderId="0" xfId="0" applyAlignment="1">
      <alignment horizontal="center" vertical="center"/>
    </xf>
    <xf numFmtId="164" fontId="0" fillId="0" borderId="0" xfId="1" applyNumberFormat="1" applyFont="1" applyAlignment="1">
      <alignment horizontal="center" vertical="center" wrapText="1"/>
    </xf>
    <xf numFmtId="0" fontId="0" fillId="4" borderId="1" xfId="0" applyFill="1" applyBorder="1" applyAlignment="1">
      <alignment horizontal="center" vertical="center"/>
    </xf>
    <xf numFmtId="0" fontId="0" fillId="2" borderId="1" xfId="0" applyFill="1" applyBorder="1" applyAlignment="1">
      <alignment horizontal="center" vertical="center"/>
    </xf>
    <xf numFmtId="0" fontId="0" fillId="5" borderId="1" xfId="0" applyFill="1" applyBorder="1" applyAlignment="1">
      <alignment horizontal="center" vertical="center"/>
    </xf>
    <xf numFmtId="0" fontId="0" fillId="6" borderId="1" xfId="0" applyFill="1" applyBorder="1" applyAlignment="1">
      <alignment horizontal="center" vertical="center"/>
    </xf>
    <xf numFmtId="0" fontId="0" fillId="7" borderId="1" xfId="0" applyFill="1" applyBorder="1" applyAlignment="1">
      <alignment horizontal="center" vertical="center"/>
    </xf>
    <xf numFmtId="0" fontId="0" fillId="0" borderId="0" xfId="0" applyBorder="1" applyAlignment="1">
      <alignment horizontal="center" vertical="center"/>
    </xf>
    <xf numFmtId="166" fontId="0" fillId="0" borderId="0" xfId="0" applyNumberFormat="1" applyAlignment="1">
      <alignment horizontal="center" vertical="center"/>
    </xf>
    <xf numFmtId="0" fontId="0" fillId="0" borderId="1" xfId="0" applyBorder="1" applyAlignment="1">
      <alignment horizontal="center" vertical="center"/>
    </xf>
    <xf numFmtId="0" fontId="0" fillId="9" borderId="1" xfId="0" applyFont="1" applyFill="1" applyBorder="1" applyAlignment="1">
      <alignment horizontal="center" vertical="center"/>
    </xf>
    <xf numFmtId="0" fontId="0" fillId="8" borderId="1" xfId="0" applyFill="1" applyBorder="1" applyAlignment="1">
      <alignment horizontal="center" vertical="center"/>
    </xf>
    <xf numFmtId="164" fontId="0" fillId="0" borderId="1" xfId="1" applyNumberFormat="1" applyFont="1" applyBorder="1" applyAlignment="1">
      <alignment horizontal="center" vertical="center" wrapText="1"/>
    </xf>
    <xf numFmtId="164" fontId="0" fillId="4" borderId="1" xfId="1" applyNumberFormat="1" applyFont="1" applyFill="1" applyBorder="1" applyAlignment="1">
      <alignment horizontal="center" vertical="center" wrapText="1"/>
    </xf>
    <xf numFmtId="164" fontId="0" fillId="2" borderId="1" xfId="1" applyNumberFormat="1" applyFont="1" applyFill="1" applyBorder="1" applyAlignment="1">
      <alignment horizontal="center" vertical="center" wrapText="1"/>
    </xf>
    <xf numFmtId="164" fontId="0" fillId="5" borderId="1" xfId="1" applyNumberFormat="1" applyFont="1" applyFill="1" applyBorder="1" applyAlignment="1">
      <alignment horizontal="center" vertical="center" wrapText="1"/>
    </xf>
    <xf numFmtId="164" fontId="0" fillId="6" borderId="1" xfId="1" applyNumberFormat="1" applyFont="1" applyFill="1" applyBorder="1" applyAlignment="1">
      <alignment horizontal="center" vertical="center" wrapText="1"/>
    </xf>
    <xf numFmtId="164" fontId="0" fillId="7" borderId="1" xfId="1" applyNumberFormat="1" applyFont="1" applyFill="1" applyBorder="1" applyAlignment="1">
      <alignment horizontal="center" vertical="center" wrapText="1"/>
    </xf>
    <xf numFmtId="164" fontId="0" fillId="10" borderId="1" xfId="1" applyNumberFormat="1" applyFont="1" applyFill="1" applyBorder="1" applyAlignment="1">
      <alignment horizontal="center" vertical="center" wrapText="1"/>
    </xf>
    <xf numFmtId="164" fontId="0" fillId="13" borderId="1" xfId="1" applyNumberFormat="1" applyFont="1" applyFill="1" applyBorder="1" applyAlignment="1">
      <alignment horizontal="center" vertical="center" wrapText="1"/>
    </xf>
    <xf numFmtId="164" fontId="0" fillId="14" borderId="1" xfId="1" applyNumberFormat="1" applyFont="1" applyFill="1" applyBorder="1" applyAlignment="1">
      <alignment horizontal="center" vertical="center" wrapText="1"/>
    </xf>
    <xf numFmtId="164" fontId="0" fillId="15" borderId="1" xfId="1" applyNumberFormat="1" applyFont="1" applyFill="1" applyBorder="1" applyAlignment="1">
      <alignment horizontal="center" vertical="center" wrapText="1"/>
    </xf>
    <xf numFmtId="164" fontId="0" fillId="16" borderId="1" xfId="1" applyNumberFormat="1" applyFont="1" applyFill="1" applyBorder="1" applyAlignment="1">
      <alignment horizontal="center" vertical="center" wrapText="1"/>
    </xf>
    <xf numFmtId="164" fontId="2" fillId="3" borderId="1" xfId="1" applyNumberFormat="1" applyFont="1" applyFill="1" applyBorder="1" applyAlignment="1">
      <alignment horizontal="center" vertical="center" wrapText="1"/>
    </xf>
    <xf numFmtId="2" fontId="0" fillId="13" borderId="1" xfId="1" applyNumberFormat="1" applyFont="1" applyFill="1" applyBorder="1" applyAlignment="1">
      <alignment horizontal="center" vertical="center" wrapText="1"/>
    </xf>
    <xf numFmtId="164" fontId="3" fillId="9" borderId="1" xfId="1" applyNumberFormat="1" applyFont="1" applyFill="1" applyBorder="1" applyAlignment="1">
      <alignment horizontal="center" vertical="center" wrapText="1"/>
    </xf>
    <xf numFmtId="164" fontId="2" fillId="11" borderId="1" xfId="1" applyNumberFormat="1" applyFont="1" applyFill="1" applyBorder="1" applyAlignment="1">
      <alignment horizontal="center" vertical="center" wrapText="1"/>
    </xf>
    <xf numFmtId="164" fontId="4" fillId="0" borderId="0" xfId="1" applyNumberFormat="1" applyFont="1" applyAlignment="1">
      <alignment vertical="center" wrapText="1"/>
    </xf>
    <xf numFmtId="164" fontId="4" fillId="2" borderId="1" xfId="1" applyNumberFormat="1" applyFont="1" applyFill="1" applyBorder="1" applyAlignment="1">
      <alignment vertical="center" wrapText="1"/>
    </xf>
    <xf numFmtId="164" fontId="4" fillId="2" borderId="1" xfId="1" applyNumberFormat="1" applyFont="1" applyFill="1" applyBorder="1" applyAlignment="1">
      <alignment horizontal="center" vertical="center" wrapText="1"/>
    </xf>
    <xf numFmtId="164" fontId="4" fillId="12" borderId="1" xfId="1" applyNumberFormat="1" applyFont="1" applyFill="1" applyBorder="1" applyAlignment="1">
      <alignment horizontal="center" vertical="center" wrapText="1"/>
    </xf>
    <xf numFmtId="0" fontId="0" fillId="0" borderId="1" xfId="0" applyBorder="1" applyAlignment="1">
      <alignment horizontal="center" vertical="center" wrapText="1"/>
    </xf>
    <xf numFmtId="167" fontId="0" fillId="0" borderId="1" xfId="0" applyNumberFormat="1" applyBorder="1" applyAlignment="1">
      <alignment horizontal="center" vertical="center"/>
    </xf>
    <xf numFmtId="0" fontId="2" fillId="3" borderId="1" xfId="0" applyFont="1" applyFill="1" applyBorder="1" applyAlignment="1">
      <alignment horizontal="center" vertical="center"/>
    </xf>
    <xf numFmtId="0" fontId="0" fillId="0" borderId="1" xfId="0"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165" fontId="2" fillId="3" borderId="1" xfId="0" applyNumberFormat="1" applyFont="1" applyFill="1" applyBorder="1" applyAlignment="1">
      <alignment horizontal="center" vertical="center"/>
    </xf>
    <xf numFmtId="164" fontId="2" fillId="9" borderId="1" xfId="1" applyNumberFormat="1" applyFont="1" applyFill="1" applyBorder="1" applyAlignment="1">
      <alignment horizontal="center" vertical="center" wrapText="1"/>
    </xf>
    <xf numFmtId="164" fontId="2" fillId="3" borderId="1" xfId="1" applyNumberFormat="1" applyFont="1" applyFill="1" applyBorder="1" applyAlignment="1">
      <alignment horizontal="center" vertical="center" wrapText="1"/>
    </xf>
    <xf numFmtId="168" fontId="0" fillId="0" borderId="1" xfId="1" applyNumberFormat="1" applyFont="1" applyBorder="1" applyAlignment="1">
      <alignment horizontal="center" vertical="center" wrapText="1"/>
    </xf>
    <xf numFmtId="164" fontId="0" fillId="13" borderId="1" xfId="1" applyNumberFormat="1" applyFont="1" applyFill="1" applyBorder="1" applyAlignment="1">
      <alignment horizontal="center" vertical="center" wrapText="1"/>
    </xf>
  </cellXfs>
  <cellStyles count="2">
    <cellStyle name="Milliers" xfId="1" builtinId="3"/>
    <cellStyle name="Normal" xfId="0" builtinId="0"/>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0</xdr:col>
      <xdr:colOff>9525</xdr:colOff>
      <xdr:row>11</xdr:row>
      <xdr:rowOff>9525</xdr:rowOff>
    </xdr:to>
    <xdr:pic>
      <xdr:nvPicPr>
        <xdr:cNvPr id="11" name="Image 10" descr="http://travian.kirilloid.ru/img/x.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33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xdr:row>
      <xdr:rowOff>0</xdr:rowOff>
    </xdr:from>
    <xdr:to>
      <xdr:col>0</xdr:col>
      <xdr:colOff>9525</xdr:colOff>
      <xdr:row>11</xdr:row>
      <xdr:rowOff>9525</xdr:rowOff>
    </xdr:to>
    <xdr:pic>
      <xdr:nvPicPr>
        <xdr:cNvPr id="12" name="Image 11" descr="http://travian.kirilloid.ru/img/x.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24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xdr:row>
      <xdr:rowOff>0</xdr:rowOff>
    </xdr:from>
    <xdr:to>
      <xdr:col>0</xdr:col>
      <xdr:colOff>9525</xdr:colOff>
      <xdr:row>11</xdr:row>
      <xdr:rowOff>9525</xdr:rowOff>
    </xdr:to>
    <xdr:pic>
      <xdr:nvPicPr>
        <xdr:cNvPr id="13" name="Image 12" descr="http://travian.kirilloid.ru/img/x.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xdr:row>
      <xdr:rowOff>0</xdr:rowOff>
    </xdr:from>
    <xdr:to>
      <xdr:col>0</xdr:col>
      <xdr:colOff>9525</xdr:colOff>
      <xdr:row>11</xdr:row>
      <xdr:rowOff>9525</xdr:rowOff>
    </xdr:to>
    <xdr:pic>
      <xdr:nvPicPr>
        <xdr:cNvPr id="14" name="Image 13" descr="http://travian.kirilloid.ru/img/x.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95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xdr:row>
      <xdr:rowOff>0</xdr:rowOff>
    </xdr:from>
    <xdr:to>
      <xdr:col>0</xdr:col>
      <xdr:colOff>9525</xdr:colOff>
      <xdr:row>11</xdr:row>
      <xdr:rowOff>9525</xdr:rowOff>
    </xdr:to>
    <xdr:pic>
      <xdr:nvPicPr>
        <xdr:cNvPr id="15" name="Image 14" descr="http://travian.kirilloid.ru/img/x.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76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xdr:row>
      <xdr:rowOff>0</xdr:rowOff>
    </xdr:from>
    <xdr:to>
      <xdr:col>0</xdr:col>
      <xdr:colOff>9525</xdr:colOff>
      <xdr:row>11</xdr:row>
      <xdr:rowOff>9525</xdr:rowOff>
    </xdr:to>
    <xdr:pic>
      <xdr:nvPicPr>
        <xdr:cNvPr id="16" name="Image 15" descr="http://travian.kirilloid.ru/img/x.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xdr:row>
      <xdr:rowOff>0</xdr:rowOff>
    </xdr:from>
    <xdr:to>
      <xdr:col>0</xdr:col>
      <xdr:colOff>9525</xdr:colOff>
      <xdr:row>11</xdr:row>
      <xdr:rowOff>9525</xdr:rowOff>
    </xdr:to>
    <xdr:pic>
      <xdr:nvPicPr>
        <xdr:cNvPr id="17" name="Image 16" descr="http://travian.kirilloid.ru/img/x.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4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xdr:row>
      <xdr:rowOff>0</xdr:rowOff>
    </xdr:from>
    <xdr:to>
      <xdr:col>0</xdr:col>
      <xdr:colOff>9525</xdr:colOff>
      <xdr:row>11</xdr:row>
      <xdr:rowOff>9525</xdr:rowOff>
    </xdr:to>
    <xdr:pic>
      <xdr:nvPicPr>
        <xdr:cNvPr id="18" name="Image 17" descr="http://travian.kirilloid.ru/img/x.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xdr:row>
      <xdr:rowOff>0</xdr:rowOff>
    </xdr:from>
    <xdr:to>
      <xdr:col>0</xdr:col>
      <xdr:colOff>9525</xdr:colOff>
      <xdr:row>11</xdr:row>
      <xdr:rowOff>9525</xdr:rowOff>
    </xdr:to>
    <xdr:pic>
      <xdr:nvPicPr>
        <xdr:cNvPr id="19" name="Image 18" descr="http://travian.kirilloid.ru/img/x.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tabColor theme="8" tint="0.39997558519241921"/>
  </sheetPr>
  <dimension ref="A1:Q47"/>
  <sheetViews>
    <sheetView tabSelected="1" topLeftCell="A5" zoomScaleNormal="100" workbookViewId="0">
      <selection activeCell="J19" sqref="J19"/>
    </sheetView>
  </sheetViews>
  <sheetFormatPr baseColWidth="10" defaultRowHeight="15" x14ac:dyDescent="0.25"/>
  <cols>
    <col min="1" max="8" width="11.42578125" style="4"/>
    <col min="9" max="9" width="11.42578125" style="4" customWidth="1"/>
    <col min="10" max="16384" width="11.42578125" style="4"/>
  </cols>
  <sheetData>
    <row r="1" spans="1:17" x14ac:dyDescent="0.25">
      <c r="A1" s="39" t="s">
        <v>51</v>
      </c>
      <c r="B1" s="40"/>
      <c r="C1" s="40"/>
      <c r="D1" s="40"/>
      <c r="E1" s="40"/>
      <c r="F1" s="41"/>
      <c r="I1" s="37" t="s">
        <v>55</v>
      </c>
      <c r="J1" s="37"/>
      <c r="K1" s="37"/>
      <c r="L1" s="37"/>
      <c r="M1" s="37"/>
      <c r="P1" s="37" t="s">
        <v>53</v>
      </c>
      <c r="Q1" s="37"/>
    </row>
    <row r="2" spans="1:17" x14ac:dyDescent="0.25">
      <c r="A2" s="14" t="s">
        <v>50</v>
      </c>
      <c r="B2" s="6" t="s">
        <v>19</v>
      </c>
      <c r="C2" s="7" t="s">
        <v>18</v>
      </c>
      <c r="D2" s="8" t="s">
        <v>20</v>
      </c>
      <c r="E2" s="9" t="s">
        <v>21</v>
      </c>
      <c r="F2" s="10" t="s">
        <v>22</v>
      </c>
      <c r="I2" s="6" t="s">
        <v>19</v>
      </c>
      <c r="J2" s="7" t="s">
        <v>18</v>
      </c>
      <c r="K2" s="8" t="s">
        <v>20</v>
      </c>
      <c r="L2" s="9" t="s">
        <v>21</v>
      </c>
      <c r="M2" s="10" t="s">
        <v>22</v>
      </c>
      <c r="P2" s="35" t="s">
        <v>32</v>
      </c>
      <c r="Q2" s="35"/>
    </row>
    <row r="3" spans="1:17" x14ac:dyDescent="0.25">
      <c r="A3" s="15">
        <v>1</v>
      </c>
      <c r="B3" s="13"/>
      <c r="C3" s="13"/>
      <c r="D3" s="13"/>
      <c r="E3" s="13"/>
      <c r="F3" s="13">
        <f>SUM(B3:E3)</f>
        <v>0</v>
      </c>
      <c r="I3" s="38">
        <f>SUM(B3:B47)*PRODUCT('Feuille de calculs romains'!$D$29:$D$37)</f>
        <v>0</v>
      </c>
      <c r="J3" s="38">
        <f>SUM(C3:C47)*PRODUCT('Feuille de calculs romains'!$D$29:$D$37)</f>
        <v>0</v>
      </c>
      <c r="K3" s="38">
        <f>SUM(D3:D47)*PRODUCT('Feuille de calculs romains'!$D$29:$D$37)</f>
        <v>0</v>
      </c>
      <c r="L3" s="38">
        <f>SUM(E3:E47)*PRODUCT('Feuille de calculs romains'!$D$29:$D$37)</f>
        <v>0</v>
      </c>
      <c r="M3" s="38">
        <f>SUM(I3:L3)</f>
        <v>0</v>
      </c>
    </row>
    <row r="4" spans="1:17" x14ac:dyDescent="0.25">
      <c r="A4" s="15">
        <f>A3+1</f>
        <v>2</v>
      </c>
      <c r="B4" s="13"/>
      <c r="C4" s="13"/>
      <c r="D4" s="13"/>
      <c r="E4" s="13"/>
      <c r="F4" s="13">
        <f t="shared" ref="F4:F47" si="0">SUM(B4:E4)</f>
        <v>0</v>
      </c>
      <c r="H4" s="11"/>
      <c r="I4" s="38"/>
      <c r="J4" s="38"/>
      <c r="K4" s="38"/>
      <c r="L4" s="38"/>
      <c r="M4" s="38"/>
    </row>
    <row r="5" spans="1:17" x14ac:dyDescent="0.25">
      <c r="A5" s="15">
        <f t="shared" ref="A5:A47" si="1">A4+1</f>
        <v>3</v>
      </c>
      <c r="B5" s="13"/>
      <c r="C5" s="13"/>
      <c r="D5" s="13"/>
      <c r="E5" s="13"/>
      <c r="F5" s="13">
        <f t="shared" si="0"/>
        <v>0</v>
      </c>
      <c r="G5" s="11"/>
    </row>
    <row r="6" spans="1:17" x14ac:dyDescent="0.25">
      <c r="A6" s="15">
        <f t="shared" si="1"/>
        <v>4</v>
      </c>
      <c r="B6" s="13"/>
      <c r="C6" s="13"/>
      <c r="D6" s="13"/>
      <c r="E6" s="13"/>
      <c r="F6" s="13">
        <f t="shared" si="0"/>
        <v>0</v>
      </c>
      <c r="I6" s="42" t="s">
        <v>54</v>
      </c>
      <c r="J6" s="42"/>
      <c r="K6" s="42"/>
      <c r="L6" s="42"/>
      <c r="M6" s="42"/>
    </row>
    <row r="7" spans="1:17" x14ac:dyDescent="0.25">
      <c r="A7" s="15">
        <f t="shared" si="1"/>
        <v>5</v>
      </c>
      <c r="B7" s="13"/>
      <c r="C7" s="13"/>
      <c r="D7" s="13"/>
      <c r="E7" s="13"/>
      <c r="F7" s="13">
        <f t="shared" si="0"/>
        <v>0</v>
      </c>
      <c r="I7" s="36"/>
      <c r="J7" s="36"/>
      <c r="K7" s="36"/>
      <c r="L7" s="36"/>
      <c r="M7" s="36"/>
    </row>
    <row r="8" spans="1:17" x14ac:dyDescent="0.25">
      <c r="A8" s="15">
        <f t="shared" si="1"/>
        <v>6</v>
      </c>
      <c r="B8" s="13"/>
      <c r="C8" s="13"/>
      <c r="D8" s="13"/>
      <c r="E8" s="13"/>
      <c r="F8" s="13">
        <f t="shared" si="0"/>
        <v>0</v>
      </c>
    </row>
    <row r="9" spans="1:17" x14ac:dyDescent="0.25">
      <c r="A9" s="15">
        <f t="shared" si="1"/>
        <v>7</v>
      </c>
      <c r="B9" s="13"/>
      <c r="C9" s="13"/>
      <c r="D9" s="13"/>
      <c r="E9" s="13"/>
      <c r="F9" s="13">
        <f t="shared" si="0"/>
        <v>0</v>
      </c>
      <c r="I9" s="37" t="s">
        <v>52</v>
      </c>
      <c r="J9" s="37"/>
      <c r="K9" s="37"/>
      <c r="L9" s="37"/>
      <c r="M9" s="37"/>
    </row>
    <row r="10" spans="1:17" x14ac:dyDescent="0.25">
      <c r="A10" s="15">
        <f t="shared" si="1"/>
        <v>8</v>
      </c>
      <c r="B10" s="13"/>
      <c r="C10" s="13"/>
      <c r="D10" s="13"/>
      <c r="E10" s="13"/>
      <c r="F10" s="13">
        <f t="shared" si="0"/>
        <v>0</v>
      </c>
      <c r="I10" s="6" t="s">
        <v>19</v>
      </c>
      <c r="J10" s="7" t="s">
        <v>18</v>
      </c>
      <c r="K10" s="8" t="s">
        <v>20</v>
      </c>
      <c r="L10" s="9" t="s">
        <v>21</v>
      </c>
      <c r="M10" s="10" t="s">
        <v>22</v>
      </c>
    </row>
    <row r="11" spans="1:17" ht="15" customHeight="1" x14ac:dyDescent="0.25">
      <c r="A11" s="15">
        <f t="shared" si="1"/>
        <v>9</v>
      </c>
      <c r="B11" s="13"/>
      <c r="C11" s="13"/>
      <c r="D11" s="13"/>
      <c r="E11" s="13"/>
      <c r="F11" s="13">
        <f t="shared" si="0"/>
        <v>0</v>
      </c>
      <c r="I11" s="35" t="str">
        <f>IFERROR(I3/$I$7,"/!\ Nb villages")</f>
        <v>/!\ Nb villages</v>
      </c>
      <c r="J11" s="35" t="str">
        <f t="shared" ref="J11:M11" si="2">IFERROR(J3/$I$7,"/!\ Nb villages")</f>
        <v>/!\ Nb villages</v>
      </c>
      <c r="K11" s="35" t="str">
        <f t="shared" si="2"/>
        <v>/!\ Nb villages</v>
      </c>
      <c r="L11" s="35" t="str">
        <f t="shared" si="2"/>
        <v>/!\ Nb villages</v>
      </c>
      <c r="M11" s="35" t="str">
        <f t="shared" si="2"/>
        <v>/!\ Nb villages</v>
      </c>
    </row>
    <row r="12" spans="1:17" x14ac:dyDescent="0.25">
      <c r="A12" s="15">
        <f t="shared" si="1"/>
        <v>10</v>
      </c>
      <c r="B12" s="13"/>
      <c r="C12" s="13"/>
      <c r="D12" s="13"/>
      <c r="E12" s="13"/>
      <c r="F12" s="13">
        <f t="shared" si="0"/>
        <v>0</v>
      </c>
      <c r="I12" s="35"/>
      <c r="J12" s="35"/>
      <c r="K12" s="35"/>
      <c r="L12" s="35"/>
      <c r="M12" s="35"/>
    </row>
    <row r="13" spans="1:17" x14ac:dyDescent="0.25">
      <c r="A13" s="15">
        <f t="shared" si="1"/>
        <v>11</v>
      </c>
      <c r="B13" s="13"/>
      <c r="C13" s="13"/>
      <c r="D13" s="13"/>
      <c r="E13" s="13"/>
      <c r="F13" s="13">
        <f t="shared" si="0"/>
        <v>0</v>
      </c>
    </row>
    <row r="14" spans="1:17" x14ac:dyDescent="0.25">
      <c r="A14" s="15">
        <f t="shared" si="1"/>
        <v>12</v>
      </c>
      <c r="B14" s="13"/>
      <c r="C14" s="13"/>
      <c r="D14" s="13"/>
      <c r="E14" s="13"/>
      <c r="F14" s="13">
        <f t="shared" si="0"/>
        <v>0</v>
      </c>
    </row>
    <row r="15" spans="1:17" x14ac:dyDescent="0.25">
      <c r="A15" s="15">
        <f t="shared" si="1"/>
        <v>13</v>
      </c>
      <c r="B15" s="13"/>
      <c r="C15" s="13"/>
      <c r="D15" s="13"/>
      <c r="E15" s="13"/>
      <c r="F15" s="13">
        <f t="shared" si="0"/>
        <v>0</v>
      </c>
      <c r="I15" s="34" t="s">
        <v>80</v>
      </c>
      <c r="J15" s="34"/>
      <c r="K15" s="34"/>
    </row>
    <row r="16" spans="1:17" ht="15" customHeight="1" x14ac:dyDescent="0.25">
      <c r="A16" s="15">
        <f t="shared" si="1"/>
        <v>14</v>
      </c>
      <c r="B16" s="13"/>
      <c r="C16" s="13"/>
      <c r="D16" s="13"/>
      <c r="E16" s="13"/>
      <c r="F16" s="13">
        <f t="shared" si="0"/>
        <v>0</v>
      </c>
      <c r="I16" s="34"/>
      <c r="J16" s="34"/>
      <c r="K16" s="34"/>
    </row>
    <row r="17" spans="1:11" ht="25.5" x14ac:dyDescent="0.25">
      <c r="A17" s="15">
        <f t="shared" si="1"/>
        <v>15</v>
      </c>
      <c r="B17" s="13"/>
      <c r="C17" s="13"/>
      <c r="D17" s="13"/>
      <c r="E17" s="13"/>
      <c r="F17" s="13">
        <f t="shared" si="0"/>
        <v>0</v>
      </c>
      <c r="I17" s="32" t="s">
        <v>81</v>
      </c>
      <c r="J17" s="33" t="s">
        <v>78</v>
      </c>
      <c r="K17" s="32" t="s">
        <v>79</v>
      </c>
    </row>
    <row r="18" spans="1:11" x14ac:dyDescent="0.25">
      <c r="A18" s="15">
        <f t="shared" si="1"/>
        <v>16</v>
      </c>
      <c r="B18" s="13"/>
      <c r="C18" s="13"/>
      <c r="D18" s="13"/>
      <c r="E18" s="13"/>
      <c r="F18" s="13">
        <f t="shared" si="0"/>
        <v>0</v>
      </c>
    </row>
    <row r="19" spans="1:11" x14ac:dyDescent="0.25">
      <c r="A19" s="15">
        <f t="shared" si="1"/>
        <v>17</v>
      </c>
      <c r="B19" s="13"/>
      <c r="C19" s="13"/>
      <c r="D19" s="13"/>
      <c r="E19" s="13"/>
      <c r="F19" s="13">
        <f t="shared" si="0"/>
        <v>0</v>
      </c>
    </row>
    <row r="20" spans="1:11" x14ac:dyDescent="0.25">
      <c r="A20" s="15">
        <f t="shared" si="1"/>
        <v>18</v>
      </c>
      <c r="B20" s="13"/>
      <c r="C20" s="13"/>
      <c r="D20" s="13"/>
      <c r="E20" s="13"/>
      <c r="F20" s="13">
        <f t="shared" si="0"/>
        <v>0</v>
      </c>
      <c r="I20" s="12"/>
    </row>
    <row r="21" spans="1:11" x14ac:dyDescent="0.25">
      <c r="A21" s="15">
        <f t="shared" si="1"/>
        <v>19</v>
      </c>
      <c r="B21" s="13"/>
      <c r="C21" s="13"/>
      <c r="D21" s="13"/>
      <c r="E21" s="13"/>
      <c r="F21" s="13">
        <f t="shared" si="0"/>
        <v>0</v>
      </c>
    </row>
    <row r="22" spans="1:11" x14ac:dyDescent="0.25">
      <c r="A22" s="15">
        <f t="shared" si="1"/>
        <v>20</v>
      </c>
      <c r="B22" s="13"/>
      <c r="C22" s="13"/>
      <c r="D22" s="13"/>
      <c r="E22" s="13"/>
      <c r="F22" s="13">
        <f t="shared" si="0"/>
        <v>0</v>
      </c>
    </row>
    <row r="23" spans="1:11" x14ac:dyDescent="0.25">
      <c r="A23" s="15">
        <f t="shared" si="1"/>
        <v>21</v>
      </c>
      <c r="B23" s="13"/>
      <c r="C23" s="13"/>
      <c r="D23" s="13"/>
      <c r="E23" s="13"/>
      <c r="F23" s="13">
        <f t="shared" si="0"/>
        <v>0</v>
      </c>
    </row>
    <row r="24" spans="1:11" x14ac:dyDescent="0.25">
      <c r="A24" s="15">
        <f t="shared" si="1"/>
        <v>22</v>
      </c>
      <c r="B24" s="13"/>
      <c r="C24" s="13"/>
      <c r="D24" s="13"/>
      <c r="E24" s="13"/>
      <c r="F24" s="13">
        <f t="shared" si="0"/>
        <v>0</v>
      </c>
    </row>
    <row r="25" spans="1:11" x14ac:dyDescent="0.25">
      <c r="A25" s="15">
        <f t="shared" si="1"/>
        <v>23</v>
      </c>
      <c r="B25" s="13"/>
      <c r="C25" s="13"/>
      <c r="D25" s="13"/>
      <c r="E25" s="13"/>
      <c r="F25" s="13">
        <f t="shared" si="0"/>
        <v>0</v>
      </c>
    </row>
    <row r="26" spans="1:11" x14ac:dyDescent="0.25">
      <c r="A26" s="15">
        <f t="shared" si="1"/>
        <v>24</v>
      </c>
      <c r="B26" s="13"/>
      <c r="C26" s="13"/>
      <c r="D26" s="13"/>
      <c r="E26" s="13"/>
      <c r="F26" s="13">
        <f t="shared" si="0"/>
        <v>0</v>
      </c>
    </row>
    <row r="27" spans="1:11" x14ac:dyDescent="0.25">
      <c r="A27" s="15">
        <f t="shared" si="1"/>
        <v>25</v>
      </c>
      <c r="B27" s="13"/>
      <c r="C27" s="13"/>
      <c r="D27" s="13"/>
      <c r="E27" s="13"/>
      <c r="F27" s="13">
        <f t="shared" si="0"/>
        <v>0</v>
      </c>
    </row>
    <row r="28" spans="1:11" x14ac:dyDescent="0.25">
      <c r="A28" s="15">
        <f t="shared" si="1"/>
        <v>26</v>
      </c>
      <c r="B28" s="13"/>
      <c r="C28" s="13"/>
      <c r="D28" s="13"/>
      <c r="E28" s="13"/>
      <c r="F28" s="13">
        <f t="shared" si="0"/>
        <v>0</v>
      </c>
    </row>
    <row r="29" spans="1:11" x14ac:dyDescent="0.25">
      <c r="A29" s="15">
        <f t="shared" si="1"/>
        <v>27</v>
      </c>
      <c r="B29" s="13"/>
      <c r="C29" s="13"/>
      <c r="D29" s="13"/>
      <c r="E29" s="13"/>
      <c r="F29" s="13">
        <f t="shared" si="0"/>
        <v>0</v>
      </c>
    </row>
    <row r="30" spans="1:11" x14ac:dyDescent="0.25">
      <c r="A30" s="15">
        <f t="shared" si="1"/>
        <v>28</v>
      </c>
      <c r="B30" s="13"/>
      <c r="C30" s="13"/>
      <c r="D30" s="13"/>
      <c r="E30" s="13"/>
      <c r="F30" s="13">
        <f t="shared" si="0"/>
        <v>0</v>
      </c>
    </row>
    <row r="31" spans="1:11" x14ac:dyDescent="0.25">
      <c r="A31" s="15">
        <f t="shared" si="1"/>
        <v>29</v>
      </c>
      <c r="B31" s="13"/>
      <c r="C31" s="13"/>
      <c r="D31" s="13"/>
      <c r="E31" s="13"/>
      <c r="F31" s="13">
        <f t="shared" si="0"/>
        <v>0</v>
      </c>
    </row>
    <row r="32" spans="1:11" x14ac:dyDescent="0.25">
      <c r="A32" s="15">
        <f t="shared" si="1"/>
        <v>30</v>
      </c>
      <c r="B32" s="13"/>
      <c r="C32" s="13"/>
      <c r="D32" s="13"/>
      <c r="E32" s="13"/>
      <c r="F32" s="13">
        <f t="shared" si="0"/>
        <v>0</v>
      </c>
    </row>
    <row r="33" spans="1:6" x14ac:dyDescent="0.25">
      <c r="A33" s="15">
        <f t="shared" si="1"/>
        <v>31</v>
      </c>
      <c r="B33" s="13"/>
      <c r="C33" s="13"/>
      <c r="D33" s="13"/>
      <c r="E33" s="13"/>
      <c r="F33" s="13">
        <f t="shared" si="0"/>
        <v>0</v>
      </c>
    </row>
    <row r="34" spans="1:6" x14ac:dyDescent="0.25">
      <c r="A34" s="15">
        <f t="shared" si="1"/>
        <v>32</v>
      </c>
      <c r="B34" s="13"/>
      <c r="C34" s="13"/>
      <c r="D34" s="13"/>
      <c r="E34" s="13"/>
      <c r="F34" s="13">
        <f t="shared" si="0"/>
        <v>0</v>
      </c>
    </row>
    <row r="35" spans="1:6" x14ac:dyDescent="0.25">
      <c r="A35" s="15">
        <f t="shared" si="1"/>
        <v>33</v>
      </c>
      <c r="B35" s="13"/>
      <c r="C35" s="13"/>
      <c r="D35" s="13"/>
      <c r="E35" s="13"/>
      <c r="F35" s="13">
        <f t="shared" si="0"/>
        <v>0</v>
      </c>
    </row>
    <row r="36" spans="1:6" x14ac:dyDescent="0.25">
      <c r="A36" s="15">
        <f t="shared" si="1"/>
        <v>34</v>
      </c>
      <c r="B36" s="13"/>
      <c r="C36" s="13"/>
      <c r="D36" s="13"/>
      <c r="E36" s="13"/>
      <c r="F36" s="13">
        <f t="shared" si="0"/>
        <v>0</v>
      </c>
    </row>
    <row r="37" spans="1:6" x14ac:dyDescent="0.25">
      <c r="A37" s="15">
        <f t="shared" si="1"/>
        <v>35</v>
      </c>
      <c r="B37" s="13"/>
      <c r="C37" s="13"/>
      <c r="D37" s="13"/>
      <c r="E37" s="13"/>
      <c r="F37" s="13">
        <f t="shared" si="0"/>
        <v>0</v>
      </c>
    </row>
    <row r="38" spans="1:6" x14ac:dyDescent="0.25">
      <c r="A38" s="15">
        <f t="shared" si="1"/>
        <v>36</v>
      </c>
      <c r="B38" s="13"/>
      <c r="C38" s="13"/>
      <c r="D38" s="13"/>
      <c r="E38" s="13"/>
      <c r="F38" s="13">
        <f t="shared" si="0"/>
        <v>0</v>
      </c>
    </row>
    <row r="39" spans="1:6" x14ac:dyDescent="0.25">
      <c r="A39" s="15">
        <f t="shared" si="1"/>
        <v>37</v>
      </c>
      <c r="B39" s="13"/>
      <c r="C39" s="13"/>
      <c r="D39" s="13"/>
      <c r="E39" s="13"/>
      <c r="F39" s="13">
        <f t="shared" si="0"/>
        <v>0</v>
      </c>
    </row>
    <row r="40" spans="1:6" x14ac:dyDescent="0.25">
      <c r="A40" s="15">
        <f t="shared" si="1"/>
        <v>38</v>
      </c>
      <c r="B40" s="13"/>
      <c r="C40" s="13"/>
      <c r="D40" s="13"/>
      <c r="E40" s="13"/>
      <c r="F40" s="13">
        <f t="shared" si="0"/>
        <v>0</v>
      </c>
    </row>
    <row r="41" spans="1:6" x14ac:dyDescent="0.25">
      <c r="A41" s="15">
        <f t="shared" si="1"/>
        <v>39</v>
      </c>
      <c r="B41" s="13"/>
      <c r="C41" s="13"/>
      <c r="D41" s="13"/>
      <c r="E41" s="13"/>
      <c r="F41" s="13">
        <f t="shared" si="0"/>
        <v>0</v>
      </c>
    </row>
    <row r="42" spans="1:6" x14ac:dyDescent="0.25">
      <c r="A42" s="15">
        <f t="shared" si="1"/>
        <v>40</v>
      </c>
      <c r="B42" s="13"/>
      <c r="C42" s="13"/>
      <c r="D42" s="13"/>
      <c r="E42" s="13"/>
      <c r="F42" s="13">
        <f t="shared" si="0"/>
        <v>0</v>
      </c>
    </row>
    <row r="43" spans="1:6" x14ac:dyDescent="0.25">
      <c r="A43" s="15">
        <f>A42+1</f>
        <v>41</v>
      </c>
      <c r="B43" s="13"/>
      <c r="C43" s="13"/>
      <c r="D43" s="13"/>
      <c r="E43" s="13"/>
      <c r="F43" s="13">
        <f t="shared" si="0"/>
        <v>0</v>
      </c>
    </row>
    <row r="44" spans="1:6" x14ac:dyDescent="0.25">
      <c r="A44" s="15">
        <f t="shared" si="1"/>
        <v>42</v>
      </c>
      <c r="B44" s="13"/>
      <c r="C44" s="13"/>
      <c r="D44" s="13"/>
      <c r="E44" s="13"/>
      <c r="F44" s="13">
        <f t="shared" si="0"/>
        <v>0</v>
      </c>
    </row>
    <row r="45" spans="1:6" x14ac:dyDescent="0.25">
      <c r="A45" s="15">
        <f t="shared" si="1"/>
        <v>43</v>
      </c>
      <c r="B45" s="13"/>
      <c r="C45" s="13"/>
      <c r="D45" s="13"/>
      <c r="E45" s="13"/>
      <c r="F45" s="13">
        <f t="shared" si="0"/>
        <v>0</v>
      </c>
    </row>
    <row r="46" spans="1:6" x14ac:dyDescent="0.25">
      <c r="A46" s="15">
        <f t="shared" si="1"/>
        <v>44</v>
      </c>
      <c r="B46" s="13"/>
      <c r="C46" s="13"/>
      <c r="D46" s="13"/>
      <c r="E46" s="13"/>
      <c r="F46" s="13">
        <f t="shared" si="0"/>
        <v>0</v>
      </c>
    </row>
    <row r="47" spans="1:6" x14ac:dyDescent="0.25">
      <c r="A47" s="15">
        <f t="shared" si="1"/>
        <v>45</v>
      </c>
      <c r="B47" s="13"/>
      <c r="C47" s="13"/>
      <c r="D47" s="13"/>
      <c r="E47" s="13"/>
      <c r="F47" s="13">
        <f t="shared" si="0"/>
        <v>0</v>
      </c>
    </row>
  </sheetData>
  <mergeCells count="18">
    <mergeCell ref="P1:Q1"/>
    <mergeCell ref="P2:Q2"/>
    <mergeCell ref="I1:M1"/>
    <mergeCell ref="A1:F1"/>
    <mergeCell ref="I6:M6"/>
    <mergeCell ref="M11:M12"/>
    <mergeCell ref="I7:M7"/>
    <mergeCell ref="I9:M9"/>
    <mergeCell ref="I3:I4"/>
    <mergeCell ref="J3:J4"/>
    <mergeCell ref="K3:K4"/>
    <mergeCell ref="L3:L4"/>
    <mergeCell ref="M3:M4"/>
    <mergeCell ref="I15:K16"/>
    <mergeCell ref="I11:I12"/>
    <mergeCell ref="J11:J12"/>
    <mergeCell ref="K11:K12"/>
    <mergeCell ref="L11:L12"/>
  </mergeCells>
  <dataValidations count="1">
    <dataValidation type="list" allowBlank="1" showInputMessage="1" showErrorMessage="1" sqref="P2">
      <formula1>Intervalle_de_temps</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theme="9" tint="0.39997558519241921"/>
  </sheetPr>
  <dimension ref="A1:R28"/>
  <sheetViews>
    <sheetView zoomScaleNormal="100" workbookViewId="0">
      <selection activeCell="E7" sqref="E7"/>
    </sheetView>
  </sheetViews>
  <sheetFormatPr baseColWidth="10" defaultColWidth="12.28515625" defaultRowHeight="15" x14ac:dyDescent="0.25"/>
  <cols>
    <col min="1" max="1" width="13.140625" style="5" customWidth="1"/>
    <col min="2" max="2" width="15.7109375" style="5" customWidth="1"/>
    <col min="3" max="7" width="11.140625" style="5" customWidth="1"/>
    <col min="8" max="8" width="13.140625" style="5" customWidth="1"/>
    <col min="9" max="18" width="14.7109375" style="5" customWidth="1"/>
    <col min="19" max="16384" width="12.28515625" style="5"/>
  </cols>
  <sheetData>
    <row r="1" spans="1:18" ht="45" customHeight="1" x14ac:dyDescent="0.25">
      <c r="A1" s="29" t="s">
        <v>65</v>
      </c>
      <c r="C1" s="27" t="s">
        <v>64</v>
      </c>
      <c r="D1" s="16" t="str">
        <f>'Production Villages'!P2</f>
        <v>1 jour</v>
      </c>
      <c r="I1" s="30" t="s">
        <v>76</v>
      </c>
      <c r="J1" s="23" t="s">
        <v>23</v>
      </c>
      <c r="K1" s="24" t="s">
        <v>72</v>
      </c>
      <c r="L1" s="28" t="s">
        <v>73</v>
      </c>
      <c r="M1" s="24" t="s">
        <v>69</v>
      </c>
      <c r="N1" s="23" t="s">
        <v>75</v>
      </c>
      <c r="O1" s="24" t="s">
        <v>74</v>
      </c>
      <c r="P1" s="46" t="s">
        <v>71</v>
      </c>
      <c r="Q1" s="46"/>
      <c r="R1" s="46"/>
    </row>
    <row r="2" spans="1:18" ht="15" customHeight="1" x14ac:dyDescent="0.25">
      <c r="I2" s="23" t="s">
        <v>0</v>
      </c>
      <c r="J2" s="16">
        <f>C13+C23</f>
        <v>9150</v>
      </c>
      <c r="K2" s="16">
        <f>H13+H23</f>
        <v>8596800</v>
      </c>
      <c r="L2" s="16">
        <f>I13+I23</f>
        <v>9150</v>
      </c>
      <c r="M2" s="16">
        <f>J13+J23</f>
        <v>492948.93239731912</v>
      </c>
      <c r="N2" s="16">
        <f>K13+K23</f>
        <v>431330.31584765424</v>
      </c>
      <c r="O2" s="16">
        <f>L13+L23</f>
        <v>616186.16549664887</v>
      </c>
      <c r="P2" s="45" t="str">
        <f>IFERROR(K2/'Production Villages'!$M$11,"Complétez la feuille production")</f>
        <v>Complétez la feuille production</v>
      </c>
      <c r="Q2" s="45"/>
      <c r="R2" s="45"/>
    </row>
    <row r="3" spans="1:18" ht="30" customHeight="1" x14ac:dyDescent="0.25">
      <c r="A3" s="27" t="s">
        <v>9</v>
      </c>
      <c r="B3" s="16">
        <v>20</v>
      </c>
      <c r="C3" s="27" t="s">
        <v>15</v>
      </c>
      <c r="D3" s="16">
        <v>20</v>
      </c>
      <c r="E3" s="27" t="s">
        <v>11</v>
      </c>
      <c r="F3" s="16">
        <v>0.2</v>
      </c>
      <c r="I3" s="24" t="s">
        <v>1</v>
      </c>
      <c r="J3" s="16">
        <f t="shared" ref="J3:J7" si="0">C14+C24</f>
        <v>8100</v>
      </c>
      <c r="K3" s="16">
        <f t="shared" ref="K3:K7" si="1">H14+H24</f>
        <v>8694000</v>
      </c>
      <c r="L3" s="16">
        <f t="shared" ref="L3:L7" si="2">I14+I24</f>
        <v>8100</v>
      </c>
      <c r="M3" s="16">
        <f t="shared" ref="M3:M7" si="3">J14+J24</f>
        <v>327285.76659166272</v>
      </c>
      <c r="N3" s="16">
        <f t="shared" ref="N3:N7" si="4">K14+K24</f>
        <v>709119.16094860248</v>
      </c>
      <c r="O3" s="16">
        <f t="shared" ref="O3:O7" si="5">L14+L24</f>
        <v>381833.39435693983</v>
      </c>
      <c r="P3" s="45" t="str">
        <f>IFERROR(K3/'Production Villages'!$M$11,"Complétez la feuille production")</f>
        <v>Complétez la feuille production</v>
      </c>
      <c r="Q3" s="45"/>
      <c r="R3" s="45"/>
    </row>
    <row r="4" spans="1:18" ht="30" customHeight="1" x14ac:dyDescent="0.25">
      <c r="A4" s="27" t="s">
        <v>8</v>
      </c>
      <c r="B4" s="16">
        <v>20</v>
      </c>
      <c r="C4" s="27" t="s">
        <v>16</v>
      </c>
      <c r="D4" s="16">
        <v>20</v>
      </c>
      <c r="E4" s="27" t="s">
        <v>12</v>
      </c>
      <c r="F4" s="16">
        <v>0.5</v>
      </c>
      <c r="I4" s="23" t="s">
        <v>2</v>
      </c>
      <c r="J4" s="16">
        <f t="shared" si="0"/>
        <v>7550</v>
      </c>
      <c r="K4" s="16">
        <f t="shared" si="1"/>
        <v>10628400</v>
      </c>
      <c r="L4" s="16">
        <f t="shared" si="2"/>
        <v>7550</v>
      </c>
      <c r="M4" s="16">
        <f t="shared" si="3"/>
        <v>711812.87096170255</v>
      </c>
      <c r="N4" s="16">
        <f t="shared" si="4"/>
        <v>406750.21197811578</v>
      </c>
      <c r="O4" s="16">
        <f t="shared" si="5"/>
        <v>254218.88248632237</v>
      </c>
      <c r="P4" s="45" t="str">
        <f>IFERROR(K4/'Production Villages'!$M$11,"Complétez la feuille production")</f>
        <v>Complétez la feuille production</v>
      </c>
      <c r="Q4" s="45"/>
      <c r="R4" s="45"/>
    </row>
    <row r="5" spans="1:18" ht="30" customHeight="1" x14ac:dyDescent="0.25">
      <c r="A5" s="27" t="s">
        <v>10</v>
      </c>
      <c r="B5" s="16">
        <v>20</v>
      </c>
      <c r="C5" s="27" t="s">
        <v>13</v>
      </c>
      <c r="D5" s="16">
        <v>20</v>
      </c>
      <c r="E5" s="27" t="s">
        <v>14</v>
      </c>
      <c r="F5" s="16">
        <v>20</v>
      </c>
      <c r="I5" s="24" t="s">
        <v>3</v>
      </c>
      <c r="J5" s="16">
        <f t="shared" si="0"/>
        <v>11520</v>
      </c>
      <c r="K5" s="16">
        <f t="shared" si="1"/>
        <v>9331200</v>
      </c>
      <c r="L5" s="16">
        <f t="shared" si="2"/>
        <v>11520</v>
      </c>
      <c r="M5" s="16">
        <f t="shared" si="3"/>
        <v>0</v>
      </c>
      <c r="N5" s="16">
        <f t="shared" si="4"/>
        <v>310315.39350913203</v>
      </c>
      <c r="O5" s="16">
        <f t="shared" si="5"/>
        <v>155157.69675456602</v>
      </c>
      <c r="P5" s="45" t="str">
        <f>IFERROR(K5/'Production Villages'!$M$11,"Complétez la feuille production")</f>
        <v>Complétez la feuille production</v>
      </c>
      <c r="Q5" s="45"/>
      <c r="R5" s="45"/>
    </row>
    <row r="6" spans="1:18" ht="30" customHeight="1" x14ac:dyDescent="0.25">
      <c r="I6" s="23" t="s">
        <v>4</v>
      </c>
      <c r="J6" s="16">
        <f t="shared" si="0"/>
        <v>5873</v>
      </c>
      <c r="K6" s="16">
        <f t="shared" si="1"/>
        <v>18432930</v>
      </c>
      <c r="L6" s="16">
        <f t="shared" si="2"/>
        <v>11746</v>
      </c>
      <c r="M6" s="16">
        <f t="shared" si="3"/>
        <v>949209.5344162148</v>
      </c>
      <c r="N6" s="16">
        <f t="shared" si="4"/>
        <v>514155.16447544965</v>
      </c>
      <c r="O6" s="16">
        <f t="shared" si="5"/>
        <v>395503.97267342283</v>
      </c>
      <c r="P6" s="45" t="str">
        <f>IFERROR(K6/'Production Villages'!$M$11,"Complétez la feuille production")</f>
        <v>Complétez la feuille production</v>
      </c>
      <c r="Q6" s="45"/>
      <c r="R6" s="45"/>
    </row>
    <row r="7" spans="1:18" ht="30" customHeight="1" x14ac:dyDescent="0.25">
      <c r="A7" s="34" t="s">
        <v>80</v>
      </c>
      <c r="B7" s="34"/>
      <c r="C7" s="34"/>
      <c r="D7" s="31"/>
      <c r="E7" s="31"/>
      <c r="F7" s="31"/>
      <c r="G7" s="31"/>
      <c r="I7" s="24" t="s">
        <v>5</v>
      </c>
      <c r="J7" s="16">
        <f t="shared" si="0"/>
        <v>4394</v>
      </c>
      <c r="K7" s="16">
        <f t="shared" si="1"/>
        <v>21252980</v>
      </c>
      <c r="L7" s="16">
        <f t="shared" si="2"/>
        <v>15882</v>
      </c>
      <c r="M7" s="16">
        <f t="shared" si="3"/>
        <v>1065254.5617805673</v>
      </c>
      <c r="N7" s="16">
        <f t="shared" si="4"/>
        <v>473446.47190247435</v>
      </c>
      <c r="O7" s="16">
        <f t="shared" si="5"/>
        <v>621398.49437199766</v>
      </c>
      <c r="P7" s="45" t="str">
        <f>IFERROR(K7/'Production Villages'!$M$11,"Complétez la feuille production")</f>
        <v>Complétez la feuille production</v>
      </c>
      <c r="Q7" s="45"/>
      <c r="R7" s="45"/>
    </row>
    <row r="8" spans="1:18" ht="15" customHeight="1" x14ac:dyDescent="0.25">
      <c r="A8" s="32" t="s">
        <v>77</v>
      </c>
      <c r="B8" s="32" t="s">
        <v>78</v>
      </c>
      <c r="C8" s="32" t="s">
        <v>79</v>
      </c>
      <c r="D8" s="31"/>
      <c r="E8" s="31"/>
      <c r="F8" s="31"/>
      <c r="G8" s="31"/>
      <c r="I8" s="23" t="s">
        <v>6</v>
      </c>
      <c r="J8" s="16">
        <f>C19</f>
        <v>830</v>
      </c>
      <c r="K8" s="16">
        <f t="shared" ref="K8:O9" si="6">H19</f>
        <v>1518900</v>
      </c>
      <c r="L8" s="16">
        <f t="shared" si="6"/>
        <v>2490</v>
      </c>
      <c r="M8" s="16">
        <f t="shared" si="6"/>
        <v>67073.379326192604</v>
      </c>
      <c r="N8" s="16">
        <f t="shared" si="6"/>
        <v>33536.689663096302</v>
      </c>
      <c r="O8" s="16">
        <f t="shared" si="6"/>
        <v>83841.724157740755</v>
      </c>
      <c r="P8" s="45" t="str">
        <f>IFERROR(K8/'Production Villages'!$M$11,"Complétez la feuille production")</f>
        <v>Complétez la feuille production</v>
      </c>
      <c r="Q8" s="45"/>
      <c r="R8" s="45"/>
    </row>
    <row r="9" spans="1:18" ht="30" customHeight="1" x14ac:dyDescent="0.25">
      <c r="A9" s="31"/>
      <c r="B9" s="31"/>
      <c r="C9" s="31"/>
      <c r="D9" s="31"/>
      <c r="E9" s="31"/>
      <c r="F9" s="31"/>
      <c r="G9" s="31"/>
      <c r="I9" s="24" t="s">
        <v>7</v>
      </c>
      <c r="J9" s="16">
        <f>C20</f>
        <v>425</v>
      </c>
      <c r="K9" s="16">
        <f t="shared" si="6"/>
        <v>1270750</v>
      </c>
      <c r="L9" s="16">
        <f t="shared" si="6"/>
        <v>2550</v>
      </c>
      <c r="M9" s="16">
        <f t="shared" si="6"/>
        <v>42931.003333782915</v>
      </c>
      <c r="N9" s="16">
        <f t="shared" si="6"/>
        <v>34344.802667026328</v>
      </c>
      <c r="O9" s="16">
        <f t="shared" si="6"/>
        <v>5724.1337778377219</v>
      </c>
      <c r="P9" s="45" t="str">
        <f>IFERROR(K9/'Production Villages'!$M$11,"Complétez la feuille production")</f>
        <v>Complétez la feuille production</v>
      </c>
      <c r="Q9" s="45"/>
      <c r="R9" s="45"/>
    </row>
    <row r="11" spans="1:18" ht="15" customHeight="1" x14ac:dyDescent="0.25">
      <c r="A11" s="43" t="s">
        <v>63</v>
      </c>
      <c r="B11" s="43"/>
      <c r="C11" s="43"/>
      <c r="D11" s="44" t="s">
        <v>60</v>
      </c>
      <c r="E11" s="44"/>
      <c r="F11" s="44"/>
      <c r="G11" s="44"/>
      <c r="H11" s="44"/>
      <c r="I11" s="43" t="s">
        <v>62</v>
      </c>
      <c r="J11" s="43"/>
      <c r="K11" s="43"/>
      <c r="L11" s="43"/>
      <c r="M11" s="44" t="s">
        <v>61</v>
      </c>
      <c r="N11" s="44"/>
      <c r="O11" s="44"/>
      <c r="P11" s="44"/>
      <c r="Q11" s="44"/>
      <c r="R11" s="44"/>
    </row>
    <row r="12" spans="1:18" ht="65.25" customHeight="1" x14ac:dyDescent="0.25">
      <c r="A12" s="25" t="s">
        <v>57</v>
      </c>
      <c r="B12" s="26" t="s">
        <v>40</v>
      </c>
      <c r="C12" s="25" t="s">
        <v>23</v>
      </c>
      <c r="D12" s="17" t="s">
        <v>19</v>
      </c>
      <c r="E12" s="18" t="s">
        <v>18</v>
      </c>
      <c r="F12" s="19" t="s">
        <v>20</v>
      </c>
      <c r="G12" s="20" t="s">
        <v>21</v>
      </c>
      <c r="H12" s="21" t="s">
        <v>66</v>
      </c>
      <c r="I12" s="25" t="s">
        <v>45</v>
      </c>
      <c r="J12" s="26" t="s">
        <v>69</v>
      </c>
      <c r="K12" s="25" t="s">
        <v>67</v>
      </c>
      <c r="L12" s="26" t="s">
        <v>68</v>
      </c>
      <c r="M12" s="25" t="s">
        <v>42</v>
      </c>
      <c r="N12" s="26" t="s">
        <v>43</v>
      </c>
      <c r="O12" s="25" t="s">
        <v>44</v>
      </c>
      <c r="P12" s="26" t="s">
        <v>58</v>
      </c>
      <c r="Q12" s="25" t="s">
        <v>59</v>
      </c>
      <c r="R12" s="26" t="s">
        <v>70</v>
      </c>
    </row>
    <row r="13" spans="1:18" x14ac:dyDescent="0.25">
      <c r="A13" s="26" t="s">
        <v>0</v>
      </c>
      <c r="B13" s="16">
        <f>ROUND('Feuille de calculs romains'!E40,0)</f>
        <v>29</v>
      </c>
      <c r="C13" s="16">
        <f>ROUNDDOWN('Feuille de calculs romains'!L29,0)</f>
        <v>2979</v>
      </c>
      <c r="D13" s="16">
        <f>120*C13</f>
        <v>357480</v>
      </c>
      <c r="E13" s="16">
        <f>C13*100</f>
        <v>297900</v>
      </c>
      <c r="F13" s="16">
        <f>C13*150</f>
        <v>446850</v>
      </c>
      <c r="G13" s="16">
        <f>C13*30</f>
        <v>89370</v>
      </c>
      <c r="H13" s="16">
        <f>(SUM(D13:G13))</f>
        <v>1191600</v>
      </c>
      <c r="I13" s="16">
        <f>C13</f>
        <v>2979</v>
      </c>
      <c r="J13" s="16">
        <f>C13*40*1.015^$F$5</f>
        <v>160491.24258050421</v>
      </c>
      <c r="K13" s="16">
        <f>C13*35*1.015^$F$5</f>
        <v>140429.8372579412</v>
      </c>
      <c r="L13" s="16">
        <f>C13*50*1.015^$F$5</f>
        <v>200614.05322563028</v>
      </c>
      <c r="M13" s="16">
        <f>IFERROR($H13/J13,0)</f>
        <v>7.4247041822377318</v>
      </c>
      <c r="N13" s="16">
        <f>IFERROR($H13/K13,0)</f>
        <v>8.4853762082716937</v>
      </c>
      <c r="O13" s="16">
        <f>IFERROR($H13/L13,0)</f>
        <v>5.9397633457901851</v>
      </c>
      <c r="P13" s="16">
        <f>IFERROR(J13/$I13,0)</f>
        <v>53.874200262002084</v>
      </c>
      <c r="Q13" s="16">
        <f t="shared" ref="Q13:R20" si="7">IFERROR(K13/$I13,0)</f>
        <v>47.13992522925183</v>
      </c>
      <c r="R13" s="16">
        <f t="shared" si="7"/>
        <v>67.342750327502614</v>
      </c>
    </row>
    <row r="14" spans="1:18" x14ac:dyDescent="0.25">
      <c r="A14" s="25" t="s">
        <v>1</v>
      </c>
      <c r="B14" s="16">
        <f>ROUND('Feuille de calculs romains'!E41,0)</f>
        <v>32</v>
      </c>
      <c r="C14" s="22">
        <f>ROUNDDOWN('Feuille de calculs romains'!L30,0)</f>
        <v>2700</v>
      </c>
      <c r="D14" s="16">
        <f>C14*100</f>
        <v>270000</v>
      </c>
      <c r="E14" s="16">
        <f>C14*130</f>
        <v>351000</v>
      </c>
      <c r="F14" s="16">
        <f>C14*160</f>
        <v>432000</v>
      </c>
      <c r="G14" s="16">
        <f>C14*70</f>
        <v>189000</v>
      </c>
      <c r="H14" s="16">
        <f t="shared" ref="H14:H20" si="8">(SUM(D14:G14))</f>
        <v>1242000</v>
      </c>
      <c r="I14" s="16">
        <f t="shared" ref="I14:I15" si="9">C14</f>
        <v>2700</v>
      </c>
      <c r="J14" s="16">
        <f>C14*30*1.015^$F$5</f>
        <v>109095.25553055423</v>
      </c>
      <c r="K14" s="16">
        <f>C14*65*1.015^$F$5</f>
        <v>236373.05364953415</v>
      </c>
      <c r="L14" s="16">
        <f>C14*35*1.015^$F$5</f>
        <v>127277.79811897993</v>
      </c>
      <c r="M14" s="16">
        <f t="shared" ref="M14:M20" si="10">IFERROR($H14/J14,0)</f>
        <v>11.384546412764522</v>
      </c>
      <c r="N14" s="16">
        <f t="shared" ref="N14:N20" si="11">IFERROR($H14/K14,0)</f>
        <v>5.2544060366605487</v>
      </c>
      <c r="O14" s="16">
        <f t="shared" ref="O14:O20" si="12">IFERROR($H14/L14,0)</f>
        <v>9.758182639512448</v>
      </c>
      <c r="P14" s="16">
        <f t="shared" ref="P14:P20" si="13">IFERROR(J14/$I14,0)</f>
        <v>40.405650196501568</v>
      </c>
      <c r="Q14" s="16">
        <f t="shared" si="7"/>
        <v>87.545575425753384</v>
      </c>
      <c r="R14" s="16">
        <f t="shared" si="7"/>
        <v>47.13992522925183</v>
      </c>
    </row>
    <row r="15" spans="1:18" x14ac:dyDescent="0.25">
      <c r="A15" s="26" t="s">
        <v>2</v>
      </c>
      <c r="B15" s="16">
        <f>ROUND('Feuille de calculs romains'!E42,0)</f>
        <v>35</v>
      </c>
      <c r="C15" s="16">
        <f>ROUNDDOWN('Feuille de calculs romains'!L31,0)</f>
        <v>2468</v>
      </c>
      <c r="D15" s="16">
        <f>C15*150</f>
        <v>370200</v>
      </c>
      <c r="E15" s="16">
        <f>C15*160</f>
        <v>394880</v>
      </c>
      <c r="F15" s="16">
        <f>C15*210</f>
        <v>518280</v>
      </c>
      <c r="G15" s="16">
        <f>C15*80</f>
        <v>197440</v>
      </c>
      <c r="H15" s="16">
        <f t="shared" si="8"/>
        <v>1480800</v>
      </c>
      <c r="I15" s="16">
        <f t="shared" si="9"/>
        <v>2468</v>
      </c>
      <c r="J15" s="16">
        <f>C15*70*1.015^$F$5</f>
        <v>232682.67093158702</v>
      </c>
      <c r="K15" s="16">
        <f>C15*40*1.015^$F$5</f>
        <v>132961.52624662116</v>
      </c>
      <c r="L15" s="16">
        <f>C15*25*1.015^$F$5</f>
        <v>83100.953904138223</v>
      </c>
      <c r="M15" s="16">
        <f t="shared" si="10"/>
        <v>6.3640321562037698</v>
      </c>
      <c r="N15" s="16">
        <f t="shared" si="11"/>
        <v>11.137056273356597</v>
      </c>
      <c r="O15" s="16">
        <f t="shared" si="12"/>
        <v>17.819290037370557</v>
      </c>
      <c r="P15" s="16">
        <f t="shared" si="13"/>
        <v>94.27985045850366</v>
      </c>
      <c r="Q15" s="16">
        <f t="shared" si="7"/>
        <v>53.874200262002091</v>
      </c>
      <c r="R15" s="16">
        <f t="shared" si="7"/>
        <v>33.671375163751307</v>
      </c>
    </row>
    <row r="16" spans="1:18" ht="30" x14ac:dyDescent="0.25">
      <c r="A16" s="25" t="s">
        <v>3</v>
      </c>
      <c r="B16" s="16">
        <f>ROUND('Feuille de calculs romains'!E43,0)</f>
        <v>20</v>
      </c>
      <c r="C16" s="16">
        <f>ROUNDDOWN('Feuille de calculs romains'!L32,0)</f>
        <v>4320</v>
      </c>
      <c r="D16" s="16">
        <f>C16*140</f>
        <v>604800</v>
      </c>
      <c r="E16" s="16">
        <f>C16*160</f>
        <v>691200</v>
      </c>
      <c r="F16" s="16">
        <f>C16*20</f>
        <v>86400</v>
      </c>
      <c r="G16" s="16">
        <f>C16*40</f>
        <v>172800</v>
      </c>
      <c r="H16" s="16">
        <f t="shared" si="8"/>
        <v>1555200</v>
      </c>
      <c r="I16" s="16">
        <f>IF(D5&gt;=10,1,2)*C16</f>
        <v>4320</v>
      </c>
      <c r="J16" s="16">
        <f>C16*0*1.015^$F$5</f>
        <v>0</v>
      </c>
      <c r="K16" s="16">
        <f>C16*20*1.015^$F$5</f>
        <v>116368.2725659245</v>
      </c>
      <c r="L16" s="16">
        <f>C16*10*1.015^$F$5</f>
        <v>58184.136282962252</v>
      </c>
      <c r="M16" s="16">
        <f t="shared" si="10"/>
        <v>0</v>
      </c>
      <c r="N16" s="16">
        <f t="shared" si="11"/>
        <v>13.364467528027918</v>
      </c>
      <c r="O16" s="16">
        <f t="shared" si="12"/>
        <v>26.728935056055835</v>
      </c>
      <c r="P16" s="16">
        <f t="shared" si="13"/>
        <v>0</v>
      </c>
      <c r="Q16" s="16">
        <f t="shared" si="7"/>
        <v>26.937100131001042</v>
      </c>
      <c r="R16" s="16">
        <f t="shared" si="7"/>
        <v>13.468550065500521</v>
      </c>
    </row>
    <row r="17" spans="1:18" ht="30" x14ac:dyDescent="0.25">
      <c r="A17" s="26" t="s">
        <v>4</v>
      </c>
      <c r="B17" s="16">
        <f>ROUND('Feuille de calculs romains'!E44,0)</f>
        <v>38</v>
      </c>
      <c r="C17" s="16">
        <f>ROUNDDOWN('Feuille de calculs romains'!L33,0)</f>
        <v>2273</v>
      </c>
      <c r="D17" s="16">
        <f>C17*550</f>
        <v>1250150</v>
      </c>
      <c r="E17" s="16">
        <f>C17*440</f>
        <v>1000120</v>
      </c>
      <c r="F17" s="16">
        <f>C17*320</f>
        <v>727360</v>
      </c>
      <c r="G17" s="16">
        <f>C17*100</f>
        <v>227300</v>
      </c>
      <c r="H17" s="16">
        <f t="shared" si="8"/>
        <v>3204930</v>
      </c>
      <c r="I17" s="16">
        <f>IF(D5&gt;=15,2,3)*C17</f>
        <v>4546</v>
      </c>
      <c r="J17" s="16">
        <f>C17*120*1.015^$F$5</f>
        <v>367368.17158659222</v>
      </c>
      <c r="K17" s="16">
        <f>C17*65*1.015^$F$5</f>
        <v>198991.09294273745</v>
      </c>
      <c r="L17" s="16">
        <f>C17*50*1.015^$F$5</f>
        <v>153070.07149441342</v>
      </c>
      <c r="M17" s="16">
        <f t="shared" si="10"/>
        <v>8.7240274141293348</v>
      </c>
      <c r="N17" s="16">
        <f t="shared" si="11"/>
        <v>16.105896764546465</v>
      </c>
      <c r="O17" s="16">
        <f t="shared" si="12"/>
        <v>20.937665793910405</v>
      </c>
      <c r="P17" s="16">
        <f t="shared" si="13"/>
        <v>80.811300393003123</v>
      </c>
      <c r="Q17" s="16">
        <f t="shared" si="7"/>
        <v>43.772787712876692</v>
      </c>
      <c r="R17" s="16">
        <f t="shared" si="7"/>
        <v>33.6713751637513</v>
      </c>
    </row>
    <row r="18" spans="1:18" ht="30" x14ac:dyDescent="0.25">
      <c r="A18" s="25" t="s">
        <v>5</v>
      </c>
      <c r="B18" s="16">
        <f>ROUND('Feuille de calculs romains'!E45,0)</f>
        <v>51</v>
      </c>
      <c r="C18" s="16">
        <f>ROUNDDOWN('Feuille de calculs romains'!L34,0)</f>
        <v>1694</v>
      </c>
      <c r="D18" s="16">
        <f>C18*550</f>
        <v>931700</v>
      </c>
      <c r="E18" s="16">
        <f>C18*640</f>
        <v>1084160</v>
      </c>
      <c r="F18" s="16">
        <f>C18*800</f>
        <v>1355200</v>
      </c>
      <c r="G18" s="16">
        <f>C18*180</f>
        <v>304920</v>
      </c>
      <c r="H18" s="16">
        <f t="shared" si="8"/>
        <v>3675980</v>
      </c>
      <c r="I18" s="16">
        <f>IF(D5=20,3,4)*C18</f>
        <v>5082</v>
      </c>
      <c r="J18" s="16">
        <f>C18*180*1.015^$F$5</f>
        <v>410683.02859724191</v>
      </c>
      <c r="K18" s="16">
        <f>C18*80*1.015^$F$5</f>
        <v>182525.79048766306</v>
      </c>
      <c r="L18" s="16">
        <f>C18*105*1.015^$F$5</f>
        <v>239565.10001505777</v>
      </c>
      <c r="M18" s="16">
        <f t="shared" si="10"/>
        <v>8.9508933752532656</v>
      </c>
      <c r="N18" s="16">
        <f t="shared" si="11"/>
        <v>20.139510094319849</v>
      </c>
      <c r="O18" s="16">
        <f t="shared" si="12"/>
        <v>15.344388643291312</v>
      </c>
      <c r="P18" s="16">
        <f t="shared" si="13"/>
        <v>80.811300393003137</v>
      </c>
      <c r="Q18" s="16">
        <f t="shared" si="7"/>
        <v>35.916133508001387</v>
      </c>
      <c r="R18" s="16">
        <f t="shared" si="7"/>
        <v>47.139925229251823</v>
      </c>
    </row>
    <row r="19" spans="1:18" x14ac:dyDescent="0.25">
      <c r="A19" s="26" t="s">
        <v>6</v>
      </c>
      <c r="B19" s="16">
        <f>ROUND('Feuille de calculs romains'!E46,0)</f>
        <v>104</v>
      </c>
      <c r="C19" s="16">
        <f>ROUNDDOWN('Feuille de calculs romains'!L35,0)</f>
        <v>830</v>
      </c>
      <c r="D19" s="16">
        <f>C19*900</f>
        <v>747000</v>
      </c>
      <c r="E19" s="16">
        <f>C19*360</f>
        <v>298800</v>
      </c>
      <c r="F19" s="16">
        <f>C19*500</f>
        <v>415000</v>
      </c>
      <c r="G19" s="16">
        <f>C19*70</f>
        <v>58100</v>
      </c>
      <c r="H19" s="16">
        <f t="shared" si="8"/>
        <v>1518900</v>
      </c>
      <c r="I19" s="16">
        <f>3*C19</f>
        <v>2490</v>
      </c>
      <c r="J19" s="16">
        <f>C19*60*1.015^$F$5</f>
        <v>67073.379326192604</v>
      </c>
      <c r="K19" s="16">
        <f>C19*30*1.015^$F$5</f>
        <v>33536.689663096302</v>
      </c>
      <c r="L19" s="16">
        <f>C19*75*1.015^$F$5</f>
        <v>83841.724157740755</v>
      </c>
      <c r="M19" s="16">
        <f t="shared" si="10"/>
        <v>22.645347755825082</v>
      </c>
      <c r="N19" s="16">
        <f t="shared" si="11"/>
        <v>45.290695511650163</v>
      </c>
      <c r="O19" s="16">
        <f t="shared" si="12"/>
        <v>18.116278204660063</v>
      </c>
      <c r="P19" s="16">
        <f t="shared" si="13"/>
        <v>26.937100131001046</v>
      </c>
      <c r="Q19" s="16">
        <f t="shared" si="7"/>
        <v>13.468550065500523</v>
      </c>
      <c r="R19" s="16">
        <f t="shared" si="7"/>
        <v>33.671375163751307</v>
      </c>
    </row>
    <row r="20" spans="1:18" ht="30" x14ac:dyDescent="0.25">
      <c r="A20" s="25" t="s">
        <v>7</v>
      </c>
      <c r="B20" s="16">
        <f>ROUND('Feuille de calculs romains'!E47,0)</f>
        <v>203</v>
      </c>
      <c r="C20" s="16">
        <f>ROUNDDOWN('Feuille de calculs romains'!L36,0)</f>
        <v>425</v>
      </c>
      <c r="D20" s="16">
        <f>C20*950</f>
        <v>403750</v>
      </c>
      <c r="E20" s="16">
        <f>C20*1350</f>
        <v>573750</v>
      </c>
      <c r="F20" s="16">
        <f>C20*600</f>
        <v>255000</v>
      </c>
      <c r="G20" s="16">
        <f>C20*90</f>
        <v>38250</v>
      </c>
      <c r="H20" s="16">
        <f t="shared" si="8"/>
        <v>1270750</v>
      </c>
      <c r="I20" s="16">
        <f>6*C20</f>
        <v>2550</v>
      </c>
      <c r="J20" s="16">
        <f>C20*75*1.015^$F$5</f>
        <v>42931.003333782915</v>
      </c>
      <c r="K20" s="16">
        <f>C20*60*1.015^$F$5</f>
        <v>34344.802667026328</v>
      </c>
      <c r="L20" s="16">
        <f>C20*10*1.015^$F$5</f>
        <v>5724.1337778377219</v>
      </c>
      <c r="M20" s="16">
        <f t="shared" si="10"/>
        <v>29.599820673187757</v>
      </c>
      <c r="N20" s="16">
        <f t="shared" si="11"/>
        <v>36.999775841484698</v>
      </c>
      <c r="O20" s="16">
        <f t="shared" si="12"/>
        <v>221.99865504890818</v>
      </c>
      <c r="P20" s="16">
        <f t="shared" si="13"/>
        <v>16.835687581875654</v>
      </c>
      <c r="Q20" s="16">
        <f t="shared" si="7"/>
        <v>13.468550065500521</v>
      </c>
      <c r="R20" s="16">
        <f t="shared" si="7"/>
        <v>2.2447583442500871</v>
      </c>
    </row>
    <row r="21" spans="1:18" x14ac:dyDescent="0.25">
      <c r="A21" s="43" t="s">
        <v>63</v>
      </c>
      <c r="B21" s="43"/>
      <c r="C21" s="43"/>
      <c r="D21" s="44" t="s">
        <v>60</v>
      </c>
      <c r="E21" s="44"/>
      <c r="F21" s="44"/>
      <c r="G21" s="44"/>
      <c r="H21" s="44"/>
      <c r="I21" s="43" t="s">
        <v>62</v>
      </c>
      <c r="J21" s="43"/>
      <c r="K21" s="43"/>
      <c r="L21" s="43"/>
      <c r="M21" s="44" t="s">
        <v>61</v>
      </c>
      <c r="N21" s="44"/>
      <c r="O21" s="44"/>
      <c r="P21" s="44"/>
      <c r="Q21" s="44"/>
      <c r="R21" s="44"/>
    </row>
    <row r="22" spans="1:18" ht="60" x14ac:dyDescent="0.25">
      <c r="A22" s="25" t="s">
        <v>56</v>
      </c>
      <c r="B22" s="26" t="s">
        <v>40</v>
      </c>
      <c r="C22" s="25" t="s">
        <v>23</v>
      </c>
      <c r="D22" s="17" t="s">
        <v>19</v>
      </c>
      <c r="E22" s="18" t="s">
        <v>18</v>
      </c>
      <c r="F22" s="19" t="s">
        <v>20</v>
      </c>
      <c r="G22" s="20" t="s">
        <v>21</v>
      </c>
      <c r="H22" s="21" t="s">
        <v>49</v>
      </c>
      <c r="I22" s="25" t="s">
        <v>45</v>
      </c>
      <c r="J22" s="26" t="s">
        <v>69</v>
      </c>
      <c r="K22" s="25" t="s">
        <v>67</v>
      </c>
      <c r="L22" s="26" t="s">
        <v>68</v>
      </c>
      <c r="M22" s="25" t="s">
        <v>42</v>
      </c>
      <c r="N22" s="26" t="s">
        <v>43</v>
      </c>
      <c r="O22" s="25" t="s">
        <v>44</v>
      </c>
      <c r="P22" s="26" t="s">
        <v>58</v>
      </c>
      <c r="Q22" s="25" t="s">
        <v>59</v>
      </c>
      <c r="R22" s="26" t="s">
        <v>70</v>
      </c>
    </row>
    <row r="23" spans="1:18" x14ac:dyDescent="0.25">
      <c r="A23" s="26" t="s">
        <v>0</v>
      </c>
      <c r="B23" s="16">
        <f>ROUND('Feuille de calculs romains'!E50,0)</f>
        <v>14</v>
      </c>
      <c r="C23" s="16">
        <f>ROUNDDOWN('Feuille de calculs romains'!N29,0)</f>
        <v>6171</v>
      </c>
      <c r="D23" s="16">
        <f>360*C23</f>
        <v>2221560</v>
      </c>
      <c r="E23" s="16">
        <f>300*C23</f>
        <v>1851300</v>
      </c>
      <c r="F23" s="16">
        <f>450*C23</f>
        <v>2776950</v>
      </c>
      <c r="G23" s="16">
        <f>90*C23</f>
        <v>555390</v>
      </c>
      <c r="H23" s="16">
        <f>(SUM(D23:G23))</f>
        <v>7405200</v>
      </c>
      <c r="I23" s="16">
        <f>C23</f>
        <v>6171</v>
      </c>
      <c r="J23" s="16">
        <f>C23*40*1.015^$F$5</f>
        <v>332457.68981681491</v>
      </c>
      <c r="K23" s="16">
        <f>C23*35*1.015^$F$5</f>
        <v>290900.47858971305</v>
      </c>
      <c r="L23" s="16">
        <f>C23*50*1.015^$F$5</f>
        <v>415572.11227101862</v>
      </c>
      <c r="M23" s="16">
        <f>IFERROR($H23/J23,0)</f>
        <v>22.274112546713194</v>
      </c>
      <c r="N23" s="16">
        <f>IFERROR($H23/K23,0)</f>
        <v>25.456128624815079</v>
      </c>
      <c r="O23" s="16">
        <f>IFERROR($H23/L23,0)</f>
        <v>17.819290037370557</v>
      </c>
      <c r="P23" s="16">
        <f>IFERROR(J23/$I23,0)</f>
        <v>53.874200262002091</v>
      </c>
      <c r="Q23" s="16">
        <f t="shared" ref="Q23:Q28" si="14">IFERROR(K23/$I23,0)</f>
        <v>47.13992522925183</v>
      </c>
      <c r="R23" s="16">
        <f t="shared" ref="R23:R28" si="15">IFERROR(L23/$I23,0)</f>
        <v>67.342750327502614</v>
      </c>
    </row>
    <row r="24" spans="1:18" x14ac:dyDescent="0.25">
      <c r="A24" s="25" t="s">
        <v>1</v>
      </c>
      <c r="B24" s="16">
        <f>ROUND('Feuille de calculs romains'!E51,0)</f>
        <v>16</v>
      </c>
      <c r="C24" s="16">
        <f>ROUNDDOWN('Feuille de calculs romains'!N30,0)</f>
        <v>5400</v>
      </c>
      <c r="D24" s="16">
        <f>300*C24</f>
        <v>1620000</v>
      </c>
      <c r="E24" s="16">
        <f>390*C24</f>
        <v>2106000</v>
      </c>
      <c r="F24" s="16">
        <f>480*C24</f>
        <v>2592000</v>
      </c>
      <c r="G24" s="16">
        <f>210*C24</f>
        <v>1134000</v>
      </c>
      <c r="H24" s="16">
        <f t="shared" ref="H24:H28" si="16">(SUM(D24:G24))</f>
        <v>7452000</v>
      </c>
      <c r="I24" s="16">
        <f t="shared" ref="I24:I25" si="17">C24</f>
        <v>5400</v>
      </c>
      <c r="J24" s="16">
        <f>C24*30*1.015^$F$5</f>
        <v>218190.51106110847</v>
      </c>
      <c r="K24" s="16">
        <f>C24*65*1.015^$F$5</f>
        <v>472746.1072990683</v>
      </c>
      <c r="L24" s="16">
        <f>C24*35*1.015^$F$5</f>
        <v>254555.59623795986</v>
      </c>
      <c r="M24" s="16">
        <f t="shared" ref="M24:M28" si="18">IFERROR($H24/J24,0)</f>
        <v>34.153639238293565</v>
      </c>
      <c r="N24" s="16">
        <f t="shared" ref="N24:O28" si="19">IFERROR($H24/K24,0)</f>
        <v>15.763218109981647</v>
      </c>
      <c r="O24" s="16">
        <f t="shared" si="19"/>
        <v>29.274547918537341</v>
      </c>
      <c r="P24" s="16">
        <f t="shared" ref="P24:P28" si="20">IFERROR(J24/$I24,0)</f>
        <v>40.405650196501568</v>
      </c>
      <c r="Q24" s="16">
        <f t="shared" si="14"/>
        <v>87.545575425753384</v>
      </c>
      <c r="R24" s="16">
        <f t="shared" si="15"/>
        <v>47.13992522925183</v>
      </c>
    </row>
    <row r="25" spans="1:18" x14ac:dyDescent="0.25">
      <c r="A25" s="26" t="s">
        <v>2</v>
      </c>
      <c r="B25" s="16">
        <f>ROUND('Feuille de calculs romains'!E52,0)</f>
        <v>17</v>
      </c>
      <c r="C25" s="16">
        <f>ROUNDDOWN('Feuille de calculs romains'!N31,0)</f>
        <v>5082</v>
      </c>
      <c r="D25" s="16">
        <f>450*C25</f>
        <v>2286900</v>
      </c>
      <c r="E25" s="16">
        <f>480*C25</f>
        <v>2439360</v>
      </c>
      <c r="F25" s="16">
        <f>630*C25</f>
        <v>3201660</v>
      </c>
      <c r="G25" s="16">
        <f>240*C25</f>
        <v>1219680</v>
      </c>
      <c r="H25" s="16">
        <f t="shared" si="16"/>
        <v>9147600</v>
      </c>
      <c r="I25" s="16">
        <f t="shared" si="17"/>
        <v>5082</v>
      </c>
      <c r="J25" s="16">
        <f>C25*70*1.015^$F$5</f>
        <v>479130.20003011555</v>
      </c>
      <c r="K25" s="16">
        <f>C25*40*1.015^$F$5</f>
        <v>273788.68573149462</v>
      </c>
      <c r="L25" s="16">
        <f>C25*25*1.015^$F$5</f>
        <v>171117.92858218413</v>
      </c>
      <c r="M25" s="16">
        <f t="shared" si="18"/>
        <v>19.092096468611309</v>
      </c>
      <c r="N25" s="16">
        <f t="shared" si="19"/>
        <v>33.41116882006979</v>
      </c>
      <c r="O25" s="16">
        <f t="shared" si="19"/>
        <v>53.457870112111671</v>
      </c>
      <c r="P25" s="16">
        <f t="shared" si="20"/>
        <v>94.279850458503645</v>
      </c>
      <c r="Q25" s="16">
        <f t="shared" si="14"/>
        <v>53.874200262002091</v>
      </c>
      <c r="R25" s="16">
        <f t="shared" si="15"/>
        <v>33.671375163751307</v>
      </c>
    </row>
    <row r="26" spans="1:18" ht="30" x14ac:dyDescent="0.25">
      <c r="A26" s="25" t="s">
        <v>3</v>
      </c>
      <c r="B26" s="16">
        <f>ROUND('Feuille de calculs romains'!E53,0)</f>
        <v>12</v>
      </c>
      <c r="C26" s="16">
        <f>ROUNDDOWN('Feuille de calculs romains'!N32,0)</f>
        <v>7200</v>
      </c>
      <c r="D26" s="16">
        <f>420*C26</f>
        <v>3024000</v>
      </c>
      <c r="E26" s="16">
        <f>480*C26</f>
        <v>3456000</v>
      </c>
      <c r="F26" s="16">
        <f>60*C26</f>
        <v>432000</v>
      </c>
      <c r="G26" s="16">
        <f>120*C26</f>
        <v>864000</v>
      </c>
      <c r="H26" s="16">
        <f t="shared" si="16"/>
        <v>7776000</v>
      </c>
      <c r="I26" s="16">
        <f>IF(D19&gt;=10,1,2)*C26</f>
        <v>7200</v>
      </c>
      <c r="J26" s="16">
        <f>C26*0*1.015^$F$5</f>
        <v>0</v>
      </c>
      <c r="K26" s="16">
        <f>C26*20*1.015^$F$5</f>
        <v>193947.12094320753</v>
      </c>
      <c r="L26" s="16">
        <f>C26*10*1.015^$F$5</f>
        <v>96973.560471603763</v>
      </c>
      <c r="M26" s="16">
        <f t="shared" si="18"/>
        <v>0</v>
      </c>
      <c r="N26" s="16">
        <f t="shared" si="19"/>
        <v>40.093402584083748</v>
      </c>
      <c r="O26" s="16">
        <f t="shared" si="19"/>
        <v>80.186805168167496</v>
      </c>
      <c r="P26" s="16">
        <f t="shared" si="20"/>
        <v>0</v>
      </c>
      <c r="Q26" s="16">
        <f t="shared" si="14"/>
        <v>26.937100131001046</v>
      </c>
      <c r="R26" s="16">
        <f t="shared" si="15"/>
        <v>13.468550065500523</v>
      </c>
    </row>
    <row r="27" spans="1:18" ht="27.75" customHeight="1" x14ac:dyDescent="0.25">
      <c r="A27" s="26" t="s">
        <v>4</v>
      </c>
      <c r="B27" s="16">
        <f>ROUND('Feuille de calculs romains'!E54,0)</f>
        <v>24</v>
      </c>
      <c r="C27" s="16">
        <f>ROUNDDOWN('Feuille de calculs romains'!N33,0)</f>
        <v>3600</v>
      </c>
      <c r="D27" s="16">
        <f>1650*C27</f>
        <v>5940000</v>
      </c>
      <c r="E27" s="16">
        <f>1320*C27</f>
        <v>4752000</v>
      </c>
      <c r="F27" s="16">
        <f>960*C27</f>
        <v>3456000</v>
      </c>
      <c r="G27" s="16">
        <f>300*C27</f>
        <v>1080000</v>
      </c>
      <c r="H27" s="16">
        <f>(SUM(D27:G27))</f>
        <v>15228000</v>
      </c>
      <c r="I27" s="16">
        <f>IF(D19&gt;=15,2,3)*C27</f>
        <v>7200</v>
      </c>
      <c r="J27" s="16">
        <f>C27*120*1.015^$F$5</f>
        <v>581841.36282962258</v>
      </c>
      <c r="K27" s="16">
        <f>C27*65*1.015^$F$5</f>
        <v>315164.0715327122</v>
      </c>
      <c r="L27" s="16">
        <f>C27*50*1.015^$F$5</f>
        <v>242433.90117900941</v>
      </c>
      <c r="M27" s="16">
        <f t="shared" si="18"/>
        <v>26.172082242388004</v>
      </c>
      <c r="N27" s="16">
        <f t="shared" si="19"/>
        <v>48.317690293639394</v>
      </c>
      <c r="O27" s="16">
        <f t="shared" si="19"/>
        <v>62.812997381731208</v>
      </c>
      <c r="P27" s="16">
        <f t="shared" si="20"/>
        <v>80.811300393003137</v>
      </c>
      <c r="Q27" s="16">
        <f t="shared" si="14"/>
        <v>43.772787712876692</v>
      </c>
      <c r="R27" s="16">
        <f t="shared" si="15"/>
        <v>33.671375163751307</v>
      </c>
    </row>
    <row r="28" spans="1:18" ht="30" x14ac:dyDescent="0.25">
      <c r="A28" s="25" t="s">
        <v>5</v>
      </c>
      <c r="B28" s="16">
        <f>ROUND('Feuille de calculs romains'!E55,0)</f>
        <v>32</v>
      </c>
      <c r="C28" s="16">
        <f>ROUNDDOWN('Feuille de calculs romains'!N34,0)</f>
        <v>2700</v>
      </c>
      <c r="D28" s="16">
        <f>1650*C28</f>
        <v>4455000</v>
      </c>
      <c r="E28" s="16">
        <f>1920*C28</f>
        <v>5184000</v>
      </c>
      <c r="F28" s="16">
        <f>2400*C28</f>
        <v>6480000</v>
      </c>
      <c r="G28" s="16">
        <f>540*C28</f>
        <v>1458000</v>
      </c>
      <c r="H28" s="16">
        <f t="shared" si="16"/>
        <v>17577000</v>
      </c>
      <c r="I28" s="16">
        <f>IF(D19=20,3,4)*C28</f>
        <v>10800</v>
      </c>
      <c r="J28" s="16">
        <f>C28*180*1.015^$F$5</f>
        <v>654571.53318332531</v>
      </c>
      <c r="K28" s="16">
        <f>C28*80*1.015^$F$5</f>
        <v>290920.68141481129</v>
      </c>
      <c r="L28" s="16">
        <f>C28*105*1.015^$F$5</f>
        <v>381833.39435693983</v>
      </c>
      <c r="M28" s="16">
        <f t="shared" si="18"/>
        <v>26.852680125759797</v>
      </c>
      <c r="N28" s="16">
        <f t="shared" si="19"/>
        <v>60.418530282959537</v>
      </c>
      <c r="O28" s="16">
        <f t="shared" si="19"/>
        <v>46.033165929873931</v>
      </c>
      <c r="P28" s="16">
        <f t="shared" si="20"/>
        <v>60.608475294752346</v>
      </c>
      <c r="Q28" s="16">
        <f t="shared" si="14"/>
        <v>26.937100131001046</v>
      </c>
      <c r="R28" s="16">
        <f t="shared" si="15"/>
        <v>35.354943921938876</v>
      </c>
    </row>
  </sheetData>
  <mergeCells count="18">
    <mergeCell ref="P6:R6"/>
    <mergeCell ref="D11:H11"/>
    <mergeCell ref="P1:R1"/>
    <mergeCell ref="P2:R2"/>
    <mergeCell ref="P3:R3"/>
    <mergeCell ref="P4:R4"/>
    <mergeCell ref="P5:R5"/>
    <mergeCell ref="A11:C11"/>
    <mergeCell ref="A21:C21"/>
    <mergeCell ref="A7:C7"/>
    <mergeCell ref="D21:H21"/>
    <mergeCell ref="M11:R11"/>
    <mergeCell ref="M21:R21"/>
    <mergeCell ref="I11:L11"/>
    <mergeCell ref="I21:L21"/>
    <mergeCell ref="P7:R7"/>
    <mergeCell ref="P8:R8"/>
    <mergeCell ref="P9:R9"/>
  </mergeCells>
  <dataValidations count="3">
    <dataValidation type="list" allowBlank="1" showInputMessage="1" showErrorMessage="1" sqref="D3:D5 F5 B3:B6">
      <formula1>Niveau</formula1>
    </dataValidation>
    <dataValidation type="list" allowBlank="1" showInputMessage="1" showErrorMessage="1" sqref="F3">
      <formula1>Objet</formula1>
    </dataValidation>
    <dataValidation type="list" allowBlank="1" showInputMessage="1" showErrorMessage="1" sqref="F4">
      <formula1>Artefact</formula1>
    </dataValidation>
  </dataValidations>
  <pageMargins left="0.7" right="0.7" top="0.75" bottom="0.75" header="0.3" footer="0.3"/>
  <pageSetup paperSize="3"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7" tint="0.39997558519241921"/>
  </sheetPr>
  <dimension ref="A1"/>
  <sheetViews>
    <sheetView workbookViewId="0">
      <selection activeCell="D48" sqref="D48:D49"/>
    </sheetView>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5" tint="0.39997558519241921"/>
  </sheetPr>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N55"/>
  <sheetViews>
    <sheetView topLeftCell="A14" workbookViewId="0">
      <selection activeCell="D38" sqref="D38"/>
    </sheetView>
  </sheetViews>
  <sheetFormatPr baseColWidth="10" defaultRowHeight="15" x14ac:dyDescent="0.25"/>
  <cols>
    <col min="1" max="1" width="21.28515625" style="2" customWidth="1"/>
    <col min="2" max="16384" width="11.42578125" style="2"/>
  </cols>
  <sheetData>
    <row r="1" spans="1:14" x14ac:dyDescent="0.25">
      <c r="A1" s="2" t="s">
        <v>24</v>
      </c>
      <c r="E1" s="2" t="s">
        <v>9</v>
      </c>
      <c r="F1" s="2" t="s">
        <v>8</v>
      </c>
      <c r="G1" s="2" t="s">
        <v>10</v>
      </c>
      <c r="H1" s="2" t="s">
        <v>15</v>
      </c>
      <c r="I1" s="2" t="s">
        <v>25</v>
      </c>
      <c r="J1" s="2" t="s">
        <v>13</v>
      </c>
    </row>
    <row r="2" spans="1:14" x14ac:dyDescent="0.25">
      <c r="A2" s="2">
        <v>0</v>
      </c>
      <c r="E2" s="2">
        <f>IF('Troupes Romaines'!$B$3=A2,N2,1)</f>
        <v>1</v>
      </c>
      <c r="F2" s="2">
        <f>IF('Troupes Romaines'!$B$4=A2,N2,1)</f>
        <v>1</v>
      </c>
      <c r="G2" s="2">
        <f>IF('Troupes Romaines'!$B$5=A2,N2,1)</f>
        <v>1</v>
      </c>
      <c r="H2" s="2">
        <f>IF('Troupes Romaines'!$D$3=A2,N2,1)</f>
        <v>1</v>
      </c>
      <c r="I2" s="2">
        <f>IF('Troupes Romaines'!$D$4=A2,N2,1)</f>
        <v>1</v>
      </c>
      <c r="J2" s="2">
        <f>IF('Troupes Romaines'!$D$5=A2,1,1)</f>
        <v>1</v>
      </c>
      <c r="N2" s="2">
        <v>0</v>
      </c>
    </row>
    <row r="3" spans="1:14" x14ac:dyDescent="0.25">
      <c r="A3" s="2">
        <v>1</v>
      </c>
      <c r="E3" s="2">
        <f>IF('Troupes Romaines'!$B$3=A3,N3,1)</f>
        <v>1</v>
      </c>
      <c r="F3" s="2">
        <f>IF('Troupes Romaines'!$B$4=A3,N3,1)</f>
        <v>1</v>
      </c>
      <c r="G3" s="2">
        <f>IF('Troupes Romaines'!$B$5=A3,N3,1)</f>
        <v>1</v>
      </c>
      <c r="H3" s="2">
        <f>IF('Troupes Romaines'!$D$3=A3,N3,1)</f>
        <v>1</v>
      </c>
      <c r="I3" s="2">
        <f>IF('Troupes Romaines'!$D$4=A3,N3,1)</f>
        <v>1</v>
      </c>
      <c r="J3" s="2">
        <f>IF('Troupes Romaines'!$D$5=A3,0.99,1)</f>
        <v>1</v>
      </c>
      <c r="N3" s="2">
        <v>1</v>
      </c>
    </row>
    <row r="4" spans="1:14" x14ac:dyDescent="0.25">
      <c r="A4" s="2">
        <v>2</v>
      </c>
      <c r="E4" s="2">
        <f>IF('Troupes Romaines'!$B$3=A4,N4,1)</f>
        <v>1</v>
      </c>
      <c r="F4" s="2">
        <f>IF('Troupes Romaines'!$B$4=A4,N4,1)</f>
        <v>1</v>
      </c>
      <c r="G4" s="2">
        <f>IF('Troupes Romaines'!$B$5=A4,N4,1)</f>
        <v>1</v>
      </c>
      <c r="H4" s="2">
        <f>IF('Troupes Romaines'!$D$3=A4,N4,1)</f>
        <v>1</v>
      </c>
      <c r="I4" s="2">
        <f>IF('Troupes Romaines'!$D$4=A4,N4,1)</f>
        <v>1</v>
      </c>
      <c r="J4" s="2">
        <f>IF('Troupes Romaines'!$D$5=A4,0.98,1)</f>
        <v>1</v>
      </c>
      <c r="N4" s="2">
        <v>0.90056285178236395</v>
      </c>
    </row>
    <row r="5" spans="1:14" x14ac:dyDescent="0.25">
      <c r="A5" s="2">
        <v>3</v>
      </c>
      <c r="E5" s="2">
        <f>IF('Troupes Romaines'!$B$3=A5,N5,1)</f>
        <v>1</v>
      </c>
      <c r="F5" s="2">
        <f>IF('Troupes Romaines'!$B$4=A5,N5,1)</f>
        <v>1</v>
      </c>
      <c r="G5" s="2">
        <f>IF('Troupes Romaines'!$B$5=A5,N5,1)</f>
        <v>1</v>
      </c>
      <c r="H5" s="2">
        <f>IF('Troupes Romaines'!$D$3=A5,N5,1)</f>
        <v>1</v>
      </c>
      <c r="I5" s="2">
        <f>IF('Troupes Romaines'!$D$4=A5,N5,1)</f>
        <v>1</v>
      </c>
      <c r="J5" s="2">
        <f>IF('Troupes Romaines'!$D$5=A5,0.97,1)</f>
        <v>1</v>
      </c>
      <c r="N5" s="2">
        <v>0.81050656660412701</v>
      </c>
    </row>
    <row r="6" spans="1:14" x14ac:dyDescent="0.25">
      <c r="A6" s="2">
        <v>4</v>
      </c>
      <c r="E6" s="2">
        <f>IF('Troupes Romaines'!$B$3=A6,N6,1)</f>
        <v>1</v>
      </c>
      <c r="F6" s="2">
        <f>IF('Troupes Romaines'!$B$4=A6,N6,1)</f>
        <v>1</v>
      </c>
      <c r="G6" s="2">
        <f>IF('Troupes Romaines'!$B$5=A6,N6,1)</f>
        <v>1</v>
      </c>
      <c r="H6" s="2">
        <f>IF('Troupes Romaines'!$D$3=A6,N6,1)</f>
        <v>1</v>
      </c>
      <c r="I6" s="2">
        <f>IF('Troupes Romaines'!$D$4=A6,N6,1)</f>
        <v>1</v>
      </c>
      <c r="J6" s="2">
        <f>IF('Troupes Romaines'!$D$5=A6,0.96,1)</f>
        <v>1</v>
      </c>
      <c r="N6" s="2">
        <v>0.72983114446528996</v>
      </c>
    </row>
    <row r="7" spans="1:14" x14ac:dyDescent="0.25">
      <c r="A7" s="2">
        <v>5</v>
      </c>
      <c r="E7" s="2">
        <f>IF('Troupes Romaines'!$B$3=A7,N7,1)</f>
        <v>1</v>
      </c>
      <c r="F7" s="2">
        <f>IF('Troupes Romaines'!$B$4=A7,N7,1)</f>
        <v>1</v>
      </c>
      <c r="G7" s="2">
        <f>IF('Troupes Romaines'!$B$5=A7,N7,1)</f>
        <v>1</v>
      </c>
      <c r="H7" s="2">
        <f>IF('Troupes Romaines'!$D$3=A7,N7,1)</f>
        <v>1</v>
      </c>
      <c r="I7" s="2">
        <f>IF('Troupes Romaines'!$D$4=A7,N7,1)</f>
        <v>1</v>
      </c>
      <c r="J7" s="2">
        <f>IF('Troupes Romaines'!$D$5=A7,0.95,1)</f>
        <v>1</v>
      </c>
      <c r="N7" s="2">
        <v>0.65666041275797304</v>
      </c>
    </row>
    <row r="8" spans="1:14" x14ac:dyDescent="0.25">
      <c r="A8" s="2">
        <v>6</v>
      </c>
      <c r="E8" s="2">
        <f>IF('Troupes Romaines'!$B$3=A8,N8,1)</f>
        <v>1</v>
      </c>
      <c r="F8" s="2">
        <f>IF('Troupes Romaines'!$B$4=A8,N8,1)</f>
        <v>1</v>
      </c>
      <c r="G8" s="2">
        <f>IF('Troupes Romaines'!$B$5=A8,N8,1)</f>
        <v>1</v>
      </c>
      <c r="H8" s="2">
        <f>IF('Troupes Romaines'!$D$3=A8,N8,1)</f>
        <v>1</v>
      </c>
      <c r="I8" s="2">
        <f>IF('Troupes Romaines'!$D$4=A8,N8,1)</f>
        <v>1</v>
      </c>
      <c r="J8" s="2">
        <f>IF('Troupes Romaines'!$D$5=A8,0.94,1)</f>
        <v>1</v>
      </c>
      <c r="N8" s="2">
        <v>0.59099437148217604</v>
      </c>
    </row>
    <row r="9" spans="1:14" x14ac:dyDescent="0.25">
      <c r="A9" s="2">
        <v>7</v>
      </c>
      <c r="E9" s="2">
        <f>IF('Troupes Romaines'!$B$3=A9,N9,1)</f>
        <v>1</v>
      </c>
      <c r="F9" s="2">
        <f>IF('Troupes Romaines'!$B$4=A9,N9,1)</f>
        <v>1</v>
      </c>
      <c r="G9" s="2">
        <f>IF('Troupes Romaines'!$B$5=A9,N9,1)</f>
        <v>1</v>
      </c>
      <c r="H9" s="2">
        <f>IF('Troupes Romaines'!$D$3=A9,N9,1)</f>
        <v>1</v>
      </c>
      <c r="I9" s="2">
        <f>IF('Troupes Romaines'!$D$4=A9,N9,1)</f>
        <v>1</v>
      </c>
      <c r="J9" s="2">
        <f>IF('Troupes Romaines'!$D$5=A9,0.93,1)</f>
        <v>1</v>
      </c>
      <c r="N9" s="2">
        <v>0.53095684803001797</v>
      </c>
    </row>
    <row r="10" spans="1:14" x14ac:dyDescent="0.25">
      <c r="A10" s="2">
        <v>8</v>
      </c>
      <c r="E10" s="2">
        <f>IF('Troupes Romaines'!$B$3=A10,N10,1)</f>
        <v>1</v>
      </c>
      <c r="F10" s="2">
        <f>IF('Troupes Romaines'!$B$4=A10,N10,1)</f>
        <v>1</v>
      </c>
      <c r="G10" s="2">
        <f>IF('Troupes Romaines'!$B$5=A10,N10,1)</f>
        <v>1</v>
      </c>
      <c r="H10" s="2">
        <f>IF('Troupes Romaines'!$D$3=A10,N10,1)</f>
        <v>1</v>
      </c>
      <c r="I10" s="2">
        <f>IF('Troupes Romaines'!$D$4=A10,N10,1)</f>
        <v>1</v>
      </c>
      <c r="J10" s="2">
        <f>IF('Troupes Romaines'!$D$5=A10,0.92,1)</f>
        <v>1</v>
      </c>
      <c r="N10" s="2">
        <v>0.47842401500937998</v>
      </c>
    </row>
    <row r="11" spans="1:14" x14ac:dyDescent="0.25">
      <c r="A11" s="2">
        <v>9</v>
      </c>
      <c r="E11" s="2">
        <f>IF('Troupes Romaines'!$B$3=A11,N11,1)</f>
        <v>1</v>
      </c>
      <c r="F11" s="2">
        <f>IF('Troupes Romaines'!$B$4=A11,N11,1)</f>
        <v>1</v>
      </c>
      <c r="G11" s="2">
        <f>IF('Troupes Romaines'!$B$5=A11,N11,1)</f>
        <v>1</v>
      </c>
      <c r="H11" s="2">
        <f>IF('Troupes Romaines'!$D$3=A11,N11,1)</f>
        <v>1</v>
      </c>
      <c r="I11" s="2">
        <f>IF('Troupes Romaines'!$D$4=A11,N11,1)</f>
        <v>1</v>
      </c>
      <c r="J11" s="2">
        <f>IF('Troupes Romaines'!$D$5=A11,0.91,1)</f>
        <v>1</v>
      </c>
      <c r="N11" s="2">
        <v>0.43151969981238197</v>
      </c>
    </row>
    <row r="12" spans="1:14" x14ac:dyDescent="0.25">
      <c r="A12" s="2">
        <v>10</v>
      </c>
      <c r="E12" s="2">
        <f>IF('Troupes Romaines'!$B$3=A12,N12,1)</f>
        <v>1</v>
      </c>
      <c r="F12" s="2">
        <f>IF('Troupes Romaines'!$B$4=A12,N12,1)</f>
        <v>1</v>
      </c>
      <c r="G12" s="2">
        <f>IF('Troupes Romaines'!$B$5=A12,N12,1)</f>
        <v>1</v>
      </c>
      <c r="H12" s="2">
        <f>IF('Troupes Romaines'!$D$3=A12,N12,1)</f>
        <v>1</v>
      </c>
      <c r="I12" s="2">
        <f>IF('Troupes Romaines'!$D$4=A12,N12,1)</f>
        <v>1</v>
      </c>
      <c r="J12" s="2">
        <f>IF('Troupes Romaines'!$D$5=A12,0.9,1)</f>
        <v>1</v>
      </c>
      <c r="N12" s="2">
        <v>0.38836772983114398</v>
      </c>
    </row>
    <row r="13" spans="1:14" x14ac:dyDescent="0.25">
      <c r="A13" s="2">
        <v>11</v>
      </c>
      <c r="E13" s="2">
        <f>IF('Troupes Romaines'!$B$3=A13,N13,1)</f>
        <v>1</v>
      </c>
      <c r="F13" s="2">
        <f>IF('Troupes Romaines'!$B$4=A13,N13,1)</f>
        <v>1</v>
      </c>
      <c r="G13" s="2">
        <f>IF('Troupes Romaines'!$B$5=A13,N13,1)</f>
        <v>1</v>
      </c>
      <c r="H13" s="2">
        <f>IF('Troupes Romaines'!$D$3=A13,N13,1)</f>
        <v>1</v>
      </c>
      <c r="I13" s="2">
        <f>IF('Troupes Romaines'!$D$4=A13,N13,1)</f>
        <v>1</v>
      </c>
      <c r="J13" s="2">
        <f>IF('Troupes Romaines'!$D$5=A13,0.89,1)</f>
        <v>1</v>
      </c>
      <c r="N13" s="2">
        <v>0.348968105065666</v>
      </c>
    </row>
    <row r="14" spans="1:14" x14ac:dyDescent="0.25">
      <c r="A14" s="2">
        <v>12</v>
      </c>
      <c r="E14" s="2">
        <f>IF('Troupes Romaines'!$B$3=A14,N14,1)</f>
        <v>1</v>
      </c>
      <c r="F14" s="2">
        <f>IF('Troupes Romaines'!$B$4=A14,N14,1)</f>
        <v>1</v>
      </c>
      <c r="G14" s="2">
        <f>IF('Troupes Romaines'!$B$5=A14,N14,1)</f>
        <v>1</v>
      </c>
      <c r="H14" s="2">
        <f>IF('Troupes Romaines'!$D$3=A14,N14,1)</f>
        <v>1</v>
      </c>
      <c r="I14" s="2">
        <f>IF('Troupes Romaines'!$D$4=A14,N14,1)</f>
        <v>1</v>
      </c>
      <c r="J14" s="2">
        <f>IF('Troupes Romaines'!$D$5=A14,0.88,1)</f>
        <v>1</v>
      </c>
      <c r="N14" s="2">
        <v>0.31332082551594698</v>
      </c>
    </row>
    <row r="15" spans="1:14" x14ac:dyDescent="0.25">
      <c r="A15" s="2">
        <v>13</v>
      </c>
      <c r="E15" s="2">
        <f>IF('Troupes Romaines'!$B$3=A15,N15,1)</f>
        <v>1</v>
      </c>
      <c r="F15" s="2">
        <f>IF('Troupes Romaines'!$B$4=A15,N15,1)</f>
        <v>1</v>
      </c>
      <c r="G15" s="2">
        <f>IF('Troupes Romaines'!$B$5=A15,N15,1)</f>
        <v>1</v>
      </c>
      <c r="H15" s="2">
        <f>IF('Troupes Romaines'!$D$3=A15,N15,1)</f>
        <v>1</v>
      </c>
      <c r="I15" s="2">
        <f>IF('Troupes Romaines'!$D$4=A15,N15,1)</f>
        <v>1</v>
      </c>
      <c r="J15" s="2">
        <f>IF('Troupes Romaines'!$D$5=A15,0.87,1)</f>
        <v>1</v>
      </c>
      <c r="N15" s="2">
        <v>0.283302063789868</v>
      </c>
    </row>
    <row r="16" spans="1:14" x14ac:dyDescent="0.25">
      <c r="A16" s="2">
        <v>14</v>
      </c>
      <c r="E16" s="2">
        <f>IF('Troupes Romaines'!$B$3=A16,N16,1)</f>
        <v>1</v>
      </c>
      <c r="F16" s="2">
        <f>IF('Troupes Romaines'!$B$4=A16,N16,1)</f>
        <v>1</v>
      </c>
      <c r="G16" s="2">
        <f>IF('Troupes Romaines'!$B$5=A16,N16,1)</f>
        <v>1</v>
      </c>
      <c r="H16" s="2">
        <f>IF('Troupes Romaines'!$D$3=A16,N16,1)</f>
        <v>1</v>
      </c>
      <c r="I16" s="2">
        <f>IF('Troupes Romaines'!$D$4=A16,N16,1)</f>
        <v>1</v>
      </c>
      <c r="J16" s="2">
        <f>IF('Troupes Romaines'!$D$5=A16,0.86,1)</f>
        <v>1</v>
      </c>
      <c r="N16" s="2">
        <v>0.255159474671669</v>
      </c>
    </row>
    <row r="17" spans="1:14" x14ac:dyDescent="0.25">
      <c r="A17" s="2">
        <v>15</v>
      </c>
      <c r="E17" s="2">
        <f>IF('Troupes Romaines'!$B$3=A17,N17,1)</f>
        <v>1</v>
      </c>
      <c r="F17" s="2">
        <f>IF('Troupes Romaines'!$B$4=A17,N17,1)</f>
        <v>1</v>
      </c>
      <c r="G17" s="2">
        <f>IF('Troupes Romaines'!$B$5=A17,N17,1)</f>
        <v>1</v>
      </c>
      <c r="H17" s="2">
        <f>IF('Troupes Romaines'!$D$3=A17,N17,1)</f>
        <v>1</v>
      </c>
      <c r="I17" s="2">
        <f>IF('Troupes Romaines'!$D$4=A17,N17,1)</f>
        <v>1</v>
      </c>
      <c r="J17" s="2">
        <f>IF('Troupes Romaines'!$D$5=A17,0.85,1)</f>
        <v>1</v>
      </c>
      <c r="N17" s="2">
        <v>0.22889305816135</v>
      </c>
    </row>
    <row r="18" spans="1:14" x14ac:dyDescent="0.25">
      <c r="A18" s="2">
        <v>16</v>
      </c>
      <c r="E18" s="2">
        <f>IF('Troupes Romaines'!$B$3=A18,N18,1)</f>
        <v>1</v>
      </c>
      <c r="F18" s="2">
        <f>IF('Troupes Romaines'!$B$4=A18,N18,1)</f>
        <v>1</v>
      </c>
      <c r="G18" s="2">
        <f>IF('Troupes Romaines'!$B$5=A18,N18,1)</f>
        <v>1</v>
      </c>
      <c r="H18" s="2">
        <f>IF('Troupes Romaines'!$D$3=A18,N18,1)</f>
        <v>1</v>
      </c>
      <c r="I18" s="2">
        <f>IF('Troupes Romaines'!$D$4=A18,N18,1)</f>
        <v>1</v>
      </c>
      <c r="J18" s="2">
        <f>IF('Troupes Romaines'!$D$5=A18,0.84,1)</f>
        <v>1</v>
      </c>
      <c r="N18" s="2">
        <v>0.20637898686679099</v>
      </c>
    </row>
    <row r="19" spans="1:14" x14ac:dyDescent="0.25">
      <c r="A19" s="2">
        <v>17</v>
      </c>
      <c r="E19" s="2">
        <f>IF('Troupes Romaines'!$B$3=A19,N19,1)</f>
        <v>1</v>
      </c>
      <c r="F19" s="2">
        <f>IF('Troupes Romaines'!$B$4=A19,N19,1)</f>
        <v>1</v>
      </c>
      <c r="G19" s="2">
        <f>IF('Troupes Romaines'!$B$5=A19,N19,1)</f>
        <v>1</v>
      </c>
      <c r="H19" s="2">
        <f>IF('Troupes Romaines'!$D$3=A19,N19,1)</f>
        <v>1</v>
      </c>
      <c r="I19" s="2">
        <f>IF('Troupes Romaines'!$D$4=A19,N19,1)</f>
        <v>1</v>
      </c>
      <c r="J19" s="2">
        <f>IF('Troupes Romaines'!$D$5=A19,0.83,1)</f>
        <v>1</v>
      </c>
      <c r="N19" s="2">
        <v>0.18574108818011201</v>
      </c>
    </row>
    <row r="20" spans="1:14" x14ac:dyDescent="0.25">
      <c r="A20" s="2">
        <v>18</v>
      </c>
      <c r="E20" s="2">
        <f>IF('Troupes Romaines'!$B$3=A20,N20,1)</f>
        <v>1</v>
      </c>
      <c r="F20" s="2">
        <f>IF('Troupes Romaines'!$B$4=A20,N20,1)</f>
        <v>1</v>
      </c>
      <c r="G20" s="2">
        <f>IF('Troupes Romaines'!$B$5=A20,N20,1)</f>
        <v>1</v>
      </c>
      <c r="H20" s="2">
        <f>IF('Troupes Romaines'!$D$3=A20,N20,1)</f>
        <v>1</v>
      </c>
      <c r="I20" s="2">
        <f>IF('Troupes Romaines'!$D$4=A20,N20,1)</f>
        <v>1</v>
      </c>
      <c r="J20" s="2">
        <f>IF('Troupes Romaines'!$D$5=A20,0.82,1)</f>
        <v>1</v>
      </c>
      <c r="N20" s="2">
        <v>0.16697936210131301</v>
      </c>
    </row>
    <row r="21" spans="1:14" x14ac:dyDescent="0.25">
      <c r="A21" s="2">
        <v>19</v>
      </c>
      <c r="E21" s="2">
        <f>IF('Troupes Romaines'!$B$3=A21,N21,1)</f>
        <v>1</v>
      </c>
      <c r="F21" s="2">
        <f>IF('Troupes Romaines'!$B$4=A21,N21,1)</f>
        <v>1</v>
      </c>
      <c r="G21" s="2">
        <f>IF('Troupes Romaines'!$B$5=A21,N21,1)</f>
        <v>1</v>
      </c>
      <c r="H21" s="2">
        <f>IF('Troupes Romaines'!$D$3=A21,N21,1)</f>
        <v>1</v>
      </c>
      <c r="I21" s="2">
        <f>IF('Troupes Romaines'!$D$4=A21,N21,1)</f>
        <v>1</v>
      </c>
      <c r="J21" s="2">
        <f>IF('Troupes Romaines'!$D$5=A21,0.81,1)</f>
        <v>1</v>
      </c>
      <c r="N21" s="2">
        <v>0.15009380863039401</v>
      </c>
    </row>
    <row r="22" spans="1:14" x14ac:dyDescent="0.25">
      <c r="A22" s="2">
        <v>20</v>
      </c>
      <c r="E22" s="2">
        <f>IF('Troupes Romaines'!$B$3=A22,N22,1)</f>
        <v>0.13508442776735399</v>
      </c>
      <c r="F22" s="2">
        <f>IF('Troupes Romaines'!$B$4=A22,N22,1)</f>
        <v>0.13508442776735399</v>
      </c>
      <c r="G22" s="2">
        <f>IF('Troupes Romaines'!$B$5=A22,N22,1)</f>
        <v>0.13508442776735399</v>
      </c>
      <c r="H22" s="2">
        <f>IF('Troupes Romaines'!$D$3=A22,N22,1)</f>
        <v>0.13508442776735399</v>
      </c>
      <c r="I22" s="2">
        <f>IF('Troupes Romaines'!$D$4=A22,N22,1)</f>
        <v>0.13508442776735399</v>
      </c>
      <c r="J22" s="2">
        <f>IF('Troupes Romaines'!$D$5=A22,0.8,1)</f>
        <v>0.8</v>
      </c>
      <c r="N22" s="2">
        <v>0.13508442776735399</v>
      </c>
    </row>
    <row r="27" spans="1:14" x14ac:dyDescent="0.25">
      <c r="E27" s="2" t="s">
        <v>11</v>
      </c>
    </row>
    <row r="28" spans="1:14" x14ac:dyDescent="0.25">
      <c r="A28" s="2" t="s">
        <v>17</v>
      </c>
      <c r="E28" s="2" t="s">
        <v>41</v>
      </c>
      <c r="G28" s="2">
        <f>IF('Troupes Romaines'!$F$3="Aucun",1,1)</f>
        <v>1</v>
      </c>
      <c r="L28" s="2" t="s">
        <v>47</v>
      </c>
      <c r="N28" s="2" t="s">
        <v>48</v>
      </c>
    </row>
    <row r="29" spans="1:14" x14ac:dyDescent="0.25">
      <c r="A29" s="2" t="s">
        <v>33</v>
      </c>
      <c r="C29" s="2">
        <f>IF('Troupes Romaines'!$D$1="1 heure",3600,1)</f>
        <v>1</v>
      </c>
      <c r="D29" s="2">
        <f>IF('Troupes Romaines'!$D$1="1 heure",1,1)</f>
        <v>1</v>
      </c>
      <c r="E29" s="3">
        <v>0.1</v>
      </c>
      <c r="G29" s="2">
        <f>IF('Troupes Romaines'!$F$3=10%,0.9,1)</f>
        <v>1</v>
      </c>
      <c r="L29" s="2">
        <f>PRODUCT($C$29:$C$37)/'Troupes Romaines'!B13</f>
        <v>2979.3103448275861</v>
      </c>
      <c r="N29" s="2">
        <f>IFERROR(PRODUCT($C$29:$C$37)/'Troupes Romaines'!B23,0)</f>
        <v>6171.4285714285716</v>
      </c>
    </row>
    <row r="30" spans="1:14" x14ac:dyDescent="0.25">
      <c r="A30" s="2" t="s">
        <v>34</v>
      </c>
      <c r="C30" s="2">
        <f>IF('Troupes Romaines'!$D$1="12 heures",43200,1)</f>
        <v>1</v>
      </c>
      <c r="D30" s="2">
        <f>IF('Troupes Romaines'!$D$1="12 heures",12,1)</f>
        <v>1</v>
      </c>
      <c r="E30" s="3">
        <v>0.15</v>
      </c>
      <c r="G30" s="2">
        <f>IF('Troupes Romaines'!$F$3=15%,0.85,1)</f>
        <v>1</v>
      </c>
      <c r="L30" s="2">
        <f>PRODUCT($C$29:$C$37)/'Troupes Romaines'!B14</f>
        <v>2700</v>
      </c>
      <c r="N30" s="2">
        <f>IFERROR(PRODUCT($C$29:$C$37)/'Troupes Romaines'!B24,0)</f>
        <v>5400</v>
      </c>
    </row>
    <row r="31" spans="1:14" x14ac:dyDescent="0.25">
      <c r="A31" s="2" t="s">
        <v>32</v>
      </c>
      <c r="C31" s="2">
        <f>IF('Troupes Romaines'!$D$1="1 jour",86400,1)</f>
        <v>86400</v>
      </c>
      <c r="D31" s="2">
        <f>IF('Troupes Romaines'!$D$1="1 jour",24,1)</f>
        <v>24</v>
      </c>
      <c r="E31" s="3">
        <v>0.2</v>
      </c>
      <c r="G31" s="2">
        <f>IF('Troupes Romaines'!$F$3=20%,0.8,1)</f>
        <v>0.8</v>
      </c>
      <c r="L31" s="2">
        <f>PRODUCT($C$29:$C$37)/'Troupes Romaines'!B15</f>
        <v>2468.5714285714284</v>
      </c>
      <c r="N31" s="2">
        <f>IFERROR(PRODUCT($C$29:$C$37)/'Troupes Romaines'!B25,0)</f>
        <v>5082.3529411764703</v>
      </c>
    </row>
    <row r="32" spans="1:14" x14ac:dyDescent="0.25">
      <c r="A32" s="2" t="s">
        <v>27</v>
      </c>
      <c r="C32" s="2">
        <f>IF('Troupes Romaines'!$D$1="2 jours",172800,1)</f>
        <v>1</v>
      </c>
      <c r="D32" s="2">
        <f>IF('Troupes Romaines'!$D$1="2 jours",48,1)</f>
        <v>1</v>
      </c>
      <c r="L32" s="2">
        <f>PRODUCT($C$29:$C$37)/'Troupes Romaines'!B16</f>
        <v>4320</v>
      </c>
      <c r="N32" s="2">
        <f>IFERROR(PRODUCT($C$29:$C$37)/'Troupes Romaines'!B26,0)</f>
        <v>7200</v>
      </c>
    </row>
    <row r="33" spans="1:14" x14ac:dyDescent="0.25">
      <c r="A33" s="2" t="s">
        <v>26</v>
      </c>
      <c r="C33" s="2">
        <f>IF('Troupes Romaines'!$D$1="3 jours",259200,1)</f>
        <v>1</v>
      </c>
      <c r="D33" s="2">
        <f>IF('Troupes Romaines'!$D$1="3 jours",72,1)</f>
        <v>1</v>
      </c>
      <c r="E33" s="2" t="s">
        <v>12</v>
      </c>
      <c r="L33" s="2">
        <f>PRODUCT($C$29:$C$37)/'Troupes Romaines'!B17</f>
        <v>2273.6842105263158</v>
      </c>
      <c r="N33" s="2">
        <f>IFERROR(PRODUCT($C$29:$C$37)/'Troupes Romaines'!B27,0)</f>
        <v>3600</v>
      </c>
    </row>
    <row r="34" spans="1:14" x14ac:dyDescent="0.25">
      <c r="A34" s="2" t="s">
        <v>28</v>
      </c>
      <c r="C34" s="2">
        <f>IF('Troupes Romaines'!$D$1="4 jours",345600,1)</f>
        <v>1</v>
      </c>
      <c r="D34" s="2">
        <f>IF('Troupes Romaines'!$D$1="4 jours",96,1)</f>
        <v>1</v>
      </c>
      <c r="E34" s="2" t="s">
        <v>41</v>
      </c>
      <c r="G34" s="2">
        <f>IF('Troupes Romaines'!$F$4="Aucun",1,1)</f>
        <v>1</v>
      </c>
      <c r="L34" s="2">
        <f>PRODUCT($C$29:$C$37)/'Troupes Romaines'!B18</f>
        <v>1694.1176470588234</v>
      </c>
      <c r="N34" s="2">
        <f>IFERROR(PRODUCT($C$29:$C$37)/'Troupes Romaines'!B28,0)</f>
        <v>2700</v>
      </c>
    </row>
    <row r="35" spans="1:14" x14ac:dyDescent="0.25">
      <c r="A35" s="2" t="s">
        <v>29</v>
      </c>
      <c r="C35" s="2">
        <f>IF('Troupes Romaines'!$D$1="5 jours",432000,1)</f>
        <v>1</v>
      </c>
      <c r="D35" s="2">
        <f>IF('Troupes Romaines'!$D$1="5 jours",120,1)</f>
        <v>1</v>
      </c>
      <c r="E35" s="3">
        <v>0.25</v>
      </c>
      <c r="G35" s="2">
        <f>IF('Troupes Romaines'!$F$4=25%,0.75,1)</f>
        <v>1</v>
      </c>
      <c r="L35" s="2">
        <f>PRODUCT($C$29:$C$37)/'Troupes Romaines'!B19</f>
        <v>830.76923076923072</v>
      </c>
    </row>
    <row r="36" spans="1:14" x14ac:dyDescent="0.25">
      <c r="A36" s="2" t="s">
        <v>30</v>
      </c>
      <c r="C36" s="2">
        <f>IF('Troupes Romaines'!$D$1="6 jours",518400,1)</f>
        <v>1</v>
      </c>
      <c r="D36" s="2">
        <f>IF('Troupes Romaines'!$D$1="6 jours",144,1)</f>
        <v>1</v>
      </c>
      <c r="E36" s="3">
        <v>0.5</v>
      </c>
      <c r="G36" s="2">
        <f>IF('Troupes Romaines'!$F$4=50%,0.5,1)</f>
        <v>0.5</v>
      </c>
      <c r="L36" s="2">
        <f>PRODUCT($C$29:$C$37)/'Troupes Romaines'!B20</f>
        <v>425.61576354679801</v>
      </c>
    </row>
    <row r="37" spans="1:14" x14ac:dyDescent="0.25">
      <c r="A37" s="2" t="s">
        <v>31</v>
      </c>
      <c r="C37" s="2">
        <f>IF('Troupes Romaines'!$D$1="7 jours",604800,1)</f>
        <v>1</v>
      </c>
      <c r="D37" s="2">
        <f>IF('Troupes Romaines'!$D$1="7 jours",168,1)</f>
        <v>1</v>
      </c>
    </row>
    <row r="39" spans="1:14" x14ac:dyDescent="0.25">
      <c r="A39" s="2" t="s">
        <v>35</v>
      </c>
      <c r="B39" s="2" t="s">
        <v>36</v>
      </c>
      <c r="C39" s="2" t="s">
        <v>37</v>
      </c>
      <c r="D39" s="2" t="s">
        <v>38</v>
      </c>
      <c r="E39" s="2" t="s">
        <v>39</v>
      </c>
    </row>
    <row r="40" spans="1:14" x14ac:dyDescent="0.25">
      <c r="A40" s="1" t="s">
        <v>0</v>
      </c>
      <c r="B40" s="2">
        <f>L40*PRODUCT($E$2:$E$22)</f>
        <v>71.999999999999673</v>
      </c>
      <c r="D40" s="2">
        <f>B40*PRODUCT($G$29:$G$31)</f>
        <v>57.599999999999739</v>
      </c>
      <c r="E40" s="2">
        <f>D40*$G$35*$G$36</f>
        <v>28.799999999999869</v>
      </c>
      <c r="G40" s="2">
        <f>ROUND(E40,0)</f>
        <v>29</v>
      </c>
      <c r="L40" s="1">
        <v>533</v>
      </c>
      <c r="M40" s="2">
        <f>ROUNDDOWN(L40/2,0)</f>
        <v>266</v>
      </c>
    </row>
    <row r="41" spans="1:14" x14ac:dyDescent="0.25">
      <c r="A41" s="1" t="s">
        <v>1</v>
      </c>
      <c r="B41" s="2">
        <f t="shared" ref="B41:B42" si="0">L41*PRODUCT($E$2:$E$22)</f>
        <v>79.294559099436796</v>
      </c>
      <c r="D41" s="2">
        <f t="shared" ref="D41:D42" si="1">B41*PRODUCT($G$29:$G$31)</f>
        <v>63.435647279549443</v>
      </c>
      <c r="E41" s="2">
        <f t="shared" ref="E41:E45" si="2">D41*$G$35*$G$36</f>
        <v>31.717823639774721</v>
      </c>
      <c r="L41" s="1">
        <v>587</v>
      </c>
      <c r="M41" s="2">
        <f t="shared" ref="M41:M46" si="3">ROUNDDOWN(L41/2,0)</f>
        <v>293</v>
      </c>
    </row>
    <row r="42" spans="1:14" x14ac:dyDescent="0.25">
      <c r="A42" s="1" t="s">
        <v>2</v>
      </c>
      <c r="B42" s="2">
        <f t="shared" si="0"/>
        <v>86.454033771106552</v>
      </c>
      <c r="D42" s="2">
        <f t="shared" si="1"/>
        <v>69.163227016885244</v>
      </c>
      <c r="E42" s="2">
        <f t="shared" si="2"/>
        <v>34.581613508442622</v>
      </c>
      <c r="L42" s="1">
        <v>640</v>
      </c>
      <c r="M42" s="2">
        <f t="shared" si="3"/>
        <v>320</v>
      </c>
    </row>
    <row r="43" spans="1:14" x14ac:dyDescent="0.25">
      <c r="A43" s="1" t="s">
        <v>3</v>
      </c>
      <c r="B43" s="2">
        <f>L43*PRODUCT($F$2:$F$22)</f>
        <v>61.193245778611356</v>
      </c>
      <c r="C43" s="2">
        <f>B43*PRODUCT($J$2:$J$22)</f>
        <v>48.954596622889085</v>
      </c>
      <c r="D43" s="2">
        <f>C43*PRODUCT($G$29:$G$31)</f>
        <v>39.163677298311271</v>
      </c>
      <c r="E43" s="2">
        <f t="shared" si="2"/>
        <v>19.581838649155635</v>
      </c>
      <c r="L43" s="1">
        <v>453</v>
      </c>
      <c r="M43" s="2">
        <f t="shared" si="3"/>
        <v>226</v>
      </c>
    </row>
    <row r="44" spans="1:14" x14ac:dyDescent="0.25">
      <c r="A44" s="1" t="s">
        <v>4</v>
      </c>
      <c r="B44" s="2">
        <f t="shared" ref="B44:B45" si="4">L44*PRODUCT($F$2:$F$22)</f>
        <v>118.87429643527152</v>
      </c>
      <c r="C44" s="2">
        <f t="shared" ref="C44:C45" si="5">B44*PRODUCT($J$2:$J$22)</f>
        <v>95.09943714821722</v>
      </c>
      <c r="D44" s="2">
        <f t="shared" ref="D44:D45" si="6">C44*PRODUCT($G$29:$G$31)</f>
        <v>76.079549718573773</v>
      </c>
      <c r="E44" s="2">
        <f t="shared" si="2"/>
        <v>38.039774859286887</v>
      </c>
      <c r="G44" s="2">
        <f>ROUND(E44,0)</f>
        <v>38</v>
      </c>
      <c r="L44" s="1">
        <v>880</v>
      </c>
      <c r="M44" s="2">
        <f t="shared" si="3"/>
        <v>440</v>
      </c>
    </row>
    <row r="45" spans="1:14" x14ac:dyDescent="0.25">
      <c r="A45" s="1" t="s">
        <v>5</v>
      </c>
      <c r="B45" s="2">
        <f t="shared" si="4"/>
        <v>158.45403377110623</v>
      </c>
      <c r="C45" s="2">
        <f t="shared" si="5"/>
        <v>126.76322701688498</v>
      </c>
      <c r="D45" s="2">
        <f t="shared" si="6"/>
        <v>101.41058161350799</v>
      </c>
      <c r="E45" s="2">
        <f t="shared" si="2"/>
        <v>50.705290806753993</v>
      </c>
      <c r="L45" s="1">
        <v>1173</v>
      </c>
      <c r="M45" s="2">
        <f t="shared" si="3"/>
        <v>586</v>
      </c>
    </row>
    <row r="46" spans="1:14" x14ac:dyDescent="0.25">
      <c r="A46" s="1" t="s">
        <v>6</v>
      </c>
      <c r="B46" s="2">
        <f>L46*PRODUCT($G$2:$G$22)</f>
        <v>207.08442776735367</v>
      </c>
      <c r="E46" s="2">
        <f>B46*$G$35*$G$36</f>
        <v>103.54221388367684</v>
      </c>
      <c r="L46" s="1">
        <v>1533</v>
      </c>
      <c r="M46" s="2">
        <f t="shared" si="3"/>
        <v>766</v>
      </c>
    </row>
    <row r="47" spans="1:14" x14ac:dyDescent="0.25">
      <c r="A47" s="1" t="s">
        <v>7</v>
      </c>
      <c r="B47" s="2">
        <f>L47*PRODUCT($G$2:$G$22)</f>
        <v>405.25328330206196</v>
      </c>
      <c r="E47" s="2">
        <f>B47*$G$35*$G$36</f>
        <v>202.62664165103098</v>
      </c>
      <c r="L47" s="1">
        <v>3000</v>
      </c>
      <c r="M47" s="2">
        <f>ROUNDDOWN(L47/2,0)</f>
        <v>1500</v>
      </c>
    </row>
    <row r="49" spans="1:5" x14ac:dyDescent="0.25">
      <c r="A49" s="2" t="s">
        <v>46</v>
      </c>
    </row>
    <row r="50" spans="1:5" x14ac:dyDescent="0.25">
      <c r="A50" s="1" t="s">
        <v>0</v>
      </c>
      <c r="B50" s="2">
        <f>M40*PRODUCT($H$2:$H$22)</f>
        <v>35.93245778611616</v>
      </c>
      <c r="D50" s="2">
        <f>B50*PRODUCT($G$29:$G$31)</f>
        <v>28.745966228892929</v>
      </c>
      <c r="E50" s="2">
        <f>D50*$G$35*$G$36</f>
        <v>14.372983114446464</v>
      </c>
    </row>
    <row r="51" spans="1:5" x14ac:dyDescent="0.25">
      <c r="A51" s="1" t="s">
        <v>1</v>
      </c>
      <c r="B51" s="2">
        <f t="shared" ref="B51:B52" si="7">M41*PRODUCT($H$2:$H$22)</f>
        <v>39.579737335834722</v>
      </c>
      <c r="D51" s="2">
        <f t="shared" ref="D51:D55" si="8">B51*PRODUCT($G$29:$G$31)</f>
        <v>31.663789868667777</v>
      </c>
      <c r="E51" s="2">
        <f t="shared" ref="E51:E55" si="9">D51*$G$35*$G$36</f>
        <v>15.831894934333889</v>
      </c>
    </row>
    <row r="52" spans="1:5" x14ac:dyDescent="0.25">
      <c r="A52" s="1" t="s">
        <v>2</v>
      </c>
      <c r="B52" s="2">
        <f t="shared" si="7"/>
        <v>43.227016885553276</v>
      </c>
      <c r="D52" s="2">
        <f t="shared" si="8"/>
        <v>34.581613508442622</v>
      </c>
      <c r="E52" s="2">
        <f t="shared" si="9"/>
        <v>17.290806754221311</v>
      </c>
    </row>
    <row r="53" spans="1:5" x14ac:dyDescent="0.25">
      <c r="A53" s="1" t="s">
        <v>3</v>
      </c>
      <c r="B53" s="2">
        <f>M43*PRODUCT($I$2:$I$22)</f>
        <v>30.529080675422001</v>
      </c>
      <c r="C53" s="2">
        <f>B53*PRODUCT($J$2:$J$22)</f>
        <v>24.423264540337602</v>
      </c>
      <c r="D53" s="2">
        <f t="shared" si="8"/>
        <v>24.423264540337602</v>
      </c>
      <c r="E53" s="2">
        <f t="shared" si="9"/>
        <v>12.211632270168801</v>
      </c>
    </row>
    <row r="54" spans="1:5" x14ac:dyDescent="0.25">
      <c r="A54" s="1" t="s">
        <v>4</v>
      </c>
      <c r="B54" s="2">
        <f t="shared" ref="B54:B55" si="10">M44*PRODUCT($I$2:$I$22)</f>
        <v>59.437148217635759</v>
      </c>
      <c r="C54" s="2">
        <f t="shared" ref="C54:C55" si="11">B54*PRODUCT($J$2:$J$22)</f>
        <v>47.54971857410861</v>
      </c>
      <c r="D54" s="2">
        <f t="shared" si="8"/>
        <v>47.54971857410861</v>
      </c>
      <c r="E54" s="2">
        <f t="shared" si="9"/>
        <v>23.774859287054305</v>
      </c>
    </row>
    <row r="55" spans="1:5" x14ac:dyDescent="0.25">
      <c r="A55" s="1" t="s">
        <v>5</v>
      </c>
      <c r="B55" s="2">
        <f t="shared" si="10"/>
        <v>79.159474671669443</v>
      </c>
      <c r="C55" s="2">
        <f t="shared" si="11"/>
        <v>63.327579737335554</v>
      </c>
      <c r="D55" s="2">
        <f t="shared" si="8"/>
        <v>63.327579737335554</v>
      </c>
      <c r="E55" s="2">
        <f t="shared" si="9"/>
        <v>31.663789868667777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Production Villages</vt:lpstr>
      <vt:lpstr>Troupes Romaines</vt:lpstr>
      <vt:lpstr>Troupes Gauloises</vt:lpstr>
      <vt:lpstr>Troupes Germaines</vt:lpstr>
      <vt:lpstr>Feuille de calculs romains</vt:lpstr>
      <vt:lpstr>Feuille de calculs gaulois</vt:lpstr>
      <vt:lpstr>Feuille de calculs germains</vt:lpstr>
      <vt:lpstr>Artefact</vt:lpstr>
      <vt:lpstr>fsdfsdf</vt:lpstr>
      <vt:lpstr>Intervalle_de_temps</vt:lpstr>
      <vt:lpstr>Niveau</vt:lpstr>
      <vt:lpstr>Objet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Guillaume</dc:creator>
  <cp:lastModifiedBy>yannick</cp:lastModifiedBy>
  <dcterms:created xsi:type="dcterms:W3CDTF">2017-05-06T18:14:44Z</dcterms:created>
  <dcterms:modified xsi:type="dcterms:W3CDTF">2017-05-08T09:15:27Z</dcterms:modified>
</cp:coreProperties>
</file>