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5440" windowHeight="14385"/>
  </bookViews>
  <sheets>
    <sheet name="Carac + Comp" sheetId="1" r:id="rId1"/>
    <sheet name="Localisation" sheetId="2" r:id="rId2"/>
    <sheet name="Talents" sheetId="3" r:id="rId3"/>
    <sheet name="Equipement" sheetId="4" r:id="rId4"/>
    <sheet name="Règles" sheetId="5" r:id="rId5"/>
    <sheet name="Explications" sheetId="6" r:id="rId6"/>
  </sheets>
  <calcPr calcId="145621"/>
</workbook>
</file>

<file path=xl/calcChain.xml><?xml version="1.0" encoding="utf-8"?>
<calcChain xmlns="http://schemas.openxmlformats.org/spreadsheetml/2006/main">
  <c r="F23" i="1" l="1"/>
  <c r="F22" i="1"/>
  <c r="F21" i="1"/>
  <c r="F20" i="1"/>
  <c r="F19" i="1"/>
  <c r="F18" i="1"/>
  <c r="F17" i="1"/>
  <c r="F16" i="1"/>
  <c r="D16" i="1"/>
  <c r="D23" i="1"/>
  <c r="D22" i="1"/>
  <c r="D21" i="1"/>
  <c r="D20" i="1"/>
  <c r="D19" i="1"/>
  <c r="D17" i="1"/>
  <c r="B23" i="1"/>
  <c r="B22" i="1"/>
  <c r="B21" i="1"/>
  <c r="B20" i="1"/>
  <c r="B19" i="1"/>
  <c r="B18" i="1"/>
  <c r="B17" i="1"/>
  <c r="D8" i="6"/>
  <c r="D7" i="6"/>
  <c r="B6" i="1"/>
  <c r="C44" i="1" l="1"/>
  <c r="G43" i="1"/>
  <c r="G41" i="1"/>
  <c r="G40" i="1"/>
  <c r="C43" i="1"/>
  <c r="F44" i="1"/>
  <c r="G42" i="1"/>
  <c r="F40" i="1"/>
  <c r="E40" i="1"/>
  <c r="C40" i="1"/>
  <c r="C42" i="1"/>
  <c r="F42" i="1"/>
  <c r="E42" i="1"/>
  <c r="F61" i="2"/>
  <c r="F28" i="2"/>
  <c r="A64" i="2"/>
  <c r="A31" i="2"/>
  <c r="D44" i="1"/>
  <c r="D43" i="1"/>
  <c r="D42" i="1"/>
  <c r="D41" i="1"/>
  <c r="D40" i="1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23" i="2"/>
  <c r="B22" i="2"/>
  <c r="B13" i="2"/>
  <c r="B12" i="2"/>
  <c r="B6" i="2"/>
  <c r="B38" i="2"/>
  <c r="B27" i="2"/>
  <c r="B26" i="2"/>
  <c r="B25" i="2"/>
  <c r="B24" i="2"/>
  <c r="B21" i="2"/>
  <c r="B20" i="2"/>
  <c r="B19" i="2"/>
  <c r="B18" i="2"/>
  <c r="B17" i="2"/>
  <c r="B16" i="2"/>
  <c r="B15" i="2"/>
  <c r="B14" i="2"/>
  <c r="B11" i="2"/>
  <c r="B10" i="2"/>
  <c r="B9" i="2"/>
  <c r="B8" i="2"/>
  <c r="B7" i="2"/>
  <c r="B5" i="2"/>
  <c r="G23" i="1"/>
  <c r="G22" i="1"/>
  <c r="G21" i="1"/>
  <c r="G20" i="1"/>
  <c r="G19" i="1"/>
  <c r="G18" i="1"/>
  <c r="G17" i="1"/>
  <c r="G16" i="1"/>
  <c r="G15" i="1"/>
  <c r="E23" i="1"/>
  <c r="E22" i="1"/>
  <c r="E21" i="1"/>
  <c r="E20" i="1"/>
  <c r="E19" i="1"/>
  <c r="E18" i="1"/>
  <c r="E17" i="1"/>
  <c r="E16" i="1"/>
  <c r="C23" i="1"/>
  <c r="C22" i="1"/>
  <c r="C21" i="1"/>
  <c r="C20" i="1"/>
  <c r="C19" i="1"/>
  <c r="C18" i="1"/>
  <c r="C17" i="1"/>
  <c r="C16" i="1"/>
  <c r="E15" i="1"/>
  <c r="C15" i="1"/>
  <c r="H15" i="1"/>
  <c r="H16" i="1"/>
  <c r="H23" i="1"/>
  <c r="H22" i="1"/>
  <c r="H21" i="1"/>
  <c r="H20" i="1"/>
  <c r="H19" i="1"/>
  <c r="H18" i="1"/>
  <c r="H17" i="1"/>
  <c r="K24" i="1"/>
  <c r="K54" i="1"/>
  <c r="W18" i="1"/>
  <c r="W17" i="1"/>
  <c r="W16" i="1"/>
  <c r="W15" i="1"/>
  <c r="W14" i="1"/>
  <c r="W13" i="1"/>
  <c r="W12" i="1"/>
  <c r="W11" i="1"/>
  <c r="W10" i="1"/>
  <c r="W9" i="1"/>
  <c r="W8" i="1"/>
  <c r="W5" i="1"/>
  <c r="W4" i="1"/>
  <c r="W2" i="1"/>
  <c r="W27" i="1"/>
  <c r="Y27" i="1" s="1"/>
  <c r="W26" i="1"/>
  <c r="Y26" i="1" s="1"/>
  <c r="W25" i="1"/>
  <c r="Y25" i="1" s="1"/>
  <c r="W24" i="1"/>
  <c r="Y24" i="1" s="1"/>
  <c r="W23" i="1"/>
  <c r="W22" i="1"/>
  <c r="Y22" i="1" s="1"/>
  <c r="W28" i="1"/>
  <c r="Y28" i="1" s="1"/>
  <c r="P50" i="1"/>
  <c r="R50" i="1" s="1"/>
  <c r="P49" i="1"/>
  <c r="R49" i="1" s="1"/>
  <c r="P48" i="1"/>
  <c r="R48" i="1" s="1"/>
  <c r="P47" i="1"/>
  <c r="R47" i="1" s="1"/>
  <c r="P46" i="1"/>
  <c r="R46" i="1" s="1"/>
  <c r="P45" i="1"/>
  <c r="R45" i="1" s="1"/>
  <c r="P44" i="1"/>
  <c r="R44" i="1" s="1"/>
  <c r="P43" i="1"/>
  <c r="R43" i="1" s="1"/>
  <c r="P42" i="1"/>
  <c r="R42" i="1" s="1"/>
  <c r="P41" i="1"/>
  <c r="R41" i="1" s="1"/>
  <c r="P38" i="1"/>
  <c r="R38" i="1" s="1"/>
  <c r="B44" i="1" s="1"/>
  <c r="P37" i="1"/>
  <c r="R37" i="1" s="1"/>
  <c r="B43" i="1" s="1"/>
  <c r="P36" i="1"/>
  <c r="R36" i="1" s="1"/>
  <c r="B42" i="1" s="1"/>
  <c r="P35" i="1"/>
  <c r="R35" i="1" s="1"/>
  <c r="B41" i="1" s="1"/>
  <c r="P34" i="1"/>
  <c r="R34" i="1" s="1"/>
  <c r="B40" i="1" s="1"/>
  <c r="P33" i="1"/>
  <c r="R33" i="1" s="1"/>
  <c r="P31" i="1"/>
  <c r="R31" i="1" s="1"/>
  <c r="P24" i="1"/>
  <c r="R24" i="1" s="1"/>
  <c r="P22" i="1"/>
  <c r="P21" i="1"/>
  <c r="R21" i="1" s="1"/>
  <c r="P20" i="1"/>
  <c r="P16" i="1"/>
  <c r="P15" i="1"/>
  <c r="P14" i="1"/>
  <c r="R14" i="1" s="1"/>
  <c r="P13" i="1"/>
  <c r="R13" i="1" s="1"/>
  <c r="P11" i="1"/>
  <c r="P8" i="1"/>
  <c r="P6" i="1"/>
  <c r="P3" i="1"/>
  <c r="R3" i="1" s="1"/>
  <c r="P4" i="1"/>
  <c r="P2" i="1"/>
  <c r="W3" i="1"/>
  <c r="Y3" i="1" s="1"/>
  <c r="W21" i="1"/>
  <c r="Y21" i="1" s="1"/>
  <c r="W31" i="1"/>
  <c r="Y31" i="1" s="1"/>
  <c r="W30" i="1"/>
  <c r="Y30" i="1" s="1"/>
  <c r="W29" i="1"/>
  <c r="Y29" i="1" s="1"/>
  <c r="W32" i="1"/>
  <c r="Y32" i="1" s="1"/>
  <c r="W43" i="1"/>
  <c r="Y43" i="1" s="1"/>
  <c r="W42" i="1"/>
  <c r="Y42" i="1" s="1"/>
  <c r="W41" i="1"/>
  <c r="Y41" i="1" s="1"/>
  <c r="W40" i="1"/>
  <c r="Y40" i="1" s="1"/>
  <c r="W39" i="1"/>
  <c r="Y39" i="1" s="1"/>
  <c r="W38" i="1"/>
  <c r="Y38" i="1" s="1"/>
  <c r="W37" i="1"/>
  <c r="Y37" i="1" s="1"/>
  <c r="W36" i="1"/>
  <c r="Y36" i="1" s="1"/>
  <c r="W35" i="1"/>
  <c r="Y35" i="1" s="1"/>
  <c r="W46" i="1"/>
  <c r="W47" i="1"/>
  <c r="W48" i="1"/>
  <c r="W49" i="1"/>
  <c r="P32" i="1"/>
  <c r="R32" i="1" s="1"/>
  <c r="P30" i="1"/>
  <c r="R30" i="1" s="1"/>
  <c r="P29" i="1"/>
  <c r="R29" i="1" s="1"/>
  <c r="P28" i="1"/>
  <c r="R28" i="1" s="1"/>
  <c r="P25" i="1"/>
  <c r="R25" i="1" s="1"/>
  <c r="P23" i="1"/>
  <c r="P17" i="1"/>
  <c r="R17" i="1" s="1"/>
  <c r="P12" i="1"/>
  <c r="R12" i="1" s="1"/>
  <c r="P10" i="1"/>
  <c r="P7" i="1"/>
  <c r="P5" i="1"/>
  <c r="P9" i="1"/>
  <c r="K3" i="1"/>
  <c r="K4" i="1"/>
  <c r="K5" i="1"/>
  <c r="K6" i="1"/>
  <c r="K7" i="1"/>
  <c r="K8" i="1"/>
  <c r="K9" i="1"/>
  <c r="K10" i="1"/>
  <c r="K11" i="1"/>
  <c r="K2" i="1"/>
  <c r="I64" i="2"/>
  <c r="J64" i="2" s="1"/>
  <c r="C52" i="2" s="1"/>
  <c r="I31" i="2"/>
  <c r="J31" i="2" s="1"/>
  <c r="N31" i="2" s="1"/>
  <c r="D61" i="2"/>
  <c r="D28" i="2"/>
  <c r="I15" i="1" l="1"/>
  <c r="D8" i="1"/>
  <c r="B10" i="1" s="1"/>
  <c r="I22" i="1"/>
  <c r="I21" i="1"/>
  <c r="I18" i="1"/>
  <c r="I17" i="1"/>
  <c r="I20" i="1"/>
  <c r="I23" i="1"/>
  <c r="I16" i="1"/>
  <c r="I19" i="1"/>
  <c r="C9" i="2"/>
  <c r="C47" i="2"/>
  <c r="C19" i="2"/>
  <c r="C51" i="2"/>
  <c r="C16" i="2"/>
  <c r="C57" i="2"/>
  <c r="C7" i="2"/>
  <c r="C21" i="2"/>
  <c r="C8" i="2"/>
  <c r="C53" i="2"/>
  <c r="C23" i="2"/>
  <c r="C55" i="2"/>
  <c r="C25" i="2"/>
  <c r="C41" i="2"/>
  <c r="C27" i="2"/>
  <c r="C14" i="2"/>
  <c r="C38" i="2"/>
  <c r="C10" i="2"/>
  <c r="C44" i="2"/>
  <c r="C18" i="2"/>
  <c r="C46" i="2"/>
  <c r="C15" i="2"/>
  <c r="C49" i="2"/>
  <c r="C20" i="2"/>
  <c r="C40" i="2"/>
  <c r="C54" i="2"/>
  <c r="C26" i="2"/>
  <c r="C56" i="2"/>
  <c r="C17" i="2"/>
  <c r="C6" i="2"/>
  <c r="C59" i="2"/>
  <c r="N64" i="2"/>
  <c r="C42" i="2"/>
  <c r="C12" i="2"/>
  <c r="C39" i="2"/>
  <c r="C60" i="2"/>
  <c r="C11" i="2"/>
  <c r="C43" i="2"/>
  <c r="C13" i="2"/>
  <c r="C45" i="2"/>
  <c r="C5" i="2"/>
  <c r="C48" i="2"/>
  <c r="C50" i="2"/>
  <c r="C22" i="2"/>
  <c r="C24" i="2"/>
  <c r="C58" i="2"/>
  <c r="Y8" i="1" l="1"/>
  <c r="Y10" i="1"/>
  <c r="R23" i="1"/>
  <c r="Y48" i="1"/>
  <c r="R8" i="1"/>
  <c r="R5" i="1"/>
  <c r="R11" i="1"/>
  <c r="Y46" i="1"/>
  <c r="R20" i="1"/>
  <c r="Y14" i="1"/>
  <c r="R16" i="1"/>
  <c r="Y4" i="1"/>
  <c r="Y16" i="1"/>
  <c r="R2" i="1"/>
  <c r="R9" i="1"/>
  <c r="R4" i="1"/>
  <c r="R22" i="1"/>
  <c r="Y18" i="1"/>
  <c r="Y11" i="1"/>
  <c r="Y47" i="1"/>
  <c r="R6" i="1"/>
  <c r="Y9" i="1"/>
  <c r="R10" i="1"/>
  <c r="Y13" i="1"/>
  <c r="R7" i="1"/>
  <c r="Y49" i="1"/>
  <c r="Y12" i="1"/>
  <c r="D18" i="1" s="1"/>
  <c r="R15" i="1"/>
  <c r="Y17" i="1"/>
  <c r="Y15" i="1"/>
  <c r="Y5" i="1"/>
  <c r="Y2" i="1"/>
  <c r="Y23" i="1"/>
  <c r="B16" i="1" l="1"/>
  <c r="B15" i="1"/>
</calcChain>
</file>

<file path=xl/sharedStrings.xml><?xml version="1.0" encoding="utf-8"?>
<sst xmlns="http://schemas.openxmlformats.org/spreadsheetml/2006/main" count="996" uniqueCount="486">
  <si>
    <t>Nom</t>
  </si>
  <si>
    <t>Chance</t>
  </si>
  <si>
    <t>Description</t>
  </si>
  <si>
    <t>Acrobaties</t>
  </si>
  <si>
    <t>Apnée</t>
  </si>
  <si>
    <t>Contorsionisme</t>
  </si>
  <si>
    <t>Défoncer</t>
  </si>
  <si>
    <t>Equilibre</t>
  </si>
  <si>
    <t>Equitation</t>
  </si>
  <si>
    <t>Escalade</t>
  </si>
  <si>
    <t>Jongler</t>
  </si>
  <si>
    <t>Pousser</t>
  </si>
  <si>
    <t>Natation</t>
  </si>
  <si>
    <t>Saut</t>
  </si>
  <si>
    <t>Soulever</t>
  </si>
  <si>
    <t>Tordre</t>
  </si>
  <si>
    <t>Résistance intox</t>
  </si>
  <si>
    <t>Résitance maladie</t>
  </si>
  <si>
    <t>Résistance poison</t>
  </si>
  <si>
    <t>Camouflage</t>
  </si>
  <si>
    <t>Crochetage</t>
  </si>
  <si>
    <t>Déguisement</t>
  </si>
  <si>
    <t>Déplacement silencieux</t>
  </si>
  <si>
    <t>Passe passe</t>
  </si>
  <si>
    <t>Pickpocket</t>
  </si>
  <si>
    <t>Méditation</t>
  </si>
  <si>
    <t>Occultisme</t>
  </si>
  <si>
    <t>Signe aard</t>
  </si>
  <si>
    <t>Signe axii</t>
  </si>
  <si>
    <t>Signe igni</t>
  </si>
  <si>
    <t>Signe quen</t>
  </si>
  <si>
    <t>Connaissance Monstres</t>
  </si>
  <si>
    <t>Mythe &amp; Légendes</t>
  </si>
  <si>
    <t>Alchimie</t>
  </si>
  <si>
    <t>Herboristerie</t>
  </si>
  <si>
    <t>Médecine</t>
  </si>
  <si>
    <t>Premiers soins</t>
  </si>
  <si>
    <t>Perforante</t>
  </si>
  <si>
    <t>Tranchante</t>
  </si>
  <si>
    <t>Lancer</t>
  </si>
  <si>
    <t>Astronomie</t>
  </si>
  <si>
    <t>Lien animal</t>
  </si>
  <si>
    <t>Navigation</t>
  </si>
  <si>
    <t>Orientation</t>
  </si>
  <si>
    <t>Pièges</t>
  </si>
  <si>
    <t>Perception auditive</t>
  </si>
  <si>
    <t>Perception gustative</t>
  </si>
  <si>
    <t>Perception olfactive</t>
  </si>
  <si>
    <t>Perception tactile</t>
  </si>
  <si>
    <t>Perception visuelle</t>
  </si>
  <si>
    <t>Pistage</t>
  </si>
  <si>
    <t>Etiquette</t>
  </si>
  <si>
    <t>Comédie</t>
  </si>
  <si>
    <t>Imitation de voix</t>
  </si>
  <si>
    <t>Lire sur les lèvres</t>
  </si>
  <si>
    <t>Poésie</t>
  </si>
  <si>
    <t>Jeux</t>
  </si>
  <si>
    <t>Chant</t>
  </si>
  <si>
    <t>Traditions &amp; Coutumes</t>
  </si>
  <si>
    <t>Esquive</t>
  </si>
  <si>
    <t>Couture</t>
  </si>
  <si>
    <t>Forge</t>
  </si>
  <si>
    <t>Peinture</t>
  </si>
  <si>
    <t>Travail du bois</t>
  </si>
  <si>
    <t>Sculpture</t>
  </si>
  <si>
    <t>Tannage</t>
  </si>
  <si>
    <t>P Langue commune</t>
  </si>
  <si>
    <t>L/E Langue commune</t>
  </si>
  <si>
    <t>P Langage ancien</t>
  </si>
  <si>
    <t>L/E langage ancien</t>
  </si>
  <si>
    <t>P Nilfgaardien</t>
  </si>
  <si>
    <t>L/E Nilfgaardien</t>
  </si>
  <si>
    <t>L/E dialecte Skellige</t>
  </si>
  <si>
    <t>P dialecte Skellige</t>
  </si>
  <si>
    <t>Estimation</t>
  </si>
  <si>
    <t>Connaissance Minéraux</t>
  </si>
  <si>
    <t>C</t>
  </si>
  <si>
    <t>E</t>
  </si>
  <si>
    <t>E F</t>
  </si>
  <si>
    <t>F</t>
  </si>
  <si>
    <t>M</t>
  </si>
  <si>
    <t>C M</t>
  </si>
  <si>
    <t>C Pc</t>
  </si>
  <si>
    <t>Pc</t>
  </si>
  <si>
    <t>M Pc</t>
  </si>
  <si>
    <t>C S</t>
  </si>
  <si>
    <t>S Vo</t>
  </si>
  <si>
    <t>E Vo</t>
  </si>
  <si>
    <t>F Vi</t>
  </si>
  <si>
    <t>Pc Ps</t>
  </si>
  <si>
    <t>C Ps</t>
  </si>
  <si>
    <t>A Ps</t>
  </si>
  <si>
    <t>C Vi</t>
  </si>
  <si>
    <t>S</t>
  </si>
  <si>
    <t>E F S</t>
  </si>
  <si>
    <t>M Ps</t>
  </si>
  <si>
    <t>E M Vo</t>
  </si>
  <si>
    <t>C M Vi</t>
  </si>
  <si>
    <t>C Ps Vi</t>
  </si>
  <si>
    <t>Pc Vi</t>
  </si>
  <si>
    <t>C S Vi</t>
  </si>
  <si>
    <t>Ps Vo</t>
  </si>
  <si>
    <t>Ps Vi</t>
  </si>
  <si>
    <t>C M S</t>
  </si>
  <si>
    <t>A Pc Ps</t>
  </si>
  <si>
    <t>Instruments de musique</t>
  </si>
  <si>
    <t>Danse</t>
  </si>
  <si>
    <t>Contondante</t>
  </si>
  <si>
    <t>Carac</t>
  </si>
  <si>
    <t>Base</t>
  </si>
  <si>
    <t>Total</t>
  </si>
  <si>
    <t>Physique</t>
  </si>
  <si>
    <t>Medecine</t>
  </si>
  <si>
    <t>Combat</t>
  </si>
  <si>
    <t>Magie</t>
  </si>
  <si>
    <t>Subterfuge</t>
  </si>
  <si>
    <t>Social</t>
  </si>
  <si>
    <t>Langage</t>
  </si>
  <si>
    <t>Voyage</t>
  </si>
  <si>
    <t>Artisanat Equipement</t>
  </si>
  <si>
    <t>Enc</t>
  </si>
  <si>
    <t>% con</t>
  </si>
  <si>
    <t>% per</t>
  </si>
  <si>
    <t>% tra</t>
  </si>
  <si>
    <t>% cri</t>
  </si>
  <si>
    <t>Dég</t>
  </si>
  <si>
    <t>Divers</t>
  </si>
  <si>
    <t>Armes</t>
  </si>
  <si>
    <t>Armure</t>
  </si>
  <si>
    <t>Cuir Souple</t>
  </si>
  <si>
    <t>Cuir Rigide</t>
  </si>
  <si>
    <t>Cotte</t>
  </si>
  <si>
    <t>Ecaille</t>
  </si>
  <si>
    <t>Plates</t>
  </si>
  <si>
    <t>Prot</t>
  </si>
  <si>
    <t>Localisation</t>
  </si>
  <si>
    <t>Signes</t>
  </si>
  <si>
    <t>Aard</t>
  </si>
  <si>
    <t>Axii</t>
  </si>
  <si>
    <t>Igni</t>
  </si>
  <si>
    <t>Quen</t>
  </si>
  <si>
    <t>Signe yrden</t>
  </si>
  <si>
    <t>Yrden</t>
  </si>
  <si>
    <t>% lan</t>
  </si>
  <si>
    <t>Equipement</t>
  </si>
  <si>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pparence</t>
    </r>
  </si>
  <si>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oordination</t>
    </r>
  </si>
  <si>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nergie</t>
    </r>
  </si>
  <si>
    <r>
      <rPr>
        <b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orce</t>
    </r>
  </si>
  <si>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émoire</t>
    </r>
  </si>
  <si>
    <r>
      <rPr>
        <b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er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eption</t>
    </r>
  </si>
  <si>
    <r>
      <rPr>
        <b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er</t>
    </r>
    <r>
      <rPr>
        <b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picacité</t>
    </r>
  </si>
  <si>
    <r>
      <rPr>
        <b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ouplesse</t>
    </r>
  </si>
  <si>
    <r>
      <rPr>
        <b/>
        <sz val="11"/>
        <color theme="1"/>
        <rFont val="Calibri"/>
        <family val="2"/>
        <scheme val="minor"/>
      </rPr>
      <t>Vi</t>
    </r>
    <r>
      <rPr>
        <sz val="11"/>
        <color theme="1"/>
        <rFont val="Calibri"/>
        <family val="2"/>
        <scheme val="minor"/>
      </rPr>
      <t>vacité</t>
    </r>
  </si>
  <si>
    <r>
      <rPr>
        <b/>
        <sz val="11"/>
        <color theme="1"/>
        <rFont val="Calibri"/>
        <family val="2"/>
        <scheme val="minor"/>
      </rPr>
      <t>Vo</t>
    </r>
    <r>
      <rPr>
        <sz val="11"/>
        <color theme="1"/>
        <rFont val="Calibri"/>
        <family val="2"/>
        <scheme val="minor"/>
      </rPr>
      <t>lonté</t>
    </r>
  </si>
  <si>
    <t>Malus physique = Enc armes + Enc équipement +</t>
  </si>
  <si>
    <t>Init = 1D20 - Malus physique + (Pc + Ps + S + Vi + Vi)/5</t>
  </si>
  <si>
    <t>Exp restante</t>
  </si>
  <si>
    <t>Exp totale</t>
  </si>
  <si>
    <t>Init = 1D20 +</t>
  </si>
  <si>
    <t>The Witcher</t>
  </si>
  <si>
    <t>Caractéristiques</t>
  </si>
  <si>
    <t>x2</t>
  </si>
  <si>
    <t>Dist</t>
  </si>
  <si>
    <t>Arc</t>
  </si>
  <si>
    <t>Total Enc</t>
  </si>
  <si>
    <t>2 Mains</t>
  </si>
  <si>
    <t>Enc armure - Force /5</t>
  </si>
  <si>
    <t>Localisation selon que la cible soit de face, de dos ou de profil puis suivant une frappe portée vers le haut, medium ou bas</t>
  </si>
  <si>
    <t>Frappe Vers</t>
  </si>
  <si>
    <t>AR</t>
  </si>
  <si>
    <t>AR+</t>
  </si>
  <si>
    <t>PVs</t>
  </si>
  <si>
    <t>Haut</t>
  </si>
  <si>
    <t>Medium</t>
  </si>
  <si>
    <t>Bas</t>
  </si>
  <si>
    <t>Tête</t>
  </si>
  <si>
    <t>1  2</t>
  </si>
  <si>
    <t>1  3</t>
  </si>
  <si>
    <t>Cou</t>
  </si>
  <si>
    <t>3  4</t>
  </si>
  <si>
    <t>4  6</t>
  </si>
  <si>
    <t>Epaule D</t>
  </si>
  <si>
    <t>7  8</t>
  </si>
  <si>
    <t>Epaule G</t>
  </si>
  <si>
    <t>9  10</t>
  </si>
  <si>
    <t>5  6</t>
  </si>
  <si>
    <t>Thorax</t>
  </si>
  <si>
    <t>3  5</t>
  </si>
  <si>
    <t>11  14</t>
  </si>
  <si>
    <t>3  6</t>
  </si>
  <si>
    <t>7  9</t>
  </si>
  <si>
    <t>Bras D</t>
  </si>
  <si>
    <t>6  7</t>
  </si>
  <si>
    <t>15  17</t>
  </si>
  <si>
    <t>Bras G</t>
  </si>
  <si>
    <t>11  12</t>
  </si>
  <si>
    <t>8  9</t>
  </si>
  <si>
    <t>18  20</t>
  </si>
  <si>
    <t>10  12</t>
  </si>
  <si>
    <t>6  8</t>
  </si>
  <si>
    <t>Coude D</t>
  </si>
  <si>
    <t>Coude G</t>
  </si>
  <si>
    <t>Abdomen</t>
  </si>
  <si>
    <t>12  13</t>
  </si>
  <si>
    <t>13  15</t>
  </si>
  <si>
    <t>10  11</t>
  </si>
  <si>
    <t>Avant Bras D</t>
  </si>
  <si>
    <t>15  16</t>
  </si>
  <si>
    <t>14  15</t>
  </si>
  <si>
    <t>Avant Bras G</t>
  </si>
  <si>
    <t>17  18</t>
  </si>
  <si>
    <t>16  17</t>
  </si>
  <si>
    <t>16  18</t>
  </si>
  <si>
    <t>14  16</t>
  </si>
  <si>
    <t>Aine</t>
  </si>
  <si>
    <t>Main D</t>
  </si>
  <si>
    <t>Main G</t>
  </si>
  <si>
    <t>Cuisse D</t>
  </si>
  <si>
    <t>Cuisse G</t>
  </si>
  <si>
    <t>Genou D</t>
  </si>
  <si>
    <t>Genou G</t>
  </si>
  <si>
    <t>8  10</t>
  </si>
  <si>
    <t>Jambe D</t>
  </si>
  <si>
    <t>11  13</t>
  </si>
  <si>
    <t>Jambe G</t>
  </si>
  <si>
    <t>13  16</t>
  </si>
  <si>
    <t>Pied D</t>
  </si>
  <si>
    <t>Pied G</t>
  </si>
  <si>
    <t>19  20</t>
  </si>
  <si>
    <t>Total AR</t>
  </si>
  <si>
    <t>Fatigue (E/5)</t>
  </si>
  <si>
    <t>Blessures</t>
  </si>
  <si>
    <t>PVs Totaux ((E+F)/2)</t>
  </si>
  <si>
    <t>Seuil d'inconscience (PVs Totaux /2)</t>
  </si>
  <si>
    <t>Mort (-PVs Totaux /2)</t>
  </si>
  <si>
    <t>Total Enc (AR/5)</t>
  </si>
  <si>
    <t>F Pc Vi</t>
  </si>
  <si>
    <t>Notes supplémentaires</t>
  </si>
  <si>
    <t>Chat</t>
  </si>
  <si>
    <t>Griffon</t>
  </si>
  <si>
    <t>Loup</t>
  </si>
  <si>
    <t>Ours</t>
  </si>
  <si>
    <t>Manticore</t>
  </si>
  <si>
    <t>Vipère</t>
  </si>
  <si>
    <t>4x</t>
  </si>
  <si>
    <t>2x</t>
  </si>
  <si>
    <t>3x</t>
  </si>
  <si>
    <t>1x</t>
  </si>
  <si>
    <t>Critique hémorragie</t>
  </si>
  <si>
    <t>3 saignement par rd en plus</t>
  </si>
  <si>
    <t>Critique multiplicateur</t>
  </si>
  <si>
    <t>x1</t>
  </si>
  <si>
    <t>5x</t>
  </si>
  <si>
    <t>F/5</t>
  </si>
  <si>
    <t>1 AR sauf genoux, coudes et cou</t>
  </si>
  <si>
    <t>1 fatigue</t>
  </si>
  <si>
    <t>Attaque totale</t>
  </si>
  <si>
    <t>Ambidextrie</t>
  </si>
  <si>
    <t>2 Armes</t>
  </si>
  <si>
    <t>Parade/esquive supplémentaire</t>
  </si>
  <si>
    <t>Parade/esquive totale</t>
  </si>
  <si>
    <t>1 à -1</t>
  </si>
  <si>
    <t>Allonge</t>
  </si>
  <si>
    <t>Impassibilité</t>
  </si>
  <si>
    <t>5 d'init sur blessure subie</t>
  </si>
  <si>
    <t>Régénération</t>
  </si>
  <si>
    <t>1/4 du temps</t>
  </si>
  <si>
    <t>Résistance intoxication</t>
  </si>
  <si>
    <t>Alchimiste</t>
  </si>
  <si>
    <t>1 composant en moins par type minimum 1</t>
  </si>
  <si>
    <t>Huile dégats</t>
  </si>
  <si>
    <t>90 deg</t>
  </si>
  <si>
    <t>2m</t>
  </si>
  <si>
    <t>20% de malus à l'équilibre</t>
  </si>
  <si>
    <t>20% de malus sur orientation</t>
  </si>
  <si>
    <t>3 dégats</t>
  </si>
  <si>
    <t>Quen régénération</t>
  </si>
  <si>
    <t>1 PV par rd</t>
  </si>
  <si>
    <t>Quantité</t>
  </si>
  <si>
    <t>Courte (enc 1 ou 2)</t>
  </si>
  <si>
    <t>Moyenne (enc 3 ou 4)</t>
  </si>
  <si>
    <t>Longue (enc 5 ou 6)</t>
  </si>
  <si>
    <t>Corps à corps sans arme</t>
  </si>
  <si>
    <t>Hast (enc 3 à 6)</t>
  </si>
  <si>
    <t>A projectiles (enc 1 à 5)</t>
  </si>
  <si>
    <t>Critique combat (déjà inclus)</t>
  </si>
  <si>
    <t>Dégats (déjà inclus)</t>
  </si>
  <si>
    <t>Enc Armure (déjà inclus)</t>
  </si>
  <si>
    <t>Blindage corporel (déjà inclus)</t>
  </si>
  <si>
    <t>Init (déjà inclus)</t>
  </si>
  <si>
    <t>Endurance (déjà inclus)</t>
  </si>
  <si>
    <t>Critique Signe (déjà inclus)</t>
  </si>
  <si>
    <t>Igni dégats (déjà inclus)</t>
  </si>
  <si>
    <t>Igni arc (déjà inclus)</t>
  </si>
  <si>
    <t>Igni distance (déjà inclus)</t>
  </si>
  <si>
    <t>Igni embrasement (déjà inclus)</t>
  </si>
  <si>
    <t>Aard dégats (déjà inclus)</t>
  </si>
  <si>
    <t>Aard chancèlement (déjà inclus)</t>
  </si>
  <si>
    <t>Aard distance (déjà inclus)</t>
  </si>
  <si>
    <t>Axii désorientation (déjà inclus)</t>
  </si>
  <si>
    <t>Axii ordre (déjà inclus)</t>
  </si>
  <si>
    <t>Axii cible (déjà inclus)</t>
  </si>
  <si>
    <t>Quen résistance (déjà inclus)</t>
  </si>
  <si>
    <t>Quen explosion (déjà inclus)</t>
  </si>
  <si>
    <t>Yrden distance (déjà inclus)</t>
  </si>
  <si>
    <t>Yrden deg monstres (déjà inclus)</t>
  </si>
  <si>
    <t>1 dégat</t>
  </si>
  <si>
    <t>Aard arc (déjà inclus)</t>
  </si>
  <si>
    <t>4 dégats aux monstres</t>
  </si>
  <si>
    <t>20% de malus sur volonté</t>
  </si>
  <si>
    <t>dég c</t>
  </si>
  <si>
    <t>dég p</t>
  </si>
  <si>
    <t>dég t</t>
  </si>
  <si>
    <t>Disque ralentissant et ne faisant des dég que sur monstres</t>
  </si>
  <si>
    <t>Attaque brutale</t>
  </si>
  <si>
    <t>Arme courte</t>
  </si>
  <si>
    <t>1 ou 2</t>
  </si>
  <si>
    <t>Arme moyenne</t>
  </si>
  <si>
    <t>3 ou 4</t>
  </si>
  <si>
    <t>Arme longue</t>
  </si>
  <si>
    <t>5 ou 6</t>
  </si>
  <si>
    <t>Arme d'hast</t>
  </si>
  <si>
    <t>3 à 6</t>
  </si>
  <si>
    <t>1 à 6</t>
  </si>
  <si>
    <t>Carquois avec 20 projectiles</t>
  </si>
  <si>
    <t>2 à 5</t>
  </si>
  <si>
    <t>Arbalète</t>
  </si>
  <si>
    <t>1 à 5</t>
  </si>
  <si>
    <t>Fronde</t>
  </si>
  <si>
    <t>Fiole</t>
  </si>
  <si>
    <t>Sac à dos (Enc 8)</t>
  </si>
  <si>
    <t>Besace (Enc 4)</t>
  </si>
  <si>
    <t>Sacoche  (Enc 1 ou 2)</t>
  </si>
  <si>
    <t>Corde 10 m</t>
  </si>
  <si>
    <t>Lanterne</t>
  </si>
  <si>
    <t>Briquet et amadou</t>
  </si>
  <si>
    <t>Couverture</t>
  </si>
  <si>
    <t>Tente</t>
  </si>
  <si>
    <t>Gourde pour 1 jour</t>
  </si>
  <si>
    <t>Provisions pour 1 jour</t>
  </si>
  <si>
    <t>Livre</t>
  </si>
  <si>
    <t>Sachet avec 10 composants alchimiques</t>
  </si>
  <si>
    <t>Lingot de metal</t>
  </si>
  <si>
    <t>Menottes</t>
  </si>
  <si>
    <t>Chaine 5 m</t>
  </si>
  <si>
    <t>Piège</t>
  </si>
  <si>
    <t>Torches 2</t>
  </si>
  <si>
    <t>Bougies 20</t>
  </si>
  <si>
    <t>Coffre (Enc 4)</t>
  </si>
  <si>
    <t>Coffre (Enc 8)</t>
  </si>
  <si>
    <t>Encre et plume ou craie</t>
  </si>
  <si>
    <t>Parchemins</t>
  </si>
  <si>
    <t>Orbe ou baguette</t>
  </si>
  <si>
    <t>Longue vue</t>
  </si>
  <si>
    <t>Miroir</t>
  </si>
  <si>
    <t>Instrument de musique (petit)</t>
  </si>
  <si>
    <t>Instrument de muqisue (moyen)</t>
  </si>
  <si>
    <t>Grappin</t>
  </si>
  <si>
    <t>Sablier</t>
  </si>
  <si>
    <t>Trousse médicale</t>
  </si>
  <si>
    <t>Cloche ou sifflet</t>
  </si>
  <si>
    <t>Les cases rosées sont les compétences où le malus physique dû au poids s'applique</t>
  </si>
  <si>
    <t>Vous ne pouvez modifier que les cases jaunes, les autres cases ne doivent pas être touchées</t>
  </si>
  <si>
    <t>A indiquer dans "NOM"</t>
  </si>
  <si>
    <t>A indiquer dans "ENC"</t>
  </si>
  <si>
    <t>L'AR+ dans localisation est votre Armure actuelle avec tous les bonus</t>
  </si>
  <si>
    <t>P</t>
  </si>
  <si>
    <t>T</t>
  </si>
  <si>
    <t>Pour les armes voici la proccédure (Indicatifs : C pour contondant, P pour perforant, T pour tranchant) :</t>
  </si>
  <si>
    <t>Type d'arme choisie</t>
  </si>
  <si>
    <t>Dague</t>
  </si>
  <si>
    <t>Pour les armes, indiquez "argent" (si besoin) dans "DIVERS"</t>
  </si>
  <si>
    <t>Lame</t>
  </si>
  <si>
    <t>Epée courte</t>
  </si>
  <si>
    <t>x</t>
  </si>
  <si>
    <t>Epée batarde</t>
  </si>
  <si>
    <t>Vous pouvez porter des armes à 2 Mains d'enc max de (en fonction de 1,5x la Force) :</t>
  </si>
  <si>
    <t>Vous pouvez porter des armes à 1 Main d'enc max de (en fonction de 1x la Force) :</t>
  </si>
  <si>
    <t>Hache, Hachette, Hache à 2M</t>
  </si>
  <si>
    <t>Epée à 2M</t>
  </si>
  <si>
    <t>Epée longue ou large</t>
  </si>
  <si>
    <t>Hache</t>
  </si>
  <si>
    <t>2 à 6</t>
  </si>
  <si>
    <t>Masse, Massue, Marteau, Fléau</t>
  </si>
  <si>
    <t>Masse</t>
  </si>
  <si>
    <t>Pioche, Marteau avec pique</t>
  </si>
  <si>
    <t>Pioche</t>
  </si>
  <si>
    <t>Pointe</t>
  </si>
  <si>
    <t>Faucille</t>
  </si>
  <si>
    <t>Pointe, Piolet, Pique</t>
  </si>
  <si>
    <t>Faucille, Faux</t>
  </si>
  <si>
    <t>Hachoir</t>
  </si>
  <si>
    <t>Baton</t>
  </si>
  <si>
    <t>Baton (Hast)</t>
  </si>
  <si>
    <t>Lance (Hast)</t>
  </si>
  <si>
    <t>Lance</t>
  </si>
  <si>
    <t>Hallebarde</t>
  </si>
  <si>
    <t>Halebarde (Hast)</t>
  </si>
  <si>
    <t>Arc, Arbalète</t>
  </si>
  <si>
    <t xml:space="preserve"> Arc</t>
  </si>
  <si>
    <t>Sans Arme</t>
  </si>
  <si>
    <t>Round : un round dure 5 sec</t>
  </si>
  <si>
    <t>Fatigue :</t>
  </si>
  <si>
    <t>Tranchant : quand une arme est utilisée sur le mode tranchant, l'armure de l'adversaire est doublée</t>
  </si>
  <si>
    <t xml:space="preserve">  on perd 1 de fatigue quand on utilise un signe ou quand on fait une attaque brutale</t>
  </si>
  <si>
    <t xml:space="preserve">  on regagne 1 de fatigue tous les 2 rds sans attaquer et bouger (que esquive et parade totale possible)</t>
  </si>
  <si>
    <t>Attaque Totale : +10% pour toucher mais pas de parade ou esquive pour le tour</t>
  </si>
  <si>
    <t>Attaque Brutale : +10% de dégats mais perte de 1 de fatigue</t>
  </si>
  <si>
    <t>Parade Totale : +10% pour parer ou deux parades mais pas d'attaque ou de magie pour le tour</t>
  </si>
  <si>
    <t>Esquive Totale : +10% pour esquiver ou deux esquives mais pas d'attaque ou de magie pour le tour</t>
  </si>
  <si>
    <t>Esquive : permet d'esquiver plusieurs attaques simultanées d'un coup</t>
  </si>
  <si>
    <t xml:space="preserve">  deux attaques s'effectuent simultanément si l'initiative est à trois points près</t>
  </si>
  <si>
    <t xml:space="preserve">Attaques simultanées :  </t>
  </si>
  <si>
    <t xml:space="preserve">  les parades et esquives restent possibles</t>
  </si>
  <si>
    <t>Initiative :</t>
  </si>
  <si>
    <t xml:space="preserve">  elle ne se calcule qu'une fois par combat</t>
  </si>
  <si>
    <t xml:space="preserve">  elle diminue du nombre de point de blessure subie le round suivant avant de se rétablir</t>
  </si>
  <si>
    <t xml:space="preserve">  on n'agit pas si l'initiative est de 0 ou inférieure</t>
  </si>
  <si>
    <t>Cartes :</t>
  </si>
  <si>
    <t xml:space="preserve">  1 carte pour : une flèche (l'attaque), brutal, magie, parade, esquive, mouvement, objet </t>
  </si>
  <si>
    <t xml:space="preserve">  l'orientation de la flèche indique si l'attaque est haute, médium ou basse</t>
  </si>
  <si>
    <t xml:space="preserve">  on a le droit à une parade ou une esquive dans le round</t>
  </si>
  <si>
    <t xml:space="preserve">  on a le droit à deux actions par tour</t>
  </si>
  <si>
    <t xml:space="preserve">  brutal s'ajoute à la flèche pour exprimer une attaque brutale</t>
  </si>
  <si>
    <t xml:space="preserve">  on peut toujourd utiliser la parade et l'esquive n'importe quand</t>
  </si>
  <si>
    <t xml:space="preserve">  on peut toujours retarder une action pour agir plus tard</t>
  </si>
  <si>
    <t xml:space="preserve">  on a le droit à une attaque par tour (flèche ou magie) qui s'effectue avant toute autre action dans le rd</t>
  </si>
  <si>
    <t xml:space="preserve">  pour exprimer "totale", on utilse qu'une seule et unique carte de flèche, parade ou esquive dans le rd</t>
  </si>
  <si>
    <t xml:space="preserve">  chacun résout d'abord une action par ordre d'init avant de passer à la seconde</t>
  </si>
  <si>
    <t>Membre détruit : si un coup provoque autant de dommage que les PVs d'un membre, il est détruit</t>
  </si>
  <si>
    <t>Chance : elle ne se renouvelle pas, elle permet de relancer un jet ou d'éviter les dégats d'une attaque</t>
  </si>
  <si>
    <t xml:space="preserve">  il augmente l'armure du coude, avant bras et main qu'il protège de son enc</t>
  </si>
  <si>
    <t>Bouclier :</t>
  </si>
  <si>
    <t xml:space="preserve">  il permet une parade à 20% supplémentaire</t>
  </si>
  <si>
    <t xml:space="preserve">  le malus de la main non directrice n'est pas appliqué</t>
  </si>
  <si>
    <t>Main non directrice : malus de 20% en attaque et parade</t>
  </si>
  <si>
    <t>Deux armes à 1M :</t>
  </si>
  <si>
    <t xml:space="preserve">  sur un même mvt dans une même direction, un seul jet d'attaque à -20%, un jet de parade pour</t>
  </si>
  <si>
    <t xml:space="preserve">    l'adversaire mais deux différents types de dégats dans une zone ou deux zones voisines</t>
  </si>
  <si>
    <t xml:space="preserve">  sur deux attaques différentes, deux jets d'attaques à -20% et -40% pour la main non directrice,</t>
  </si>
  <si>
    <t xml:space="preserve">    deux parades ou une esquive pour l'adversaire puis deux localisation distinctives</t>
  </si>
  <si>
    <t>Portée des armes de corps à corps :</t>
  </si>
  <si>
    <t xml:space="preserve">  portée courte (enc 1 ou 2), moyenne (enc 3 ou 4), longue (enc 5 ou 6)</t>
  </si>
  <si>
    <t xml:space="preserve">  deux crans différents donne un malus de 20% à l'attaque</t>
  </si>
  <si>
    <t xml:space="preserve">  le combat débute à la portée la plus longue des combattants</t>
  </si>
  <si>
    <t>Maladresse :</t>
  </si>
  <si>
    <t xml:space="preserve">  99 ou 100 est une maladresse</t>
  </si>
  <si>
    <t xml:space="preserve">  sur une comp à 100%, 99 devient une réussite et 100 reste une maladresse</t>
  </si>
  <si>
    <t xml:space="preserve">  sur une comp à 99%, 99 reste un échec et 100 une maladresse</t>
  </si>
  <si>
    <t>Critique :</t>
  </si>
  <si>
    <t xml:space="preserve">  05 pour les autres comps</t>
  </si>
  <si>
    <t xml:space="preserve">  01 pour l'attaque ou la magie (un critique est annulé seulement par une parade ou esquive critique)</t>
  </si>
  <si>
    <t>Critique physique :</t>
  </si>
  <si>
    <t xml:space="preserve">  dég et armure inefficace</t>
  </si>
  <si>
    <t xml:space="preserve">  dég et chancelement et désorientation</t>
  </si>
  <si>
    <t xml:space="preserve">  dég et empoisonnement si poison</t>
  </si>
  <si>
    <t xml:space="preserve">  dég x1,5 si localisation dans tête, cou, thorax ou abdomen</t>
  </si>
  <si>
    <t xml:space="preserve">  dég x1,25 si localisation autre</t>
  </si>
  <si>
    <t xml:space="preserve">  dég et désarmement si attaque médium</t>
  </si>
  <si>
    <t>Critique magique :</t>
  </si>
  <si>
    <t xml:space="preserve">  dég x1,5</t>
  </si>
  <si>
    <t xml:space="preserve">  dég et embrasement auto si igni</t>
  </si>
  <si>
    <t xml:space="preserve">  dég et chute et désorientation si aard</t>
  </si>
  <si>
    <t xml:space="preserve">  paralysie 1 rd si yrden</t>
  </si>
  <si>
    <t xml:space="preserve">  invulnérable 1 rd si quen</t>
  </si>
  <si>
    <t xml:space="preserve">  contrôle total pendant 1 rd si axii</t>
  </si>
  <si>
    <t>Régénération d'un Witcher :</t>
  </si>
  <si>
    <t xml:space="preserve">  1 PV par blessure subie toutes les 4h</t>
  </si>
  <si>
    <t xml:space="preserve">  1 fêlure en 4 jours de repos</t>
  </si>
  <si>
    <t xml:space="preserve">  1 cassure en 8 jours de repos</t>
  </si>
  <si>
    <t xml:space="preserve">  1 pt d'hémorragie par rd sur 10% ou 25% en repos</t>
  </si>
  <si>
    <t xml:space="preserve">  dég et hémorragie si type tranchant (sauf mains, pieds et tête)</t>
  </si>
  <si>
    <t>Afflictions :</t>
  </si>
  <si>
    <t xml:space="preserve">  Hémorragie : dégâts subis /4 par tour jusqu'à guérison</t>
  </si>
  <si>
    <t xml:space="preserve">  Chancèlement : -15 en init, -10% pour les actions, test d'équilibre sinon chute</t>
  </si>
  <si>
    <t xml:space="preserve">  Au sol, à cloche pied, de dos : -20% pour les actions, +10% pour se faire toucher</t>
  </si>
  <si>
    <t xml:space="preserve">  Etouffement : -20% pour les actions</t>
  </si>
  <si>
    <t xml:space="preserve">  Chute : pas d'action, +10% pour se faire toucher</t>
  </si>
  <si>
    <t xml:space="preserve">  Vomissement : pas d'action, +20% pour se faire toucher</t>
  </si>
  <si>
    <t xml:space="preserve">  Surpris : pas d'action, +30% pour se faire toucher, localisation +2 à -2</t>
  </si>
  <si>
    <t xml:space="preserve">  Nausée, désorientation (test d'orientation raté) : -5 en init, -10% pour les actions</t>
  </si>
  <si>
    <t xml:space="preserve">  Engourdissement, ralentissement : -10 en init, -20% pour les actions, +10% pour se faire toucher</t>
  </si>
  <si>
    <t xml:space="preserve">  Gelé, immobilisé, inconscient : pas d'action, critique auto dans la localisation voulue</t>
  </si>
  <si>
    <t xml:space="preserve">  Aveuglé : -40% pour les actions, +10% pour se faire toucher</t>
  </si>
  <si>
    <t xml:space="preserve">  En feu : test de volonté sinon pas d'action, -20% pour les actions, +10% pour se faire toucher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</si>
</sst>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3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5" xfId="0" applyFont="1" applyBorder="1" applyAlignment="1"/>
    <xf numFmtId="0" fontId="0" fillId="0" borderId="34" xfId="0" applyBorder="1"/>
    <xf numFmtId="0" fontId="0" fillId="2" borderId="6" xfId="0" applyFill="1" applyBorder="1"/>
    <xf numFmtId="0" fontId="0" fillId="0" borderId="27" xfId="0" applyBorder="1" applyAlignment="1">
      <alignment horizontal="center"/>
    </xf>
    <xf numFmtId="0" fontId="0" fillId="0" borderId="36" xfId="0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6" xfId="0" applyFill="1" applyBorder="1"/>
    <xf numFmtId="0" fontId="0" fillId="3" borderId="7" xfId="0" applyFill="1" applyBorder="1"/>
    <xf numFmtId="0" fontId="1" fillId="0" borderId="0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23" xfId="0" applyFill="1" applyBorder="1"/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2" borderId="24" xfId="0" applyFill="1" applyBorder="1"/>
    <xf numFmtId="0" fontId="0" fillId="2" borderId="4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0" borderId="50" xfId="0" applyBorder="1"/>
    <xf numFmtId="0" fontId="0" fillId="2" borderId="41" xfId="0" applyFill="1" applyBorder="1"/>
    <xf numFmtId="0" fontId="0" fillId="2" borderId="50" xfId="0" applyFill="1" applyBorder="1"/>
    <xf numFmtId="0" fontId="0" fillId="2" borderId="57" xfId="0" applyFill="1" applyBorder="1"/>
    <xf numFmtId="0" fontId="0" fillId="2" borderId="1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5" xfId="0" applyBorder="1"/>
    <xf numFmtId="0" fontId="0" fillId="0" borderId="23" xfId="0" applyBorder="1"/>
    <xf numFmtId="16" fontId="0" fillId="0" borderId="22" xfId="0" applyNumberForma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4" borderId="45" xfId="0" applyFill="1" applyBorder="1"/>
    <xf numFmtId="0" fontId="0" fillId="4" borderId="23" xfId="0" applyFill="1" applyBorder="1"/>
    <xf numFmtId="0" fontId="0" fillId="4" borderId="22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0" borderId="45" xfId="0" applyFill="1" applyBorder="1"/>
    <xf numFmtId="0" fontId="0" fillId="0" borderId="23" xfId="0" applyFill="1" applyBorder="1"/>
    <xf numFmtId="0" fontId="0" fillId="0" borderId="22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6" xfId="0" applyBorder="1"/>
    <xf numFmtId="0" fontId="0" fillId="0" borderId="24" xfId="0" applyBorder="1"/>
    <xf numFmtId="0" fontId="0" fillId="0" borderId="2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58" xfId="0" applyBorder="1"/>
    <xf numFmtId="0" fontId="0" fillId="0" borderId="0" xfId="0" applyFill="1"/>
    <xf numFmtId="0" fontId="0" fillId="0" borderId="28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59" xfId="0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61" xfId="0" applyFill="1" applyBorder="1" applyAlignment="1">
      <alignment horizontal="center"/>
    </xf>
    <xf numFmtId="0" fontId="0" fillId="0" borderId="6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2" xfId="0" applyFill="1" applyBorder="1"/>
    <xf numFmtId="9" fontId="0" fillId="0" borderId="4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62" xfId="0" applyFill="1" applyBorder="1"/>
    <xf numFmtId="9" fontId="0" fillId="4" borderId="4" xfId="0" applyNumberFormat="1" applyFill="1" applyBorder="1" applyAlignment="1">
      <alignment horizontal="center"/>
    </xf>
    <xf numFmtId="0" fontId="0" fillId="4" borderId="6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61" xfId="0" applyNumberFormat="1" applyFill="1" applyBorder="1" applyAlignment="1">
      <alignment horizontal="center"/>
    </xf>
    <xf numFmtId="0" fontId="0" fillId="2" borderId="4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5" xfId="1" applyNumberFormat="1" applyFont="1" applyBorder="1" applyAlignment="1">
      <alignment horizontal="center"/>
    </xf>
    <xf numFmtId="0" fontId="3" fillId="0" borderId="60" xfId="0" applyFont="1" applyFill="1" applyBorder="1"/>
    <xf numFmtId="0" fontId="3" fillId="0" borderId="62" xfId="0" applyFont="1" applyFill="1" applyBorder="1"/>
    <xf numFmtId="0" fontId="3" fillId="4" borderId="62" xfId="0" applyFont="1" applyFill="1" applyBorder="1"/>
    <xf numFmtId="9" fontId="3" fillId="0" borderId="1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9" fontId="3" fillId="0" borderId="4" xfId="0" applyNumberFormat="1" applyFont="1" applyFill="1" applyBorder="1" applyAlignment="1">
      <alignment horizontal="center"/>
    </xf>
    <xf numFmtId="0" fontId="3" fillId="0" borderId="59" xfId="0" applyFont="1" applyFill="1" applyBorder="1"/>
    <xf numFmtId="9" fontId="3" fillId="4" borderId="4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4" fillId="4" borderId="62" xfId="0" applyFont="1" applyFill="1" applyBorder="1"/>
    <xf numFmtId="0" fontId="4" fillId="4" borderId="4" xfId="0" applyFont="1" applyFill="1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4" borderId="4" xfId="0" applyFill="1" applyBorder="1"/>
    <xf numFmtId="0" fontId="0" fillId="4" borderId="45" xfId="0" applyFill="1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22" xfId="0" applyNumberFormat="1" applyBorder="1" applyAlignment="1">
      <alignment horizontal="center"/>
    </xf>
    <xf numFmtId="0" fontId="0" fillId="0" borderId="25" xfId="0" applyNumberFormat="1" applyBorder="1" applyAlignment="1">
      <alignment horizontal="center"/>
    </xf>
    <xf numFmtId="0" fontId="0" fillId="4" borderId="22" xfId="0" applyNumberFormat="1" applyFill="1" applyBorder="1" applyAlignment="1">
      <alignment horizontal="center"/>
    </xf>
    <xf numFmtId="0" fontId="0" fillId="0" borderId="50" xfId="0" applyFill="1" applyBorder="1"/>
    <xf numFmtId="0" fontId="0" fillId="0" borderId="15" xfId="0" applyFill="1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49" xfId="0" applyBorder="1" applyAlignment="1">
      <alignment horizontal="right"/>
    </xf>
    <xf numFmtId="0" fontId="0" fillId="2" borderId="53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5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2" borderId="3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left"/>
    </xf>
    <xf numFmtId="0" fontId="0" fillId="0" borderId="32" xfId="0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60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4</xdr:row>
      <xdr:rowOff>28575</xdr:rowOff>
    </xdr:from>
    <xdr:to>
      <xdr:col>4</xdr:col>
      <xdr:colOff>1162051</xdr:colOff>
      <xdr:row>26</xdr:row>
      <xdr:rowOff>133350</xdr:rowOff>
    </xdr:to>
    <xdr:pic>
      <xdr:nvPicPr>
        <xdr:cNvPr id="26" name="Imag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800100"/>
          <a:ext cx="1133476" cy="429577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28574</xdr:colOff>
      <xdr:row>4</xdr:row>
      <xdr:rowOff>47625</xdr:rowOff>
    </xdr:from>
    <xdr:to>
      <xdr:col>8</xdr:col>
      <xdr:colOff>1247775</xdr:colOff>
      <xdr:row>26</xdr:row>
      <xdr:rowOff>152400</xdr:rowOff>
    </xdr:to>
    <xdr:pic>
      <xdr:nvPicPr>
        <xdr:cNvPr id="27" name="Image 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599" y="819150"/>
          <a:ext cx="1219201" cy="4295775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4</xdr:row>
      <xdr:rowOff>28575</xdr:rowOff>
    </xdr:from>
    <xdr:to>
      <xdr:col>12</xdr:col>
      <xdr:colOff>781050</xdr:colOff>
      <xdr:row>26</xdr:row>
      <xdr:rowOff>152400</xdr:rowOff>
    </xdr:to>
    <xdr:pic>
      <xdr:nvPicPr>
        <xdr:cNvPr id="28" name="Image 2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800100"/>
          <a:ext cx="752475" cy="431482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36</xdr:row>
      <xdr:rowOff>38100</xdr:rowOff>
    </xdr:from>
    <xdr:to>
      <xdr:col>8</xdr:col>
      <xdr:colOff>1257301</xdr:colOff>
      <xdr:row>59</xdr:row>
      <xdr:rowOff>152400</xdr:rowOff>
    </xdr:to>
    <xdr:pic>
      <xdr:nvPicPr>
        <xdr:cNvPr id="29" name="Image 2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6981825"/>
          <a:ext cx="1228726" cy="449580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</xdr:colOff>
      <xdr:row>36</xdr:row>
      <xdr:rowOff>38099</xdr:rowOff>
    </xdr:from>
    <xdr:to>
      <xdr:col>12</xdr:col>
      <xdr:colOff>781050</xdr:colOff>
      <xdr:row>59</xdr:row>
      <xdr:rowOff>180975</xdr:rowOff>
    </xdr:to>
    <xdr:pic>
      <xdr:nvPicPr>
        <xdr:cNvPr id="30" name="Image 2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8229599"/>
          <a:ext cx="742950" cy="4524376"/>
        </a:xfrm>
        <a:prstGeom prst="rect">
          <a:avLst/>
        </a:prstGeom>
      </xdr:spPr>
    </xdr:pic>
    <xdr:clientData/>
  </xdr:twoCellAnchor>
  <xdr:twoCellAnchor editAs="oneCell">
    <xdr:from>
      <xdr:col>4</xdr:col>
      <xdr:colOff>28574</xdr:colOff>
      <xdr:row>36</xdr:row>
      <xdr:rowOff>47625</xdr:rowOff>
    </xdr:from>
    <xdr:to>
      <xdr:col>4</xdr:col>
      <xdr:colOff>1152525</xdr:colOff>
      <xdr:row>59</xdr:row>
      <xdr:rowOff>152400</xdr:rowOff>
    </xdr:to>
    <xdr:pic>
      <xdr:nvPicPr>
        <xdr:cNvPr id="31" name="Image 3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599" y="6991350"/>
          <a:ext cx="1123951" cy="448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tabSelected="1" zoomScale="85" zoomScaleNormal="85" workbookViewId="0">
      <selection sqref="A1:G1"/>
    </sheetView>
  </sheetViews>
  <sheetFormatPr baseColWidth="10" defaultRowHeight="15" x14ac:dyDescent="0.25"/>
  <cols>
    <col min="1" max="1" width="14.85546875" customWidth="1"/>
    <col min="2" max="8" width="5.7109375" customWidth="1"/>
    <col min="9" max="9" width="16.7109375" customWidth="1"/>
    <col min="10" max="11" width="13.7109375" customWidth="1"/>
    <col min="12" max="12" width="0.85546875" customWidth="1"/>
    <col min="13" max="14" width="11.7109375" customWidth="1"/>
    <col min="15" max="15" width="6.5703125" customWidth="1"/>
    <col min="16" max="18" width="6.140625" customWidth="1"/>
    <col min="19" max="19" width="2.5703125" customWidth="1"/>
    <col min="20" max="21" width="11.7109375" customWidth="1"/>
    <col min="22" max="22" width="6.5703125" customWidth="1"/>
    <col min="23" max="25" width="6.140625" customWidth="1"/>
    <col min="26" max="26" width="0.85546875" customWidth="1"/>
  </cols>
  <sheetData>
    <row r="1" spans="1:25" ht="15.75" thickBot="1" x14ac:dyDescent="0.3">
      <c r="A1" s="187" t="s">
        <v>160</v>
      </c>
      <c r="B1" s="188"/>
      <c r="C1" s="188"/>
      <c r="D1" s="188"/>
      <c r="E1" s="188"/>
      <c r="F1" s="188"/>
      <c r="G1" s="189"/>
      <c r="H1" s="15"/>
      <c r="I1" s="160" t="s">
        <v>161</v>
      </c>
      <c r="J1" s="161"/>
      <c r="K1" s="30" t="s">
        <v>162</v>
      </c>
      <c r="L1" s="29"/>
      <c r="M1" s="160" t="s">
        <v>111</v>
      </c>
      <c r="N1" s="161"/>
      <c r="O1" s="162"/>
      <c r="P1" s="11" t="s">
        <v>108</v>
      </c>
      <c r="Q1" s="12" t="s">
        <v>109</v>
      </c>
      <c r="R1" s="1" t="s">
        <v>110</v>
      </c>
      <c r="T1" s="160" t="s">
        <v>112</v>
      </c>
      <c r="U1" s="161"/>
      <c r="V1" s="162"/>
      <c r="W1" s="11" t="s">
        <v>108</v>
      </c>
      <c r="X1" s="12" t="s">
        <v>109</v>
      </c>
      <c r="Y1" s="1" t="s">
        <v>110</v>
      </c>
    </row>
    <row r="2" spans="1:25" ht="15.75" thickBot="1" x14ac:dyDescent="0.3">
      <c r="A2" s="7" t="s">
        <v>0</v>
      </c>
      <c r="B2" s="172"/>
      <c r="C2" s="173"/>
      <c r="D2" s="173"/>
      <c r="E2" s="173"/>
      <c r="F2" s="173"/>
      <c r="G2" s="174"/>
      <c r="I2" s="2" t="s">
        <v>145</v>
      </c>
      <c r="J2" s="34">
        <v>20</v>
      </c>
      <c r="K2" s="33">
        <f>2*J2</f>
        <v>40</v>
      </c>
      <c r="L2" s="21"/>
      <c r="M2" s="2" t="s">
        <v>3</v>
      </c>
      <c r="N2" s="3"/>
      <c r="O2" s="9" t="s">
        <v>85</v>
      </c>
      <c r="P2" s="31">
        <f>TRUNC(AVERAGE(J3,J9))</f>
        <v>20</v>
      </c>
      <c r="Q2" s="35"/>
      <c r="R2" s="62">
        <f>TRUNC(SUM(P2:Q2))-D8</f>
        <v>20</v>
      </c>
      <c r="T2" s="2" t="s">
        <v>33</v>
      </c>
      <c r="U2" s="3"/>
      <c r="V2" s="9" t="s">
        <v>81</v>
      </c>
      <c r="W2" s="31">
        <f>TRUNC(AVERAGE(J3,J6))</f>
        <v>20</v>
      </c>
      <c r="X2" s="35"/>
      <c r="Y2" s="62">
        <f>TRUNC(SUM(W2:X2))-D8</f>
        <v>20</v>
      </c>
    </row>
    <row r="3" spans="1:25" x14ac:dyDescent="0.25">
      <c r="A3" s="190" t="s">
        <v>2</v>
      </c>
      <c r="B3" s="192"/>
      <c r="C3" s="193"/>
      <c r="D3" s="193"/>
      <c r="E3" s="193"/>
      <c r="F3" s="193"/>
      <c r="G3" s="194"/>
      <c r="I3" s="2" t="s">
        <v>146</v>
      </c>
      <c r="J3" s="35">
        <v>20</v>
      </c>
      <c r="K3" s="22">
        <f t="shared" ref="K3:K11" si="0">2*J3</f>
        <v>40</v>
      </c>
      <c r="L3" s="21"/>
      <c r="M3" s="2" t="s">
        <v>4</v>
      </c>
      <c r="N3" s="3"/>
      <c r="O3" s="8" t="s">
        <v>87</v>
      </c>
      <c r="P3" s="31">
        <f>TRUNC(AVERAGE(J4,J11))</f>
        <v>20</v>
      </c>
      <c r="Q3" s="35"/>
      <c r="R3" s="102">
        <f>TRUNC(SUM(P3:Q3))</f>
        <v>20</v>
      </c>
      <c r="T3" s="2" t="s">
        <v>34</v>
      </c>
      <c r="U3" s="3"/>
      <c r="V3" s="8" t="s">
        <v>80</v>
      </c>
      <c r="W3" s="31">
        <f>AVERAGE(J6)</f>
        <v>20</v>
      </c>
      <c r="X3" s="35"/>
      <c r="Y3" s="102">
        <f>TRUNC(SUM(W3:X3))</f>
        <v>20</v>
      </c>
    </row>
    <row r="4" spans="1:25" ht="15.75" thickBot="1" x14ac:dyDescent="0.3">
      <c r="A4" s="191"/>
      <c r="B4" s="171"/>
      <c r="C4" s="155"/>
      <c r="D4" s="155"/>
      <c r="E4" s="155"/>
      <c r="F4" s="155"/>
      <c r="G4" s="195"/>
      <c r="I4" s="2" t="s">
        <v>147</v>
      </c>
      <c r="J4" s="35">
        <v>20</v>
      </c>
      <c r="K4" s="22">
        <f t="shared" si="0"/>
        <v>40</v>
      </c>
      <c r="L4" s="21"/>
      <c r="M4" s="2" t="s">
        <v>5</v>
      </c>
      <c r="N4" s="3"/>
      <c r="O4" s="8" t="s">
        <v>86</v>
      </c>
      <c r="P4" s="31">
        <f>TRUNC(AVERAGE(J9,J11))</f>
        <v>20</v>
      </c>
      <c r="Q4" s="35"/>
      <c r="R4" s="62">
        <f>TRUNC(SUM(P4:Q4))-D8</f>
        <v>20</v>
      </c>
      <c r="T4" s="2" t="s">
        <v>35</v>
      </c>
      <c r="U4" s="3"/>
      <c r="V4" s="8" t="s">
        <v>97</v>
      </c>
      <c r="W4" s="31">
        <f>TRUNC(AVERAGE(J3,J6,J10))</f>
        <v>20</v>
      </c>
      <c r="X4" s="35"/>
      <c r="Y4" s="62">
        <f>TRUNC(SUM(W4:X4))-D8</f>
        <v>20</v>
      </c>
    </row>
    <row r="5" spans="1:25" ht="15.75" thickBot="1" x14ac:dyDescent="0.3">
      <c r="A5" s="19" t="s">
        <v>158</v>
      </c>
      <c r="B5" s="172"/>
      <c r="C5" s="173"/>
      <c r="D5" s="173"/>
      <c r="E5" s="173"/>
      <c r="F5" s="173"/>
      <c r="G5" s="174"/>
      <c r="I5" s="2" t="s">
        <v>148</v>
      </c>
      <c r="J5" s="35">
        <v>20</v>
      </c>
      <c r="K5" s="22">
        <f t="shared" si="0"/>
        <v>40</v>
      </c>
      <c r="L5" s="21"/>
      <c r="M5" s="2" t="s">
        <v>6</v>
      </c>
      <c r="N5" s="3"/>
      <c r="O5" s="8" t="s">
        <v>79</v>
      </c>
      <c r="P5" s="31">
        <f>AVERAGE(J5)</f>
        <v>20</v>
      </c>
      <c r="Q5" s="35"/>
      <c r="R5" s="62">
        <f>TRUNC(SUM(P5:Q5))-D8</f>
        <v>20</v>
      </c>
      <c r="T5" s="5" t="s">
        <v>36</v>
      </c>
      <c r="U5" s="6"/>
      <c r="V5" s="10" t="s">
        <v>98</v>
      </c>
      <c r="W5" s="32">
        <f>TRUNC(AVERAGE(J3,J8,J10))</f>
        <v>20</v>
      </c>
      <c r="X5" s="36"/>
      <c r="Y5" s="63">
        <f>TRUNC(SUM(W5:X5))-D8</f>
        <v>20</v>
      </c>
    </row>
    <row r="6" spans="1:25" ht="15.75" thickBot="1" x14ac:dyDescent="0.3">
      <c r="A6" s="19" t="s">
        <v>157</v>
      </c>
      <c r="B6" s="196">
        <f>B5+1150-(SUM(J2:J11)*5+SUM(Q2,Q3:Q17,Q20:Q25,Q28:Q38,Q41:Q50,X46:X49,X35:X43,X21:X32,X8:X18,X2:X5)+SUM(Talents!C2:C39)*10)</f>
        <v>150</v>
      </c>
      <c r="C6" s="197"/>
      <c r="D6" s="197"/>
      <c r="E6" s="197"/>
      <c r="F6" s="197"/>
      <c r="G6" s="198"/>
      <c r="I6" s="2" t="s">
        <v>149</v>
      </c>
      <c r="J6" s="35">
        <v>20</v>
      </c>
      <c r="K6" s="22">
        <f t="shared" si="0"/>
        <v>40</v>
      </c>
      <c r="L6" s="21"/>
      <c r="M6" s="2" t="s">
        <v>7</v>
      </c>
      <c r="N6" s="3"/>
      <c r="O6" s="8" t="s">
        <v>85</v>
      </c>
      <c r="P6" s="31">
        <f>TRUNC(AVERAGE(J3,J9))</f>
        <v>20</v>
      </c>
      <c r="Q6" s="35"/>
      <c r="R6" s="62">
        <f>TRUNC(SUM(P6:Q6))-D8</f>
        <v>20</v>
      </c>
      <c r="T6" s="3"/>
      <c r="U6" s="3"/>
      <c r="V6" s="3"/>
      <c r="W6" s="3"/>
      <c r="X6" s="3"/>
      <c r="Y6" s="3"/>
    </row>
    <row r="7" spans="1:25" ht="15.75" thickBot="1" x14ac:dyDescent="0.3">
      <c r="A7" s="24" t="s">
        <v>155</v>
      </c>
      <c r="B7" s="25"/>
      <c r="C7" s="25"/>
      <c r="D7" s="25"/>
      <c r="E7" s="25"/>
      <c r="F7" s="25"/>
      <c r="G7" s="26"/>
      <c r="I7" s="2" t="s">
        <v>150</v>
      </c>
      <c r="J7" s="35">
        <v>20</v>
      </c>
      <c r="K7" s="22">
        <f t="shared" si="0"/>
        <v>40</v>
      </c>
      <c r="L7" s="21"/>
      <c r="M7" s="2" t="s">
        <v>8</v>
      </c>
      <c r="N7" s="3"/>
      <c r="O7" s="8" t="s">
        <v>93</v>
      </c>
      <c r="P7" s="31">
        <f>AVERAGE(J9)</f>
        <v>20</v>
      </c>
      <c r="Q7" s="35"/>
      <c r="R7" s="62">
        <f>TRUNC(SUM(P7:Q7))-D8</f>
        <v>20</v>
      </c>
      <c r="T7" s="160" t="s">
        <v>113</v>
      </c>
      <c r="U7" s="161"/>
      <c r="V7" s="162"/>
      <c r="W7" s="11" t="s">
        <v>108</v>
      </c>
      <c r="X7" s="12" t="s">
        <v>109</v>
      </c>
      <c r="Y7" s="1" t="s">
        <v>110</v>
      </c>
    </row>
    <row r="8" spans="1:25" ht="15.75" thickBot="1" x14ac:dyDescent="0.3">
      <c r="A8" s="27" t="s">
        <v>167</v>
      </c>
      <c r="B8" s="28"/>
      <c r="C8" s="28"/>
      <c r="D8" s="199">
        <f>IF(K24+K54+Localisation!F28+Localisation!F61-TRUNC(J5/5)&lt;0,0,K24+K54+Localisation!F28+Localisation!F61-TRUNC(J5/5))</f>
        <v>0</v>
      </c>
      <c r="E8" s="200"/>
      <c r="F8" s="200"/>
      <c r="G8" s="201"/>
      <c r="I8" s="2" t="s">
        <v>151</v>
      </c>
      <c r="J8" s="35">
        <v>20</v>
      </c>
      <c r="K8" s="22">
        <f t="shared" si="0"/>
        <v>40</v>
      </c>
      <c r="L8" s="21"/>
      <c r="M8" s="2" t="s">
        <v>9</v>
      </c>
      <c r="N8" s="3"/>
      <c r="O8" s="8" t="s">
        <v>94</v>
      </c>
      <c r="P8" s="31">
        <f>TRUNC(AVERAGE(J4,J5,J9))</f>
        <v>20</v>
      </c>
      <c r="Q8" s="35"/>
      <c r="R8" s="62">
        <f>TRUNC(SUM(P8:Q8))-D8</f>
        <v>20</v>
      </c>
      <c r="T8" s="2" t="s">
        <v>283</v>
      </c>
      <c r="U8" s="3"/>
      <c r="V8" s="9" t="s">
        <v>88</v>
      </c>
      <c r="W8" s="31">
        <f>TRUNC(AVERAGE(J5,J10))</f>
        <v>20</v>
      </c>
      <c r="X8" s="35"/>
      <c r="Y8" s="62">
        <f>TRUNC(SUM(W8:X8))-D8</f>
        <v>20</v>
      </c>
    </row>
    <row r="9" spans="1:25" x14ac:dyDescent="0.25">
      <c r="A9" s="2" t="s">
        <v>156</v>
      </c>
      <c r="B9" s="3"/>
      <c r="C9" s="3"/>
      <c r="D9" s="3"/>
      <c r="E9" s="3"/>
      <c r="F9" s="3"/>
      <c r="G9" s="4"/>
      <c r="I9" s="2" t="s">
        <v>152</v>
      </c>
      <c r="J9" s="35">
        <v>20</v>
      </c>
      <c r="K9" s="22">
        <f t="shared" si="0"/>
        <v>40</v>
      </c>
      <c r="L9" s="21"/>
      <c r="M9" s="2" t="s">
        <v>10</v>
      </c>
      <c r="N9" s="3"/>
      <c r="O9" s="8" t="s">
        <v>82</v>
      </c>
      <c r="P9" s="31">
        <f t="shared" ref="P9" si="1">AVERAGE(J10,J17)</f>
        <v>20</v>
      </c>
      <c r="Q9" s="35"/>
      <c r="R9" s="62">
        <f>TRUNC(SUM(P9:Q9))-D8</f>
        <v>20</v>
      </c>
      <c r="T9" s="2" t="s">
        <v>280</v>
      </c>
      <c r="U9" s="3"/>
      <c r="V9" s="8" t="s">
        <v>88</v>
      </c>
      <c r="W9" s="31">
        <f>TRUNC(AVERAGE(J5,J10))</f>
        <v>20</v>
      </c>
      <c r="X9" s="35"/>
      <c r="Y9" s="62">
        <f>TRUNC(SUM(W9:X9))-D8</f>
        <v>20</v>
      </c>
    </row>
    <row r="10" spans="1:25" ht="15.75" thickBot="1" x14ac:dyDescent="0.3">
      <c r="A10" s="16" t="s">
        <v>159</v>
      </c>
      <c r="B10" s="202">
        <f>-D8+TRUNC(AVERAGE(J7,J8,J9,J10,J10))+5*Talents!C8</f>
        <v>20</v>
      </c>
      <c r="C10" s="202"/>
      <c r="D10" s="202"/>
      <c r="E10" s="202"/>
      <c r="F10" s="202"/>
      <c r="G10" s="203"/>
      <c r="I10" s="2" t="s">
        <v>153</v>
      </c>
      <c r="J10" s="35">
        <v>20</v>
      </c>
      <c r="K10" s="22">
        <f t="shared" si="0"/>
        <v>40</v>
      </c>
      <c r="L10" s="21"/>
      <c r="M10" s="2" t="s">
        <v>12</v>
      </c>
      <c r="N10" s="3"/>
      <c r="O10" s="8" t="s">
        <v>77</v>
      </c>
      <c r="P10" s="31">
        <f>AVERAGE(J4)</f>
        <v>20</v>
      </c>
      <c r="Q10" s="35"/>
      <c r="R10" s="62">
        <f>TRUNC(SUM(P10:Q10))-D8</f>
        <v>20</v>
      </c>
      <c r="T10" s="2" t="s">
        <v>281</v>
      </c>
      <c r="U10" s="3"/>
      <c r="V10" s="8" t="s">
        <v>88</v>
      </c>
      <c r="W10" s="31">
        <f>TRUNC(AVERAGE(J5,J10))</f>
        <v>20</v>
      </c>
      <c r="X10" s="35"/>
      <c r="Y10" s="62">
        <f>TRUNC(SUM(W10:X10))-D8</f>
        <v>20</v>
      </c>
    </row>
    <row r="11" spans="1:25" ht="15.75" thickBot="1" x14ac:dyDescent="0.3">
      <c r="A11" s="7" t="s">
        <v>1</v>
      </c>
      <c r="B11" s="172"/>
      <c r="C11" s="173"/>
      <c r="D11" s="173"/>
      <c r="E11" s="173"/>
      <c r="F11" s="173"/>
      <c r="G11" s="174"/>
      <c r="I11" s="5" t="s">
        <v>154</v>
      </c>
      <c r="J11" s="36">
        <v>20</v>
      </c>
      <c r="K11" s="101">
        <f t="shared" si="0"/>
        <v>40</v>
      </c>
      <c r="L11" s="21"/>
      <c r="M11" s="2" t="s">
        <v>11</v>
      </c>
      <c r="N11" s="3"/>
      <c r="O11" s="8" t="s">
        <v>78</v>
      </c>
      <c r="P11" s="31">
        <f>TRUNC(AVERAGE(J4,J5))</f>
        <v>20</v>
      </c>
      <c r="Q11" s="35"/>
      <c r="R11" s="62">
        <f>TRUNC(SUM(P11:Q11))-D8</f>
        <v>20</v>
      </c>
      <c r="T11" s="2" t="s">
        <v>282</v>
      </c>
      <c r="U11" s="3"/>
      <c r="V11" s="8" t="s">
        <v>88</v>
      </c>
      <c r="W11" s="31">
        <f>TRUNC(AVERAGE(J5,J10))</f>
        <v>20</v>
      </c>
      <c r="X11" s="35"/>
      <c r="Y11" s="62">
        <f>TRUNC(SUM(W11:X11))-D8</f>
        <v>20</v>
      </c>
    </row>
    <row r="12" spans="1:25" ht="15.75" thickBot="1" x14ac:dyDescent="0.3">
      <c r="M12" s="2" t="s">
        <v>16</v>
      </c>
      <c r="N12" s="3"/>
      <c r="O12" s="8" t="s">
        <v>87</v>
      </c>
      <c r="P12" s="31">
        <f>AVERAGE(J4,J11)</f>
        <v>20</v>
      </c>
      <c r="Q12" s="35"/>
      <c r="R12" s="102">
        <f>TRUNC(SUM(P12:Q12))</f>
        <v>20</v>
      </c>
      <c r="T12" s="2" t="s">
        <v>284</v>
      </c>
      <c r="U12" s="3"/>
      <c r="V12" s="8" t="s">
        <v>88</v>
      </c>
      <c r="W12" s="31">
        <f>TRUNC(AVERAGE(J5,J10))</f>
        <v>20</v>
      </c>
      <c r="X12" s="35"/>
      <c r="Y12" s="62">
        <f>TRUNC(SUM(W12:X12))-D8</f>
        <v>20</v>
      </c>
    </row>
    <row r="13" spans="1:25" ht="15.75" thickBot="1" x14ac:dyDescent="0.3">
      <c r="A13" s="160" t="s">
        <v>127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2"/>
      <c r="L13" s="29"/>
      <c r="M13" s="2" t="s">
        <v>17</v>
      </c>
      <c r="N13" s="3"/>
      <c r="O13" s="8" t="s">
        <v>87</v>
      </c>
      <c r="P13" s="31">
        <f>TRUNC(AVERAGE(J4,J11))</f>
        <v>20</v>
      </c>
      <c r="Q13" s="35"/>
      <c r="R13" s="102">
        <f>TRUNC(SUM(P13:Q13))</f>
        <v>20</v>
      </c>
      <c r="T13" s="2" t="s">
        <v>285</v>
      </c>
      <c r="U13" s="3"/>
      <c r="V13" s="8" t="s">
        <v>99</v>
      </c>
      <c r="W13" s="31">
        <f>TRUNC(AVERAGE(J7,J10))</f>
        <v>20</v>
      </c>
      <c r="X13" s="35"/>
      <c r="Y13" s="62">
        <f>TRUNC(SUM(W13:X13))-D8</f>
        <v>20</v>
      </c>
    </row>
    <row r="14" spans="1:25" x14ac:dyDescent="0.25">
      <c r="A14" s="38" t="s">
        <v>0</v>
      </c>
      <c r="B14" s="39" t="s">
        <v>121</v>
      </c>
      <c r="C14" s="9" t="s">
        <v>311</v>
      </c>
      <c r="D14" s="39" t="s">
        <v>122</v>
      </c>
      <c r="E14" s="39" t="s">
        <v>312</v>
      </c>
      <c r="F14" s="39" t="s">
        <v>123</v>
      </c>
      <c r="G14" s="39" t="s">
        <v>313</v>
      </c>
      <c r="H14" s="39" t="s">
        <v>124</v>
      </c>
      <c r="I14" s="18" t="s">
        <v>166</v>
      </c>
      <c r="J14" s="13" t="s">
        <v>126</v>
      </c>
      <c r="K14" s="40" t="s">
        <v>120</v>
      </c>
      <c r="L14" s="21"/>
      <c r="M14" s="2" t="s">
        <v>18</v>
      </c>
      <c r="N14" s="3"/>
      <c r="O14" s="8" t="s">
        <v>87</v>
      </c>
      <c r="P14" s="31">
        <f>TRUNC(AVERAGE(J4,J11))</f>
        <v>20</v>
      </c>
      <c r="Q14" s="35"/>
      <c r="R14" s="102">
        <f>TRUNC(SUM(P14:Q14))</f>
        <v>20</v>
      </c>
      <c r="T14" s="2" t="s">
        <v>39</v>
      </c>
      <c r="U14" s="3"/>
      <c r="V14" s="8" t="s">
        <v>237</v>
      </c>
      <c r="W14" s="31">
        <f>TRUNC(AVERAGE(J5,J7,J10))</f>
        <v>20</v>
      </c>
      <c r="X14" s="35"/>
      <c r="Y14" s="62">
        <f>TRUNC(SUM(W14:X14))-D8</f>
        <v>20</v>
      </c>
    </row>
    <row r="15" spans="1:25" x14ac:dyDescent="0.25">
      <c r="A15" s="149" t="s">
        <v>401</v>
      </c>
      <c r="B15" s="31">
        <f>TRUNC((Y8+Y15)/2)</f>
        <v>20</v>
      </c>
      <c r="C15" s="31">
        <f>K15+TRUNC(J5/5)+Talents!C5-2</f>
        <v>2</v>
      </c>
      <c r="D15" s="31">
        <v>0</v>
      </c>
      <c r="E15" s="31">
        <f>K15+TRUNC(J5/20)+TRUNC(J7/10)+Talents!C5+1</f>
        <v>4</v>
      </c>
      <c r="F15" s="31">
        <v>0</v>
      </c>
      <c r="G15" s="31">
        <f>K15+TRUNC(J5/15)+TRUNC(J10/10)+Talents!C5+2</f>
        <v>5</v>
      </c>
      <c r="H15" s="123">
        <f>(1+Talents!C2*2)</f>
        <v>1</v>
      </c>
      <c r="I15" s="37" t="str">
        <f t="shared" ref="I15:I23" si="2">CONCATENATE(TRUNC(1.75*C15), "c / ", TRUNC(1.25*E15), "p / ", TRUNC(1.5*G15), "t ")</f>
        <v xml:space="preserve">3c / 5p / 7t </v>
      </c>
      <c r="J15" s="150"/>
      <c r="K15" s="102">
        <v>0</v>
      </c>
      <c r="L15" s="21"/>
      <c r="M15" s="2" t="s">
        <v>13</v>
      </c>
      <c r="N15" s="3"/>
      <c r="O15" s="8" t="s">
        <v>88</v>
      </c>
      <c r="P15" s="31">
        <f>TRUNC(AVERAGE(J5,J10))</f>
        <v>20</v>
      </c>
      <c r="Q15" s="35"/>
      <c r="R15" s="62">
        <f>TRUNC(SUM(P15:Q15))-D8</f>
        <v>20</v>
      </c>
      <c r="T15" s="2" t="s">
        <v>107</v>
      </c>
      <c r="U15" s="3"/>
      <c r="V15" s="8" t="s">
        <v>88</v>
      </c>
      <c r="W15" s="31">
        <f>TRUNC(AVERAGE(J5,J10))</f>
        <v>20</v>
      </c>
      <c r="X15" s="35"/>
      <c r="Y15" s="62">
        <f>TRUNC(SUM(W15:X15))-D8</f>
        <v>20</v>
      </c>
    </row>
    <row r="16" spans="1:25" x14ac:dyDescent="0.25">
      <c r="A16" s="53"/>
      <c r="B16" s="31">
        <f>IF(AND(OR(A16="Pioche",A16="Hache",A16="Masse"),K16=2),(Y9+Y15)/2,IF(AND(OR(A16="Lame",A16="Pioche",A16="Hache",A16="Masse"),OR(K16=3,K16=4)),(Y10+Y15)/2,IF(AND(OR(A16="Lame",A16="Pioche",A16="Hache",A16="Masse"),OR(K16=5,K16=6)),(Y11+Y15)/2,IF(AND(A16="Baton",OR(K16=3,K16=4,K16=5,K16=6)),(Y12+Y15)/2,IF(AND(A16="Fronde",K16=1),(Y13+Y15)/2,0)))))</f>
        <v>0</v>
      </c>
      <c r="C16" s="31">
        <f>K16+TRUNC(J5/5)+Talents!C5-2</f>
        <v>2</v>
      </c>
      <c r="D16" s="31">
        <f>IF(AND(OR(A16="Pointe",A16="Lame",A16="Faucille"),OR(K16=1,K16=2)),(Y9+Y16)/2,IF(AND(OR(A16="Lame",A16="Pioche",A16="Faucille"),OR(K16=3,K16=4)),(Y10+Y16)/2,IF(AND(OR(A16="Lame",A16="Pioche",A16="Faucille"),OR(K16=5,K16=6)),(Y11+Y16)/2,IF(AND(A16="Arc",OR(K16=1,K16=2,K16=3,K16=4,K16=5)),(Y13+Y16)/2,IF(AND(A16="Pioche",K16=2),(Y9+Y16)/2,IF(AND(OR(A16="Lance",A16="Hallebarde"),OR(K16=3,K16=4,K16=5,K16=6)),(Y12+Y16)/2,0))))))</f>
        <v>0</v>
      </c>
      <c r="E16" s="31">
        <f>K16+TRUNC(J5/20)+TRUNC(J7/10)+Talents!C5+1</f>
        <v>4</v>
      </c>
      <c r="F16" s="31">
        <f>IF(AND(OR(A16="Hache",A16="Lame",A16="Faucille",A16="Hachoir"),OR(K16=1,K16=2)),(Y9+Y17)/2,IF(AND(OR(A16="Lame",A16="Hache",A16="Faucille"),OR(K16=3,K16=4)),(Y10+Y17)/2,IF(AND(OR(A16="Lame",A16="Hache",A16="Faucille"),OR(K16=5,K16=6)),(Y11+Y17)/2,IF(AND(A16="Hallebarde",OR(K16=3,K16=4,K16=5,K16=6)),(Y12+Y17)/2,0))))</f>
        <v>0</v>
      </c>
      <c r="G16" s="31">
        <f>K16+TRUNC(J5/15)+TRUNC(J10/10)+Talents!C5+2</f>
        <v>5</v>
      </c>
      <c r="H16" s="31">
        <f>(1+Talents!C2*2)</f>
        <v>1</v>
      </c>
      <c r="I16" s="37" t="str">
        <f t="shared" si="2"/>
        <v xml:space="preserve">3c / 5p / 7t </v>
      </c>
      <c r="J16" s="35"/>
      <c r="K16" s="55"/>
      <c r="L16" s="21"/>
      <c r="M16" s="2" t="s">
        <v>14</v>
      </c>
      <c r="N16" s="3"/>
      <c r="O16" s="8" t="s">
        <v>78</v>
      </c>
      <c r="P16" s="31">
        <f>TRUNC(AVERAGE(J4,J5))</f>
        <v>20</v>
      </c>
      <c r="Q16" s="35"/>
      <c r="R16" s="62">
        <f>TRUNC(SUM(P16:Q16))-D8</f>
        <v>20</v>
      </c>
      <c r="T16" s="2" t="s">
        <v>37</v>
      </c>
      <c r="U16" s="3"/>
      <c r="V16" s="8" t="s">
        <v>88</v>
      </c>
      <c r="W16" s="31">
        <f>TRUNC(AVERAGE(J5,J10))</f>
        <v>20</v>
      </c>
      <c r="X16" s="35"/>
      <c r="Y16" s="62">
        <f>TRUNC(SUM(W16:X16))-D8</f>
        <v>20</v>
      </c>
    </row>
    <row r="17" spans="1:25" ht="15.75" thickBot="1" x14ac:dyDescent="0.3">
      <c r="A17" s="53"/>
      <c r="B17" s="31">
        <f>IF(AND(OR(A17="Pioche",A17="Hache",A17="Masse"),K17=2),(Y9+Y15)/2,IF(AND(OR(A17="Lame",A17="Pioche",A17="Hache",A17="Masse"),OR(K17=3,K17=4)),(Y10+Y15)/2,IF(AND(OR(A17="Lame",A17="Pioche",A17="Hache",A17="Masse"),OR(K17=5,K17=6)),(Y11+Y15)/2,IF(AND(A17="Baton",OR(K17=3,K17=4,K17=5,K17=6)),(Y12+Y15)/2,IF(AND(A17="Fronde",K17=1),(Y13+Y15)/2,0)))))</f>
        <v>0</v>
      </c>
      <c r="C17" s="31">
        <f>K17+TRUNC(J5/5)+Talents!C5-2</f>
        <v>2</v>
      </c>
      <c r="D17" s="31">
        <f>IF(AND(OR(A17="Pointe",A17="Lame",A17="Faucille"),OR(K17=1,K17=2)),(Y9+Y16)/2,IF(AND(OR(A17="Lame",A17="Pioche",A17="Faucille"),OR(K17=3,K17=4)),(Y10+Y16)/2,IF(AND(OR(A17="Lame",A17="Pioche",A17="Faucille"),OR(K17=5,K17=6)),(Y11+Y16)/2,IF(AND(A17="Arc",OR(K17=1,K17=2,K17=3,K17=4,K17=5)),(Y13+Y16)/2,IF(AND(A17="Pioche",K17=2),(Y9+Y16)/2,IF(AND(OR(A17="Lance",A17="Hallebarde"),OR(K17=3,K17=4,K17=5,K17=6)),(Y12+Y16)/2,0))))))</f>
        <v>0</v>
      </c>
      <c r="E17" s="31">
        <f>K17+TRUNC(J5/20)+TRUNC(J7/10)+Talents!C5+1</f>
        <v>4</v>
      </c>
      <c r="F17" s="31">
        <f>IF(AND(OR(A17="Hache",A17="Lame",A17="Faucille",A17="Hachoir"),OR(K17=1,K17=2)),(Y9+Y17)/2,IF(AND(OR(A17="Lame",A17="Hache",A17="Faucille"),OR(K17=3,K17=4)),(Y10+Y17)/2,IF(AND(OR(A17="Lame",A17="Hache",A17="Faucille"),OR(K17=5,K17=6)),(Y11+Y17)/2,IF(AND(A17="Hallebarde",OR(K17=3,K17=4,K17=5,K17=6)),(Y12+Y17)/2,0))))</f>
        <v>0</v>
      </c>
      <c r="G17" s="31">
        <f>K17+TRUNC(J5/15)+TRUNC(J10/10)+Talents!C5+2</f>
        <v>5</v>
      </c>
      <c r="H17" s="31">
        <f>(1+Talents!C2*2)</f>
        <v>1</v>
      </c>
      <c r="I17" s="37" t="str">
        <f t="shared" si="2"/>
        <v xml:space="preserve">3c / 5p / 7t </v>
      </c>
      <c r="J17" s="35"/>
      <c r="K17" s="55"/>
      <c r="L17" s="21"/>
      <c r="M17" s="5" t="s">
        <v>15</v>
      </c>
      <c r="N17" s="6"/>
      <c r="O17" s="10" t="s">
        <v>79</v>
      </c>
      <c r="P17" s="32">
        <f>AVERAGE(J5)</f>
        <v>20</v>
      </c>
      <c r="Q17" s="36"/>
      <c r="R17" s="103">
        <f>TRUNC(SUM(P17:Q17))</f>
        <v>20</v>
      </c>
      <c r="T17" s="2" t="s">
        <v>38</v>
      </c>
      <c r="U17" s="3"/>
      <c r="V17" s="8" t="s">
        <v>88</v>
      </c>
      <c r="W17" s="31">
        <f>TRUNC(AVERAGE(J5,J10))</f>
        <v>20</v>
      </c>
      <c r="X17" s="35"/>
      <c r="Y17" s="62">
        <f>TRUNC(SUM(W17:X17))-D8</f>
        <v>20</v>
      </c>
    </row>
    <row r="18" spans="1:25" ht="15.75" thickBot="1" x14ac:dyDescent="0.3">
      <c r="A18" s="53"/>
      <c r="B18" s="31">
        <f>IF(AND(OR(A18="Pioche",A18="Hache",A18="Masse"),K18=2),(Y9+Y15)/2,IF(AND(OR(A18="Lame",A18="Pioche",A18="Hache",A18="Masse"),OR(K18=3,K18=4)),(Y10+Y15)/2,IF(AND(OR(A18="Lame",A18="Pioche",A18="Hache",A18="Masse"),OR(K18=5,K18=6)),(Y11+Y15)/2,IF(AND(A18="Baton",OR(K18=3,K18=4,K18=5,K18=6)),(Y12+Y15)/2,IF(AND(A18="Fronde",K18=1),(Y13+Y15)/2,0)))))</f>
        <v>0</v>
      </c>
      <c r="C18" s="31">
        <f>K18+TRUNC(J5/5)+Talents!C5-2</f>
        <v>2</v>
      </c>
      <c r="D18" s="31">
        <f>IF(AND(OR(A18="Pointe",A18="Lame",A18="Faucille"),OR(K18=1,K18=2)),(Y9+Y16)/2,IF(AND(OR(A18="Lame",A18="Pioche",A18="Faucille"),OR(K18=3,K18=4)),(Y10+Y16)/2,IF(AND(OR(A18="Lame",A18="Pioche",A18="Faucille"),OR(K18=5,K18=6)),(Y11+Y16)/2,IF(AND(A18="Arc",OR(K18=1,K18=2,K18=3,K18=4,K18=5)),(Y13+Y16)/2,IF(AND(A18="Pioche",K18=2),(Y9+Y16)/2,IF(AND(OR(A18="Lance",A18="Hallebarde"),OR(K18=3,K18=4,K18=5,K18=6)),(Y12+Y16)/2,0))))))</f>
        <v>0</v>
      </c>
      <c r="E18" s="31">
        <f>K18+TRUNC(J5/20)+TRUNC(J7/10)+Talents!C5+1</f>
        <v>4</v>
      </c>
      <c r="F18" s="31">
        <f>IF(AND(OR(A18="Hache",A18="Lame",A18="Faucille",A18="Hachoir"),OR(K18=1,K18=2)),(Y9+Y17)/2,IF(AND(OR(A18="Lame",A18="Hache",A18="Faucille"),OR(K18=3,K18=4)),(Y10+Y17)/2,IF(AND(OR(A18="Lame",A18="Hache",A18="Faucille"),OR(K18=5,K18=6)),(Y11+Y17)/2,IF(AND(A18="Hallebarde",OR(K18=3,K18=4,K18=5,K18=6)),(Y12+Y17)/2,0))))</f>
        <v>0</v>
      </c>
      <c r="G18" s="31">
        <f>K18+TRUNC(J5/15)+TRUNC(J10/10)+Talents!C5+2</f>
        <v>5</v>
      </c>
      <c r="H18" s="31">
        <f>(1+Talents!C2*2)</f>
        <v>1</v>
      </c>
      <c r="I18" s="37" t="str">
        <f t="shared" si="2"/>
        <v xml:space="preserve">3c / 5p / 7t </v>
      </c>
      <c r="J18" s="35"/>
      <c r="K18" s="55"/>
      <c r="L18" s="21"/>
      <c r="T18" s="5" t="s">
        <v>59</v>
      </c>
      <c r="U18" s="6"/>
      <c r="V18" s="10" t="s">
        <v>100</v>
      </c>
      <c r="W18" s="32">
        <f>TRUNC(AVERAGE(J3,J9,J10))</f>
        <v>20</v>
      </c>
      <c r="X18" s="36"/>
      <c r="Y18" s="63">
        <f>TRUNC(SUM(W18:X18))-D8</f>
        <v>20</v>
      </c>
    </row>
    <row r="19" spans="1:25" ht="15.75" thickBot="1" x14ac:dyDescent="0.3">
      <c r="A19" s="53"/>
      <c r="B19" s="31">
        <f>IF(AND(OR(A19="Pioche",A19="Hache",A19="Masse"),K19=2),(Y9+Y15)/2,IF(AND(OR(A19="Lame",A19="Pioche",A19="Hache",A19="Masse"),OR(K19=3,K19=4)),(Y10+Y15)/2,IF(AND(OR(A19="Lame",A19="Pioche",A19="Hache",A19="Masse"),OR(K19=5,K19=6)),(Y11+Y15)/2,IF(AND(A19="Baton",OR(K19=3,K19=4,K19=5,K19=6)),(Y12+Y15)/2,IF(AND(A19="Fronde",K19=1),(Y13+Y15)/2,0)))))</f>
        <v>0</v>
      </c>
      <c r="C19" s="31">
        <f>K19+TRUNC(J5/5)+Talents!C5-2</f>
        <v>2</v>
      </c>
      <c r="D19" s="31">
        <f>IF(AND(OR(A19="Pointe",A19="Lame",A19="Faucille"),OR(K19=1,K19=2)),(Y9+Y16)/2,IF(AND(OR(A19="Lame",A19="Pioche",A19="Faucille"),OR(K19=3,K19=4)),(Y10+Y16)/2,IF(AND(OR(A19="Lame",A19="Pioche",A19="Faucille"),OR(K19=5,K19=6)),(Y11+Y16)/2,IF(AND(A19="Arc",OR(K19=1,K19=2,K19=3,K19=4,K19=5)),(Y13+Y16)/2,IF(AND(A19="Pioche",K19=2),(Y9+Y16)/2,IF(AND(OR(A19="Lance",A19="Hallebarde"),OR(K19=3,K19=4,K19=5,K19=6)),(Y12+Y16)/2,0))))))</f>
        <v>0</v>
      </c>
      <c r="E19" s="31">
        <f>K19+TRUNC(J5/20)+TRUNC(J7/10)+Talents!C5+1</f>
        <v>4</v>
      </c>
      <c r="F19" s="31">
        <f>IF(AND(OR(A19="Hache",A19="Lame",A19="Faucille",A19="Hachoir"),OR(K19=1,K19=2)),(Y9+Y17)/2,IF(AND(OR(A19="Lame",A19="Hache",A19="Faucille"),OR(K19=3,K19=4)),(Y10+Y17)/2,IF(AND(OR(A19="Lame",A19="Hache",A19="Faucille"),OR(K19=5,K19=6)),(Y11+Y17)/2,IF(AND(A19="Hallebarde",OR(K19=3,K19=4,K19=5,K19=6)),(Y12+Y17)/2,0))))</f>
        <v>0</v>
      </c>
      <c r="G19" s="31">
        <f>K19+TRUNC(J5/15)+TRUNC(J10/10)+Talents!C5+2</f>
        <v>5</v>
      </c>
      <c r="H19" s="31">
        <f>(1+Talents!C2*2)</f>
        <v>1</v>
      </c>
      <c r="I19" s="37" t="str">
        <f t="shared" si="2"/>
        <v xml:space="preserve">3c / 5p / 7t </v>
      </c>
      <c r="J19" s="35"/>
      <c r="K19" s="55"/>
      <c r="L19" s="21"/>
      <c r="M19" s="160" t="s">
        <v>115</v>
      </c>
      <c r="N19" s="161"/>
      <c r="O19" s="162"/>
      <c r="P19" s="11" t="s">
        <v>108</v>
      </c>
      <c r="Q19" s="12" t="s">
        <v>109</v>
      </c>
      <c r="R19" s="1" t="s">
        <v>110</v>
      </c>
    </row>
    <row r="20" spans="1:25" ht="15.75" thickBot="1" x14ac:dyDescent="0.3">
      <c r="A20" s="53"/>
      <c r="B20" s="31">
        <f>IF(AND(OR(A20="Pioche",A20="Hache",A20="Masse"),K20=2),(Y9+Y15)/2,IF(AND(OR(A20="Lame",A20="Pioche",A20="Hache",A20="Masse"),OR(K20=3,K20=4)),(Y10+Y15)/2,IF(AND(OR(A20="Lame",A20="Pioche",A20="Hache",A20="Masse"),OR(K20=5,K20=6)),(Y11+Y15)/2,IF(AND(A20="Baton",OR(K20=3,K20=4,K20=5,K20=6)),(Y12+Y15)/2,IF(AND(A20="Fronde",K20=1),(Y13+Y15)/2,0)))))</f>
        <v>0</v>
      </c>
      <c r="C20" s="31">
        <f>K20+TRUNC(J5/5)+Talents!C5-2</f>
        <v>2</v>
      </c>
      <c r="D20" s="31">
        <f>IF(AND(OR(A20="Pointe",A20="Lame",A20="Faucille"),OR(K20=1,K20=2)),(Y9+Y16)/2,IF(AND(OR(A20="Lame",A20="Pioche",A20="Faucille"),OR(K20=3,K20=4)),(Y10+Y16)/2,IF(AND(OR(A20="Lame",A20="Pioche",A20="Faucille"),OR(K20=5,K20=6)),(Y11+Y16)/2,IF(AND(A20="Arc",OR(K20=1,K20=2,K20=3,K20=4,K20=5)),(Y13+Y16)/2,IF(AND(A20="Pioche",K20=2),(Y9+Y16)/2,IF(AND(OR(A20="Lance",A20="Hallebarde"),OR(K20=3,K20=4,K20=5,K20=6)),(Y12+Y16)/2,0))))))</f>
        <v>0</v>
      </c>
      <c r="E20" s="31">
        <f>K20+TRUNC(J5/20)+TRUNC(J7/10)+Talents!C5+1</f>
        <v>4</v>
      </c>
      <c r="F20" s="31">
        <f>IF(AND(OR(A20="Hache",A20="Lame",A20="Faucille",A20="Hachoir"),OR(K20=1,K20=2)),(Y9+Y17)/2,IF(AND(OR(A20="Lame",A20="Hache",A20="Faucille"),OR(K20=3,K20=4)),(Y10+Y17)/2,IF(AND(OR(A20="Lame",A20="Hache",A20="Faucille"),OR(K20=5,K20=6)),(Y11+Y17)/2,IF(AND(A20="Hallebarde",OR(K20=3,K20=4,K20=5,K20=6)),(Y12+Y17)/2,0))))</f>
        <v>0</v>
      </c>
      <c r="G20" s="31">
        <f>K20+TRUNC(J5/15)+TRUNC(J10/10)+Talents!C5+2</f>
        <v>5</v>
      </c>
      <c r="H20" s="31">
        <f>(1+Talents!C2*2)</f>
        <v>1</v>
      </c>
      <c r="I20" s="37" t="str">
        <f t="shared" si="2"/>
        <v xml:space="preserve">3c / 5p / 7t </v>
      </c>
      <c r="J20" s="35"/>
      <c r="K20" s="55"/>
      <c r="L20" s="21"/>
      <c r="M20" s="2" t="s">
        <v>19</v>
      </c>
      <c r="N20" s="3"/>
      <c r="O20" s="9" t="s">
        <v>89</v>
      </c>
      <c r="P20" s="31">
        <f>TRUNC(AVERAGE(J8,J7))</f>
        <v>20</v>
      </c>
      <c r="Q20" s="35"/>
      <c r="R20" s="62">
        <f>TRUNC(SUM(P20:Q20))-D8</f>
        <v>20</v>
      </c>
      <c r="T20" s="160" t="s">
        <v>116</v>
      </c>
      <c r="U20" s="161"/>
      <c r="V20" s="162"/>
      <c r="W20" s="11" t="s">
        <v>108</v>
      </c>
      <c r="X20" s="12" t="s">
        <v>109</v>
      </c>
      <c r="Y20" s="1" t="s">
        <v>110</v>
      </c>
    </row>
    <row r="21" spans="1:25" x14ac:dyDescent="0.25">
      <c r="A21" s="53"/>
      <c r="B21" s="31">
        <f>IF(AND(OR(A21="Pioche",A21="Hache",A21="Masse"),K21=2),(Y9+Y15)/2,IF(AND(OR(A21="Lame",A21="Pioche",A21="Hache",A21="Masse"),OR(K21=3,K21=4)),(Y10+Y15)/2,IF(AND(OR(A21="Lame",A21="Pioche",A21="Hache",A21="Masse"),OR(K21=5,K21=6)),(Y11+Y15)/2,IF(AND(A21="Baton",OR(K21=3,K21=4,K21=5,K21=6)),(Y12+Y15)/2,IF(AND(A21="Fronde",K21=1),(Y13+Y15)/2,0)))))</f>
        <v>0</v>
      </c>
      <c r="C21" s="31">
        <f>K21+TRUNC(J5/5)+Talents!C5-2</f>
        <v>2</v>
      </c>
      <c r="D21" s="31">
        <f>IF(AND(OR(A21="Pointe",A21="Lame",A21="Faucille"),OR(K21=1,K21=2)),(Y9+Y16)/2,IF(AND(OR(A21="Lame",A21="Pioche",A21="Faucille"),OR(K21=3,K21=4)),(Y10+Y16)/2,IF(AND(OR(A21="Lame",A21="Pioche",A21="Faucille"),OR(K21=5,K21=6)),(Y11+Y16)/2,IF(AND(A21="Arc",OR(K21=1,K21=2,K21=3,K21=4,K21=5)),(Y13+Y16)/2,IF(AND(A21="Pioche",K21=2),(Y9+Y16)/2,IF(AND(OR(A21="Lance",A21="Hallebarde"),OR(K21=3,K21=4,K21=5,K21=6)),(Y12+Y16)/2,0))))))</f>
        <v>0</v>
      </c>
      <c r="E21" s="31">
        <f>K21+TRUNC(J5/20)+TRUNC(J7/10)+Talents!C5+1</f>
        <v>4</v>
      </c>
      <c r="F21" s="31">
        <f>IF(AND(OR(A21="Hache",A21="Lame",A21="Faucille",A21="Hachoir"),OR(K21=1,K21=2)),(Y9+Y17)/2,IF(AND(OR(A21="Lame",A21="Hache",A21="Faucille"),OR(K21=3,K21=4)),(Y10+Y17)/2,IF(AND(OR(A21="Lame",A21="Hache",A21="Faucille"),OR(K21=5,K21=6)),(Y11+Y17)/2,IF(AND(A21="Hallebarde",OR(K21=3,K21=4,K21=5,K21=6)),(Y12+Y17)/2,0))))</f>
        <v>0</v>
      </c>
      <c r="G21" s="31">
        <f>K21+TRUNC(J5/15)+TRUNC(J10/10)+Talents!C5+2</f>
        <v>5</v>
      </c>
      <c r="H21" s="31">
        <f>(1+Talents!C2*2)</f>
        <v>1</v>
      </c>
      <c r="I21" s="37" t="str">
        <f t="shared" si="2"/>
        <v xml:space="preserve">3c / 5p / 7t </v>
      </c>
      <c r="J21" s="35"/>
      <c r="K21" s="55"/>
      <c r="L21" s="21"/>
      <c r="M21" s="2" t="s">
        <v>20</v>
      </c>
      <c r="N21" s="3"/>
      <c r="O21" s="8" t="s">
        <v>90</v>
      </c>
      <c r="P21" s="31">
        <f>TRUNC(AVERAGE(J8,J3))</f>
        <v>20</v>
      </c>
      <c r="Q21" s="35"/>
      <c r="R21" s="102">
        <f>TRUNC(SUM(P21:Q21))</f>
        <v>20</v>
      </c>
      <c r="T21" s="2" t="s">
        <v>57</v>
      </c>
      <c r="U21" s="3"/>
      <c r="V21" s="9" t="s">
        <v>80</v>
      </c>
      <c r="W21" s="31">
        <f>AVERAGE(J6)</f>
        <v>20</v>
      </c>
      <c r="X21" s="35"/>
      <c r="Y21" s="22">
        <f>TRUNC(SUM(W21:X21))</f>
        <v>20</v>
      </c>
    </row>
    <row r="22" spans="1:25" x14ac:dyDescent="0.25">
      <c r="A22" s="53"/>
      <c r="B22" s="31">
        <f>IF(AND(OR(A22="Pioche",A22="Hache",A22="Masse"),K22=2),(Y9+Y15)/2,IF(AND(OR(A22="Lame",A22="Pioche",A22="Hache",A22="Masse"),OR(K22=3,K22=4)),(Y10+Y15)/2,IF(AND(OR(A22="Lame",A22="Pioche",A22="Hache",A22="Masse"),OR(K22=5,K22=6)),(Y11+Y15)/2,IF(AND(A22="Baton",OR(K22=3,K22=4,K22=5,K22=6)),(Y12+Y15)/2,IF(AND(A22="Fronde",K22=1),(Y13+Y15)/2,0)))))</f>
        <v>0</v>
      </c>
      <c r="C22" s="31">
        <f>K22+TRUNC(J5/5)+Talents!C5-2</f>
        <v>2</v>
      </c>
      <c r="D22" s="31">
        <f>IF(AND(OR(A22="Pointe",A22="Lame",A22="Faucille"),OR(K22=1,K22=2)),(Y9+Y16)/2,IF(AND(OR(A22="Lame",A22="Pioche",A22="Faucille"),OR(K22=3,K22=4)),(Y10+Y16)/2,IF(AND(OR(A22="Lame",A22="Pioche",A22="Faucille"),OR(K22=5,K22=6)),(Y11+Y16)/2,IF(AND(A22="Arc",OR(K22=1,K22=2,K22=3,K22=4,K22=5)),(Y13+Y16)/2,IF(AND(A22="Pioche",K22=2),(Y9+Y16)/2,IF(AND(OR(A22="Lance",A22="Hallebarde"),OR(K22=3,K22=4,K22=5,K22=6)),(Y12+Y16)/2,0))))))</f>
        <v>0</v>
      </c>
      <c r="E22" s="31">
        <f>K22+TRUNC(J5/20)+TRUNC(J7/10)+Talents!C5+1</f>
        <v>4</v>
      </c>
      <c r="F22" s="31">
        <f>IF(AND(OR(A22="Hache",A22="Lame",A22="Faucille",A22="Hachoir"),OR(K22=1,K22=2)),(Y9+Y17)/2,IF(AND(OR(A22="Lame",A22="Hache",A22="Faucille"),OR(K22=3,K22=4)),(Y10+Y17)/2,IF(AND(OR(A22="Lame",A22="Hache",A22="Faucille"),OR(K22=5,K22=6)),(Y11+Y17)/2,IF(AND(A22="Hallebarde",OR(K22=3,K22=4,K22=5,K22=6)),(Y12+Y17)/2,0))))</f>
        <v>0</v>
      </c>
      <c r="G22" s="31">
        <f>K22+TRUNC(J5/15)+TRUNC(J10/10)+Talents!C5+2</f>
        <v>5</v>
      </c>
      <c r="H22" s="31">
        <f>(1+Talents!C2*2)</f>
        <v>1</v>
      </c>
      <c r="I22" s="37" t="str">
        <f t="shared" si="2"/>
        <v xml:space="preserve">3c / 5p / 7t </v>
      </c>
      <c r="J22" s="35"/>
      <c r="K22" s="55"/>
      <c r="L22" s="21"/>
      <c r="M22" s="2" t="s">
        <v>21</v>
      </c>
      <c r="N22" s="3"/>
      <c r="O22" s="8" t="s">
        <v>91</v>
      </c>
      <c r="P22" s="31">
        <f>TRUNC(AVERAGE(J2,J8))</f>
        <v>20</v>
      </c>
      <c r="Q22" s="35"/>
      <c r="R22" s="62">
        <f>TRUNC(SUM(P22:Q22))-D8</f>
        <v>20</v>
      </c>
      <c r="T22" s="2" t="s">
        <v>52</v>
      </c>
      <c r="U22" s="3"/>
      <c r="V22" s="8" t="s">
        <v>91</v>
      </c>
      <c r="W22" s="31">
        <f>TRUNC(AVERAGE(J2,J8))</f>
        <v>20</v>
      </c>
      <c r="X22" s="35"/>
      <c r="Y22" s="22">
        <f>TRUNC(SUM(W22:X22))</f>
        <v>20</v>
      </c>
    </row>
    <row r="23" spans="1:25" ht="15.75" thickBot="1" x14ac:dyDescent="0.3">
      <c r="A23" s="44"/>
      <c r="B23" s="14">
        <f>IF(AND(OR(A23="Pioche",A23="Hache",A23="Masse"),K23=2),(Y9+Y15)/2,IF(AND(OR(A23="Lame",A23="Pioche",A23="Hache",A23="Masse"),OR(K23=3,K23=4)),(Y10+Y15)/2,IF(AND(OR(A23="Lame",A23="Pioche",A23="Hache",A23="Masse"),OR(K23=5,K23=6)),(Y11+Y15)/2,IF(AND(A23="Baton",OR(K23=3,K23=4,K23=5,K23=6)),(Y12+Y15)/2,IF(AND(A23="Fronde",K23=1),(Y13+Y15)/2,0)))))</f>
        <v>0</v>
      </c>
      <c r="C23" s="31">
        <f>K23+TRUNC(J5/5)+Talents!C5-2</f>
        <v>2</v>
      </c>
      <c r="D23" s="14">
        <f>IF(AND(OR(A23="Pointe",A23="Lame",A23="Faucille"),OR(K23=1,K23=2)),(Y9+Y16)/2,IF(AND(OR(A23="Lame",A23="Pioche",A23="Faucille"),OR(K23=3,K23=4)),(Y10+Y16)/2,IF(AND(OR(A23="Lame",A23="Pioche",A23="Faucille"),OR(K23=5,K23=6)),(Y11+Y16)/2,IF(AND(A23="Arc",OR(K23=1,K23=2,K23=3,K23=4,K23=5)),(Y13+Y16)/2,IF(AND(A23="Pioche",K23=2),(Y9+Y16)/2,IF(AND(OR(A23="Lance",A23="Hallebarde"),OR(K23=3,K23=4,K23=5,K23=6)),(Y12+Y16)/2,0))))))</f>
        <v>0</v>
      </c>
      <c r="E23" s="31">
        <f>K23+TRUNC(J5/20)+TRUNC(J7/10)+Talents!C5+1</f>
        <v>4</v>
      </c>
      <c r="F23" s="14">
        <f>IF(AND(OR(A23="Hache",A23="Lame",A23="Faucille",A23="Hachoir"),OR(K23=1,K23=2)),(Y9+Y17)/2,IF(AND(OR(A23="Lame",A23="Hache",A23="Faucille"),OR(K23=3,K23=4)),(Y10+Y17)/2,IF(AND(OR(A23="Lame",A23="Hache",A23="Faucille"),OR(K23=5,K23=6)),(Y11+Y17)/2,IF(AND(A23="Hallebarde",OR(K23=3,K23=4,K23=5,K23=6)),(Y12+Y17)/2,0))))</f>
        <v>0</v>
      </c>
      <c r="G23" s="31">
        <f>K23+TRUNC(J5/15)+TRUNC(J10/10)+Talents!C5+2</f>
        <v>5</v>
      </c>
      <c r="H23" s="14">
        <f>(1+Talents!C2*2)</f>
        <v>1</v>
      </c>
      <c r="I23" s="37" t="str">
        <f t="shared" si="2"/>
        <v xml:space="preserve">3c / 5p / 7t </v>
      </c>
      <c r="J23" s="36"/>
      <c r="K23" s="50"/>
      <c r="L23" s="21"/>
      <c r="M23" s="2" t="s">
        <v>22</v>
      </c>
      <c r="N23" s="3"/>
      <c r="O23" s="8" t="s">
        <v>93</v>
      </c>
      <c r="P23" s="31">
        <f>AVERAGE(J9)</f>
        <v>20</v>
      </c>
      <c r="Q23" s="35"/>
      <c r="R23" s="62">
        <f>TRUNC(SUM(P23:Q23))-D8</f>
        <v>20</v>
      </c>
      <c r="T23" s="2" t="s">
        <v>106</v>
      </c>
      <c r="U23" s="3"/>
      <c r="V23" s="8" t="s">
        <v>103</v>
      </c>
      <c r="W23" s="31">
        <f>TRUNC(AVERAGE(J3,J6,J9))</f>
        <v>20</v>
      </c>
      <c r="X23" s="35"/>
      <c r="Y23" s="62">
        <f>TRUNC(SUM(W23:X23))-D8</f>
        <v>20</v>
      </c>
    </row>
    <row r="24" spans="1:25" ht="15.75" thickBot="1" x14ac:dyDescent="0.3">
      <c r="A24" s="183" t="s">
        <v>165</v>
      </c>
      <c r="B24" s="184"/>
      <c r="C24" s="184"/>
      <c r="D24" s="184"/>
      <c r="E24" s="184"/>
      <c r="F24" s="184"/>
      <c r="G24" s="184"/>
      <c r="H24" s="184"/>
      <c r="I24" s="184"/>
      <c r="J24" s="185"/>
      <c r="K24" s="61">
        <f>SUM(K15:K23)</f>
        <v>0</v>
      </c>
      <c r="L24" s="21"/>
      <c r="M24" s="2" t="s">
        <v>23</v>
      </c>
      <c r="N24" s="3"/>
      <c r="O24" s="8" t="s">
        <v>92</v>
      </c>
      <c r="P24" s="31">
        <f>TRUNC(AVERAGE(J3,J10))</f>
        <v>20</v>
      </c>
      <c r="Q24" s="35"/>
      <c r="R24" s="102">
        <f>TRUNC(SUM(P24:Q24))</f>
        <v>20</v>
      </c>
      <c r="T24" s="2" t="s">
        <v>74</v>
      </c>
      <c r="U24" s="3"/>
      <c r="V24" s="8" t="s">
        <v>89</v>
      </c>
      <c r="W24" s="31">
        <f>TRUNC(AVERAGE(J7,J8))</f>
        <v>20</v>
      </c>
      <c r="X24" s="35"/>
      <c r="Y24" s="22">
        <f t="shared" ref="Y24:Y32" si="3">TRUNC(SUM(W24:X24))</f>
        <v>20</v>
      </c>
    </row>
    <row r="25" spans="1:25" ht="15.75" thickBot="1" x14ac:dyDescent="0.3">
      <c r="M25" s="5" t="s">
        <v>24</v>
      </c>
      <c r="N25" s="6"/>
      <c r="O25" s="10" t="s">
        <v>76</v>
      </c>
      <c r="P25" s="32">
        <f>AVERAGE(J3)</f>
        <v>20</v>
      </c>
      <c r="Q25" s="36"/>
      <c r="R25" s="103">
        <f>TRUNC(SUM(P25:Q25))</f>
        <v>20</v>
      </c>
      <c r="T25" s="2" t="s">
        <v>51</v>
      </c>
      <c r="U25" s="3"/>
      <c r="V25" s="8" t="s">
        <v>91</v>
      </c>
      <c r="W25" s="31">
        <f>TRUNC(AVERAGE(J2,J8))</f>
        <v>20</v>
      </c>
      <c r="X25" s="35"/>
      <c r="Y25" s="22">
        <f t="shared" si="3"/>
        <v>20</v>
      </c>
    </row>
    <row r="26" spans="1:25" ht="15.75" thickBot="1" x14ac:dyDescent="0.3">
      <c r="A26" s="160" t="s">
        <v>128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2"/>
      <c r="L26" s="29"/>
      <c r="T26" s="2" t="s">
        <v>53</v>
      </c>
      <c r="U26" s="3"/>
      <c r="V26" s="8" t="s">
        <v>84</v>
      </c>
      <c r="W26" s="31">
        <f>TRUNC(AVERAGE(J6,J7))</f>
        <v>20</v>
      </c>
      <c r="X26" s="35"/>
      <c r="Y26" s="22">
        <f t="shared" si="3"/>
        <v>20</v>
      </c>
    </row>
    <row r="27" spans="1:25" ht="15.75" thickBot="1" x14ac:dyDescent="0.3">
      <c r="A27" s="38" t="s">
        <v>0</v>
      </c>
      <c r="B27" s="39" t="s">
        <v>134</v>
      </c>
      <c r="C27" s="181" t="s">
        <v>135</v>
      </c>
      <c r="D27" s="164"/>
      <c r="E27" s="164"/>
      <c r="F27" s="164"/>
      <c r="G27" s="164"/>
      <c r="H27" s="164"/>
      <c r="I27" s="181" t="s">
        <v>126</v>
      </c>
      <c r="J27" s="164"/>
      <c r="K27" s="182"/>
      <c r="L27" s="21"/>
      <c r="M27" s="160" t="s">
        <v>114</v>
      </c>
      <c r="N27" s="161"/>
      <c r="O27" s="162"/>
      <c r="P27" s="11" t="s">
        <v>108</v>
      </c>
      <c r="Q27" s="12" t="s">
        <v>109</v>
      </c>
      <c r="R27" s="1" t="s">
        <v>110</v>
      </c>
      <c r="T27" s="2" t="s">
        <v>105</v>
      </c>
      <c r="U27" s="3"/>
      <c r="V27" s="8" t="s">
        <v>82</v>
      </c>
      <c r="W27" s="31">
        <f>TRUNC(AVERAGE(J3,J7))</f>
        <v>20</v>
      </c>
      <c r="X27" s="35"/>
      <c r="Y27" s="22">
        <f t="shared" si="3"/>
        <v>20</v>
      </c>
    </row>
    <row r="28" spans="1:25" x14ac:dyDescent="0.25">
      <c r="A28" s="51" t="s">
        <v>129</v>
      </c>
      <c r="B28" s="31">
        <v>1</v>
      </c>
      <c r="C28" s="167"/>
      <c r="D28" s="152"/>
      <c r="E28" s="152"/>
      <c r="F28" s="152"/>
      <c r="G28" s="152"/>
      <c r="H28" s="153"/>
      <c r="I28" s="167"/>
      <c r="J28" s="152"/>
      <c r="K28" s="186"/>
      <c r="L28" s="3"/>
      <c r="M28" s="2" t="s">
        <v>40</v>
      </c>
      <c r="N28" s="3"/>
      <c r="O28" s="9" t="s">
        <v>80</v>
      </c>
      <c r="P28" s="31">
        <f>AVERAGE(J6)</f>
        <v>20</v>
      </c>
      <c r="Q28" s="35"/>
      <c r="R28" s="22">
        <f t="shared" ref="R28:R38" si="4">TRUNC(SUM(P28:Q28))</f>
        <v>20</v>
      </c>
      <c r="T28" s="2" t="s">
        <v>56</v>
      </c>
      <c r="U28" s="3"/>
      <c r="V28" s="8" t="s">
        <v>104</v>
      </c>
      <c r="W28" s="31">
        <f>TRUNC(AVERAGE(J2,J7,J8))</f>
        <v>20</v>
      </c>
      <c r="X28" s="35"/>
      <c r="Y28" s="22">
        <f t="shared" si="3"/>
        <v>20</v>
      </c>
    </row>
    <row r="29" spans="1:25" x14ac:dyDescent="0.25">
      <c r="A29" s="51" t="s">
        <v>130</v>
      </c>
      <c r="B29" s="31">
        <v>2</v>
      </c>
      <c r="C29" s="167"/>
      <c r="D29" s="152"/>
      <c r="E29" s="152"/>
      <c r="F29" s="152"/>
      <c r="G29" s="152"/>
      <c r="H29" s="153"/>
      <c r="I29" s="167"/>
      <c r="J29" s="152"/>
      <c r="K29" s="186"/>
      <c r="L29" s="3"/>
      <c r="M29" s="2" t="s">
        <v>31</v>
      </c>
      <c r="N29" s="3"/>
      <c r="O29" s="8" t="s">
        <v>80</v>
      </c>
      <c r="P29" s="31">
        <f>AVERAGE(J6)</f>
        <v>20</v>
      </c>
      <c r="Q29" s="35"/>
      <c r="R29" s="22">
        <f t="shared" si="4"/>
        <v>20</v>
      </c>
      <c r="T29" s="2" t="s">
        <v>62</v>
      </c>
      <c r="U29" s="3"/>
      <c r="V29" s="8" t="s">
        <v>76</v>
      </c>
      <c r="W29" s="31">
        <f>AVERAGE(J3)</f>
        <v>20</v>
      </c>
      <c r="X29" s="35"/>
      <c r="Y29" s="22">
        <f t="shared" si="3"/>
        <v>20</v>
      </c>
    </row>
    <row r="30" spans="1:25" x14ac:dyDescent="0.25">
      <c r="A30" s="51" t="s">
        <v>131</v>
      </c>
      <c r="B30" s="31">
        <v>3</v>
      </c>
      <c r="C30" s="167"/>
      <c r="D30" s="152"/>
      <c r="E30" s="152"/>
      <c r="F30" s="152"/>
      <c r="G30" s="152"/>
      <c r="H30" s="153"/>
      <c r="I30" s="167"/>
      <c r="J30" s="152"/>
      <c r="K30" s="186"/>
      <c r="L30" s="3"/>
      <c r="M30" s="2" t="s">
        <v>75</v>
      </c>
      <c r="N30" s="3"/>
      <c r="O30" s="8" t="s">
        <v>80</v>
      </c>
      <c r="P30" s="31">
        <f>AVERAGE(J6)</f>
        <v>20</v>
      </c>
      <c r="Q30" s="35"/>
      <c r="R30" s="22">
        <f t="shared" si="4"/>
        <v>20</v>
      </c>
      <c r="T30" s="2" t="s">
        <v>55</v>
      </c>
      <c r="U30" s="3"/>
      <c r="V30" s="8" t="s">
        <v>80</v>
      </c>
      <c r="W30" s="31">
        <f>AVERAGE(J6)</f>
        <v>20</v>
      </c>
      <c r="X30" s="35"/>
      <c r="Y30" s="22">
        <f t="shared" si="3"/>
        <v>20</v>
      </c>
    </row>
    <row r="31" spans="1:25" x14ac:dyDescent="0.25">
      <c r="A31" s="51" t="s">
        <v>132</v>
      </c>
      <c r="B31" s="31">
        <v>4</v>
      </c>
      <c r="C31" s="167"/>
      <c r="D31" s="152"/>
      <c r="E31" s="152"/>
      <c r="F31" s="152"/>
      <c r="G31" s="152"/>
      <c r="H31" s="153"/>
      <c r="I31" s="167"/>
      <c r="J31" s="152"/>
      <c r="K31" s="186"/>
      <c r="L31" s="3"/>
      <c r="M31" s="2" t="s">
        <v>25</v>
      </c>
      <c r="N31" s="3"/>
      <c r="O31" s="8" t="s">
        <v>87</v>
      </c>
      <c r="P31" s="31">
        <f>TRUNC(AVERAGE(J4,J11))</f>
        <v>20</v>
      </c>
      <c r="Q31" s="35"/>
      <c r="R31" s="22">
        <f t="shared" si="4"/>
        <v>20</v>
      </c>
      <c r="T31" s="2" t="s">
        <v>64</v>
      </c>
      <c r="U31" s="3"/>
      <c r="V31" s="8" t="s">
        <v>76</v>
      </c>
      <c r="W31" s="31">
        <f>AVERAGE(J3)</f>
        <v>20</v>
      </c>
      <c r="X31" s="35"/>
      <c r="Y31" s="102">
        <f t="shared" si="3"/>
        <v>20</v>
      </c>
    </row>
    <row r="32" spans="1:25" ht="15.75" thickBot="1" x14ac:dyDescent="0.3">
      <c r="A32" s="51" t="s">
        <v>133</v>
      </c>
      <c r="B32" s="31">
        <v>5</v>
      </c>
      <c r="C32" s="167"/>
      <c r="D32" s="152"/>
      <c r="E32" s="152"/>
      <c r="F32" s="152"/>
      <c r="G32" s="152"/>
      <c r="H32" s="153"/>
      <c r="I32" s="167"/>
      <c r="J32" s="152"/>
      <c r="K32" s="186"/>
      <c r="L32" s="3"/>
      <c r="M32" s="2" t="s">
        <v>32</v>
      </c>
      <c r="N32" s="3"/>
      <c r="O32" s="8" t="s">
        <v>80</v>
      </c>
      <c r="P32" s="31">
        <f>AVERAGE(J6)</f>
        <v>20</v>
      </c>
      <c r="Q32" s="35"/>
      <c r="R32" s="22">
        <f t="shared" si="4"/>
        <v>20</v>
      </c>
      <c r="T32" s="5" t="s">
        <v>58</v>
      </c>
      <c r="U32" s="6"/>
      <c r="V32" s="10" t="s">
        <v>80</v>
      </c>
      <c r="W32" s="32">
        <f>AVERAGE(J6)</f>
        <v>20</v>
      </c>
      <c r="X32" s="36"/>
      <c r="Y32" s="23">
        <f t="shared" si="3"/>
        <v>20</v>
      </c>
    </row>
    <row r="33" spans="1:25" ht="15.75" thickBot="1" x14ac:dyDescent="0.3">
      <c r="A33" s="53"/>
      <c r="B33" s="35"/>
      <c r="C33" s="167"/>
      <c r="D33" s="152"/>
      <c r="E33" s="152"/>
      <c r="F33" s="152"/>
      <c r="G33" s="152"/>
      <c r="H33" s="153"/>
      <c r="I33" s="167"/>
      <c r="J33" s="152"/>
      <c r="K33" s="186"/>
      <c r="L33" s="3"/>
      <c r="M33" s="2" t="s">
        <v>26</v>
      </c>
      <c r="N33" s="3"/>
      <c r="O33" s="8" t="s">
        <v>95</v>
      </c>
      <c r="P33" s="31">
        <f>TRUNC(AVERAGE(J6,J8))</f>
        <v>20</v>
      </c>
      <c r="Q33" s="35"/>
      <c r="R33" s="22">
        <f t="shared" si="4"/>
        <v>20</v>
      </c>
    </row>
    <row r="34" spans="1:25" ht="15.75" thickBot="1" x14ac:dyDescent="0.3">
      <c r="A34" s="53"/>
      <c r="B34" s="35"/>
      <c r="C34" s="167"/>
      <c r="D34" s="152"/>
      <c r="E34" s="152"/>
      <c r="F34" s="152"/>
      <c r="G34" s="152"/>
      <c r="H34" s="153"/>
      <c r="I34" s="167"/>
      <c r="J34" s="152"/>
      <c r="K34" s="186"/>
      <c r="L34" s="3"/>
      <c r="M34" s="2" t="s">
        <v>27</v>
      </c>
      <c r="N34" s="3"/>
      <c r="O34" s="8" t="s">
        <v>96</v>
      </c>
      <c r="P34" s="31">
        <f>TRUNC(AVERAGE(J4,J6,J11))</f>
        <v>20</v>
      </c>
      <c r="Q34" s="35"/>
      <c r="R34" s="22">
        <f t="shared" si="4"/>
        <v>20</v>
      </c>
      <c r="T34" s="160" t="s">
        <v>117</v>
      </c>
      <c r="U34" s="161"/>
      <c r="V34" s="162"/>
      <c r="W34" s="11" t="s">
        <v>108</v>
      </c>
      <c r="X34" s="12" t="s">
        <v>109</v>
      </c>
      <c r="Y34" s="1" t="s">
        <v>110</v>
      </c>
    </row>
    <row r="35" spans="1:25" x14ac:dyDescent="0.25">
      <c r="A35" s="52"/>
      <c r="B35" s="56"/>
      <c r="C35" s="168"/>
      <c r="D35" s="169"/>
      <c r="E35" s="169"/>
      <c r="F35" s="169"/>
      <c r="G35" s="169"/>
      <c r="H35" s="170"/>
      <c r="I35" s="168"/>
      <c r="J35" s="169"/>
      <c r="K35" s="208"/>
      <c r="L35" s="3"/>
      <c r="M35" s="2" t="s">
        <v>28</v>
      </c>
      <c r="N35" s="3"/>
      <c r="O35" s="8" t="s">
        <v>96</v>
      </c>
      <c r="P35" s="31">
        <f>TRUNC(AVERAGE(J4,J6,J11))</f>
        <v>20</v>
      </c>
      <c r="Q35" s="35"/>
      <c r="R35" s="22">
        <f t="shared" si="4"/>
        <v>20</v>
      </c>
      <c r="T35" s="2" t="s">
        <v>54</v>
      </c>
      <c r="U35" s="3"/>
      <c r="V35" s="9" t="s">
        <v>83</v>
      </c>
      <c r="W35" s="31">
        <f>AVERAGE(J7)</f>
        <v>20</v>
      </c>
      <c r="X35" s="35"/>
      <c r="Y35" s="22">
        <f t="shared" ref="Y35:Y43" si="5">TRUNC(SUM(W35:X35))</f>
        <v>20</v>
      </c>
    </row>
    <row r="36" spans="1:25" ht="15.75" thickBot="1" x14ac:dyDescent="0.3">
      <c r="A36" s="48"/>
      <c r="B36" s="57"/>
      <c r="C36" s="171"/>
      <c r="D36" s="155"/>
      <c r="E36" s="155"/>
      <c r="F36" s="155"/>
      <c r="G36" s="155"/>
      <c r="H36" s="156"/>
      <c r="I36" s="171"/>
      <c r="J36" s="155"/>
      <c r="K36" s="195"/>
      <c r="L36" s="3"/>
      <c r="M36" s="2" t="s">
        <v>29</v>
      </c>
      <c r="N36" s="3"/>
      <c r="O36" s="8" t="s">
        <v>96</v>
      </c>
      <c r="P36" s="31">
        <f>TRUNC(AVERAGE(J4,J6,J11))</f>
        <v>20</v>
      </c>
      <c r="Q36" s="35"/>
      <c r="R36" s="22">
        <f t="shared" si="4"/>
        <v>20</v>
      </c>
      <c r="T36" s="2" t="s">
        <v>66</v>
      </c>
      <c r="U36" s="3"/>
      <c r="V36" s="8" t="s">
        <v>80</v>
      </c>
      <c r="W36" s="31">
        <f>AVERAGE(J6)</f>
        <v>20</v>
      </c>
      <c r="X36" s="35"/>
      <c r="Y36" s="22">
        <f t="shared" si="5"/>
        <v>20</v>
      </c>
    </row>
    <row r="37" spans="1:25" ht="15.75" thickBot="1" x14ac:dyDescent="0.3">
      <c r="M37" s="2" t="s">
        <v>30</v>
      </c>
      <c r="N37" s="3"/>
      <c r="O37" s="8" t="s">
        <v>96</v>
      </c>
      <c r="P37" s="31">
        <f>TRUNC(AVERAGE(J4,J6,J11))</f>
        <v>20</v>
      </c>
      <c r="Q37" s="35"/>
      <c r="R37" s="22">
        <f t="shared" si="4"/>
        <v>20</v>
      </c>
      <c r="T37" s="2" t="s">
        <v>67</v>
      </c>
      <c r="U37" s="3"/>
      <c r="V37" s="8" t="s">
        <v>80</v>
      </c>
      <c r="W37" s="31">
        <f>AVERAGE(J6)</f>
        <v>20</v>
      </c>
      <c r="X37" s="35"/>
      <c r="Y37" s="22">
        <f t="shared" si="5"/>
        <v>20</v>
      </c>
    </row>
    <row r="38" spans="1:25" ht="15.75" thickBot="1" x14ac:dyDescent="0.3">
      <c r="A38" s="160" t="s">
        <v>136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62"/>
      <c r="L38" s="29"/>
      <c r="M38" s="5" t="s">
        <v>141</v>
      </c>
      <c r="N38" s="6"/>
      <c r="O38" s="10" t="s">
        <v>96</v>
      </c>
      <c r="P38" s="32">
        <f>TRUNC(AVERAGE(J4,J6,J11))</f>
        <v>20</v>
      </c>
      <c r="Q38" s="36"/>
      <c r="R38" s="23">
        <f t="shared" si="4"/>
        <v>20</v>
      </c>
      <c r="T38" s="2" t="s">
        <v>68</v>
      </c>
      <c r="U38" s="3"/>
      <c r="V38" s="8" t="s">
        <v>80</v>
      </c>
      <c r="W38" s="31">
        <f>AVERAGE(J6)</f>
        <v>20</v>
      </c>
      <c r="X38" s="35"/>
      <c r="Y38" s="22">
        <f t="shared" si="5"/>
        <v>20</v>
      </c>
    </row>
    <row r="39" spans="1:25" ht="15.75" thickBot="1" x14ac:dyDescent="0.3">
      <c r="A39" s="47" t="s">
        <v>0</v>
      </c>
      <c r="B39" s="39" t="s">
        <v>143</v>
      </c>
      <c r="C39" s="39" t="s">
        <v>125</v>
      </c>
      <c r="D39" s="39" t="s">
        <v>124</v>
      </c>
      <c r="E39" s="134" t="s">
        <v>164</v>
      </c>
      <c r="F39" s="134" t="s">
        <v>163</v>
      </c>
      <c r="G39" s="181" t="s">
        <v>126</v>
      </c>
      <c r="H39" s="164"/>
      <c r="I39" s="164"/>
      <c r="J39" s="164"/>
      <c r="K39" s="182"/>
      <c r="L39" s="21"/>
      <c r="T39" s="2" t="s">
        <v>69</v>
      </c>
      <c r="U39" s="3"/>
      <c r="V39" s="8" t="s">
        <v>80</v>
      </c>
      <c r="W39" s="31">
        <f>AVERAGE(J6)</f>
        <v>20</v>
      </c>
      <c r="X39" s="35"/>
      <c r="Y39" s="22">
        <f t="shared" si="5"/>
        <v>20</v>
      </c>
    </row>
    <row r="40" spans="1:25" ht="15.75" thickBot="1" x14ac:dyDescent="0.3">
      <c r="A40" s="2" t="s">
        <v>137</v>
      </c>
      <c r="B40" s="14">
        <f>R34</f>
        <v>20</v>
      </c>
      <c r="C40" s="14">
        <f>TRUNC((J4+J11)/20)+Talents!C28</f>
        <v>2</v>
      </c>
      <c r="D40" s="14">
        <f>1+2*Talents!C23</f>
        <v>1</v>
      </c>
      <c r="E40" s="91">
        <f>90+90*Talents!C31</f>
        <v>90</v>
      </c>
      <c r="F40" s="41">
        <f>2+2*Talents!C30</f>
        <v>2</v>
      </c>
      <c r="G40" s="175" t="str">
        <f>CONCATENATE("Chancèlement : test d'équilibre à - ", 0+20*Talents!C29, "% ")</f>
        <v xml:space="preserve">Chancèlement : test d'équilibre à - 0% </v>
      </c>
      <c r="H40" s="176"/>
      <c r="I40" s="176"/>
      <c r="J40" s="176"/>
      <c r="K40" s="177"/>
      <c r="L40" s="3"/>
      <c r="M40" s="160" t="s">
        <v>118</v>
      </c>
      <c r="N40" s="161"/>
      <c r="O40" s="162"/>
      <c r="P40" s="11" t="s">
        <v>108</v>
      </c>
      <c r="Q40" s="12" t="s">
        <v>109</v>
      </c>
      <c r="R40" s="1" t="s">
        <v>110</v>
      </c>
      <c r="T40" s="2" t="s">
        <v>70</v>
      </c>
      <c r="U40" s="3"/>
      <c r="V40" s="8" t="s">
        <v>80</v>
      </c>
      <c r="W40" s="31">
        <f>AVERAGE(J6)</f>
        <v>20</v>
      </c>
      <c r="X40" s="35"/>
      <c r="Y40" s="22">
        <f t="shared" si="5"/>
        <v>20</v>
      </c>
    </row>
    <row r="41" spans="1:25" x14ac:dyDescent="0.25">
      <c r="A41" s="2" t="s">
        <v>138</v>
      </c>
      <c r="B41" s="14">
        <f>R35</f>
        <v>20</v>
      </c>
      <c r="C41" s="14">
        <v>0</v>
      </c>
      <c r="D41" s="14">
        <f>1+2*Talents!C23</f>
        <v>1</v>
      </c>
      <c r="E41" s="41">
        <v>180</v>
      </c>
      <c r="F41" s="41">
        <v>4</v>
      </c>
      <c r="G41" s="178" t="str">
        <f>CONCATENATE("Cibles : ", 1+Talents!C34, ", Ordre volonté : - ", 20*Talents!C33, "%, Combat orientation : - ", 20*Talents!C32, "%")</f>
        <v>Cibles : 1, Ordre volonté : - 0%, Combat orientation : - 0%</v>
      </c>
      <c r="H41" s="179"/>
      <c r="I41" s="179"/>
      <c r="J41" s="179"/>
      <c r="K41" s="180"/>
      <c r="L41" s="3"/>
      <c r="M41" s="2" t="s">
        <v>41</v>
      </c>
      <c r="N41" s="3"/>
      <c r="O41" s="9" t="s">
        <v>101</v>
      </c>
      <c r="P41" s="31">
        <f>TRUNC(AVERAGE(J8,J11))</f>
        <v>20</v>
      </c>
      <c r="Q41" s="35"/>
      <c r="R41" s="22">
        <f t="shared" ref="R41:R50" si="6">TRUNC(SUM(P41:Q41))</f>
        <v>20</v>
      </c>
      <c r="T41" s="2" t="s">
        <v>71</v>
      </c>
      <c r="U41" s="3"/>
      <c r="V41" s="8" t="s">
        <v>80</v>
      </c>
      <c r="W41" s="31">
        <f>AVERAGE(J6)</f>
        <v>20</v>
      </c>
      <c r="X41" s="35"/>
      <c r="Y41" s="22">
        <f t="shared" si="5"/>
        <v>20</v>
      </c>
    </row>
    <row r="42" spans="1:25" x14ac:dyDescent="0.25">
      <c r="A42" s="2" t="s">
        <v>139</v>
      </c>
      <c r="B42" s="14">
        <f>R36</f>
        <v>20</v>
      </c>
      <c r="C42" s="14">
        <f>TRUNC((J4+J11)/20)+4+Talents!C24</f>
        <v>6</v>
      </c>
      <c r="D42" s="14">
        <f>1+2*Talents!C23</f>
        <v>1</v>
      </c>
      <c r="E42" s="41">
        <f>90+90*Talents!C25</f>
        <v>90</v>
      </c>
      <c r="F42" s="41">
        <f>2+2*Talents!C26</f>
        <v>2</v>
      </c>
      <c r="G42" s="178" t="str">
        <f>CONCATENATE("Embrasement ", 10+20*Talents!C27, "% ")</f>
        <v xml:space="preserve">Embrasement 10% </v>
      </c>
      <c r="H42" s="179"/>
      <c r="I42" s="179"/>
      <c r="J42" s="179"/>
      <c r="K42" s="180"/>
      <c r="L42" s="3"/>
      <c r="M42" s="2" t="s">
        <v>42</v>
      </c>
      <c r="N42" s="3"/>
      <c r="O42" s="8" t="s">
        <v>102</v>
      </c>
      <c r="P42" s="31">
        <f>TRUNC(AVERAGE(J8,J10))</f>
        <v>20</v>
      </c>
      <c r="Q42" s="35"/>
      <c r="R42" s="22">
        <f t="shared" si="6"/>
        <v>20</v>
      </c>
      <c r="T42" s="2" t="s">
        <v>73</v>
      </c>
      <c r="U42" s="3"/>
      <c r="V42" s="8" t="s">
        <v>80</v>
      </c>
      <c r="W42" s="31">
        <f>AVERAGE(J6)</f>
        <v>20</v>
      </c>
      <c r="X42" s="35"/>
      <c r="Y42" s="22">
        <f t="shared" si="5"/>
        <v>20</v>
      </c>
    </row>
    <row r="43" spans="1:25" ht="15.75" thickBot="1" x14ac:dyDescent="0.3">
      <c r="A43" s="2" t="s">
        <v>140</v>
      </c>
      <c r="B43" s="14">
        <f>R37</f>
        <v>20</v>
      </c>
      <c r="C43" s="14">
        <f>3*Talents!C36</f>
        <v>0</v>
      </c>
      <c r="D43" s="14">
        <f>1+2*Talents!C23</f>
        <v>1</v>
      </c>
      <c r="E43" s="41">
        <v>360</v>
      </c>
      <c r="F43" s="41">
        <v>2</v>
      </c>
      <c r="G43" s="178" t="str">
        <f>CONCATENATE("Encaissement de ", (J4+J11)/20+4+4*Talents!C35, "PVs et dég quand détruit sur 360° et 2m")</f>
        <v>Encaissement de 6PVs et dég quand détruit sur 360° et 2m</v>
      </c>
      <c r="H43" s="179"/>
      <c r="I43" s="179"/>
      <c r="J43" s="179"/>
      <c r="K43" s="180"/>
      <c r="L43" s="3"/>
      <c r="M43" s="2" t="s">
        <v>43</v>
      </c>
      <c r="N43" s="3"/>
      <c r="O43" s="8" t="s">
        <v>95</v>
      </c>
      <c r="P43" s="31">
        <f>TRUNC(AVERAGE(J6,J8))</f>
        <v>20</v>
      </c>
      <c r="Q43" s="35"/>
      <c r="R43" s="22">
        <f t="shared" si="6"/>
        <v>20</v>
      </c>
      <c r="T43" s="5" t="s">
        <v>72</v>
      </c>
      <c r="U43" s="6"/>
      <c r="V43" s="10" t="s">
        <v>80</v>
      </c>
      <c r="W43" s="32">
        <f>AVERAGE(J6)</f>
        <v>20</v>
      </c>
      <c r="X43" s="36"/>
      <c r="Y43" s="23">
        <f t="shared" si="5"/>
        <v>20</v>
      </c>
    </row>
    <row r="44" spans="1:25" ht="15.75" thickBot="1" x14ac:dyDescent="0.3">
      <c r="A44" s="5" t="s">
        <v>142</v>
      </c>
      <c r="B44" s="58">
        <f>R38</f>
        <v>20</v>
      </c>
      <c r="C44" s="58">
        <f>4*Talents!C39</f>
        <v>0</v>
      </c>
      <c r="D44" s="58">
        <f>1+2*Talents!C23</f>
        <v>1</v>
      </c>
      <c r="E44" s="42">
        <v>360</v>
      </c>
      <c r="F44" s="42">
        <f>2+2*Talents!C38</f>
        <v>2</v>
      </c>
      <c r="G44" s="157" t="s">
        <v>314</v>
      </c>
      <c r="H44" s="158"/>
      <c r="I44" s="158"/>
      <c r="J44" s="158"/>
      <c r="K44" s="159"/>
      <c r="L44" s="3"/>
      <c r="M44" s="2" t="s">
        <v>45</v>
      </c>
      <c r="N44" s="3"/>
      <c r="O44" s="8" t="s">
        <v>89</v>
      </c>
      <c r="P44" s="31">
        <f>TRUNC(AVERAGE(J7,J8))</f>
        <v>20</v>
      </c>
      <c r="Q44" s="35"/>
      <c r="R44" s="22">
        <f t="shared" si="6"/>
        <v>20</v>
      </c>
    </row>
    <row r="45" spans="1:25" ht="15.75" thickBot="1" x14ac:dyDescent="0.3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2" t="s">
        <v>46</v>
      </c>
      <c r="N45" s="3"/>
      <c r="O45" s="8" t="s">
        <v>89</v>
      </c>
      <c r="P45" s="31">
        <f>TRUNC(AVERAGE(J7,J8))</f>
        <v>20</v>
      </c>
      <c r="Q45" s="35"/>
      <c r="R45" s="22">
        <f t="shared" si="6"/>
        <v>20</v>
      </c>
      <c r="T45" s="160" t="s">
        <v>119</v>
      </c>
      <c r="U45" s="161"/>
      <c r="V45" s="162"/>
      <c r="W45" s="11" t="s">
        <v>108</v>
      </c>
      <c r="X45" s="12" t="s">
        <v>109</v>
      </c>
      <c r="Y45" s="1" t="s">
        <v>110</v>
      </c>
    </row>
    <row r="46" spans="1:25" ht="15.75" thickBot="1" x14ac:dyDescent="0.3">
      <c r="A46" s="160" t="s">
        <v>144</v>
      </c>
      <c r="B46" s="161"/>
      <c r="C46" s="161"/>
      <c r="D46" s="161"/>
      <c r="E46" s="161"/>
      <c r="F46" s="161"/>
      <c r="G46" s="161"/>
      <c r="H46" s="161"/>
      <c r="I46" s="161"/>
      <c r="J46" s="161"/>
      <c r="K46" s="162"/>
      <c r="L46" s="29"/>
      <c r="M46" s="2" t="s">
        <v>47</v>
      </c>
      <c r="N46" s="3"/>
      <c r="O46" s="8" t="s">
        <v>89</v>
      </c>
      <c r="P46" s="31">
        <f>TRUNC(AVERAGE(J7,J8))</f>
        <v>20</v>
      </c>
      <c r="Q46" s="35"/>
      <c r="R46" s="22">
        <f t="shared" si="6"/>
        <v>20</v>
      </c>
      <c r="T46" s="2" t="s">
        <v>60</v>
      </c>
      <c r="U46" s="3"/>
      <c r="V46" s="9" t="s">
        <v>76</v>
      </c>
      <c r="W46" s="31">
        <f>AVERAGE(J3)</f>
        <v>20</v>
      </c>
      <c r="X46" s="35"/>
      <c r="Y46" s="62">
        <f>TRUNC(SUM(W46:X46))-D8</f>
        <v>20</v>
      </c>
    </row>
    <row r="47" spans="1:25" x14ac:dyDescent="0.25">
      <c r="A47" s="45" t="s">
        <v>0</v>
      </c>
      <c r="B47" s="33" t="s">
        <v>120</v>
      </c>
      <c r="C47" s="163" t="s">
        <v>0</v>
      </c>
      <c r="D47" s="164"/>
      <c r="E47" s="164"/>
      <c r="F47" s="33" t="s">
        <v>120</v>
      </c>
      <c r="G47" s="165" t="s">
        <v>0</v>
      </c>
      <c r="H47" s="166"/>
      <c r="I47" s="40" t="s">
        <v>120</v>
      </c>
      <c r="J47" s="46" t="s">
        <v>0</v>
      </c>
      <c r="K47" s="33" t="s">
        <v>120</v>
      </c>
      <c r="L47" s="3"/>
      <c r="M47" s="2" t="s">
        <v>48</v>
      </c>
      <c r="N47" s="3"/>
      <c r="O47" s="8" t="s">
        <v>89</v>
      </c>
      <c r="P47" s="31">
        <f>TRUNC(AVERAGE(J7,J8))</f>
        <v>20</v>
      </c>
      <c r="Q47" s="35"/>
      <c r="R47" s="22">
        <f t="shared" si="6"/>
        <v>20</v>
      </c>
      <c r="T47" s="2" t="s">
        <v>61</v>
      </c>
      <c r="U47" s="3"/>
      <c r="V47" s="8" t="s">
        <v>76</v>
      </c>
      <c r="W47" s="31">
        <f>AVERAGE(J3)</f>
        <v>20</v>
      </c>
      <c r="X47" s="35"/>
      <c r="Y47" s="62">
        <f>TRUNC(SUM(W47:X47))-D8</f>
        <v>20</v>
      </c>
    </row>
    <row r="48" spans="1:25" x14ac:dyDescent="0.25">
      <c r="A48" s="54"/>
      <c r="B48" s="55"/>
      <c r="C48" s="151"/>
      <c r="D48" s="152"/>
      <c r="E48" s="153"/>
      <c r="F48" s="55"/>
      <c r="G48" s="151"/>
      <c r="H48" s="153"/>
      <c r="I48" s="55"/>
      <c r="J48" s="59"/>
      <c r="K48" s="55"/>
      <c r="L48" s="3"/>
      <c r="M48" s="2" t="s">
        <v>49</v>
      </c>
      <c r="N48" s="3"/>
      <c r="O48" s="8" t="s">
        <v>89</v>
      </c>
      <c r="P48" s="31">
        <f>TRUNC(AVERAGE(J7,J8))</f>
        <v>20</v>
      </c>
      <c r="Q48" s="35"/>
      <c r="R48" s="22">
        <f t="shared" si="6"/>
        <v>20</v>
      </c>
      <c r="T48" s="2" t="s">
        <v>65</v>
      </c>
      <c r="U48" s="3"/>
      <c r="V48" s="8" t="s">
        <v>76</v>
      </c>
      <c r="W48" s="31">
        <f>AVERAGE(J3)</f>
        <v>20</v>
      </c>
      <c r="X48" s="35"/>
      <c r="Y48" s="62">
        <f>TRUNC(SUM(W48:X48))-D8</f>
        <v>20</v>
      </c>
    </row>
    <row r="49" spans="1:25" ht="15.75" thickBot="1" x14ac:dyDescent="0.3">
      <c r="A49" s="54"/>
      <c r="B49" s="55"/>
      <c r="C49" s="151"/>
      <c r="D49" s="152"/>
      <c r="E49" s="153"/>
      <c r="F49" s="55"/>
      <c r="G49" s="151"/>
      <c r="H49" s="153"/>
      <c r="I49" s="55"/>
      <c r="J49" s="59"/>
      <c r="K49" s="55"/>
      <c r="L49" s="3"/>
      <c r="M49" s="2" t="s">
        <v>44</v>
      </c>
      <c r="N49" s="3"/>
      <c r="O49" s="8" t="s">
        <v>82</v>
      </c>
      <c r="P49" s="31">
        <f>TRUNC(AVERAGE(J3,J7))</f>
        <v>20</v>
      </c>
      <c r="Q49" s="35"/>
      <c r="R49" s="22">
        <f t="shared" si="6"/>
        <v>20</v>
      </c>
      <c r="T49" s="5" t="s">
        <v>63</v>
      </c>
      <c r="U49" s="6"/>
      <c r="V49" s="10" t="s">
        <v>76</v>
      </c>
      <c r="W49" s="32">
        <f>AVERAGE(J3)</f>
        <v>20</v>
      </c>
      <c r="X49" s="36"/>
      <c r="Y49" s="63">
        <f>TRUNC(SUM(W49:X49))-D8</f>
        <v>20</v>
      </c>
    </row>
    <row r="50" spans="1:25" ht="15.75" thickBot="1" x14ac:dyDescent="0.3">
      <c r="A50" s="54"/>
      <c r="B50" s="55"/>
      <c r="C50" s="151"/>
      <c r="D50" s="152"/>
      <c r="E50" s="153"/>
      <c r="F50" s="55"/>
      <c r="G50" s="151"/>
      <c r="H50" s="153"/>
      <c r="I50" s="55"/>
      <c r="J50" s="59"/>
      <c r="K50" s="55"/>
      <c r="L50" s="3"/>
      <c r="M50" s="5" t="s">
        <v>50</v>
      </c>
      <c r="N50" s="6"/>
      <c r="O50" s="10" t="s">
        <v>89</v>
      </c>
      <c r="P50" s="32">
        <f>TRUNC(AVERAGE(J7,J8))</f>
        <v>20</v>
      </c>
      <c r="Q50" s="36"/>
      <c r="R50" s="23">
        <f t="shared" si="6"/>
        <v>20</v>
      </c>
    </row>
    <row r="51" spans="1:25" ht="15.75" thickBot="1" x14ac:dyDescent="0.3">
      <c r="A51" s="54"/>
      <c r="B51" s="55"/>
      <c r="C51" s="151"/>
      <c r="D51" s="152"/>
      <c r="E51" s="153"/>
      <c r="F51" s="55"/>
      <c r="G51" s="151"/>
      <c r="H51" s="153"/>
      <c r="I51" s="55"/>
      <c r="J51" s="59"/>
      <c r="K51" s="55"/>
      <c r="L51" s="3"/>
      <c r="T51" s="160" t="s">
        <v>238</v>
      </c>
      <c r="U51" s="197"/>
      <c r="V51" s="197"/>
      <c r="W51" s="197"/>
      <c r="X51" s="197"/>
      <c r="Y51" s="198"/>
    </row>
    <row r="52" spans="1:25" x14ac:dyDescent="0.25">
      <c r="A52" s="54"/>
      <c r="B52" s="55"/>
      <c r="C52" s="151"/>
      <c r="D52" s="152"/>
      <c r="E52" s="153"/>
      <c r="F52" s="55"/>
      <c r="G52" s="151"/>
      <c r="H52" s="153"/>
      <c r="I52" s="55"/>
      <c r="J52" s="59"/>
      <c r="K52" s="55"/>
      <c r="L52" s="3"/>
      <c r="M52" s="204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6"/>
    </row>
    <row r="53" spans="1:25" ht="15.75" thickBot="1" x14ac:dyDescent="0.3">
      <c r="A53" s="54"/>
      <c r="B53" s="55"/>
      <c r="C53" s="151"/>
      <c r="D53" s="152"/>
      <c r="E53" s="153"/>
      <c r="F53" s="55"/>
      <c r="G53" s="151"/>
      <c r="H53" s="153"/>
      <c r="I53" s="55"/>
      <c r="J53" s="49"/>
      <c r="K53" s="50"/>
      <c r="L53" s="21"/>
      <c r="M53" s="207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208"/>
    </row>
    <row r="54" spans="1:25" ht="15.75" thickBot="1" x14ac:dyDescent="0.3">
      <c r="A54" s="17"/>
      <c r="B54" s="60"/>
      <c r="C54" s="154"/>
      <c r="D54" s="155"/>
      <c r="E54" s="156"/>
      <c r="F54" s="60"/>
      <c r="G54" s="154"/>
      <c r="H54" s="156"/>
      <c r="I54" s="60"/>
      <c r="J54" s="43" t="s">
        <v>165</v>
      </c>
      <c r="K54" s="61">
        <f>SUM(K48:K53,I48:I54,F48:F54,B48:B54)</f>
        <v>0</v>
      </c>
      <c r="L54" s="3"/>
      <c r="M54" s="154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95"/>
    </row>
  </sheetData>
  <mergeCells count="71">
    <mergeCell ref="M52:Y52"/>
    <mergeCell ref="M53:Y53"/>
    <mergeCell ref="M54:Y54"/>
    <mergeCell ref="T51:Y51"/>
    <mergeCell ref="I1:J1"/>
    <mergeCell ref="G42:K42"/>
    <mergeCell ref="G43:K43"/>
    <mergeCell ref="T34:V34"/>
    <mergeCell ref="C28:H28"/>
    <mergeCell ref="C29:H29"/>
    <mergeCell ref="C30:H30"/>
    <mergeCell ref="C31:H31"/>
    <mergeCell ref="I35:K35"/>
    <mergeCell ref="I36:K36"/>
    <mergeCell ref="G39:K39"/>
    <mergeCell ref="A38:K38"/>
    <mergeCell ref="A1:G1"/>
    <mergeCell ref="T45:V45"/>
    <mergeCell ref="A3:A4"/>
    <mergeCell ref="B2:G2"/>
    <mergeCell ref="B3:G3"/>
    <mergeCell ref="B4:G4"/>
    <mergeCell ref="B5:G5"/>
    <mergeCell ref="T1:V1"/>
    <mergeCell ref="T7:V7"/>
    <mergeCell ref="T20:V20"/>
    <mergeCell ref="M19:O19"/>
    <mergeCell ref="M27:O27"/>
    <mergeCell ref="M1:O1"/>
    <mergeCell ref="B6:G6"/>
    <mergeCell ref="D8:G8"/>
    <mergeCell ref="B10:G10"/>
    <mergeCell ref="B11:G11"/>
    <mergeCell ref="A13:K13"/>
    <mergeCell ref="M40:O40"/>
    <mergeCell ref="G40:K40"/>
    <mergeCell ref="G41:K41"/>
    <mergeCell ref="C27:H27"/>
    <mergeCell ref="I27:K27"/>
    <mergeCell ref="A26:K26"/>
    <mergeCell ref="A24:J24"/>
    <mergeCell ref="I28:K28"/>
    <mergeCell ref="I29:K29"/>
    <mergeCell ref="I30:K30"/>
    <mergeCell ref="I31:K31"/>
    <mergeCell ref="I32:K32"/>
    <mergeCell ref="I33:K33"/>
    <mergeCell ref="I34:K34"/>
    <mergeCell ref="C33:H33"/>
    <mergeCell ref="C34:H34"/>
    <mergeCell ref="C35:H35"/>
    <mergeCell ref="C36:H36"/>
    <mergeCell ref="C32:H32"/>
    <mergeCell ref="G44:K44"/>
    <mergeCell ref="A46:K46"/>
    <mergeCell ref="C50:E50"/>
    <mergeCell ref="C51:E51"/>
    <mergeCell ref="C52:E52"/>
    <mergeCell ref="C47:E47"/>
    <mergeCell ref="G47:H47"/>
    <mergeCell ref="C48:E48"/>
    <mergeCell ref="C49:E49"/>
    <mergeCell ref="G48:H48"/>
    <mergeCell ref="G49:H49"/>
    <mergeCell ref="C53:E53"/>
    <mergeCell ref="C54:E54"/>
    <mergeCell ref="G50:H50"/>
    <mergeCell ref="G51:H51"/>
    <mergeCell ref="G52:H52"/>
    <mergeCell ref="G53:H53"/>
    <mergeCell ref="G54:H54"/>
  </mergeCells>
  <pageMargins left="0.19685039370078741" right="0.19685039370078741" top="0.19685039370078741" bottom="0.1968503937007874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sqref="A1:P1"/>
    </sheetView>
  </sheetViews>
  <sheetFormatPr baseColWidth="10" defaultRowHeight="15" x14ac:dyDescent="0.25"/>
  <cols>
    <col min="1" max="3" width="4.7109375" customWidth="1"/>
    <col min="4" max="4" width="11.7109375" customWidth="1"/>
    <col min="5" max="5" width="17.7109375" customWidth="1"/>
    <col min="6" max="8" width="7.42578125" customWidth="1"/>
    <col min="9" max="9" width="19.140625" customWidth="1"/>
    <col min="10" max="12" width="7.42578125" customWidth="1"/>
    <col min="13" max="13" width="12.140625" customWidth="1"/>
    <col min="14" max="16" width="7.42578125" customWidth="1"/>
  </cols>
  <sheetData>
    <row r="1" spans="1:16" ht="39.950000000000003" customHeight="1" x14ac:dyDescent="0.25">
      <c r="A1" s="210" t="s">
        <v>168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</row>
    <row r="2" spans="1:16" ht="39.950000000000003" customHeight="1" thickBot="1" x14ac:dyDescent="0.3"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15.75" thickBot="1" x14ac:dyDescent="0.3">
      <c r="F3" s="163" t="s">
        <v>169</v>
      </c>
      <c r="G3" s="164"/>
      <c r="H3" s="182"/>
      <c r="J3" s="163" t="s">
        <v>169</v>
      </c>
      <c r="K3" s="164"/>
      <c r="L3" s="182"/>
      <c r="N3" s="163" t="s">
        <v>169</v>
      </c>
      <c r="O3" s="164"/>
      <c r="P3" s="182"/>
    </row>
    <row r="4" spans="1:16" s="64" customFormat="1" x14ac:dyDescent="0.25">
      <c r="A4" s="65" t="s">
        <v>170</v>
      </c>
      <c r="B4" s="66" t="s">
        <v>171</v>
      </c>
      <c r="C4" s="66" t="s">
        <v>172</v>
      </c>
      <c r="D4" s="67"/>
      <c r="E4" s="68"/>
      <c r="F4" s="69" t="s">
        <v>173</v>
      </c>
      <c r="G4" s="69" t="s">
        <v>174</v>
      </c>
      <c r="H4" s="70" t="s">
        <v>175</v>
      </c>
      <c r="I4" s="68"/>
      <c r="J4" s="69" t="s">
        <v>173</v>
      </c>
      <c r="K4" s="69" t="s">
        <v>174</v>
      </c>
      <c r="L4" s="70" t="s">
        <v>175</v>
      </c>
      <c r="M4" s="68"/>
      <c r="N4" s="69" t="s">
        <v>173</v>
      </c>
      <c r="O4" s="69" t="s">
        <v>174</v>
      </c>
      <c r="P4" s="70" t="s">
        <v>175</v>
      </c>
    </row>
    <row r="5" spans="1:16" x14ac:dyDescent="0.25">
      <c r="A5" s="49"/>
      <c r="B5" s="14">
        <f>A5+Talents!C7</f>
        <v>0</v>
      </c>
      <c r="C5" s="14">
        <f>TRUNC(0.75*I31)</f>
        <v>15</v>
      </c>
      <c r="D5" s="71" t="s">
        <v>176</v>
      </c>
      <c r="E5" s="72"/>
      <c r="F5" s="73" t="s">
        <v>177</v>
      </c>
      <c r="G5" s="74"/>
      <c r="H5" s="75"/>
      <c r="I5" s="72"/>
      <c r="J5" s="74" t="s">
        <v>178</v>
      </c>
      <c r="K5" s="74"/>
      <c r="L5" s="75"/>
      <c r="M5" s="72"/>
      <c r="N5" s="74" t="s">
        <v>177</v>
      </c>
      <c r="O5" s="74"/>
      <c r="P5" s="75"/>
    </row>
    <row r="6" spans="1:16" x14ac:dyDescent="0.25">
      <c r="A6" s="49"/>
      <c r="B6" s="14">
        <f>A6</f>
        <v>0</v>
      </c>
      <c r="C6" s="14">
        <f>J31</f>
        <v>10</v>
      </c>
      <c r="D6" s="71" t="s">
        <v>179</v>
      </c>
      <c r="E6" s="72"/>
      <c r="F6" s="74" t="s">
        <v>180</v>
      </c>
      <c r="G6" s="74"/>
      <c r="H6" s="75"/>
      <c r="I6" s="72"/>
      <c r="J6" s="74" t="s">
        <v>181</v>
      </c>
      <c r="K6" s="74"/>
      <c r="L6" s="75"/>
      <c r="M6" s="72"/>
      <c r="N6" s="74" t="s">
        <v>180</v>
      </c>
      <c r="O6" s="74"/>
      <c r="P6" s="75"/>
    </row>
    <row r="7" spans="1:16" s="90" customFormat="1" x14ac:dyDescent="0.25">
      <c r="A7" s="49"/>
      <c r="B7" s="98">
        <f>A7+Talents!C7</f>
        <v>0</v>
      </c>
      <c r="C7" s="98">
        <f>I31</f>
        <v>20</v>
      </c>
      <c r="D7" s="76" t="s">
        <v>182</v>
      </c>
      <c r="E7" s="77"/>
      <c r="F7" s="78">
        <v>5</v>
      </c>
      <c r="G7" s="78">
        <v>1</v>
      </c>
      <c r="H7" s="79"/>
      <c r="I7" s="77"/>
      <c r="J7" s="78" t="s">
        <v>183</v>
      </c>
      <c r="K7" s="78">
        <v>1</v>
      </c>
      <c r="L7" s="79"/>
      <c r="M7" s="77"/>
      <c r="N7" s="78"/>
      <c r="O7" s="78"/>
      <c r="P7" s="79"/>
    </row>
    <row r="8" spans="1:16" s="90" customFormat="1" x14ac:dyDescent="0.25">
      <c r="A8" s="49"/>
      <c r="B8" s="98">
        <f>A8+Talents!C7</f>
        <v>0</v>
      </c>
      <c r="C8" s="98">
        <f>I31</f>
        <v>20</v>
      </c>
      <c r="D8" s="76" t="s">
        <v>184</v>
      </c>
      <c r="E8" s="77"/>
      <c r="F8" s="78">
        <v>6</v>
      </c>
      <c r="G8" s="78">
        <v>2</v>
      </c>
      <c r="H8" s="79"/>
      <c r="I8" s="77"/>
      <c r="J8" s="78" t="s">
        <v>185</v>
      </c>
      <c r="K8" s="78">
        <v>2</v>
      </c>
      <c r="L8" s="79"/>
      <c r="M8" s="77"/>
      <c r="N8" s="78" t="s">
        <v>186</v>
      </c>
      <c r="O8" s="78" t="s">
        <v>177</v>
      </c>
      <c r="P8" s="79"/>
    </row>
    <row r="9" spans="1:16" s="90" customFormat="1" x14ac:dyDescent="0.25">
      <c r="A9" s="49"/>
      <c r="B9" s="14">
        <f>A9+Talents!C7</f>
        <v>0</v>
      </c>
      <c r="C9" s="99">
        <f>I31</f>
        <v>20</v>
      </c>
      <c r="D9" s="80" t="s">
        <v>187</v>
      </c>
      <c r="E9" s="81"/>
      <c r="F9" s="82" t="s">
        <v>183</v>
      </c>
      <c r="G9" s="82" t="s">
        <v>188</v>
      </c>
      <c r="H9" s="83"/>
      <c r="I9" s="81"/>
      <c r="J9" s="82" t="s">
        <v>189</v>
      </c>
      <c r="K9" s="82" t="s">
        <v>190</v>
      </c>
      <c r="L9" s="83"/>
      <c r="M9" s="81"/>
      <c r="N9" s="82" t="s">
        <v>191</v>
      </c>
      <c r="O9" s="82" t="s">
        <v>188</v>
      </c>
      <c r="P9" s="83"/>
    </row>
    <row r="10" spans="1:16" s="90" customFormat="1" x14ac:dyDescent="0.25">
      <c r="A10" s="49"/>
      <c r="B10" s="98">
        <f>A10+Talents!C7</f>
        <v>0</v>
      </c>
      <c r="C10" s="98">
        <f>I31</f>
        <v>20</v>
      </c>
      <c r="D10" s="76" t="s">
        <v>192</v>
      </c>
      <c r="E10" s="77"/>
      <c r="F10" s="78" t="s">
        <v>185</v>
      </c>
      <c r="G10" s="78" t="s">
        <v>193</v>
      </c>
      <c r="H10" s="79"/>
      <c r="I10" s="77"/>
      <c r="J10" s="78" t="s">
        <v>194</v>
      </c>
      <c r="K10" s="78" t="s">
        <v>183</v>
      </c>
      <c r="L10" s="79"/>
      <c r="M10" s="77"/>
      <c r="N10" s="78"/>
      <c r="O10" s="78"/>
      <c r="P10" s="79"/>
    </row>
    <row r="11" spans="1:16" s="90" customFormat="1" x14ac:dyDescent="0.25">
      <c r="A11" s="49"/>
      <c r="B11" s="98">
        <f>A11+Talents!C7</f>
        <v>0</v>
      </c>
      <c r="C11" s="98">
        <f>I31</f>
        <v>20</v>
      </c>
      <c r="D11" s="76" t="s">
        <v>195</v>
      </c>
      <c r="E11" s="77"/>
      <c r="F11" s="78" t="s">
        <v>196</v>
      </c>
      <c r="G11" s="78" t="s">
        <v>197</v>
      </c>
      <c r="H11" s="79"/>
      <c r="I11" s="77"/>
      <c r="J11" s="78" t="s">
        <v>198</v>
      </c>
      <c r="K11" s="78" t="s">
        <v>185</v>
      </c>
      <c r="L11" s="79"/>
      <c r="M11" s="77"/>
      <c r="N11" s="78" t="s">
        <v>199</v>
      </c>
      <c r="O11" s="78" t="s">
        <v>200</v>
      </c>
      <c r="P11" s="79"/>
    </row>
    <row r="12" spans="1:16" s="90" customFormat="1" x14ac:dyDescent="0.25">
      <c r="A12" s="49"/>
      <c r="B12" s="98">
        <f>A12</f>
        <v>0</v>
      </c>
      <c r="C12" s="98">
        <f>J31</f>
        <v>10</v>
      </c>
      <c r="D12" s="76" t="s">
        <v>201</v>
      </c>
      <c r="E12" s="77"/>
      <c r="F12" s="78">
        <v>13</v>
      </c>
      <c r="G12" s="78">
        <v>10</v>
      </c>
      <c r="H12" s="79"/>
      <c r="I12" s="77"/>
      <c r="J12" s="78"/>
      <c r="K12" s="78">
        <v>11</v>
      </c>
      <c r="L12" s="79"/>
      <c r="M12" s="77"/>
      <c r="N12" s="78"/>
      <c r="O12" s="78"/>
      <c r="P12" s="79"/>
    </row>
    <row r="13" spans="1:16" s="90" customFormat="1" x14ac:dyDescent="0.25">
      <c r="A13" s="49"/>
      <c r="B13" s="98">
        <f>A13</f>
        <v>0</v>
      </c>
      <c r="C13" s="98">
        <f>J31</f>
        <v>10</v>
      </c>
      <c r="D13" s="76" t="s">
        <v>202</v>
      </c>
      <c r="E13" s="77"/>
      <c r="F13" s="78">
        <v>14</v>
      </c>
      <c r="G13" s="78">
        <v>11</v>
      </c>
      <c r="H13" s="79"/>
      <c r="I13" s="77"/>
      <c r="J13" s="78"/>
      <c r="K13" s="78">
        <v>12</v>
      </c>
      <c r="L13" s="79"/>
      <c r="M13" s="77"/>
      <c r="N13" s="78">
        <v>13</v>
      </c>
      <c r="O13" s="78">
        <v>9</v>
      </c>
      <c r="P13" s="79"/>
    </row>
    <row r="14" spans="1:16" s="90" customFormat="1" x14ac:dyDescent="0.25">
      <c r="A14" s="49"/>
      <c r="B14" s="14">
        <f>A14+Talents!C7</f>
        <v>0</v>
      </c>
      <c r="C14" s="99">
        <f>I31</f>
        <v>20</v>
      </c>
      <c r="D14" s="80" t="s">
        <v>203</v>
      </c>
      <c r="E14" s="81"/>
      <c r="F14" s="82"/>
      <c r="G14" s="82" t="s">
        <v>204</v>
      </c>
      <c r="H14" s="83"/>
      <c r="I14" s="81"/>
      <c r="J14" s="82"/>
      <c r="K14" s="82" t="s">
        <v>205</v>
      </c>
      <c r="L14" s="83"/>
      <c r="M14" s="81"/>
      <c r="N14" s="82"/>
      <c r="O14" s="82" t="s">
        <v>206</v>
      </c>
      <c r="P14" s="83"/>
    </row>
    <row r="15" spans="1:16" s="90" customFormat="1" x14ac:dyDescent="0.25">
      <c r="A15" s="49"/>
      <c r="B15" s="98">
        <f>A15+Talents!C7</f>
        <v>0</v>
      </c>
      <c r="C15" s="98">
        <f>TRUNC(0.75*I31)</f>
        <v>15</v>
      </c>
      <c r="D15" s="76" t="s">
        <v>207</v>
      </c>
      <c r="E15" s="77"/>
      <c r="F15" s="78" t="s">
        <v>208</v>
      </c>
      <c r="G15" s="78" t="s">
        <v>209</v>
      </c>
      <c r="H15" s="79"/>
      <c r="I15" s="77"/>
      <c r="J15" s="78"/>
      <c r="K15" s="78">
        <v>16</v>
      </c>
      <c r="L15" s="79"/>
      <c r="M15" s="77"/>
      <c r="N15" s="78" t="s">
        <v>209</v>
      </c>
      <c r="O15" s="78" t="s">
        <v>204</v>
      </c>
      <c r="P15" s="79"/>
    </row>
    <row r="16" spans="1:16" s="90" customFormat="1" x14ac:dyDescent="0.25">
      <c r="A16" s="49"/>
      <c r="B16" s="98">
        <f>A16+Talents!C7</f>
        <v>0</v>
      </c>
      <c r="C16" s="98">
        <f>TRUNC(0.75*I31)</f>
        <v>15</v>
      </c>
      <c r="D16" s="76" t="s">
        <v>210</v>
      </c>
      <c r="E16" s="77"/>
      <c r="F16" s="78" t="s">
        <v>211</v>
      </c>
      <c r="G16" s="78" t="s">
        <v>212</v>
      </c>
      <c r="H16" s="79"/>
      <c r="I16" s="77"/>
      <c r="J16" s="78"/>
      <c r="K16" s="78">
        <v>17</v>
      </c>
      <c r="L16" s="79"/>
      <c r="M16" s="77"/>
      <c r="N16" s="78" t="s">
        <v>213</v>
      </c>
      <c r="O16" s="78" t="s">
        <v>214</v>
      </c>
      <c r="P16" s="79"/>
    </row>
    <row r="17" spans="1:16" s="90" customFormat="1" x14ac:dyDescent="0.25">
      <c r="A17" s="49"/>
      <c r="B17" s="14">
        <f>A17+Talents!C7</f>
        <v>0</v>
      </c>
      <c r="C17" s="99">
        <f>I31</f>
        <v>20</v>
      </c>
      <c r="D17" s="80" t="s">
        <v>215</v>
      </c>
      <c r="E17" s="81"/>
      <c r="F17" s="82"/>
      <c r="G17" s="82">
        <v>18</v>
      </c>
      <c r="H17" s="83"/>
      <c r="I17" s="81"/>
      <c r="J17" s="82"/>
      <c r="K17" s="82">
        <v>18</v>
      </c>
      <c r="L17" s="83"/>
      <c r="M17" s="81"/>
      <c r="N17" s="82"/>
      <c r="O17" s="82" t="s">
        <v>211</v>
      </c>
      <c r="P17" s="83"/>
    </row>
    <row r="18" spans="1:16" s="90" customFormat="1" x14ac:dyDescent="0.25">
      <c r="A18" s="49"/>
      <c r="B18" s="98">
        <f>A18+Talents!C7</f>
        <v>0</v>
      </c>
      <c r="C18" s="98">
        <f>J31</f>
        <v>10</v>
      </c>
      <c r="D18" s="76" t="s">
        <v>216</v>
      </c>
      <c r="E18" s="77"/>
      <c r="F18" s="78">
        <v>19</v>
      </c>
      <c r="G18" s="78">
        <v>19</v>
      </c>
      <c r="H18" s="79"/>
      <c r="I18" s="77"/>
      <c r="J18" s="78"/>
      <c r="K18" s="78">
        <v>19</v>
      </c>
      <c r="L18" s="79"/>
      <c r="M18" s="77"/>
      <c r="N18" s="78">
        <v>19</v>
      </c>
      <c r="O18" s="78">
        <v>19</v>
      </c>
      <c r="P18" s="79"/>
    </row>
    <row r="19" spans="1:16" s="90" customFormat="1" x14ac:dyDescent="0.25">
      <c r="A19" s="49"/>
      <c r="B19" s="98">
        <f>A19+Talents!C7</f>
        <v>0</v>
      </c>
      <c r="C19" s="98">
        <f>J31</f>
        <v>10</v>
      </c>
      <c r="D19" s="76" t="s">
        <v>217</v>
      </c>
      <c r="E19" s="77"/>
      <c r="F19" s="78">
        <v>20</v>
      </c>
      <c r="G19" s="78">
        <v>20</v>
      </c>
      <c r="H19" s="79"/>
      <c r="I19" s="77"/>
      <c r="J19" s="78"/>
      <c r="K19" s="78">
        <v>20</v>
      </c>
      <c r="L19" s="79"/>
      <c r="M19" s="77"/>
      <c r="N19" s="78">
        <v>20</v>
      </c>
      <c r="O19" s="78">
        <v>20</v>
      </c>
      <c r="P19" s="79"/>
    </row>
    <row r="20" spans="1:16" x14ac:dyDescent="0.25">
      <c r="A20" s="49"/>
      <c r="B20" s="14">
        <f>A20+Talents!C7</f>
        <v>0</v>
      </c>
      <c r="C20" s="14">
        <f>I31</f>
        <v>20</v>
      </c>
      <c r="D20" s="71" t="s">
        <v>218</v>
      </c>
      <c r="E20" s="72"/>
      <c r="F20" s="74"/>
      <c r="G20" s="74"/>
      <c r="H20" s="75" t="s">
        <v>178</v>
      </c>
      <c r="I20" s="72"/>
      <c r="J20" s="74"/>
      <c r="K20" s="74"/>
      <c r="L20" s="75" t="s">
        <v>178</v>
      </c>
      <c r="M20" s="72"/>
      <c r="N20" s="74"/>
      <c r="O20" s="74"/>
      <c r="P20" s="75" t="s">
        <v>177</v>
      </c>
    </row>
    <row r="21" spans="1:16" x14ac:dyDescent="0.25">
      <c r="A21" s="49"/>
      <c r="B21" s="14">
        <f>A21+Talents!C7</f>
        <v>0</v>
      </c>
      <c r="C21" s="14">
        <f>I31</f>
        <v>20</v>
      </c>
      <c r="D21" s="71" t="s">
        <v>219</v>
      </c>
      <c r="E21" s="72"/>
      <c r="F21" s="74"/>
      <c r="G21" s="74"/>
      <c r="H21" s="75" t="s">
        <v>181</v>
      </c>
      <c r="I21" s="72"/>
      <c r="J21" s="74"/>
      <c r="K21" s="74"/>
      <c r="L21" s="75" t="s">
        <v>181</v>
      </c>
      <c r="M21" s="72"/>
      <c r="N21" s="74"/>
      <c r="O21" s="74"/>
      <c r="P21" s="75" t="s">
        <v>190</v>
      </c>
    </row>
    <row r="22" spans="1:16" x14ac:dyDescent="0.25">
      <c r="A22" s="49"/>
      <c r="B22" s="14">
        <f>A22</f>
        <v>0</v>
      </c>
      <c r="C22" s="14">
        <f>J31</f>
        <v>10</v>
      </c>
      <c r="D22" s="71" t="s">
        <v>220</v>
      </c>
      <c r="E22" s="72"/>
      <c r="F22" s="74"/>
      <c r="G22" s="74"/>
      <c r="H22" s="75" t="s">
        <v>183</v>
      </c>
      <c r="I22" s="72"/>
      <c r="J22" s="74"/>
      <c r="K22" s="74"/>
      <c r="L22" s="75" t="s">
        <v>183</v>
      </c>
      <c r="M22" s="72"/>
      <c r="N22" s="74"/>
      <c r="O22" s="74"/>
      <c r="P22" s="75">
        <v>7</v>
      </c>
    </row>
    <row r="23" spans="1:16" x14ac:dyDescent="0.25">
      <c r="A23" s="49"/>
      <c r="B23" s="14">
        <f>A23</f>
        <v>0</v>
      </c>
      <c r="C23" s="14">
        <f>J31</f>
        <v>10</v>
      </c>
      <c r="D23" s="71" t="s">
        <v>221</v>
      </c>
      <c r="E23" s="72"/>
      <c r="F23" s="74"/>
      <c r="G23" s="74"/>
      <c r="H23" s="75" t="s">
        <v>185</v>
      </c>
      <c r="I23" s="72"/>
      <c r="J23" s="74"/>
      <c r="K23" s="74"/>
      <c r="L23" s="75" t="s">
        <v>185</v>
      </c>
      <c r="M23" s="72"/>
      <c r="N23" s="74"/>
      <c r="O23" s="74"/>
      <c r="P23" s="75" t="s">
        <v>222</v>
      </c>
    </row>
    <row r="24" spans="1:16" x14ac:dyDescent="0.25">
      <c r="A24" s="49"/>
      <c r="B24" s="14">
        <f>A24+Talents!C7</f>
        <v>0</v>
      </c>
      <c r="C24" s="14">
        <f>TRUNC(0.75*I31)</f>
        <v>15</v>
      </c>
      <c r="D24" s="71" t="s">
        <v>223</v>
      </c>
      <c r="E24" s="72"/>
      <c r="F24" s="74"/>
      <c r="G24" s="74"/>
      <c r="H24" s="75" t="s">
        <v>224</v>
      </c>
      <c r="I24" s="72"/>
      <c r="J24" s="74"/>
      <c r="K24" s="74"/>
      <c r="L24" s="75" t="s">
        <v>224</v>
      </c>
      <c r="M24" s="72"/>
      <c r="N24" s="74"/>
      <c r="O24" s="74"/>
      <c r="P24" s="75" t="s">
        <v>196</v>
      </c>
    </row>
    <row r="25" spans="1:16" x14ac:dyDescent="0.25">
      <c r="A25" s="49"/>
      <c r="B25" s="14">
        <f>A25+Talents!C7</f>
        <v>0</v>
      </c>
      <c r="C25" s="14">
        <f>TRUNC(0.75*I31)</f>
        <v>15</v>
      </c>
      <c r="D25" s="71" t="s">
        <v>225</v>
      </c>
      <c r="E25" s="72"/>
      <c r="F25" s="74"/>
      <c r="G25" s="74"/>
      <c r="H25" s="75" t="s">
        <v>214</v>
      </c>
      <c r="I25" s="72"/>
      <c r="J25" s="74"/>
      <c r="K25" s="74"/>
      <c r="L25" s="75" t="s">
        <v>214</v>
      </c>
      <c r="M25" s="72"/>
      <c r="N25" s="74"/>
      <c r="O25" s="74"/>
      <c r="P25" s="75" t="s">
        <v>226</v>
      </c>
    </row>
    <row r="26" spans="1:16" x14ac:dyDescent="0.25">
      <c r="A26" s="49"/>
      <c r="B26" s="14">
        <f>A26+Talents!C7</f>
        <v>0</v>
      </c>
      <c r="C26" s="14">
        <f>J31</f>
        <v>10</v>
      </c>
      <c r="D26" s="71" t="s">
        <v>227</v>
      </c>
      <c r="E26" s="72"/>
      <c r="F26" s="74"/>
      <c r="G26" s="74"/>
      <c r="H26" s="75" t="s">
        <v>211</v>
      </c>
      <c r="I26" s="72"/>
      <c r="J26" s="74"/>
      <c r="K26" s="74"/>
      <c r="L26" s="75" t="s">
        <v>211</v>
      </c>
      <c r="M26" s="72"/>
      <c r="N26" s="74"/>
      <c r="O26" s="74"/>
      <c r="P26" s="75">
        <v>17</v>
      </c>
    </row>
    <row r="27" spans="1:16" ht="15.75" thickBot="1" x14ac:dyDescent="0.3">
      <c r="A27" s="94"/>
      <c r="B27" s="14">
        <f>A27+Talents!C7</f>
        <v>0</v>
      </c>
      <c r="C27" s="58">
        <f>J31</f>
        <v>10</v>
      </c>
      <c r="D27" s="84" t="s">
        <v>228</v>
      </c>
      <c r="E27" s="85"/>
      <c r="F27" s="86"/>
      <c r="G27" s="86"/>
      <c r="H27" s="87" t="s">
        <v>229</v>
      </c>
      <c r="I27" s="85"/>
      <c r="J27" s="86"/>
      <c r="K27" s="86"/>
      <c r="L27" s="87" t="s">
        <v>229</v>
      </c>
      <c r="M27" s="85"/>
      <c r="N27" s="86"/>
      <c r="O27" s="86"/>
      <c r="P27" s="87" t="s">
        <v>198</v>
      </c>
    </row>
    <row r="28" spans="1:16" ht="15.75" thickBot="1" x14ac:dyDescent="0.3">
      <c r="A28" s="211" t="s">
        <v>230</v>
      </c>
      <c r="B28" s="197"/>
      <c r="C28" s="197"/>
      <c r="D28" s="61">
        <f>SUM(A5:A27)</f>
        <v>0</v>
      </c>
      <c r="E28" s="20" t="s">
        <v>236</v>
      </c>
      <c r="F28" s="61">
        <f>TRUNC(D28/(5+5*Talents!C6))</f>
        <v>0</v>
      </c>
      <c r="G28" s="88"/>
      <c r="H28" s="88"/>
      <c r="I28" s="3"/>
      <c r="J28" s="88"/>
      <c r="K28" s="88"/>
      <c r="L28" s="88"/>
      <c r="M28" s="3"/>
      <c r="N28" s="88"/>
      <c r="O28" s="88"/>
      <c r="P28" s="88"/>
    </row>
    <row r="29" spans="1:16" ht="15.75" thickBot="1" x14ac:dyDescent="0.3"/>
    <row r="30" spans="1:16" ht="15.75" thickBot="1" x14ac:dyDescent="0.3">
      <c r="A30" s="211" t="s">
        <v>231</v>
      </c>
      <c r="B30" s="197"/>
      <c r="C30" s="197"/>
      <c r="D30" s="198"/>
      <c r="E30" s="211" t="s">
        <v>232</v>
      </c>
      <c r="F30" s="197"/>
      <c r="G30" s="197"/>
      <c r="H30" s="198"/>
      <c r="I30" s="89" t="s">
        <v>233</v>
      </c>
      <c r="J30" s="211" t="s">
        <v>234</v>
      </c>
      <c r="K30" s="197"/>
      <c r="L30" s="197"/>
      <c r="M30" s="198"/>
      <c r="N30" s="211" t="s">
        <v>235</v>
      </c>
      <c r="O30" s="197"/>
      <c r="P30" s="198"/>
    </row>
    <row r="31" spans="1:16" ht="15.75" thickBot="1" x14ac:dyDescent="0.3">
      <c r="A31" s="212">
        <f>TRUNC('Carac + Comp'!J4/5,0)+Talents!C9</f>
        <v>4</v>
      </c>
      <c r="B31" s="213"/>
      <c r="C31" s="213"/>
      <c r="D31" s="214"/>
      <c r="E31" s="231"/>
      <c r="F31" s="193"/>
      <c r="G31" s="193"/>
      <c r="H31" s="194"/>
      <c r="I31" s="223">
        <f>TRUNC(('Carac + Comp'!J4+'Carac + Comp'!J5)/2,0)</f>
        <v>20</v>
      </c>
      <c r="J31" s="225">
        <f>TRUNC(I31/2,0)</f>
        <v>10</v>
      </c>
      <c r="K31" s="226"/>
      <c r="L31" s="226"/>
      <c r="M31" s="227"/>
      <c r="N31" s="225">
        <f>-J31</f>
        <v>-10</v>
      </c>
      <c r="O31" s="226"/>
      <c r="P31" s="227"/>
    </row>
    <row r="32" spans="1:16" ht="15.75" thickBot="1" x14ac:dyDescent="0.3">
      <c r="A32" s="209"/>
      <c r="B32" s="173"/>
      <c r="C32" s="173"/>
      <c r="D32" s="174"/>
      <c r="E32" s="154"/>
      <c r="F32" s="155"/>
      <c r="G32" s="155"/>
      <c r="H32" s="195"/>
      <c r="I32" s="224"/>
      <c r="J32" s="228"/>
      <c r="K32" s="229"/>
      <c r="L32" s="229"/>
      <c r="M32" s="230"/>
      <c r="N32" s="228"/>
      <c r="O32" s="229"/>
      <c r="P32" s="230"/>
    </row>
    <row r="34" spans="1:16" ht="39.950000000000003" customHeight="1" x14ac:dyDescent="0.25">
      <c r="A34" s="210" t="s">
        <v>168</v>
      </c>
      <c r="B34" s="210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</row>
    <row r="35" spans="1:16" ht="39.950000000000003" customHeight="1" thickBot="1" x14ac:dyDescent="0.3"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</row>
    <row r="36" spans="1:16" ht="15.75" thickBot="1" x14ac:dyDescent="0.3">
      <c r="F36" s="163" t="s">
        <v>169</v>
      </c>
      <c r="G36" s="164"/>
      <c r="H36" s="182"/>
      <c r="J36" s="163" t="s">
        <v>169</v>
      </c>
      <c r="K36" s="164"/>
      <c r="L36" s="182"/>
      <c r="N36" s="163" t="s">
        <v>169</v>
      </c>
      <c r="O36" s="164"/>
      <c r="P36" s="182"/>
    </row>
    <row r="37" spans="1:16" x14ac:dyDescent="0.25">
      <c r="A37" s="65" t="s">
        <v>170</v>
      </c>
      <c r="B37" s="66" t="s">
        <v>171</v>
      </c>
      <c r="C37" s="66" t="s">
        <v>172</v>
      </c>
      <c r="D37" s="67"/>
      <c r="E37" s="68"/>
      <c r="F37" s="69" t="s">
        <v>173</v>
      </c>
      <c r="G37" s="69" t="s">
        <v>174</v>
      </c>
      <c r="H37" s="70" t="s">
        <v>175</v>
      </c>
      <c r="I37" s="68"/>
      <c r="J37" s="69" t="s">
        <v>173</v>
      </c>
      <c r="K37" s="69" t="s">
        <v>174</v>
      </c>
      <c r="L37" s="70" t="s">
        <v>175</v>
      </c>
      <c r="M37" s="68"/>
      <c r="N37" s="69" t="s">
        <v>173</v>
      </c>
      <c r="O37" s="69" t="s">
        <v>174</v>
      </c>
      <c r="P37" s="70" t="s">
        <v>175</v>
      </c>
    </row>
    <row r="38" spans="1:16" x14ac:dyDescent="0.25">
      <c r="A38" s="49"/>
      <c r="B38" s="14">
        <f>A38+Talents!C7</f>
        <v>0</v>
      </c>
      <c r="C38" s="14">
        <f>TRUNC(0.75*I64)</f>
        <v>15</v>
      </c>
      <c r="D38" s="71" t="s">
        <v>176</v>
      </c>
      <c r="E38" s="72"/>
      <c r="F38" s="73" t="s">
        <v>177</v>
      </c>
      <c r="G38" s="74"/>
      <c r="H38" s="75"/>
      <c r="I38" s="72"/>
      <c r="J38" s="74" t="s">
        <v>178</v>
      </c>
      <c r="K38" s="74"/>
      <c r="L38" s="75"/>
      <c r="M38" s="72"/>
      <c r="N38" s="74" t="s">
        <v>177</v>
      </c>
      <c r="O38" s="74"/>
      <c r="P38" s="75"/>
    </row>
    <row r="39" spans="1:16" x14ac:dyDescent="0.25">
      <c r="A39" s="49"/>
      <c r="B39" s="14">
        <f>A39</f>
        <v>0</v>
      </c>
      <c r="C39" s="14">
        <f>J64</f>
        <v>10</v>
      </c>
      <c r="D39" s="71" t="s">
        <v>179</v>
      </c>
      <c r="E39" s="72"/>
      <c r="F39" s="74" t="s">
        <v>180</v>
      </c>
      <c r="G39" s="74"/>
      <c r="H39" s="75"/>
      <c r="I39" s="72"/>
      <c r="J39" s="74" t="s">
        <v>181</v>
      </c>
      <c r="K39" s="74"/>
      <c r="L39" s="75"/>
      <c r="M39" s="72"/>
      <c r="N39" s="74" t="s">
        <v>180</v>
      </c>
      <c r="O39" s="74"/>
      <c r="P39" s="75"/>
    </row>
    <row r="40" spans="1:16" x14ac:dyDescent="0.25">
      <c r="A40" s="49"/>
      <c r="B40" s="14">
        <f>A40+Talents!C7</f>
        <v>0</v>
      </c>
      <c r="C40" s="98">
        <f>I64</f>
        <v>20</v>
      </c>
      <c r="D40" s="76" t="s">
        <v>182</v>
      </c>
      <c r="E40" s="77"/>
      <c r="F40" s="78">
        <v>5</v>
      </c>
      <c r="G40" s="78">
        <v>1</v>
      </c>
      <c r="H40" s="79"/>
      <c r="I40" s="77"/>
      <c r="J40" s="78" t="s">
        <v>183</v>
      </c>
      <c r="K40" s="78">
        <v>1</v>
      </c>
      <c r="L40" s="79"/>
      <c r="M40" s="77"/>
      <c r="N40" s="78"/>
      <c r="O40" s="78"/>
      <c r="P40" s="79"/>
    </row>
    <row r="41" spans="1:16" x14ac:dyDescent="0.25">
      <c r="A41" s="49"/>
      <c r="B41" s="14">
        <f>A41+Talents!C7</f>
        <v>0</v>
      </c>
      <c r="C41" s="98">
        <f>I64</f>
        <v>20</v>
      </c>
      <c r="D41" s="76" t="s">
        <v>184</v>
      </c>
      <c r="E41" s="77"/>
      <c r="F41" s="78">
        <v>6</v>
      </c>
      <c r="G41" s="78">
        <v>2</v>
      </c>
      <c r="H41" s="79"/>
      <c r="I41" s="77"/>
      <c r="J41" s="78" t="s">
        <v>185</v>
      </c>
      <c r="K41" s="78">
        <v>2</v>
      </c>
      <c r="L41" s="79"/>
      <c r="M41" s="77"/>
      <c r="N41" s="78" t="s">
        <v>186</v>
      </c>
      <c r="O41" s="78" t="s">
        <v>177</v>
      </c>
      <c r="P41" s="79"/>
    </row>
    <row r="42" spans="1:16" x14ac:dyDescent="0.25">
      <c r="A42" s="49"/>
      <c r="B42" s="14">
        <f>A42+Talents!C7</f>
        <v>0</v>
      </c>
      <c r="C42" s="14">
        <f>I64</f>
        <v>20</v>
      </c>
      <c r="D42" s="71" t="s">
        <v>187</v>
      </c>
      <c r="E42" s="72"/>
      <c r="F42" s="74" t="s">
        <v>183</v>
      </c>
      <c r="G42" s="74" t="s">
        <v>188</v>
      </c>
      <c r="H42" s="75"/>
      <c r="I42" s="72"/>
      <c r="J42" s="74" t="s">
        <v>189</v>
      </c>
      <c r="K42" s="74" t="s">
        <v>190</v>
      </c>
      <c r="L42" s="75"/>
      <c r="M42" s="72"/>
      <c r="N42" s="74" t="s">
        <v>191</v>
      </c>
      <c r="O42" s="74" t="s">
        <v>188</v>
      </c>
      <c r="P42" s="75"/>
    </row>
    <row r="43" spans="1:16" x14ac:dyDescent="0.25">
      <c r="A43" s="49"/>
      <c r="B43" s="14">
        <f>A43+Talents!C7</f>
        <v>0</v>
      </c>
      <c r="C43" s="98">
        <f>I64</f>
        <v>20</v>
      </c>
      <c r="D43" s="76" t="s">
        <v>192</v>
      </c>
      <c r="E43" s="77"/>
      <c r="F43" s="78" t="s">
        <v>185</v>
      </c>
      <c r="G43" s="78" t="s">
        <v>193</v>
      </c>
      <c r="H43" s="79"/>
      <c r="I43" s="77"/>
      <c r="J43" s="78" t="s">
        <v>194</v>
      </c>
      <c r="K43" s="78" t="s">
        <v>183</v>
      </c>
      <c r="L43" s="79"/>
      <c r="M43" s="77"/>
      <c r="N43" s="78"/>
      <c r="O43" s="78"/>
      <c r="P43" s="79"/>
    </row>
    <row r="44" spans="1:16" x14ac:dyDescent="0.25">
      <c r="A44" s="49"/>
      <c r="B44" s="14">
        <f>A44+Talents!C7</f>
        <v>0</v>
      </c>
      <c r="C44" s="98">
        <f>I64</f>
        <v>20</v>
      </c>
      <c r="D44" s="76" t="s">
        <v>195</v>
      </c>
      <c r="E44" s="77"/>
      <c r="F44" s="78" t="s">
        <v>196</v>
      </c>
      <c r="G44" s="78" t="s">
        <v>197</v>
      </c>
      <c r="H44" s="79"/>
      <c r="I44" s="77"/>
      <c r="J44" s="78" t="s">
        <v>198</v>
      </c>
      <c r="K44" s="78" t="s">
        <v>185</v>
      </c>
      <c r="L44" s="79"/>
      <c r="M44" s="77"/>
      <c r="N44" s="78" t="s">
        <v>199</v>
      </c>
      <c r="O44" s="78" t="s">
        <v>200</v>
      </c>
      <c r="P44" s="79"/>
    </row>
    <row r="45" spans="1:16" x14ac:dyDescent="0.25">
      <c r="A45" s="49"/>
      <c r="B45" s="14">
        <f>A45</f>
        <v>0</v>
      </c>
      <c r="C45" s="98">
        <f>J64</f>
        <v>10</v>
      </c>
      <c r="D45" s="76" t="s">
        <v>201</v>
      </c>
      <c r="E45" s="77"/>
      <c r="F45" s="78">
        <v>13</v>
      </c>
      <c r="G45" s="78">
        <v>10</v>
      </c>
      <c r="H45" s="79"/>
      <c r="I45" s="77"/>
      <c r="J45" s="78"/>
      <c r="K45" s="78">
        <v>11</v>
      </c>
      <c r="L45" s="79"/>
      <c r="M45" s="77"/>
      <c r="N45" s="78"/>
      <c r="O45" s="78"/>
      <c r="P45" s="79"/>
    </row>
    <row r="46" spans="1:16" x14ac:dyDescent="0.25">
      <c r="A46" s="49"/>
      <c r="B46" s="14">
        <f>A46</f>
        <v>0</v>
      </c>
      <c r="C46" s="98">
        <f>J64</f>
        <v>10</v>
      </c>
      <c r="D46" s="76" t="s">
        <v>202</v>
      </c>
      <c r="E46" s="77"/>
      <c r="F46" s="78">
        <v>14</v>
      </c>
      <c r="G46" s="78">
        <v>11</v>
      </c>
      <c r="H46" s="79"/>
      <c r="I46" s="77"/>
      <c r="J46" s="78"/>
      <c r="K46" s="78">
        <v>12</v>
      </c>
      <c r="L46" s="79"/>
      <c r="M46" s="77"/>
      <c r="N46" s="78">
        <v>13</v>
      </c>
      <c r="O46" s="78">
        <v>9</v>
      </c>
      <c r="P46" s="79"/>
    </row>
    <row r="47" spans="1:16" x14ac:dyDescent="0.25">
      <c r="A47" s="49"/>
      <c r="B47" s="14">
        <f>A47+Talents!C7</f>
        <v>0</v>
      </c>
      <c r="C47" s="14">
        <f>I64</f>
        <v>20</v>
      </c>
      <c r="D47" s="71" t="s">
        <v>203</v>
      </c>
      <c r="E47" s="72"/>
      <c r="F47" s="74"/>
      <c r="G47" s="74" t="s">
        <v>204</v>
      </c>
      <c r="H47" s="75"/>
      <c r="I47" s="72"/>
      <c r="J47" s="74"/>
      <c r="K47" s="74" t="s">
        <v>205</v>
      </c>
      <c r="L47" s="75"/>
      <c r="M47" s="72"/>
      <c r="N47" s="74"/>
      <c r="O47" s="74" t="s">
        <v>206</v>
      </c>
      <c r="P47" s="75"/>
    </row>
    <row r="48" spans="1:16" x14ac:dyDescent="0.25">
      <c r="A48" s="49"/>
      <c r="B48" s="14">
        <f>A48+Talents!C7</f>
        <v>0</v>
      </c>
      <c r="C48" s="98">
        <f>TRUNC(0.75*I64)</f>
        <v>15</v>
      </c>
      <c r="D48" s="76" t="s">
        <v>207</v>
      </c>
      <c r="E48" s="77"/>
      <c r="F48" s="78" t="s">
        <v>208</v>
      </c>
      <c r="G48" s="78" t="s">
        <v>209</v>
      </c>
      <c r="H48" s="79"/>
      <c r="I48" s="77"/>
      <c r="J48" s="78"/>
      <c r="K48" s="78">
        <v>16</v>
      </c>
      <c r="L48" s="79"/>
      <c r="M48" s="77"/>
      <c r="N48" s="78" t="s">
        <v>209</v>
      </c>
      <c r="O48" s="78" t="s">
        <v>204</v>
      </c>
      <c r="P48" s="79"/>
    </row>
    <row r="49" spans="1:16" x14ac:dyDescent="0.25">
      <c r="A49" s="49"/>
      <c r="B49" s="14">
        <f>A49+Talents!C7</f>
        <v>0</v>
      </c>
      <c r="C49" s="98">
        <f>TRUNC(0.75*I64)</f>
        <v>15</v>
      </c>
      <c r="D49" s="76" t="s">
        <v>210</v>
      </c>
      <c r="E49" s="77"/>
      <c r="F49" s="78" t="s">
        <v>211</v>
      </c>
      <c r="G49" s="78" t="s">
        <v>212</v>
      </c>
      <c r="H49" s="79"/>
      <c r="I49" s="77"/>
      <c r="J49" s="78"/>
      <c r="K49" s="78">
        <v>17</v>
      </c>
      <c r="L49" s="79"/>
      <c r="M49" s="77"/>
      <c r="N49" s="78" t="s">
        <v>213</v>
      </c>
      <c r="O49" s="78" t="s">
        <v>214</v>
      </c>
      <c r="P49" s="79"/>
    </row>
    <row r="50" spans="1:16" x14ac:dyDescent="0.25">
      <c r="A50" s="49"/>
      <c r="B50" s="14">
        <f>A50+Talents!C7</f>
        <v>0</v>
      </c>
      <c r="C50" s="14">
        <f>I64</f>
        <v>20</v>
      </c>
      <c r="D50" s="71" t="s">
        <v>215</v>
      </c>
      <c r="E50" s="72"/>
      <c r="F50" s="74"/>
      <c r="G50" s="74">
        <v>18</v>
      </c>
      <c r="H50" s="75"/>
      <c r="I50" s="72"/>
      <c r="J50" s="74"/>
      <c r="K50" s="74">
        <v>18</v>
      </c>
      <c r="L50" s="75"/>
      <c r="M50" s="72"/>
      <c r="N50" s="74"/>
      <c r="O50" s="74" t="s">
        <v>211</v>
      </c>
      <c r="P50" s="75"/>
    </row>
    <row r="51" spans="1:16" x14ac:dyDescent="0.25">
      <c r="A51" s="49"/>
      <c r="B51" s="14">
        <f>A51+Talents!C7</f>
        <v>0</v>
      </c>
      <c r="C51" s="98">
        <f>J64</f>
        <v>10</v>
      </c>
      <c r="D51" s="76" t="s">
        <v>216</v>
      </c>
      <c r="E51" s="77"/>
      <c r="F51" s="78">
        <v>19</v>
      </c>
      <c r="G51" s="78">
        <v>19</v>
      </c>
      <c r="H51" s="79"/>
      <c r="I51" s="77"/>
      <c r="J51" s="78"/>
      <c r="K51" s="78">
        <v>19</v>
      </c>
      <c r="L51" s="79"/>
      <c r="M51" s="77"/>
      <c r="N51" s="78">
        <v>19</v>
      </c>
      <c r="O51" s="78">
        <v>19</v>
      </c>
      <c r="P51" s="79"/>
    </row>
    <row r="52" spans="1:16" x14ac:dyDescent="0.25">
      <c r="A52" s="49"/>
      <c r="B52" s="14">
        <f>A52+Talents!C7</f>
        <v>0</v>
      </c>
      <c r="C52" s="98">
        <f>J64</f>
        <v>10</v>
      </c>
      <c r="D52" s="76" t="s">
        <v>217</v>
      </c>
      <c r="E52" s="77"/>
      <c r="F52" s="78">
        <v>20</v>
      </c>
      <c r="G52" s="78">
        <v>20</v>
      </c>
      <c r="H52" s="79"/>
      <c r="I52" s="77"/>
      <c r="J52" s="78"/>
      <c r="K52" s="78">
        <v>20</v>
      </c>
      <c r="L52" s="79"/>
      <c r="M52" s="77"/>
      <c r="N52" s="78">
        <v>20</v>
      </c>
      <c r="O52" s="78">
        <v>20</v>
      </c>
      <c r="P52" s="79"/>
    </row>
    <row r="53" spans="1:16" x14ac:dyDescent="0.25">
      <c r="A53" s="49"/>
      <c r="B53" s="14">
        <f>A53+Talents!C7</f>
        <v>0</v>
      </c>
      <c r="C53" s="14">
        <f>I64</f>
        <v>20</v>
      </c>
      <c r="D53" s="71" t="s">
        <v>218</v>
      </c>
      <c r="E53" s="72"/>
      <c r="F53" s="74"/>
      <c r="G53" s="74"/>
      <c r="H53" s="75" t="s">
        <v>178</v>
      </c>
      <c r="I53" s="72"/>
      <c r="J53" s="74"/>
      <c r="K53" s="74"/>
      <c r="L53" s="75" t="s">
        <v>178</v>
      </c>
      <c r="M53" s="72"/>
      <c r="N53" s="74"/>
      <c r="O53" s="74"/>
      <c r="P53" s="75" t="s">
        <v>177</v>
      </c>
    </row>
    <row r="54" spans="1:16" x14ac:dyDescent="0.25">
      <c r="A54" s="49"/>
      <c r="B54" s="14">
        <f>A54+Talents!C7</f>
        <v>0</v>
      </c>
      <c r="C54" s="14">
        <f>I64</f>
        <v>20</v>
      </c>
      <c r="D54" s="71" t="s">
        <v>219</v>
      </c>
      <c r="E54" s="72"/>
      <c r="F54" s="74"/>
      <c r="G54" s="74"/>
      <c r="H54" s="75" t="s">
        <v>181</v>
      </c>
      <c r="I54" s="72"/>
      <c r="J54" s="74"/>
      <c r="K54" s="74"/>
      <c r="L54" s="75" t="s">
        <v>181</v>
      </c>
      <c r="M54" s="72"/>
      <c r="N54" s="74"/>
      <c r="O54" s="74"/>
      <c r="P54" s="75" t="s">
        <v>190</v>
      </c>
    </row>
    <row r="55" spans="1:16" x14ac:dyDescent="0.25">
      <c r="A55" s="49"/>
      <c r="B55" s="14">
        <f>A55</f>
        <v>0</v>
      </c>
      <c r="C55" s="14">
        <f>J64</f>
        <v>10</v>
      </c>
      <c r="D55" s="71" t="s">
        <v>220</v>
      </c>
      <c r="E55" s="72"/>
      <c r="F55" s="74"/>
      <c r="G55" s="74"/>
      <c r="H55" s="75" t="s">
        <v>183</v>
      </c>
      <c r="I55" s="72"/>
      <c r="J55" s="74"/>
      <c r="K55" s="74"/>
      <c r="L55" s="75" t="s">
        <v>183</v>
      </c>
      <c r="M55" s="72"/>
      <c r="N55" s="74"/>
      <c r="O55" s="74"/>
      <c r="P55" s="75">
        <v>7</v>
      </c>
    </row>
    <row r="56" spans="1:16" x14ac:dyDescent="0.25">
      <c r="A56" s="49"/>
      <c r="B56" s="14">
        <f>A56</f>
        <v>0</v>
      </c>
      <c r="C56" s="14">
        <f>J64</f>
        <v>10</v>
      </c>
      <c r="D56" s="71" t="s">
        <v>221</v>
      </c>
      <c r="E56" s="72"/>
      <c r="F56" s="74"/>
      <c r="G56" s="74"/>
      <c r="H56" s="75" t="s">
        <v>185</v>
      </c>
      <c r="I56" s="72"/>
      <c r="J56" s="74"/>
      <c r="K56" s="74"/>
      <c r="L56" s="75" t="s">
        <v>185</v>
      </c>
      <c r="M56" s="72"/>
      <c r="N56" s="74"/>
      <c r="O56" s="74"/>
      <c r="P56" s="75" t="s">
        <v>222</v>
      </c>
    </row>
    <row r="57" spans="1:16" x14ac:dyDescent="0.25">
      <c r="A57" s="49"/>
      <c r="B57" s="14">
        <f>A57+Talents!C7</f>
        <v>0</v>
      </c>
      <c r="C57" s="14">
        <f>TRUNC(0.75*I64)</f>
        <v>15</v>
      </c>
      <c r="D57" s="71" t="s">
        <v>223</v>
      </c>
      <c r="E57" s="72"/>
      <c r="F57" s="74"/>
      <c r="G57" s="74"/>
      <c r="H57" s="75" t="s">
        <v>224</v>
      </c>
      <c r="I57" s="72"/>
      <c r="J57" s="74"/>
      <c r="K57" s="74"/>
      <c r="L57" s="75" t="s">
        <v>224</v>
      </c>
      <c r="M57" s="72"/>
      <c r="N57" s="74"/>
      <c r="O57" s="74"/>
      <c r="P57" s="75" t="s">
        <v>196</v>
      </c>
    </row>
    <row r="58" spans="1:16" x14ac:dyDescent="0.25">
      <c r="A58" s="49"/>
      <c r="B58" s="14">
        <f>A58+Talents!C7</f>
        <v>0</v>
      </c>
      <c r="C58" s="14">
        <f>TRUNC(0.75*I64)</f>
        <v>15</v>
      </c>
      <c r="D58" s="71" t="s">
        <v>225</v>
      </c>
      <c r="E58" s="72"/>
      <c r="F58" s="74"/>
      <c r="G58" s="74"/>
      <c r="H58" s="75" t="s">
        <v>214</v>
      </c>
      <c r="I58" s="72"/>
      <c r="J58" s="74"/>
      <c r="K58" s="74"/>
      <c r="L58" s="75" t="s">
        <v>214</v>
      </c>
      <c r="M58" s="72"/>
      <c r="N58" s="74"/>
      <c r="O58" s="74"/>
      <c r="P58" s="75" t="s">
        <v>226</v>
      </c>
    </row>
    <row r="59" spans="1:16" x14ac:dyDescent="0.25">
      <c r="A59" s="49"/>
      <c r="B59" s="14">
        <f>A59+Talents!C7</f>
        <v>0</v>
      </c>
      <c r="C59" s="14">
        <f>J64</f>
        <v>10</v>
      </c>
      <c r="D59" s="71" t="s">
        <v>227</v>
      </c>
      <c r="E59" s="72"/>
      <c r="F59" s="74"/>
      <c r="G59" s="74"/>
      <c r="H59" s="75" t="s">
        <v>211</v>
      </c>
      <c r="I59" s="72"/>
      <c r="J59" s="74"/>
      <c r="K59" s="74"/>
      <c r="L59" s="75" t="s">
        <v>211</v>
      </c>
      <c r="M59" s="72"/>
      <c r="N59" s="74"/>
      <c r="O59" s="74"/>
      <c r="P59" s="75">
        <v>17</v>
      </c>
    </row>
    <row r="60" spans="1:16" ht="15.75" thickBot="1" x14ac:dyDescent="0.3">
      <c r="A60" s="94"/>
      <c r="B60" s="14">
        <f>A60+Talents!C7</f>
        <v>0</v>
      </c>
      <c r="C60" s="58">
        <f>J64</f>
        <v>10</v>
      </c>
      <c r="D60" s="84" t="s">
        <v>228</v>
      </c>
      <c r="E60" s="85"/>
      <c r="F60" s="86"/>
      <c r="G60" s="86"/>
      <c r="H60" s="87" t="s">
        <v>229</v>
      </c>
      <c r="I60" s="85"/>
      <c r="J60" s="86"/>
      <c r="K60" s="86"/>
      <c r="L60" s="87" t="s">
        <v>229</v>
      </c>
      <c r="M60" s="85"/>
      <c r="N60" s="86"/>
      <c r="O60" s="86"/>
      <c r="P60" s="87" t="s">
        <v>198</v>
      </c>
    </row>
    <row r="61" spans="1:16" ht="15.75" thickBot="1" x14ac:dyDescent="0.3">
      <c r="A61" s="211" t="s">
        <v>230</v>
      </c>
      <c r="B61" s="197"/>
      <c r="C61" s="197"/>
      <c r="D61" s="61">
        <f>SUM(A38:A60)</f>
        <v>0</v>
      </c>
      <c r="E61" s="20" t="s">
        <v>236</v>
      </c>
      <c r="F61" s="61">
        <f>TRUNC(D61/(5+5*Talents!C6))</f>
        <v>0</v>
      </c>
    </row>
    <row r="62" spans="1:16" ht="15.75" thickBot="1" x14ac:dyDescent="0.3"/>
    <row r="63" spans="1:16" ht="15.75" thickBot="1" x14ac:dyDescent="0.3">
      <c r="A63" s="211" t="s">
        <v>231</v>
      </c>
      <c r="B63" s="197"/>
      <c r="C63" s="197"/>
      <c r="D63" s="198"/>
      <c r="E63" s="211" t="s">
        <v>232</v>
      </c>
      <c r="F63" s="197"/>
      <c r="G63" s="197"/>
      <c r="H63" s="198"/>
      <c r="I63" s="89" t="s">
        <v>233</v>
      </c>
      <c r="J63" s="211" t="s">
        <v>234</v>
      </c>
      <c r="K63" s="197"/>
      <c r="L63" s="197"/>
      <c r="M63" s="198"/>
      <c r="N63" s="211" t="s">
        <v>235</v>
      </c>
      <c r="O63" s="197"/>
      <c r="P63" s="198"/>
    </row>
    <row r="64" spans="1:16" ht="15.75" thickBot="1" x14ac:dyDescent="0.3">
      <c r="A64" s="211">
        <f>TRUNC('Carac + Comp'!J4/5,0)+Talents!C9</f>
        <v>4</v>
      </c>
      <c r="B64" s="197"/>
      <c r="C64" s="197"/>
      <c r="D64" s="198"/>
      <c r="E64" s="231"/>
      <c r="F64" s="193"/>
      <c r="G64" s="193"/>
      <c r="H64" s="194"/>
      <c r="I64" s="215">
        <f>TRUNC(('Carac + Comp'!J4+'Carac + Comp'!J5)/2,0)</f>
        <v>20</v>
      </c>
      <c r="J64" s="217">
        <f>TRUNC(I64/2,0)</f>
        <v>10</v>
      </c>
      <c r="K64" s="218"/>
      <c r="L64" s="218"/>
      <c r="M64" s="219"/>
      <c r="N64" s="217">
        <f>-J64</f>
        <v>-10</v>
      </c>
      <c r="O64" s="218"/>
      <c r="P64" s="219"/>
    </row>
    <row r="65" spans="1:16" ht="15.75" thickBot="1" x14ac:dyDescent="0.3">
      <c r="A65" s="209"/>
      <c r="B65" s="173"/>
      <c r="C65" s="173"/>
      <c r="D65" s="174"/>
      <c r="E65" s="154"/>
      <c r="F65" s="155"/>
      <c r="G65" s="155"/>
      <c r="H65" s="195"/>
      <c r="I65" s="216"/>
      <c r="J65" s="220"/>
      <c r="K65" s="221"/>
      <c r="L65" s="221"/>
      <c r="M65" s="222"/>
      <c r="N65" s="220"/>
      <c r="O65" s="221"/>
      <c r="P65" s="222"/>
    </row>
  </sheetData>
  <mergeCells count="30">
    <mergeCell ref="N63:P63"/>
    <mergeCell ref="N64:P65"/>
    <mergeCell ref="F36:H36"/>
    <mergeCell ref="J36:L36"/>
    <mergeCell ref="N36:P36"/>
    <mergeCell ref="A65:D65"/>
    <mergeCell ref="A61:C61"/>
    <mergeCell ref="A63:D63"/>
    <mergeCell ref="E63:H63"/>
    <mergeCell ref="J63:M63"/>
    <mergeCell ref="A64:D64"/>
    <mergeCell ref="I64:I65"/>
    <mergeCell ref="J64:M65"/>
    <mergeCell ref="E64:H65"/>
    <mergeCell ref="A32:D32"/>
    <mergeCell ref="A34:P34"/>
    <mergeCell ref="A1:P1"/>
    <mergeCell ref="F3:H3"/>
    <mergeCell ref="J3:L3"/>
    <mergeCell ref="N3:P3"/>
    <mergeCell ref="A28:C28"/>
    <mergeCell ref="A30:D30"/>
    <mergeCell ref="E30:H30"/>
    <mergeCell ref="J30:M30"/>
    <mergeCell ref="N30:P30"/>
    <mergeCell ref="A31:D31"/>
    <mergeCell ref="I31:I32"/>
    <mergeCell ref="J31:M32"/>
    <mergeCell ref="N31:P32"/>
    <mergeCell ref="E31:H32"/>
  </mergeCells>
  <pageMargins left="0.19685039370078741" right="0.19685039370078741" top="0.19685039370078741" bottom="0.19685039370078741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/>
  </sheetViews>
  <sheetFormatPr baseColWidth="10" defaultRowHeight="15" x14ac:dyDescent="0.25"/>
  <cols>
    <col min="1" max="1" width="29.42578125" customWidth="1"/>
    <col min="2" max="2" width="46.42578125" style="113" customWidth="1"/>
    <col min="3" max="3" width="9.7109375" style="122" customWidth="1"/>
    <col min="4" max="9" width="9.7109375" style="113" customWidth="1"/>
  </cols>
  <sheetData>
    <row r="1" spans="1:9" s="90" customFormat="1" ht="15.75" thickBot="1" x14ac:dyDescent="0.3">
      <c r="B1" s="104"/>
      <c r="C1" s="119" t="s">
        <v>279</v>
      </c>
      <c r="D1" s="105" t="s">
        <v>239</v>
      </c>
      <c r="E1" s="105" t="s">
        <v>240</v>
      </c>
      <c r="F1" s="92" t="s">
        <v>241</v>
      </c>
      <c r="G1" s="105" t="s">
        <v>242</v>
      </c>
      <c r="H1" s="93" t="s">
        <v>243</v>
      </c>
      <c r="I1" s="105" t="s">
        <v>244</v>
      </c>
    </row>
    <row r="2" spans="1:9" s="90" customFormat="1" x14ac:dyDescent="0.25">
      <c r="A2" s="124" t="s">
        <v>286</v>
      </c>
      <c r="B2" s="127">
        <v>0.02</v>
      </c>
      <c r="C2" s="120"/>
      <c r="D2" s="106" t="s">
        <v>247</v>
      </c>
      <c r="E2" s="106" t="s">
        <v>246</v>
      </c>
      <c r="F2" s="107" t="s">
        <v>247</v>
      </c>
      <c r="G2" s="106" t="s">
        <v>248</v>
      </c>
      <c r="H2" s="108" t="s">
        <v>246</v>
      </c>
      <c r="I2" s="106" t="s">
        <v>245</v>
      </c>
    </row>
    <row r="3" spans="1:9" s="90" customFormat="1" x14ac:dyDescent="0.25">
      <c r="A3" s="109" t="s">
        <v>249</v>
      </c>
      <c r="B3" s="110" t="s">
        <v>250</v>
      </c>
      <c r="C3" s="120"/>
      <c r="D3" s="106" t="s">
        <v>247</v>
      </c>
      <c r="E3" s="106" t="s">
        <v>246</v>
      </c>
      <c r="F3" s="107" t="s">
        <v>247</v>
      </c>
      <c r="G3" s="106" t="s">
        <v>248</v>
      </c>
      <c r="H3" s="108" t="s">
        <v>246</v>
      </c>
      <c r="I3" s="106" t="s">
        <v>245</v>
      </c>
    </row>
    <row r="4" spans="1:9" s="90" customFormat="1" x14ac:dyDescent="0.25">
      <c r="A4" s="114" t="s">
        <v>251</v>
      </c>
      <c r="B4" s="115" t="s">
        <v>252</v>
      </c>
      <c r="C4" s="120"/>
      <c r="D4" s="116" t="s">
        <v>247</v>
      </c>
      <c r="E4" s="116" t="s">
        <v>248</v>
      </c>
      <c r="F4" s="117" t="s">
        <v>246</v>
      </c>
      <c r="G4" s="116" t="s">
        <v>248</v>
      </c>
      <c r="H4" s="118" t="s">
        <v>248</v>
      </c>
      <c r="I4" s="116" t="s">
        <v>247</v>
      </c>
    </row>
    <row r="5" spans="1:9" s="90" customFormat="1" x14ac:dyDescent="0.25">
      <c r="A5" s="125" t="s">
        <v>287</v>
      </c>
      <c r="B5" s="128">
        <v>1</v>
      </c>
      <c r="C5" s="120"/>
      <c r="D5" s="106" t="s">
        <v>248</v>
      </c>
      <c r="E5" s="106" t="s">
        <v>247</v>
      </c>
      <c r="F5" s="107" t="s">
        <v>247</v>
      </c>
      <c r="G5" s="106" t="s">
        <v>253</v>
      </c>
      <c r="H5" s="108" t="s">
        <v>247</v>
      </c>
      <c r="I5" s="106" t="s">
        <v>248</v>
      </c>
    </row>
    <row r="6" spans="1:9" s="90" customFormat="1" x14ac:dyDescent="0.25">
      <c r="A6" s="125" t="s">
        <v>288</v>
      </c>
      <c r="B6" s="128" t="s">
        <v>254</v>
      </c>
      <c r="C6" s="120"/>
      <c r="D6" s="106" t="s">
        <v>248</v>
      </c>
      <c r="E6" s="106" t="s">
        <v>247</v>
      </c>
      <c r="F6" s="107" t="s">
        <v>247</v>
      </c>
      <c r="G6" s="106" t="s">
        <v>253</v>
      </c>
      <c r="H6" s="108" t="s">
        <v>247</v>
      </c>
      <c r="I6" s="106" t="s">
        <v>248</v>
      </c>
    </row>
    <row r="7" spans="1:9" s="90" customFormat="1" x14ac:dyDescent="0.25">
      <c r="A7" s="126" t="s">
        <v>289</v>
      </c>
      <c r="B7" s="129" t="s">
        <v>255</v>
      </c>
      <c r="C7" s="120"/>
      <c r="D7" s="116" t="s">
        <v>248</v>
      </c>
      <c r="E7" s="116" t="s">
        <v>246</v>
      </c>
      <c r="F7" s="117" t="s">
        <v>246</v>
      </c>
      <c r="G7" s="116" t="s">
        <v>247</v>
      </c>
      <c r="H7" s="118" t="s">
        <v>247</v>
      </c>
      <c r="I7" s="116" t="s">
        <v>248</v>
      </c>
    </row>
    <row r="8" spans="1:9" s="90" customFormat="1" x14ac:dyDescent="0.25">
      <c r="A8" s="125" t="s">
        <v>290</v>
      </c>
      <c r="B8" s="128">
        <v>5</v>
      </c>
      <c r="C8" s="120"/>
      <c r="D8" s="106" t="s">
        <v>253</v>
      </c>
      <c r="E8" s="106" t="s">
        <v>246</v>
      </c>
      <c r="F8" s="107" t="s">
        <v>247</v>
      </c>
      <c r="G8" s="106" t="s">
        <v>248</v>
      </c>
      <c r="H8" s="108" t="s">
        <v>246</v>
      </c>
      <c r="I8" s="106" t="s">
        <v>245</v>
      </c>
    </row>
    <row r="9" spans="1:9" s="90" customFormat="1" x14ac:dyDescent="0.25">
      <c r="A9" s="125" t="s">
        <v>291</v>
      </c>
      <c r="B9" s="128" t="s">
        <v>256</v>
      </c>
      <c r="C9" s="120"/>
      <c r="D9" s="106" t="s">
        <v>248</v>
      </c>
      <c r="E9" s="106" t="s">
        <v>253</v>
      </c>
      <c r="F9" s="107" t="s">
        <v>247</v>
      </c>
      <c r="G9" s="106" t="s">
        <v>253</v>
      </c>
      <c r="H9" s="108" t="s">
        <v>253</v>
      </c>
      <c r="I9" s="106" t="s">
        <v>248</v>
      </c>
    </row>
    <row r="10" spans="1:9" s="90" customFormat="1" x14ac:dyDescent="0.25">
      <c r="A10" s="114" t="s">
        <v>257</v>
      </c>
      <c r="B10" s="115">
        <v>0.1</v>
      </c>
      <c r="C10" s="120"/>
      <c r="D10" s="116" t="s">
        <v>248</v>
      </c>
      <c r="E10" s="116" t="s">
        <v>246</v>
      </c>
      <c r="F10" s="117" t="s">
        <v>247</v>
      </c>
      <c r="G10" s="116" t="s">
        <v>247</v>
      </c>
      <c r="H10" s="118" t="s">
        <v>246</v>
      </c>
      <c r="I10" s="116" t="s">
        <v>245</v>
      </c>
    </row>
    <row r="11" spans="1:9" s="90" customFormat="1" x14ac:dyDescent="0.25">
      <c r="A11" s="109" t="s">
        <v>258</v>
      </c>
      <c r="B11" s="110">
        <v>0.1</v>
      </c>
      <c r="C11" s="120"/>
      <c r="D11" s="106" t="s">
        <v>246</v>
      </c>
      <c r="E11" s="106" t="s">
        <v>248</v>
      </c>
      <c r="F11" s="107" t="s">
        <v>246</v>
      </c>
      <c r="G11" s="106" t="s">
        <v>248</v>
      </c>
      <c r="H11" s="108" t="s">
        <v>248</v>
      </c>
      <c r="I11" s="106" t="s">
        <v>246</v>
      </c>
    </row>
    <row r="12" spans="1:9" s="90" customFormat="1" x14ac:dyDescent="0.25">
      <c r="A12" s="109" t="s">
        <v>259</v>
      </c>
      <c r="B12" s="110">
        <v>0.1</v>
      </c>
      <c r="C12" s="120"/>
      <c r="D12" s="106" t="s">
        <v>246</v>
      </c>
      <c r="E12" s="106" t="s">
        <v>248</v>
      </c>
      <c r="F12" s="107" t="s">
        <v>248</v>
      </c>
      <c r="G12" s="106" t="s">
        <v>248</v>
      </c>
      <c r="H12" s="108" t="s">
        <v>248</v>
      </c>
      <c r="I12" s="106" t="s">
        <v>246</v>
      </c>
    </row>
    <row r="13" spans="1:9" s="90" customFormat="1" x14ac:dyDescent="0.25">
      <c r="A13" s="114" t="s">
        <v>260</v>
      </c>
      <c r="B13" s="117">
        <v>1</v>
      </c>
      <c r="C13" s="120"/>
      <c r="D13" s="116" t="s">
        <v>247</v>
      </c>
      <c r="E13" s="116" t="s">
        <v>246</v>
      </c>
      <c r="F13" s="117" t="s">
        <v>246</v>
      </c>
      <c r="G13" s="116" t="s">
        <v>248</v>
      </c>
      <c r="H13" s="118" t="s">
        <v>246</v>
      </c>
      <c r="I13" s="116" t="s">
        <v>247</v>
      </c>
    </row>
    <row r="14" spans="1:9" s="90" customFormat="1" x14ac:dyDescent="0.25">
      <c r="A14" s="109" t="s">
        <v>261</v>
      </c>
      <c r="B14" s="110">
        <v>0.1</v>
      </c>
      <c r="C14" s="120"/>
      <c r="D14" s="106" t="s">
        <v>245</v>
      </c>
      <c r="E14" s="106" t="s">
        <v>246</v>
      </c>
      <c r="F14" s="107" t="s">
        <v>247</v>
      </c>
      <c r="G14" s="106" t="s">
        <v>248</v>
      </c>
      <c r="H14" s="108" t="s">
        <v>246</v>
      </c>
      <c r="I14" s="106" t="s">
        <v>245</v>
      </c>
    </row>
    <row r="15" spans="1:9" s="90" customFormat="1" x14ac:dyDescent="0.25">
      <c r="A15" s="109" t="s">
        <v>315</v>
      </c>
      <c r="B15" s="110">
        <v>0.1</v>
      </c>
      <c r="C15" s="120"/>
      <c r="D15" s="106" t="s">
        <v>248</v>
      </c>
      <c r="E15" s="106" t="s">
        <v>248</v>
      </c>
      <c r="F15" s="107" t="s">
        <v>247</v>
      </c>
      <c r="G15" s="106" t="s">
        <v>245</v>
      </c>
      <c r="H15" s="108" t="s">
        <v>246</v>
      </c>
      <c r="I15" s="106" t="s">
        <v>245</v>
      </c>
    </row>
    <row r="16" spans="1:9" s="90" customFormat="1" x14ac:dyDescent="0.25">
      <c r="A16" s="114" t="s">
        <v>135</v>
      </c>
      <c r="B16" s="117" t="s">
        <v>262</v>
      </c>
      <c r="C16" s="120"/>
      <c r="D16" s="116" t="s">
        <v>247</v>
      </c>
      <c r="E16" s="116" t="s">
        <v>246</v>
      </c>
      <c r="F16" s="117" t="s">
        <v>247</v>
      </c>
      <c r="G16" s="116" t="s">
        <v>248</v>
      </c>
      <c r="H16" s="118" t="s">
        <v>246</v>
      </c>
      <c r="I16" s="116" t="s">
        <v>245</v>
      </c>
    </row>
    <row r="17" spans="1:9" s="90" customFormat="1" x14ac:dyDescent="0.25">
      <c r="A17" s="109" t="s">
        <v>263</v>
      </c>
      <c r="B17" s="110">
        <v>0.1</v>
      </c>
      <c r="C17" s="120"/>
      <c r="D17" s="106" t="s">
        <v>248</v>
      </c>
      <c r="E17" s="106" t="s">
        <v>248</v>
      </c>
      <c r="F17" s="107" t="s">
        <v>248</v>
      </c>
      <c r="G17" s="106" t="s">
        <v>246</v>
      </c>
      <c r="H17" s="108" t="s">
        <v>248</v>
      </c>
      <c r="I17" s="106" t="s">
        <v>246</v>
      </c>
    </row>
    <row r="18" spans="1:9" s="90" customFormat="1" x14ac:dyDescent="0.25">
      <c r="A18" s="109" t="s">
        <v>264</v>
      </c>
      <c r="B18" s="107" t="s">
        <v>265</v>
      </c>
      <c r="C18" s="120"/>
      <c r="D18" s="106" t="s">
        <v>248</v>
      </c>
      <c r="E18" s="106" t="s">
        <v>246</v>
      </c>
      <c r="F18" s="107" t="s">
        <v>246</v>
      </c>
      <c r="G18" s="106" t="s">
        <v>245</v>
      </c>
      <c r="H18" s="108" t="s">
        <v>247</v>
      </c>
      <c r="I18" s="106" t="s">
        <v>248</v>
      </c>
    </row>
    <row r="19" spans="1:9" s="90" customFormat="1" x14ac:dyDescent="0.25">
      <c r="A19" s="114" t="s">
        <v>266</v>
      </c>
      <c r="B19" s="117" t="s">
        <v>267</v>
      </c>
      <c r="C19" s="120"/>
      <c r="D19" s="116" t="s">
        <v>248</v>
      </c>
      <c r="E19" s="116" t="s">
        <v>246</v>
      </c>
      <c r="F19" s="117" t="s">
        <v>246</v>
      </c>
      <c r="G19" s="116" t="s">
        <v>247</v>
      </c>
      <c r="H19" s="118" t="s">
        <v>247</v>
      </c>
      <c r="I19" s="116" t="s">
        <v>248</v>
      </c>
    </row>
    <row r="20" spans="1:9" s="90" customFormat="1" x14ac:dyDescent="0.25">
      <c r="A20" s="109" t="s">
        <v>268</v>
      </c>
      <c r="B20" s="107">
        <v>-5</v>
      </c>
      <c r="C20" s="120"/>
      <c r="D20" s="106" t="s">
        <v>248</v>
      </c>
      <c r="E20" s="106" t="s">
        <v>248</v>
      </c>
      <c r="F20" s="107" t="s">
        <v>248</v>
      </c>
      <c r="G20" s="106" t="s">
        <v>246</v>
      </c>
      <c r="H20" s="108" t="s">
        <v>247</v>
      </c>
      <c r="I20" s="106" t="s">
        <v>246</v>
      </c>
    </row>
    <row r="21" spans="1:9" s="90" customFormat="1" x14ac:dyDescent="0.25">
      <c r="A21" s="109" t="s">
        <v>269</v>
      </c>
      <c r="B21" s="107" t="s">
        <v>270</v>
      </c>
      <c r="C21" s="120"/>
      <c r="D21" s="106" t="s">
        <v>248</v>
      </c>
      <c r="E21" s="106" t="s">
        <v>248</v>
      </c>
      <c r="F21" s="107" t="s">
        <v>248</v>
      </c>
      <c r="G21" s="106" t="s">
        <v>248</v>
      </c>
      <c r="H21" s="108" t="s">
        <v>247</v>
      </c>
      <c r="I21" s="106" t="s">
        <v>246</v>
      </c>
    </row>
    <row r="22" spans="1:9" s="90" customFormat="1" x14ac:dyDescent="0.25">
      <c r="A22" s="114" t="s">
        <v>271</v>
      </c>
      <c r="B22" s="117">
        <v>1</v>
      </c>
      <c r="C22" s="120"/>
      <c r="D22" s="116" t="s">
        <v>248</v>
      </c>
      <c r="E22" s="116" t="s">
        <v>246</v>
      </c>
      <c r="F22" s="117" t="s">
        <v>246</v>
      </c>
      <c r="G22" s="116" t="s">
        <v>248</v>
      </c>
      <c r="H22" s="118" t="s">
        <v>253</v>
      </c>
      <c r="I22" s="116" t="s">
        <v>247</v>
      </c>
    </row>
    <row r="23" spans="1:9" s="90" customFormat="1" x14ac:dyDescent="0.25">
      <c r="A23" s="125" t="s">
        <v>292</v>
      </c>
      <c r="B23" s="130">
        <v>0.02</v>
      </c>
      <c r="C23" s="120"/>
      <c r="D23" s="106" t="s">
        <v>247</v>
      </c>
      <c r="E23" s="106" t="s">
        <v>245</v>
      </c>
      <c r="F23" s="107" t="s">
        <v>247</v>
      </c>
      <c r="G23" s="106" t="s">
        <v>248</v>
      </c>
      <c r="H23" s="108" t="s">
        <v>246</v>
      </c>
      <c r="I23" s="106" t="s">
        <v>246</v>
      </c>
    </row>
    <row r="24" spans="1:9" s="90" customFormat="1" x14ac:dyDescent="0.25">
      <c r="A24" s="125" t="s">
        <v>293</v>
      </c>
      <c r="B24" s="128" t="s">
        <v>307</v>
      </c>
      <c r="C24" s="120"/>
      <c r="D24" s="106" t="s">
        <v>246</v>
      </c>
      <c r="E24" s="106" t="s">
        <v>253</v>
      </c>
      <c r="F24" s="107" t="s">
        <v>247</v>
      </c>
      <c r="G24" s="106" t="s">
        <v>248</v>
      </c>
      <c r="H24" s="108" t="s">
        <v>247</v>
      </c>
      <c r="I24" s="106" t="s">
        <v>248</v>
      </c>
    </row>
    <row r="25" spans="1:9" s="90" customFormat="1" x14ac:dyDescent="0.25">
      <c r="A25" s="126" t="s">
        <v>294</v>
      </c>
      <c r="B25" s="129" t="s">
        <v>272</v>
      </c>
      <c r="C25" s="120"/>
      <c r="D25" s="116" t="s">
        <v>246</v>
      </c>
      <c r="E25" s="116" t="s">
        <v>247</v>
      </c>
      <c r="F25" s="117" t="s">
        <v>246</v>
      </c>
      <c r="G25" s="116" t="s">
        <v>248</v>
      </c>
      <c r="H25" s="118" t="s">
        <v>246</v>
      </c>
      <c r="I25" s="116" t="s">
        <v>248</v>
      </c>
    </row>
    <row r="26" spans="1:9" s="90" customFormat="1" x14ac:dyDescent="0.25">
      <c r="A26" s="125" t="s">
        <v>295</v>
      </c>
      <c r="B26" s="128" t="s">
        <v>273</v>
      </c>
      <c r="C26" s="120"/>
      <c r="D26" s="106" t="s">
        <v>246</v>
      </c>
      <c r="E26" s="106" t="s">
        <v>245</v>
      </c>
      <c r="F26" s="107" t="s">
        <v>246</v>
      </c>
      <c r="G26" s="106" t="s">
        <v>248</v>
      </c>
      <c r="H26" s="108" t="s">
        <v>246</v>
      </c>
      <c r="I26" s="106" t="s">
        <v>248</v>
      </c>
    </row>
    <row r="27" spans="1:9" s="90" customFormat="1" x14ac:dyDescent="0.25">
      <c r="A27" s="125" t="s">
        <v>296</v>
      </c>
      <c r="B27" s="130">
        <v>0.2</v>
      </c>
      <c r="C27" s="120"/>
      <c r="D27" s="106" t="s">
        <v>246</v>
      </c>
      <c r="E27" s="106" t="s">
        <v>245</v>
      </c>
      <c r="F27" s="107" t="s">
        <v>246</v>
      </c>
      <c r="G27" s="106" t="s">
        <v>248</v>
      </c>
      <c r="H27" s="108" t="s">
        <v>246</v>
      </c>
      <c r="I27" s="106" t="s">
        <v>248</v>
      </c>
    </row>
    <row r="28" spans="1:9" s="90" customFormat="1" x14ac:dyDescent="0.25">
      <c r="A28" s="126" t="s">
        <v>297</v>
      </c>
      <c r="B28" s="132" t="s">
        <v>307</v>
      </c>
      <c r="C28" s="120"/>
      <c r="D28" s="116" t="s">
        <v>246</v>
      </c>
      <c r="E28" s="116" t="s">
        <v>245</v>
      </c>
      <c r="F28" s="117" t="s">
        <v>246</v>
      </c>
      <c r="G28" s="116" t="s">
        <v>248</v>
      </c>
      <c r="H28" s="118" t="s">
        <v>246</v>
      </c>
      <c r="I28" s="116" t="s">
        <v>248</v>
      </c>
    </row>
    <row r="29" spans="1:9" s="90" customFormat="1" x14ac:dyDescent="0.25">
      <c r="A29" s="125" t="s">
        <v>298</v>
      </c>
      <c r="B29" s="130" t="s">
        <v>274</v>
      </c>
      <c r="C29" s="120"/>
      <c r="D29" s="106" t="s">
        <v>246</v>
      </c>
      <c r="E29" s="106" t="s">
        <v>247</v>
      </c>
      <c r="F29" s="107" t="s">
        <v>246</v>
      </c>
      <c r="G29" s="106" t="s">
        <v>248</v>
      </c>
      <c r="H29" s="108" t="s">
        <v>246</v>
      </c>
      <c r="I29" s="106" t="s">
        <v>248</v>
      </c>
    </row>
    <row r="30" spans="1:9" s="90" customFormat="1" x14ac:dyDescent="0.25">
      <c r="A30" s="125" t="s">
        <v>299</v>
      </c>
      <c r="B30" s="128" t="s">
        <v>273</v>
      </c>
      <c r="C30" s="120"/>
      <c r="D30" s="106" t="s">
        <v>246</v>
      </c>
      <c r="E30" s="106" t="s">
        <v>245</v>
      </c>
      <c r="F30" s="107" t="s">
        <v>246</v>
      </c>
      <c r="G30" s="106" t="s">
        <v>248</v>
      </c>
      <c r="H30" s="108" t="s">
        <v>246</v>
      </c>
      <c r="I30" s="106" t="s">
        <v>248</v>
      </c>
    </row>
    <row r="31" spans="1:9" s="90" customFormat="1" x14ac:dyDescent="0.25">
      <c r="A31" s="126" t="s">
        <v>308</v>
      </c>
      <c r="B31" s="129" t="s">
        <v>272</v>
      </c>
      <c r="C31" s="120"/>
      <c r="D31" s="116" t="s">
        <v>246</v>
      </c>
      <c r="E31" s="116" t="s">
        <v>247</v>
      </c>
      <c r="F31" s="117" t="s">
        <v>246</v>
      </c>
      <c r="G31" s="116" t="s">
        <v>248</v>
      </c>
      <c r="H31" s="118" t="s">
        <v>246</v>
      </c>
      <c r="I31" s="116" t="s">
        <v>248</v>
      </c>
    </row>
    <row r="32" spans="1:9" s="90" customFormat="1" x14ac:dyDescent="0.25">
      <c r="A32" s="125" t="s">
        <v>300</v>
      </c>
      <c r="B32" s="128" t="s">
        <v>275</v>
      </c>
      <c r="C32" s="120"/>
      <c r="D32" s="106" t="s">
        <v>246</v>
      </c>
      <c r="E32" s="106" t="s">
        <v>245</v>
      </c>
      <c r="F32" s="107" t="s">
        <v>246</v>
      </c>
      <c r="G32" s="106" t="s">
        <v>248</v>
      </c>
      <c r="H32" s="108" t="s">
        <v>246</v>
      </c>
      <c r="I32" s="106" t="s">
        <v>246</v>
      </c>
    </row>
    <row r="33" spans="1:9" s="90" customFormat="1" x14ac:dyDescent="0.25">
      <c r="A33" s="125" t="s">
        <v>301</v>
      </c>
      <c r="B33" s="128" t="s">
        <v>310</v>
      </c>
      <c r="C33" s="120"/>
      <c r="D33" s="106" t="s">
        <v>246</v>
      </c>
      <c r="E33" s="106" t="s">
        <v>245</v>
      </c>
      <c r="F33" s="107" t="s">
        <v>246</v>
      </c>
      <c r="G33" s="106" t="s">
        <v>248</v>
      </c>
      <c r="H33" s="108" t="s">
        <v>246</v>
      </c>
      <c r="I33" s="106" t="s">
        <v>246</v>
      </c>
    </row>
    <row r="34" spans="1:9" s="90" customFormat="1" x14ac:dyDescent="0.25">
      <c r="A34" s="126" t="s">
        <v>302</v>
      </c>
      <c r="B34" s="129">
        <v>1</v>
      </c>
      <c r="C34" s="120"/>
      <c r="D34" s="116" t="s">
        <v>248</v>
      </c>
      <c r="E34" s="116" t="s">
        <v>245</v>
      </c>
      <c r="F34" s="117" t="s">
        <v>248</v>
      </c>
      <c r="G34" s="116" t="s">
        <v>248</v>
      </c>
      <c r="H34" s="118" t="s">
        <v>248</v>
      </c>
      <c r="I34" s="116" t="s">
        <v>246</v>
      </c>
    </row>
    <row r="35" spans="1:9" s="90" customFormat="1" x14ac:dyDescent="0.25">
      <c r="A35" s="125" t="s">
        <v>303</v>
      </c>
      <c r="B35" s="128">
        <v>4</v>
      </c>
      <c r="C35" s="120"/>
      <c r="D35" s="106" t="s">
        <v>246</v>
      </c>
      <c r="E35" s="106" t="s">
        <v>245</v>
      </c>
      <c r="F35" s="107" t="s">
        <v>246</v>
      </c>
      <c r="G35" s="106" t="s">
        <v>246</v>
      </c>
      <c r="H35" s="108" t="s">
        <v>246</v>
      </c>
      <c r="I35" s="106" t="s">
        <v>248</v>
      </c>
    </row>
    <row r="36" spans="1:9" s="90" customFormat="1" x14ac:dyDescent="0.25">
      <c r="A36" s="125" t="s">
        <v>304</v>
      </c>
      <c r="B36" s="128" t="s">
        <v>276</v>
      </c>
      <c r="C36" s="120"/>
      <c r="D36" s="106" t="s">
        <v>246</v>
      </c>
      <c r="E36" s="106" t="s">
        <v>245</v>
      </c>
      <c r="F36" s="107" t="s">
        <v>246</v>
      </c>
      <c r="G36" s="106" t="s">
        <v>246</v>
      </c>
      <c r="H36" s="108" t="s">
        <v>246</v>
      </c>
      <c r="I36" s="106" t="s">
        <v>248</v>
      </c>
    </row>
    <row r="37" spans="1:9" s="90" customFormat="1" x14ac:dyDescent="0.25">
      <c r="A37" s="135" t="s">
        <v>277</v>
      </c>
      <c r="B37" s="136" t="s">
        <v>278</v>
      </c>
      <c r="C37" s="120"/>
      <c r="D37" s="116" t="s">
        <v>246</v>
      </c>
      <c r="E37" s="116" t="s">
        <v>247</v>
      </c>
      <c r="F37" s="117" t="s">
        <v>246</v>
      </c>
      <c r="G37" s="116" t="s">
        <v>246</v>
      </c>
      <c r="H37" s="118" t="s">
        <v>246</v>
      </c>
      <c r="I37" s="116" t="s">
        <v>248</v>
      </c>
    </row>
    <row r="38" spans="1:9" s="90" customFormat="1" x14ac:dyDescent="0.25">
      <c r="A38" s="125" t="s">
        <v>305</v>
      </c>
      <c r="B38" s="128" t="s">
        <v>273</v>
      </c>
      <c r="C38" s="120"/>
      <c r="D38" s="106" t="s">
        <v>247</v>
      </c>
      <c r="E38" s="106" t="s">
        <v>245</v>
      </c>
      <c r="F38" s="107" t="s">
        <v>246</v>
      </c>
      <c r="G38" s="106" t="s">
        <v>248</v>
      </c>
      <c r="H38" s="108" t="s">
        <v>246</v>
      </c>
      <c r="I38" s="106" t="s">
        <v>246</v>
      </c>
    </row>
    <row r="39" spans="1:9" s="90" customFormat="1" ht="15.75" thickBot="1" x14ac:dyDescent="0.3">
      <c r="A39" s="131" t="s">
        <v>306</v>
      </c>
      <c r="B39" s="133" t="s">
        <v>309</v>
      </c>
      <c r="C39" s="121"/>
      <c r="D39" s="100" t="s">
        <v>247</v>
      </c>
      <c r="E39" s="100" t="s">
        <v>253</v>
      </c>
      <c r="F39" s="111" t="s">
        <v>246</v>
      </c>
      <c r="G39" s="100" t="s">
        <v>248</v>
      </c>
      <c r="H39" s="112" t="s">
        <v>246</v>
      </c>
      <c r="I39" s="100" t="s">
        <v>246</v>
      </c>
    </row>
  </sheetData>
  <pageMargins left="0.19685039370078741" right="0.19685039370078741" top="0.19685039370078741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/>
  </sheetViews>
  <sheetFormatPr baseColWidth="10" defaultRowHeight="15" x14ac:dyDescent="0.25"/>
  <cols>
    <col min="1" max="1" width="50.7109375" customWidth="1"/>
    <col min="2" max="2" width="10.7109375" customWidth="1"/>
  </cols>
  <sheetData>
    <row r="1" spans="1:2" ht="15.75" thickBot="1" x14ac:dyDescent="0.3">
      <c r="A1" s="97" t="s">
        <v>0</v>
      </c>
      <c r="B1" s="61" t="s">
        <v>120</v>
      </c>
    </row>
    <row r="2" spans="1:2" x14ac:dyDescent="0.25">
      <c r="A2" s="2" t="s">
        <v>316</v>
      </c>
      <c r="B2" s="137" t="s">
        <v>317</v>
      </c>
    </row>
    <row r="3" spans="1:2" x14ac:dyDescent="0.25">
      <c r="A3" s="2" t="s">
        <v>318</v>
      </c>
      <c r="B3" s="138" t="s">
        <v>319</v>
      </c>
    </row>
    <row r="4" spans="1:2" x14ac:dyDescent="0.25">
      <c r="A4" s="139" t="s">
        <v>320</v>
      </c>
      <c r="B4" s="140" t="s">
        <v>321</v>
      </c>
    </row>
    <row r="5" spans="1:2" x14ac:dyDescent="0.25">
      <c r="A5" s="2" t="s">
        <v>322</v>
      </c>
      <c r="B5" s="138" t="s">
        <v>323</v>
      </c>
    </row>
    <row r="6" spans="1:2" x14ac:dyDescent="0.25">
      <c r="A6" s="2" t="s">
        <v>164</v>
      </c>
      <c r="B6" s="138" t="s">
        <v>326</v>
      </c>
    </row>
    <row r="7" spans="1:2" x14ac:dyDescent="0.25">
      <c r="A7" s="139" t="s">
        <v>327</v>
      </c>
      <c r="B7" s="140" t="s">
        <v>328</v>
      </c>
    </row>
    <row r="8" spans="1:2" x14ac:dyDescent="0.25">
      <c r="A8" s="2" t="s">
        <v>329</v>
      </c>
      <c r="B8" s="138">
        <v>1</v>
      </c>
    </row>
    <row r="9" spans="1:2" x14ac:dyDescent="0.25">
      <c r="A9" s="2" t="s">
        <v>325</v>
      </c>
      <c r="B9" s="138">
        <v>1</v>
      </c>
    </row>
    <row r="10" spans="1:2" x14ac:dyDescent="0.25">
      <c r="A10" s="139" t="s">
        <v>330</v>
      </c>
      <c r="B10" s="140">
        <v>1</v>
      </c>
    </row>
    <row r="11" spans="1:2" x14ac:dyDescent="0.25">
      <c r="A11" s="2" t="s">
        <v>342</v>
      </c>
      <c r="B11" s="138">
        <v>1</v>
      </c>
    </row>
    <row r="12" spans="1:2" x14ac:dyDescent="0.25">
      <c r="A12" s="2" t="s">
        <v>331</v>
      </c>
      <c r="B12" s="138">
        <v>1</v>
      </c>
    </row>
    <row r="13" spans="1:2" x14ac:dyDescent="0.25">
      <c r="A13" s="139" t="s">
        <v>332</v>
      </c>
      <c r="B13" s="140">
        <v>1</v>
      </c>
    </row>
    <row r="14" spans="1:2" x14ac:dyDescent="0.25">
      <c r="A14" s="2" t="s">
        <v>333</v>
      </c>
      <c r="B14" s="138">
        <v>0</v>
      </c>
    </row>
    <row r="15" spans="1:2" x14ac:dyDescent="0.25">
      <c r="A15" s="2" t="s">
        <v>349</v>
      </c>
      <c r="B15" s="138">
        <v>2</v>
      </c>
    </row>
    <row r="16" spans="1:2" x14ac:dyDescent="0.25">
      <c r="A16" s="139" t="s">
        <v>350</v>
      </c>
      <c r="B16" s="140">
        <v>4</v>
      </c>
    </row>
    <row r="17" spans="1:2" x14ac:dyDescent="0.25">
      <c r="A17" s="2" t="s">
        <v>334</v>
      </c>
      <c r="B17" s="138">
        <v>1</v>
      </c>
    </row>
    <row r="18" spans="1:2" x14ac:dyDescent="0.25">
      <c r="A18" s="2" t="s">
        <v>345</v>
      </c>
      <c r="B18" s="138">
        <v>1</v>
      </c>
    </row>
    <row r="19" spans="1:2" x14ac:dyDescent="0.25">
      <c r="A19" s="139" t="s">
        <v>358</v>
      </c>
      <c r="B19" s="140">
        <v>1</v>
      </c>
    </row>
    <row r="20" spans="1:2" x14ac:dyDescent="0.25">
      <c r="A20" s="2" t="s">
        <v>348</v>
      </c>
      <c r="B20" s="138">
        <v>1</v>
      </c>
    </row>
    <row r="21" spans="1:2" x14ac:dyDescent="0.25">
      <c r="A21" s="2" t="s">
        <v>347</v>
      </c>
      <c r="B21" s="138">
        <v>1</v>
      </c>
    </row>
    <row r="22" spans="1:2" x14ac:dyDescent="0.25">
      <c r="A22" s="139" t="s">
        <v>335</v>
      </c>
      <c r="B22" s="140">
        <v>2</v>
      </c>
    </row>
    <row r="23" spans="1:2" x14ac:dyDescent="0.25">
      <c r="A23" s="2" t="s">
        <v>336</v>
      </c>
      <c r="B23" s="138">
        <v>0</v>
      </c>
    </row>
    <row r="24" spans="1:2" x14ac:dyDescent="0.25">
      <c r="A24" s="2" t="s">
        <v>337</v>
      </c>
      <c r="B24" s="138">
        <v>1</v>
      </c>
    </row>
    <row r="25" spans="1:2" x14ac:dyDescent="0.25">
      <c r="A25" s="139" t="s">
        <v>338</v>
      </c>
      <c r="B25" s="140">
        <v>2</v>
      </c>
    </row>
    <row r="26" spans="1:2" x14ac:dyDescent="0.25">
      <c r="A26" s="2" t="s">
        <v>340</v>
      </c>
      <c r="B26" s="138">
        <v>1</v>
      </c>
    </row>
    <row r="27" spans="1:2" x14ac:dyDescent="0.25">
      <c r="A27" s="2" t="s">
        <v>339</v>
      </c>
      <c r="B27" s="138">
        <v>1</v>
      </c>
    </row>
    <row r="28" spans="1:2" x14ac:dyDescent="0.25">
      <c r="A28" s="139" t="s">
        <v>341</v>
      </c>
      <c r="B28" s="140">
        <v>2</v>
      </c>
    </row>
    <row r="29" spans="1:2" x14ac:dyDescent="0.25">
      <c r="A29" s="2" t="s">
        <v>343</v>
      </c>
      <c r="B29" s="138">
        <v>1</v>
      </c>
    </row>
    <row r="30" spans="1:2" x14ac:dyDescent="0.25">
      <c r="A30" s="2" t="s">
        <v>344</v>
      </c>
      <c r="B30" s="138">
        <v>0</v>
      </c>
    </row>
    <row r="31" spans="1:2" x14ac:dyDescent="0.25">
      <c r="A31" s="139" t="s">
        <v>346</v>
      </c>
      <c r="B31" s="140">
        <v>1</v>
      </c>
    </row>
    <row r="32" spans="1:2" x14ac:dyDescent="0.25">
      <c r="A32" s="2" t="s">
        <v>361</v>
      </c>
      <c r="B32" s="138">
        <v>0</v>
      </c>
    </row>
    <row r="33" spans="1:2" x14ac:dyDescent="0.25">
      <c r="A33" s="2" t="s">
        <v>356</v>
      </c>
      <c r="B33" s="138">
        <v>1</v>
      </c>
    </row>
    <row r="34" spans="1:2" x14ac:dyDescent="0.25">
      <c r="A34" s="139" t="s">
        <v>357</v>
      </c>
      <c r="B34" s="140">
        <v>2</v>
      </c>
    </row>
    <row r="35" spans="1:2" x14ac:dyDescent="0.25">
      <c r="A35" s="2" t="s">
        <v>351</v>
      </c>
      <c r="B35" s="138">
        <v>0</v>
      </c>
    </row>
    <row r="36" spans="1:2" x14ac:dyDescent="0.25">
      <c r="A36" s="2" t="s">
        <v>352</v>
      </c>
      <c r="B36" s="138">
        <v>0</v>
      </c>
    </row>
    <row r="37" spans="1:2" x14ac:dyDescent="0.25">
      <c r="A37" s="139" t="s">
        <v>353</v>
      </c>
      <c r="B37" s="140">
        <v>1</v>
      </c>
    </row>
    <row r="38" spans="1:2" x14ac:dyDescent="0.25">
      <c r="A38" s="2" t="s">
        <v>354</v>
      </c>
      <c r="B38" s="138">
        <v>1</v>
      </c>
    </row>
    <row r="39" spans="1:2" x14ac:dyDescent="0.25">
      <c r="A39" s="2" t="s">
        <v>355</v>
      </c>
      <c r="B39" s="138">
        <v>1</v>
      </c>
    </row>
    <row r="40" spans="1:2" x14ac:dyDescent="0.25">
      <c r="A40" s="139" t="s">
        <v>359</v>
      </c>
      <c r="B40" s="140">
        <v>0</v>
      </c>
    </row>
    <row r="41" spans="1:2" ht="15.75" thickBot="1" x14ac:dyDescent="0.3">
      <c r="A41" s="5" t="s">
        <v>360</v>
      </c>
      <c r="B41" s="101">
        <v>1</v>
      </c>
    </row>
  </sheetData>
  <pageMargins left="0.19685039370078741" right="0.19685039370078741" top="0.19685039370078741" bottom="0.19685039370078741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6"/>
  <sheetViews>
    <sheetView workbookViewId="0"/>
  </sheetViews>
  <sheetFormatPr baseColWidth="10" defaultRowHeight="15" x14ac:dyDescent="0.25"/>
  <sheetData>
    <row r="1" spans="1:1" x14ac:dyDescent="0.25">
      <c r="A1" t="s">
        <v>402</v>
      </c>
    </row>
    <row r="3" spans="1:1" x14ac:dyDescent="0.25">
      <c r="A3" t="s">
        <v>431</v>
      </c>
    </row>
    <row r="5" spans="1:1" x14ac:dyDescent="0.25">
      <c r="A5" t="s">
        <v>403</v>
      </c>
    </row>
    <row r="6" spans="1:1" x14ac:dyDescent="0.25">
      <c r="A6" t="s">
        <v>406</v>
      </c>
    </row>
    <row r="7" spans="1:1" x14ac:dyDescent="0.25">
      <c r="A7" t="s">
        <v>405</v>
      </c>
    </row>
    <row r="9" spans="1:1" x14ac:dyDescent="0.25">
      <c r="A9" t="s">
        <v>404</v>
      </c>
    </row>
    <row r="11" spans="1:1" x14ac:dyDescent="0.25">
      <c r="A11" t="s">
        <v>430</v>
      </c>
    </row>
    <row r="13" spans="1:1" x14ac:dyDescent="0.25">
      <c r="A13" t="s">
        <v>407</v>
      </c>
    </row>
    <row r="15" spans="1:1" x14ac:dyDescent="0.25">
      <c r="A15" t="s">
        <v>408</v>
      </c>
    </row>
    <row r="17" spans="1:1" x14ac:dyDescent="0.25">
      <c r="A17" t="s">
        <v>409</v>
      </c>
    </row>
    <row r="19" spans="1:1" x14ac:dyDescent="0.25">
      <c r="A19" t="s">
        <v>410</v>
      </c>
    </row>
    <row r="21" spans="1:1" x14ac:dyDescent="0.25">
      <c r="A21" t="s">
        <v>411</v>
      </c>
    </row>
    <row r="23" spans="1:1" x14ac:dyDescent="0.25">
      <c r="A23" t="s">
        <v>413</v>
      </c>
    </row>
    <row r="24" spans="1:1" x14ac:dyDescent="0.25">
      <c r="A24" t="s">
        <v>412</v>
      </c>
    </row>
    <row r="25" spans="1:1" x14ac:dyDescent="0.25">
      <c r="A25" t="s">
        <v>414</v>
      </c>
    </row>
    <row r="27" spans="1:1" x14ac:dyDescent="0.25">
      <c r="A27" t="s">
        <v>415</v>
      </c>
    </row>
    <row r="28" spans="1:1" x14ac:dyDescent="0.25">
      <c r="A28" t="s">
        <v>416</v>
      </c>
    </row>
    <row r="29" spans="1:1" x14ac:dyDescent="0.25">
      <c r="A29" t="s">
        <v>417</v>
      </c>
    </row>
    <row r="30" spans="1:1" x14ac:dyDescent="0.25">
      <c r="A30" t="s">
        <v>418</v>
      </c>
    </row>
    <row r="31" spans="1:1" x14ac:dyDescent="0.25">
      <c r="A31" t="s">
        <v>426</v>
      </c>
    </row>
    <row r="33" spans="1:1" x14ac:dyDescent="0.25">
      <c r="A33" t="s">
        <v>419</v>
      </c>
    </row>
    <row r="34" spans="1:1" x14ac:dyDescent="0.25">
      <c r="A34" t="s">
        <v>420</v>
      </c>
    </row>
    <row r="35" spans="1:1" x14ac:dyDescent="0.25">
      <c r="A35" t="s">
        <v>421</v>
      </c>
    </row>
    <row r="36" spans="1:1" x14ac:dyDescent="0.25">
      <c r="A36" t="s">
        <v>423</v>
      </c>
    </row>
    <row r="37" spans="1:1" x14ac:dyDescent="0.25">
      <c r="A37" t="s">
        <v>429</v>
      </c>
    </row>
    <row r="38" spans="1:1" x14ac:dyDescent="0.25">
      <c r="A38" t="s">
        <v>427</v>
      </c>
    </row>
    <row r="39" spans="1:1" x14ac:dyDescent="0.25">
      <c r="A39" t="s">
        <v>422</v>
      </c>
    </row>
    <row r="40" spans="1:1" x14ac:dyDescent="0.25">
      <c r="A40" t="s">
        <v>425</v>
      </c>
    </row>
    <row r="41" spans="1:1" x14ac:dyDescent="0.25">
      <c r="A41" t="s">
        <v>424</v>
      </c>
    </row>
    <row r="42" spans="1:1" x14ac:dyDescent="0.25">
      <c r="A42" t="s">
        <v>428</v>
      </c>
    </row>
    <row r="44" spans="1:1" x14ac:dyDescent="0.25">
      <c r="A44" t="s">
        <v>433</v>
      </c>
    </row>
    <row r="45" spans="1:1" x14ac:dyDescent="0.25">
      <c r="A45" t="s">
        <v>432</v>
      </c>
    </row>
    <row r="46" spans="1:1" x14ac:dyDescent="0.25">
      <c r="A46" t="s">
        <v>434</v>
      </c>
    </row>
    <row r="47" spans="1:1" x14ac:dyDescent="0.25">
      <c r="A47" t="s">
        <v>435</v>
      </c>
    </row>
    <row r="49" spans="1:1" x14ac:dyDescent="0.25">
      <c r="A49" t="s">
        <v>436</v>
      </c>
    </row>
    <row r="51" spans="1:1" x14ac:dyDescent="0.25">
      <c r="A51" t="s">
        <v>437</v>
      </c>
    </row>
    <row r="52" spans="1:1" x14ac:dyDescent="0.25">
      <c r="A52" t="s">
        <v>438</v>
      </c>
    </row>
    <row r="53" spans="1:1" x14ac:dyDescent="0.25">
      <c r="A53" t="s">
        <v>439</v>
      </c>
    </row>
    <row r="54" spans="1:1" x14ac:dyDescent="0.25">
      <c r="A54" t="s">
        <v>440</v>
      </c>
    </row>
    <row r="55" spans="1:1" x14ac:dyDescent="0.25">
      <c r="A55" t="s">
        <v>441</v>
      </c>
    </row>
    <row r="57" spans="1:1" x14ac:dyDescent="0.25">
      <c r="A57" t="s">
        <v>442</v>
      </c>
    </row>
    <row r="58" spans="1:1" x14ac:dyDescent="0.25">
      <c r="A58" t="s">
        <v>443</v>
      </c>
    </row>
    <row r="59" spans="1:1" x14ac:dyDescent="0.25">
      <c r="A59" t="s">
        <v>444</v>
      </c>
    </row>
    <row r="60" spans="1:1" x14ac:dyDescent="0.25">
      <c r="A60" t="s">
        <v>445</v>
      </c>
    </row>
    <row r="62" spans="1:1" x14ac:dyDescent="0.25">
      <c r="A62" t="s">
        <v>467</v>
      </c>
    </row>
    <row r="63" spans="1:1" x14ac:dyDescent="0.25">
      <c r="A63" t="s">
        <v>468</v>
      </c>
    </row>
    <row r="64" spans="1:1" x14ac:dyDescent="0.25">
      <c r="A64" t="s">
        <v>469</v>
      </c>
    </row>
    <row r="65" spans="1:1" x14ac:dyDescent="0.25">
      <c r="A65" t="s">
        <v>470</v>
      </c>
    </row>
    <row r="66" spans="1:1" x14ac:dyDescent="0.25">
      <c r="A66" t="s">
        <v>471</v>
      </c>
    </row>
    <row r="68" spans="1:1" x14ac:dyDescent="0.25">
      <c r="A68" t="s">
        <v>446</v>
      </c>
    </row>
    <row r="69" spans="1:1" x14ac:dyDescent="0.25">
      <c r="A69" t="s">
        <v>447</v>
      </c>
    </row>
    <row r="70" spans="1:1" x14ac:dyDescent="0.25">
      <c r="A70" t="s">
        <v>449</v>
      </c>
    </row>
    <row r="71" spans="1:1" x14ac:dyDescent="0.25">
      <c r="A71" t="s">
        <v>448</v>
      </c>
    </row>
    <row r="73" spans="1:1" x14ac:dyDescent="0.25">
      <c r="A73" t="s">
        <v>450</v>
      </c>
    </row>
    <row r="74" spans="1:1" x14ac:dyDescent="0.25">
      <c r="A74" t="s">
        <v>452</v>
      </c>
    </row>
    <row r="75" spans="1:1" x14ac:dyDescent="0.25">
      <c r="A75" t="s">
        <v>451</v>
      </c>
    </row>
    <row r="77" spans="1:1" x14ac:dyDescent="0.25">
      <c r="A77" t="s">
        <v>453</v>
      </c>
    </row>
    <row r="78" spans="1:1" x14ac:dyDescent="0.25">
      <c r="A78" t="s">
        <v>457</v>
      </c>
    </row>
    <row r="79" spans="1:1" x14ac:dyDescent="0.25">
      <c r="A79" t="s">
        <v>458</v>
      </c>
    </row>
    <row r="80" spans="1:1" x14ac:dyDescent="0.25">
      <c r="A80" t="s">
        <v>454</v>
      </c>
    </row>
    <row r="81" spans="1:1" x14ac:dyDescent="0.25">
      <c r="A81" t="s">
        <v>459</v>
      </c>
    </row>
    <row r="82" spans="1:1" x14ac:dyDescent="0.25">
      <c r="A82" t="s">
        <v>472</v>
      </c>
    </row>
    <row r="83" spans="1:1" x14ac:dyDescent="0.25">
      <c r="A83" t="s">
        <v>455</v>
      </c>
    </row>
    <row r="84" spans="1:1" x14ac:dyDescent="0.25">
      <c r="A84" t="s">
        <v>456</v>
      </c>
    </row>
    <row r="86" spans="1:1" x14ac:dyDescent="0.25">
      <c r="A86" t="s">
        <v>460</v>
      </c>
    </row>
    <row r="87" spans="1:1" x14ac:dyDescent="0.25">
      <c r="A87" t="s">
        <v>461</v>
      </c>
    </row>
    <row r="88" spans="1:1" x14ac:dyDescent="0.25">
      <c r="A88" t="s">
        <v>462</v>
      </c>
    </row>
    <row r="89" spans="1:1" x14ac:dyDescent="0.25">
      <c r="A89" t="s">
        <v>463</v>
      </c>
    </row>
    <row r="90" spans="1:1" x14ac:dyDescent="0.25">
      <c r="A90" t="s">
        <v>464</v>
      </c>
    </row>
    <row r="91" spans="1:1" x14ac:dyDescent="0.25">
      <c r="A91" t="s">
        <v>465</v>
      </c>
    </row>
    <row r="92" spans="1:1" x14ac:dyDescent="0.25">
      <c r="A92" t="s">
        <v>466</v>
      </c>
    </row>
    <row r="94" spans="1:1" x14ac:dyDescent="0.25">
      <c r="A94" t="s">
        <v>473</v>
      </c>
    </row>
    <row r="95" spans="1:1" x14ac:dyDescent="0.25">
      <c r="A95" t="s">
        <v>474</v>
      </c>
    </row>
    <row r="96" spans="1:1" x14ac:dyDescent="0.25">
      <c r="A96" t="s">
        <v>475</v>
      </c>
    </row>
    <row r="97" spans="1:1" x14ac:dyDescent="0.25">
      <c r="A97" t="s">
        <v>478</v>
      </c>
    </row>
    <row r="98" spans="1:1" x14ac:dyDescent="0.25">
      <c r="A98" t="s">
        <v>476</v>
      </c>
    </row>
    <row r="99" spans="1:1" x14ac:dyDescent="0.25">
      <c r="A99" t="s">
        <v>481</v>
      </c>
    </row>
    <row r="100" spans="1:1" x14ac:dyDescent="0.25">
      <c r="A100" t="s">
        <v>477</v>
      </c>
    </row>
    <row r="101" spans="1:1" x14ac:dyDescent="0.25">
      <c r="A101" t="s">
        <v>479</v>
      </c>
    </row>
    <row r="102" spans="1:1" x14ac:dyDescent="0.25">
      <c r="A102" t="s">
        <v>480</v>
      </c>
    </row>
    <row r="103" spans="1:1" x14ac:dyDescent="0.25">
      <c r="A103" t="s">
        <v>482</v>
      </c>
    </row>
    <row r="104" spans="1:1" x14ac:dyDescent="0.25">
      <c r="A104" t="s">
        <v>483</v>
      </c>
    </row>
    <row r="105" spans="1:1" x14ac:dyDescent="0.25">
      <c r="A105" t="s">
        <v>484</v>
      </c>
    </row>
    <row r="106" spans="1:1" x14ac:dyDescent="0.25">
      <c r="A106" t="s">
        <v>485</v>
      </c>
    </row>
  </sheetData>
  <pageMargins left="0.19685039370078741" right="0.19685039370078741" top="0.19685039370078741" bottom="0.19685039370078741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/>
  </sheetViews>
  <sheetFormatPr baseColWidth="10" defaultRowHeight="15" x14ac:dyDescent="0.25"/>
  <cols>
    <col min="1" max="1" width="41.42578125" customWidth="1"/>
    <col min="2" max="2" width="21.42578125" customWidth="1"/>
    <col min="3" max="3" width="20.28515625" customWidth="1"/>
    <col min="4" max="6" width="5.7109375" customWidth="1"/>
  </cols>
  <sheetData>
    <row r="1" spans="1:6" x14ac:dyDescent="0.25">
      <c r="A1" t="s">
        <v>363</v>
      </c>
    </row>
    <row r="3" spans="1:6" x14ac:dyDescent="0.25">
      <c r="A3" t="s">
        <v>362</v>
      </c>
    </row>
    <row r="5" spans="1:6" x14ac:dyDescent="0.25">
      <c r="A5" t="s">
        <v>366</v>
      </c>
    </row>
    <row r="6" spans="1:6" ht="15.75" thickBot="1" x14ac:dyDescent="0.3"/>
    <row r="7" spans="1:6" ht="15.75" thickBot="1" x14ac:dyDescent="0.3">
      <c r="A7" t="s">
        <v>378</v>
      </c>
      <c r="C7" s="95"/>
      <c r="D7" s="144">
        <f>TRUNC('Carac + Comp'!J5/10)</f>
        <v>2</v>
      </c>
    </row>
    <row r="8" spans="1:6" ht="15.75" thickBot="1" x14ac:dyDescent="0.3">
      <c r="A8" t="s">
        <v>377</v>
      </c>
      <c r="C8" s="95"/>
      <c r="D8" s="144">
        <f>TRUNC((1.5*'Carac + Comp'!J5)/10)</f>
        <v>3</v>
      </c>
    </row>
    <row r="9" spans="1:6" x14ac:dyDescent="0.25">
      <c r="A9" t="s">
        <v>372</v>
      </c>
    </row>
    <row r="10" spans="1:6" ht="15.75" thickBot="1" x14ac:dyDescent="0.3">
      <c r="A10" t="s">
        <v>369</v>
      </c>
    </row>
    <row r="11" spans="1:6" ht="15.75" thickBot="1" x14ac:dyDescent="0.3">
      <c r="A11" s="97" t="s">
        <v>370</v>
      </c>
      <c r="B11" s="141" t="s">
        <v>364</v>
      </c>
      <c r="C11" s="96" t="s">
        <v>365</v>
      </c>
      <c r="D11" s="143" t="s">
        <v>76</v>
      </c>
      <c r="E11" s="143" t="s">
        <v>367</v>
      </c>
      <c r="F11" s="142" t="s">
        <v>368</v>
      </c>
    </row>
    <row r="12" spans="1:6" x14ac:dyDescent="0.25">
      <c r="A12" s="2" t="s">
        <v>371</v>
      </c>
      <c r="B12" s="145" t="s">
        <v>373</v>
      </c>
      <c r="C12" s="145">
        <v>1</v>
      </c>
      <c r="D12" s="145"/>
      <c r="E12" s="145" t="s">
        <v>375</v>
      </c>
      <c r="F12" s="137" t="s">
        <v>375</v>
      </c>
    </row>
    <row r="13" spans="1:6" x14ac:dyDescent="0.25">
      <c r="A13" s="2" t="s">
        <v>374</v>
      </c>
      <c r="B13" s="14" t="s">
        <v>373</v>
      </c>
      <c r="C13" s="14">
        <v>2</v>
      </c>
      <c r="D13" s="14"/>
      <c r="E13" s="14" t="s">
        <v>375</v>
      </c>
      <c r="F13" s="138" t="s">
        <v>375</v>
      </c>
    </row>
    <row r="14" spans="1:6" x14ac:dyDescent="0.25">
      <c r="A14" s="139" t="s">
        <v>381</v>
      </c>
      <c r="B14" s="98" t="s">
        <v>373</v>
      </c>
      <c r="C14" s="98">
        <v>3</v>
      </c>
      <c r="D14" s="98" t="s">
        <v>375</v>
      </c>
      <c r="E14" s="98" t="s">
        <v>375</v>
      </c>
      <c r="F14" s="140" t="s">
        <v>375</v>
      </c>
    </row>
    <row r="15" spans="1:6" x14ac:dyDescent="0.25">
      <c r="A15" s="2" t="s">
        <v>376</v>
      </c>
      <c r="B15" s="14" t="s">
        <v>373</v>
      </c>
      <c r="C15" s="14">
        <v>4</v>
      </c>
      <c r="D15" s="14" t="s">
        <v>375</v>
      </c>
      <c r="E15" s="14" t="s">
        <v>375</v>
      </c>
      <c r="F15" s="138" t="s">
        <v>375</v>
      </c>
    </row>
    <row r="16" spans="1:6" x14ac:dyDescent="0.25">
      <c r="A16" s="2" t="s">
        <v>380</v>
      </c>
      <c r="B16" s="14" t="s">
        <v>373</v>
      </c>
      <c r="C16" s="14" t="s">
        <v>321</v>
      </c>
      <c r="D16" s="14" t="s">
        <v>375</v>
      </c>
      <c r="E16" s="14" t="s">
        <v>375</v>
      </c>
      <c r="F16" s="138" t="s">
        <v>375</v>
      </c>
    </row>
    <row r="17" spans="1:6" x14ac:dyDescent="0.25">
      <c r="A17" s="139" t="s">
        <v>379</v>
      </c>
      <c r="B17" s="98" t="s">
        <v>382</v>
      </c>
      <c r="C17" s="98" t="s">
        <v>383</v>
      </c>
      <c r="D17" s="98" t="s">
        <v>375</v>
      </c>
      <c r="E17" s="98"/>
      <c r="F17" s="140" t="s">
        <v>375</v>
      </c>
    </row>
    <row r="18" spans="1:6" x14ac:dyDescent="0.25">
      <c r="A18" s="2" t="s">
        <v>384</v>
      </c>
      <c r="B18" s="14" t="s">
        <v>385</v>
      </c>
      <c r="C18" s="14" t="s">
        <v>383</v>
      </c>
      <c r="D18" s="14" t="s">
        <v>375</v>
      </c>
      <c r="E18" s="14"/>
      <c r="F18" s="138"/>
    </row>
    <row r="19" spans="1:6" x14ac:dyDescent="0.25">
      <c r="A19" s="2" t="s">
        <v>386</v>
      </c>
      <c r="B19" s="14" t="s">
        <v>387</v>
      </c>
      <c r="C19" s="14" t="s">
        <v>383</v>
      </c>
      <c r="D19" s="14" t="s">
        <v>375</v>
      </c>
      <c r="E19" s="14" t="s">
        <v>375</v>
      </c>
      <c r="F19" s="138"/>
    </row>
    <row r="20" spans="1:6" x14ac:dyDescent="0.25">
      <c r="A20" s="139" t="s">
        <v>390</v>
      </c>
      <c r="B20" s="98" t="s">
        <v>388</v>
      </c>
      <c r="C20" s="98" t="s">
        <v>317</v>
      </c>
      <c r="D20" s="98"/>
      <c r="E20" s="98" t="s">
        <v>375</v>
      </c>
      <c r="F20" s="140"/>
    </row>
    <row r="21" spans="1:6" x14ac:dyDescent="0.25">
      <c r="A21" s="2" t="s">
        <v>391</v>
      </c>
      <c r="B21" s="146" t="s">
        <v>389</v>
      </c>
      <c r="C21" s="14" t="s">
        <v>324</v>
      </c>
      <c r="D21" s="14"/>
      <c r="E21" s="14" t="s">
        <v>375</v>
      </c>
      <c r="F21" s="138" t="s">
        <v>375</v>
      </c>
    </row>
    <row r="22" spans="1:6" x14ac:dyDescent="0.25">
      <c r="A22" s="2" t="s">
        <v>392</v>
      </c>
      <c r="B22" s="146" t="s">
        <v>392</v>
      </c>
      <c r="C22" s="14" t="s">
        <v>317</v>
      </c>
      <c r="D22" s="14"/>
      <c r="E22" s="14"/>
      <c r="F22" s="138" t="s">
        <v>375</v>
      </c>
    </row>
    <row r="23" spans="1:6" x14ac:dyDescent="0.25">
      <c r="A23" s="139" t="s">
        <v>394</v>
      </c>
      <c r="B23" s="148" t="s">
        <v>393</v>
      </c>
      <c r="C23" s="98" t="s">
        <v>323</v>
      </c>
      <c r="D23" s="98" t="s">
        <v>375</v>
      </c>
      <c r="E23" s="98"/>
      <c r="F23" s="140"/>
    </row>
    <row r="24" spans="1:6" x14ac:dyDescent="0.25">
      <c r="A24" s="2" t="s">
        <v>395</v>
      </c>
      <c r="B24" s="146" t="s">
        <v>396</v>
      </c>
      <c r="C24" s="14" t="s">
        <v>323</v>
      </c>
      <c r="D24" s="14"/>
      <c r="E24" s="14" t="s">
        <v>375</v>
      </c>
      <c r="F24" s="138"/>
    </row>
    <row r="25" spans="1:6" x14ac:dyDescent="0.25">
      <c r="A25" s="2" t="s">
        <v>398</v>
      </c>
      <c r="B25" s="146" t="s">
        <v>397</v>
      </c>
      <c r="C25" s="14" t="s">
        <v>323</v>
      </c>
      <c r="D25" s="14"/>
      <c r="E25" s="14" t="s">
        <v>375</v>
      </c>
      <c r="F25" s="138" t="s">
        <v>375</v>
      </c>
    </row>
    <row r="26" spans="1:6" x14ac:dyDescent="0.25">
      <c r="A26" s="139" t="s">
        <v>399</v>
      </c>
      <c r="B26" s="148" t="s">
        <v>400</v>
      </c>
      <c r="C26" s="98" t="s">
        <v>328</v>
      </c>
      <c r="D26" s="98"/>
      <c r="E26" s="98" t="s">
        <v>375</v>
      </c>
      <c r="F26" s="140"/>
    </row>
    <row r="27" spans="1:6" ht="15.75" thickBot="1" x14ac:dyDescent="0.3">
      <c r="A27" s="5" t="s">
        <v>329</v>
      </c>
      <c r="B27" s="147" t="s">
        <v>329</v>
      </c>
      <c r="C27" s="58">
        <v>1</v>
      </c>
      <c r="D27" s="58" t="s">
        <v>375</v>
      </c>
      <c r="E27" s="58"/>
      <c r="F27" s="101"/>
    </row>
  </sheetData>
  <pageMargins left="0.19685039370078741" right="0.19685039370078741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Carac + Comp</vt:lpstr>
      <vt:lpstr>Localisation</vt:lpstr>
      <vt:lpstr>Talents</vt:lpstr>
      <vt:lpstr>Equipement</vt:lpstr>
      <vt:lpstr>Règles</vt:lpstr>
      <vt:lpstr>Explications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2017-05-25T22:01:33Z</cp:lastPrinted>
  <dcterms:created xsi:type="dcterms:W3CDTF">2017-03-21T04:33:46Z</dcterms:created>
  <dcterms:modified xsi:type="dcterms:W3CDTF">2017-05-26T05:15:51Z</dcterms:modified>
</cp:coreProperties>
</file>