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 Paysan Urbain\Dropbox (Le Paysan Urbain)\B G &amp; Pierre\Financier\BUSINESS PLAN\BP LPU + LBP Mars 2017\"/>
    </mc:Choice>
  </mc:AlternateContent>
  <bookViews>
    <workbookView xWindow="615" yWindow="540" windowWidth="25995" windowHeight="16065" tabRatio="500" firstSheet="7" activeTab="7"/>
  </bookViews>
  <sheets>
    <sheet name="Expl" sheetId="1" r:id="rId1"/>
    <sheet name="Invest" sheetId="3" r:id="rId2"/>
    <sheet name="Mix CA" sheetId="12" r:id="rId3"/>
    <sheet name="SF" sheetId="4" r:id="rId4"/>
    <sheet name="Graphique" sheetId="5" r:id="rId5"/>
    <sheet name="Planning" sheetId="6" r:id="rId6"/>
    <sheet name="MOD" sheetId="14" r:id="rId7"/>
    <sheet name="Capacité" sheetId="15" r:id="rId8"/>
    <sheet name="Graines" sheetId="16" r:id="rId9"/>
    <sheet name="Marges" sheetId="17" r:id="rId10"/>
    <sheet name="Fs Gx" sheetId="10" r:id="rId11"/>
    <sheet name="Pt Mort" sheetId="18" r:id="rId12"/>
    <sheet name="Feuil1" sheetId="8" r:id="rId13"/>
    <sheet name="Paramètres" sheetId="7" r:id="rId14"/>
    <sheet name="TRESORERIE" sheetId="13" r:id="rId15"/>
  </sheets>
  <definedNames>
    <definedName name="_xlnm.Print_Area" localSheetId="1">Invest!$A$1:$L$100</definedName>
    <definedName name="_xlnm.Print_Area" localSheetId="5">Planning!$A$1:$N$53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E86" i="1"/>
  <c r="F25" i="1"/>
  <c r="F26" i="1"/>
  <c r="F86" i="1"/>
  <c r="G25" i="1"/>
  <c r="G26" i="1"/>
  <c r="G86" i="1"/>
  <c r="H25" i="1"/>
  <c r="H26" i="1"/>
  <c r="H86" i="1"/>
  <c r="I25" i="1"/>
  <c r="I26" i="1"/>
  <c r="I86" i="1"/>
  <c r="J25" i="1"/>
  <c r="J26" i="1"/>
  <c r="J86" i="1"/>
  <c r="K25" i="1"/>
  <c r="K26" i="1"/>
  <c r="K86" i="1"/>
  <c r="L25" i="1"/>
  <c r="L26" i="1"/>
  <c r="L86" i="1"/>
  <c r="D86" i="1"/>
  <c r="C17" i="15"/>
  <c r="C35" i="15"/>
  <c r="I35" i="14"/>
  <c r="I36" i="14"/>
  <c r="E36" i="14"/>
  <c r="I37" i="14"/>
  <c r="I39" i="14"/>
  <c r="I41" i="14"/>
  <c r="C37" i="15"/>
  <c r="I46" i="14"/>
  <c r="I48" i="14"/>
  <c r="I49" i="14"/>
  <c r="E49" i="14"/>
  <c r="I50" i="14"/>
  <c r="I52" i="14"/>
  <c r="I54" i="14"/>
  <c r="C39" i="15"/>
  <c r="C41" i="15"/>
  <c r="C22" i="15"/>
  <c r="C43" i="15"/>
  <c r="C45" i="15"/>
  <c r="D17" i="15"/>
  <c r="D35" i="15"/>
  <c r="D37" i="15"/>
  <c r="D39" i="15"/>
  <c r="D41" i="15"/>
  <c r="D22" i="15"/>
  <c r="D43" i="15"/>
  <c r="D45" i="15"/>
  <c r="M17" i="15"/>
  <c r="M35" i="15"/>
  <c r="M37" i="15"/>
  <c r="M39" i="15"/>
  <c r="M41" i="15"/>
  <c r="M22" i="15"/>
  <c r="M43" i="15"/>
  <c r="M45" i="15"/>
  <c r="N17" i="15"/>
  <c r="N35" i="15"/>
  <c r="N37" i="15"/>
  <c r="N39" i="15"/>
  <c r="N41" i="15"/>
  <c r="N22" i="15"/>
  <c r="N43" i="15"/>
  <c r="N45" i="15"/>
  <c r="E17" i="15"/>
  <c r="E35" i="15"/>
  <c r="E37" i="15"/>
  <c r="E39" i="15"/>
  <c r="E41" i="15"/>
  <c r="E22" i="15"/>
  <c r="E43" i="15"/>
  <c r="E45" i="15"/>
  <c r="L17" i="15"/>
  <c r="L35" i="15"/>
  <c r="L37" i="15"/>
  <c r="L39" i="15"/>
  <c r="L41" i="15"/>
  <c r="L22" i="15"/>
  <c r="L43" i="15"/>
  <c r="L45" i="15"/>
  <c r="G17" i="15"/>
  <c r="G35" i="15"/>
  <c r="G37" i="15"/>
  <c r="G39" i="15"/>
  <c r="G41" i="15"/>
  <c r="G22" i="15"/>
  <c r="G43" i="15"/>
  <c r="G45" i="15"/>
  <c r="H17" i="15"/>
  <c r="H35" i="15"/>
  <c r="H37" i="15"/>
  <c r="H39" i="15"/>
  <c r="H41" i="15"/>
  <c r="H22" i="15"/>
  <c r="H43" i="15"/>
  <c r="H45" i="15"/>
  <c r="F17" i="15"/>
  <c r="F35" i="15"/>
  <c r="F37" i="15"/>
  <c r="F39" i="15"/>
  <c r="F41" i="15"/>
  <c r="F22" i="15"/>
  <c r="F43" i="15"/>
  <c r="F45" i="15"/>
  <c r="I17" i="15"/>
  <c r="I35" i="15"/>
  <c r="I37" i="15"/>
  <c r="I39" i="15"/>
  <c r="I41" i="15"/>
  <c r="I22" i="15"/>
  <c r="I43" i="15"/>
  <c r="I45" i="15"/>
  <c r="J17" i="15"/>
  <c r="J35" i="15"/>
  <c r="J37" i="15"/>
  <c r="J39" i="15"/>
  <c r="J41" i="15"/>
  <c r="J22" i="15"/>
  <c r="J43" i="15"/>
  <c r="J45" i="15"/>
  <c r="K17" i="15"/>
  <c r="K35" i="15"/>
  <c r="K37" i="15"/>
  <c r="K39" i="15"/>
  <c r="K41" i="15"/>
  <c r="K22" i="15"/>
  <c r="K43" i="15"/>
  <c r="K45" i="15"/>
  <c r="P45" i="15"/>
  <c r="H10" i="14"/>
  <c r="I10" i="14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I20" i="14"/>
  <c r="H21" i="14"/>
  <c r="I21" i="14"/>
  <c r="I22" i="14"/>
  <c r="I23" i="14"/>
  <c r="I25" i="14"/>
  <c r="I27" i="14"/>
  <c r="I29" i="14"/>
  <c r="C20" i="15"/>
  <c r="C26" i="15"/>
  <c r="C28" i="15"/>
  <c r="D20" i="15"/>
  <c r="D26" i="15"/>
  <c r="D28" i="15"/>
  <c r="M20" i="15"/>
  <c r="M26" i="15"/>
  <c r="M28" i="15"/>
  <c r="N20" i="15"/>
  <c r="N26" i="15"/>
  <c r="N28" i="15"/>
  <c r="E20" i="15"/>
  <c r="E26" i="15"/>
  <c r="E28" i="15"/>
  <c r="L20" i="15"/>
  <c r="L26" i="15"/>
  <c r="L28" i="15"/>
  <c r="G20" i="15"/>
  <c r="G26" i="15"/>
  <c r="G28" i="15"/>
  <c r="H20" i="15"/>
  <c r="H26" i="15"/>
  <c r="H28" i="15"/>
  <c r="F20" i="15"/>
  <c r="F26" i="15"/>
  <c r="F28" i="15"/>
  <c r="I20" i="15"/>
  <c r="I26" i="15"/>
  <c r="I28" i="15"/>
  <c r="J20" i="15"/>
  <c r="J26" i="15"/>
  <c r="J28" i="15"/>
  <c r="K20" i="15"/>
  <c r="K26" i="15"/>
  <c r="K28" i="15"/>
  <c r="P28" i="15"/>
  <c r="F16" i="17"/>
  <c r="H16" i="17"/>
  <c r="E16" i="17"/>
  <c r="G16" i="17"/>
  <c r="D47" i="15"/>
  <c r="D48" i="15"/>
  <c r="E47" i="15"/>
  <c r="E48" i="15"/>
  <c r="F47" i="15"/>
  <c r="F48" i="15"/>
  <c r="G47" i="15"/>
  <c r="G48" i="15"/>
  <c r="H47" i="15"/>
  <c r="H48" i="15"/>
  <c r="I47" i="15"/>
  <c r="I48" i="15"/>
  <c r="J47" i="15"/>
  <c r="J48" i="15"/>
  <c r="K47" i="15"/>
  <c r="K48" i="15"/>
  <c r="L47" i="15"/>
  <c r="L48" i="15"/>
  <c r="M47" i="15"/>
  <c r="M48" i="15"/>
  <c r="N47" i="15"/>
  <c r="N48" i="15"/>
  <c r="C48" i="15"/>
  <c r="P48" i="15"/>
  <c r="P47" i="15"/>
  <c r="C31" i="15"/>
  <c r="D30" i="15"/>
  <c r="D31" i="15"/>
  <c r="E30" i="15"/>
  <c r="E31" i="15"/>
  <c r="F30" i="15"/>
  <c r="F31" i="15"/>
  <c r="G30" i="15"/>
  <c r="G31" i="15"/>
  <c r="H30" i="15"/>
  <c r="H31" i="15"/>
  <c r="I30" i="15"/>
  <c r="I31" i="15"/>
  <c r="J30" i="15"/>
  <c r="J31" i="15"/>
  <c r="K30" i="15"/>
  <c r="K31" i="15"/>
  <c r="L30" i="15"/>
  <c r="L31" i="15"/>
  <c r="M30" i="15"/>
  <c r="M31" i="15"/>
  <c r="N30" i="15"/>
  <c r="N31" i="15"/>
  <c r="P31" i="15"/>
  <c r="P30" i="15"/>
  <c r="D9" i="1"/>
  <c r="D20" i="1"/>
  <c r="D13" i="1"/>
  <c r="D21" i="1"/>
  <c r="D23" i="1"/>
  <c r="D28" i="1"/>
  <c r="E85" i="1"/>
  <c r="F85" i="1"/>
  <c r="G85" i="1"/>
  <c r="H85" i="1"/>
  <c r="I85" i="1"/>
  <c r="J85" i="1"/>
  <c r="K85" i="1"/>
  <c r="L85" i="1"/>
  <c r="D85" i="1"/>
  <c r="C86" i="1"/>
  <c r="C85" i="1"/>
  <c r="D7" i="12"/>
  <c r="C18" i="12"/>
  <c r="D8" i="12"/>
  <c r="C19" i="12"/>
  <c r="D9" i="12"/>
  <c r="C20" i="12"/>
  <c r="D10" i="12"/>
  <c r="C21" i="12"/>
  <c r="D11" i="12"/>
  <c r="C22" i="12"/>
  <c r="D12" i="12"/>
  <c r="C23" i="12"/>
  <c r="D13" i="12"/>
  <c r="C24" i="12"/>
  <c r="D14" i="12"/>
  <c r="C25" i="12"/>
  <c r="D15" i="12"/>
  <c r="C26" i="12"/>
  <c r="C30" i="12"/>
  <c r="C28" i="12"/>
  <c r="C32" i="12"/>
  <c r="D14" i="1"/>
  <c r="D16" i="1"/>
  <c r="D43" i="1"/>
  <c r="D44" i="1"/>
  <c r="D45" i="1"/>
  <c r="D33" i="1"/>
  <c r="D46" i="1"/>
  <c r="D48" i="1"/>
  <c r="D50" i="1"/>
  <c r="D71" i="1"/>
  <c r="E8" i="1"/>
  <c r="E9" i="1"/>
  <c r="E12" i="1"/>
  <c r="E13" i="1"/>
  <c r="D18" i="12"/>
  <c r="D19" i="12"/>
  <c r="D20" i="12"/>
  <c r="D21" i="12"/>
  <c r="D22" i="12"/>
  <c r="D23" i="12"/>
  <c r="D24" i="12"/>
  <c r="D25" i="12"/>
  <c r="D26" i="12"/>
  <c r="D30" i="12"/>
  <c r="D28" i="12"/>
  <c r="D32" i="12"/>
  <c r="E14" i="1"/>
  <c r="E16" i="1"/>
  <c r="E43" i="1"/>
  <c r="E72" i="1"/>
  <c r="F8" i="1"/>
  <c r="F7" i="1"/>
  <c r="F9" i="1"/>
  <c r="F12" i="1"/>
  <c r="F13" i="1"/>
  <c r="E18" i="12"/>
  <c r="E19" i="12"/>
  <c r="E20" i="12"/>
  <c r="E21" i="12"/>
  <c r="E22" i="12"/>
  <c r="E23" i="12"/>
  <c r="E24" i="12"/>
  <c r="E25" i="12"/>
  <c r="E26" i="12"/>
  <c r="E30" i="12"/>
  <c r="E28" i="12"/>
  <c r="E32" i="12"/>
  <c r="F14" i="1"/>
  <c r="F16" i="1"/>
  <c r="F43" i="1"/>
  <c r="F72" i="1"/>
  <c r="G8" i="1"/>
  <c r="G7" i="1"/>
  <c r="G9" i="1"/>
  <c r="G12" i="1"/>
  <c r="G13" i="1"/>
  <c r="F18" i="12"/>
  <c r="F19" i="12"/>
  <c r="F20" i="12"/>
  <c r="F21" i="12"/>
  <c r="F22" i="12"/>
  <c r="F23" i="12"/>
  <c r="F24" i="12"/>
  <c r="F25" i="12"/>
  <c r="F26" i="12"/>
  <c r="F30" i="12"/>
  <c r="F28" i="12"/>
  <c r="F32" i="12"/>
  <c r="G14" i="1"/>
  <c r="G16" i="1"/>
  <c r="G43" i="1"/>
  <c r="G72" i="1"/>
  <c r="H8" i="1"/>
  <c r="H9" i="1"/>
  <c r="H12" i="1"/>
  <c r="H13" i="1"/>
  <c r="H14" i="1"/>
  <c r="H16" i="1"/>
  <c r="H43" i="1"/>
  <c r="H72" i="1"/>
  <c r="I8" i="1"/>
  <c r="I9" i="1"/>
  <c r="I12" i="1"/>
  <c r="I13" i="1"/>
  <c r="I14" i="1"/>
  <c r="I16" i="1"/>
  <c r="I43" i="1"/>
  <c r="I72" i="1"/>
  <c r="J8" i="1"/>
  <c r="J9" i="1"/>
  <c r="J12" i="1"/>
  <c r="J13" i="1"/>
  <c r="J14" i="1"/>
  <c r="J16" i="1"/>
  <c r="J43" i="1"/>
  <c r="J72" i="1"/>
  <c r="K8" i="1"/>
  <c r="K9" i="1"/>
  <c r="K12" i="1"/>
  <c r="K13" i="1"/>
  <c r="K14" i="1"/>
  <c r="K16" i="1"/>
  <c r="K43" i="1"/>
  <c r="K72" i="1"/>
  <c r="L8" i="1"/>
  <c r="L9" i="1"/>
  <c r="L12" i="1"/>
  <c r="L13" i="1"/>
  <c r="L14" i="1"/>
  <c r="L16" i="1"/>
  <c r="L43" i="1"/>
  <c r="L72" i="1"/>
  <c r="D72" i="1"/>
  <c r="F73" i="1"/>
  <c r="G37" i="1"/>
  <c r="G73" i="1"/>
  <c r="H37" i="1"/>
  <c r="H73" i="1"/>
  <c r="I37" i="1"/>
  <c r="I73" i="1"/>
  <c r="J37" i="1"/>
  <c r="J73" i="1"/>
  <c r="K37" i="1"/>
  <c r="K73" i="1"/>
  <c r="L37" i="1"/>
  <c r="L73" i="1"/>
  <c r="E73" i="1"/>
  <c r="I6" i="16"/>
  <c r="F6" i="16"/>
  <c r="J6" i="16"/>
  <c r="I7" i="16"/>
  <c r="F7" i="16"/>
  <c r="J7" i="16"/>
  <c r="I8" i="16"/>
  <c r="F8" i="16"/>
  <c r="J8" i="16"/>
  <c r="I9" i="16"/>
  <c r="F9" i="16"/>
  <c r="J9" i="16"/>
  <c r="I10" i="16"/>
  <c r="F10" i="16"/>
  <c r="J10" i="16"/>
  <c r="I11" i="16"/>
  <c r="F11" i="16"/>
  <c r="J11" i="16"/>
  <c r="I12" i="16"/>
  <c r="F12" i="16"/>
  <c r="J12" i="16"/>
  <c r="I13" i="16"/>
  <c r="F13" i="16"/>
  <c r="J13" i="16"/>
  <c r="I14" i="16"/>
  <c r="F14" i="16"/>
  <c r="J14" i="16"/>
  <c r="I15" i="16"/>
  <c r="F15" i="16"/>
  <c r="J15" i="16"/>
  <c r="J17" i="16"/>
  <c r="N64" i="1"/>
  <c r="D28" i="18"/>
  <c r="I17" i="16"/>
  <c r="G4" i="14"/>
  <c r="D27" i="18"/>
  <c r="D26" i="18"/>
  <c r="D16" i="18"/>
  <c r="D11" i="18"/>
  <c r="D13" i="18"/>
  <c r="C11" i="18"/>
  <c r="D7" i="17"/>
  <c r="D6" i="17"/>
  <c r="D11" i="17"/>
  <c r="E7" i="17"/>
  <c r="E6" i="17"/>
  <c r="E11" i="17"/>
  <c r="F7" i="17"/>
  <c r="F6" i="17"/>
  <c r="F11" i="17"/>
  <c r="G7" i="17"/>
  <c r="G6" i="17"/>
  <c r="G11" i="17"/>
  <c r="H7" i="17"/>
  <c r="H6" i="17"/>
  <c r="H11" i="17"/>
  <c r="I34" i="14"/>
  <c r="D8" i="17"/>
  <c r="D12" i="17"/>
  <c r="E8" i="17"/>
  <c r="E9" i="17"/>
  <c r="E12" i="17"/>
  <c r="F8" i="17"/>
  <c r="F9" i="17"/>
  <c r="F12" i="17"/>
  <c r="G8" i="17"/>
  <c r="G9" i="17"/>
  <c r="G12" i="17"/>
  <c r="H8" i="17"/>
  <c r="H9" i="17"/>
  <c r="H12" i="17"/>
  <c r="C7" i="17"/>
  <c r="C6" i="17"/>
  <c r="C8" i="17"/>
  <c r="C12" i="17"/>
  <c r="C11" i="17"/>
  <c r="H10" i="17"/>
  <c r="I47" i="14"/>
  <c r="G10" i="17"/>
  <c r="F10" i="17"/>
  <c r="E10" i="17"/>
  <c r="D10" i="17"/>
  <c r="C10" i="17"/>
  <c r="F14" i="17"/>
  <c r="F18" i="17"/>
  <c r="F22" i="17"/>
  <c r="G14" i="17"/>
  <c r="G18" i="17"/>
  <c r="G22" i="17"/>
  <c r="D19" i="18"/>
  <c r="D30" i="18"/>
  <c r="E14" i="17"/>
  <c r="E18" i="17"/>
  <c r="E22" i="17"/>
  <c r="H14" i="17"/>
  <c r="H18" i="17"/>
  <c r="H22" i="17"/>
  <c r="D14" i="17"/>
  <c r="D18" i="17"/>
  <c r="D22" i="17"/>
  <c r="C14" i="17"/>
  <c r="C18" i="17"/>
  <c r="C22" i="17"/>
  <c r="I22" i="17"/>
  <c r="D21" i="18"/>
  <c r="D32" i="18"/>
  <c r="D23" i="18"/>
  <c r="H17" i="16"/>
  <c r="N13" i="15"/>
  <c r="N24" i="15"/>
  <c r="C13" i="15"/>
  <c r="C24" i="15"/>
  <c r="D13" i="15"/>
  <c r="E13" i="15"/>
  <c r="F13" i="15"/>
  <c r="G13" i="15"/>
  <c r="H13" i="15"/>
  <c r="I13" i="15"/>
  <c r="J13" i="15"/>
  <c r="K13" i="15"/>
  <c r="L13" i="15"/>
  <c r="M13" i="15"/>
  <c r="P13" i="15"/>
  <c r="G24" i="15"/>
  <c r="P15" i="15"/>
  <c r="P11" i="15"/>
  <c r="P7" i="15"/>
  <c r="P9" i="15"/>
  <c r="D24" i="15"/>
  <c r="E24" i="15"/>
  <c r="F24" i="15"/>
  <c r="H24" i="15"/>
  <c r="I24" i="15"/>
  <c r="J24" i="15"/>
  <c r="K24" i="15"/>
  <c r="L24" i="15"/>
  <c r="M24" i="15"/>
  <c r="C10" i="7"/>
  <c r="F34" i="1"/>
  <c r="E34" i="1"/>
  <c r="E35" i="1"/>
  <c r="E63" i="1"/>
  <c r="E66" i="1"/>
  <c r="E18" i="1"/>
  <c r="D63" i="1"/>
  <c r="D66" i="1"/>
  <c r="E111" i="13"/>
  <c r="C9" i="1"/>
  <c r="C13" i="1"/>
  <c r="C16" i="1"/>
  <c r="C43" i="1"/>
  <c r="B92" i="13"/>
  <c r="E90" i="13"/>
  <c r="F111" i="13"/>
  <c r="G111" i="13"/>
  <c r="H111" i="13"/>
  <c r="I111" i="13"/>
  <c r="K90" i="13"/>
  <c r="L90" i="13"/>
  <c r="C103" i="13"/>
  <c r="J97" i="13"/>
  <c r="J99" i="13"/>
  <c r="J101" i="13"/>
  <c r="K100" i="13"/>
  <c r="L100" i="13"/>
  <c r="M100" i="13"/>
  <c r="N100" i="13"/>
  <c r="O100" i="13"/>
  <c r="P100" i="13"/>
  <c r="Q100" i="13"/>
  <c r="R100" i="13"/>
  <c r="S100" i="13"/>
  <c r="T100" i="13"/>
  <c r="U100" i="13"/>
  <c r="J111" i="13"/>
  <c r="K111" i="13"/>
  <c r="L111" i="13"/>
  <c r="M111" i="13"/>
  <c r="N111" i="13"/>
  <c r="O111" i="13"/>
  <c r="C108" i="13"/>
  <c r="S108" i="13"/>
  <c r="T108" i="13"/>
  <c r="U108" i="13"/>
  <c r="D111" i="13"/>
  <c r="A131" i="13"/>
  <c r="C75" i="1"/>
  <c r="B131" i="13"/>
  <c r="A132" i="13"/>
  <c r="D11" i="10"/>
  <c r="C30" i="1"/>
  <c r="C21" i="1"/>
  <c r="C23" i="1"/>
  <c r="D16" i="10"/>
  <c r="G6" i="3"/>
  <c r="K6" i="3"/>
  <c r="G7" i="3"/>
  <c r="K7" i="3"/>
  <c r="G8" i="3"/>
  <c r="K8" i="3"/>
  <c r="G9" i="3"/>
  <c r="K9" i="3"/>
  <c r="G10" i="3"/>
  <c r="K10" i="3"/>
  <c r="G11" i="3"/>
  <c r="K11" i="3"/>
  <c r="G12" i="3"/>
  <c r="K12" i="3"/>
  <c r="G24" i="3"/>
  <c r="K24" i="3"/>
  <c r="K31" i="3"/>
  <c r="G33" i="3"/>
  <c r="K33" i="3"/>
  <c r="K38" i="3"/>
  <c r="L33" i="3"/>
  <c r="K48" i="3"/>
  <c r="K22" i="3"/>
  <c r="K60" i="3"/>
  <c r="K54" i="3"/>
  <c r="C44" i="1"/>
  <c r="C45" i="1"/>
  <c r="C46" i="1"/>
  <c r="C50" i="1"/>
  <c r="C95" i="13"/>
  <c r="E11" i="10"/>
  <c r="E7" i="10"/>
  <c r="E16" i="10"/>
  <c r="L7" i="3"/>
  <c r="L8" i="3"/>
  <c r="L14" i="3"/>
  <c r="G25" i="3"/>
  <c r="L25" i="3"/>
  <c r="G26" i="3"/>
  <c r="L26" i="3"/>
  <c r="G27" i="3"/>
  <c r="L27" i="3"/>
  <c r="G28" i="3"/>
  <c r="L28" i="3"/>
  <c r="G29" i="3"/>
  <c r="L29" i="3"/>
  <c r="D30" i="3"/>
  <c r="G30" i="3"/>
  <c r="L30" i="3"/>
  <c r="G32" i="3"/>
  <c r="L32" i="3"/>
  <c r="G34" i="3"/>
  <c r="L34" i="3"/>
  <c r="G35" i="3"/>
  <c r="L35" i="3"/>
  <c r="G36" i="3"/>
  <c r="L36" i="3"/>
  <c r="G41" i="3"/>
  <c r="L41" i="3"/>
  <c r="L48" i="3"/>
  <c r="G16" i="3"/>
  <c r="L16" i="3"/>
  <c r="G17" i="3"/>
  <c r="L17" i="3"/>
  <c r="G18" i="3"/>
  <c r="L18" i="3"/>
  <c r="G19" i="3"/>
  <c r="L19" i="3"/>
  <c r="G20" i="3"/>
  <c r="L20" i="3"/>
  <c r="G56" i="3"/>
  <c r="L56" i="3"/>
  <c r="G57" i="3"/>
  <c r="L57" i="3"/>
  <c r="G58" i="3"/>
  <c r="G50" i="3"/>
  <c r="L50" i="3"/>
  <c r="G51" i="3"/>
  <c r="L51" i="3"/>
  <c r="G52" i="3"/>
  <c r="I52" i="3"/>
  <c r="L52" i="3"/>
  <c r="A134" i="13"/>
  <c r="A136" i="13"/>
  <c r="B136" i="13"/>
  <c r="I6" i="3"/>
  <c r="I7" i="3"/>
  <c r="I8" i="3"/>
  <c r="I9" i="3"/>
  <c r="I14" i="3"/>
  <c r="I25" i="3"/>
  <c r="I26" i="3"/>
  <c r="I27" i="3"/>
  <c r="I28" i="3"/>
  <c r="I29" i="3"/>
  <c r="I30" i="3"/>
  <c r="G31" i="3"/>
  <c r="I31" i="3"/>
  <c r="I33" i="3"/>
  <c r="I34" i="3"/>
  <c r="I35" i="3"/>
  <c r="I36" i="3"/>
  <c r="G42" i="3"/>
  <c r="I42" i="3"/>
  <c r="G43" i="3"/>
  <c r="I43" i="3"/>
  <c r="D44" i="3"/>
  <c r="G44" i="3"/>
  <c r="I44" i="3"/>
  <c r="G45" i="3"/>
  <c r="I45" i="3"/>
  <c r="G46" i="3"/>
  <c r="I46" i="3"/>
  <c r="I16" i="3"/>
  <c r="I17" i="3"/>
  <c r="I18" i="3"/>
  <c r="I19" i="3"/>
  <c r="I20" i="3"/>
  <c r="I22" i="3"/>
  <c r="I56" i="3"/>
  <c r="I57" i="3"/>
  <c r="I50" i="3"/>
  <c r="I51" i="3"/>
  <c r="I54" i="3"/>
  <c r="G14" i="3"/>
  <c r="G22" i="3"/>
  <c r="G60" i="3"/>
  <c r="G54" i="3"/>
  <c r="G68" i="3"/>
  <c r="G67" i="3"/>
  <c r="G69" i="3"/>
  <c r="G70" i="3"/>
  <c r="G72" i="3"/>
  <c r="G98" i="3"/>
  <c r="A137" i="13"/>
  <c r="A139" i="13"/>
  <c r="A141" i="13"/>
  <c r="B141" i="13"/>
  <c r="C141" i="13"/>
  <c r="A142" i="13"/>
  <c r="B142" i="13"/>
  <c r="C142" i="13"/>
  <c r="A143" i="13"/>
  <c r="C87" i="1"/>
  <c r="B143" i="13"/>
  <c r="A144" i="13"/>
  <c r="C88" i="1"/>
  <c r="B144" i="13"/>
  <c r="A146" i="13"/>
  <c r="C90" i="1"/>
  <c r="B146" i="13"/>
  <c r="A148" i="13"/>
  <c r="K79" i="3"/>
  <c r="K80" i="3"/>
  <c r="K81" i="3"/>
  <c r="K82" i="3"/>
  <c r="K84" i="3"/>
  <c r="C96" i="1"/>
  <c r="C109" i="1"/>
  <c r="C11" i="4"/>
  <c r="L79" i="3"/>
  <c r="L80" i="3"/>
  <c r="L75" i="3"/>
  <c r="L81" i="3"/>
  <c r="A149" i="13"/>
  <c r="B149" i="13"/>
  <c r="A151" i="13"/>
  <c r="A153" i="13"/>
  <c r="C63" i="1"/>
  <c r="C64" i="1"/>
  <c r="C65" i="1"/>
  <c r="C66" i="1"/>
  <c r="C67" i="1"/>
  <c r="C94" i="1"/>
  <c r="A93" i="13"/>
  <c r="B93" i="13"/>
  <c r="C93" i="13"/>
  <c r="A94" i="13"/>
  <c r="B94" i="13"/>
  <c r="C94" i="13"/>
  <c r="A95" i="13"/>
  <c r="B95" i="13"/>
  <c r="A103" i="13"/>
  <c r="B103" i="13"/>
  <c r="A104" i="13"/>
  <c r="B104" i="13"/>
  <c r="C104" i="13"/>
  <c r="A106" i="13"/>
  <c r="A108" i="13"/>
  <c r="B108" i="13"/>
  <c r="A109" i="13"/>
  <c r="C53" i="1"/>
  <c r="B109" i="13"/>
  <c r="A111" i="13"/>
  <c r="C55" i="1"/>
  <c r="B111" i="13"/>
  <c r="A113" i="13"/>
  <c r="A114" i="13"/>
  <c r="B114" i="13"/>
  <c r="C114" i="13"/>
  <c r="A116" i="13"/>
  <c r="A121" i="13"/>
  <c r="B121" i="13"/>
  <c r="C121" i="13"/>
  <c r="A122" i="13"/>
  <c r="B122" i="13"/>
  <c r="A123" i="13"/>
  <c r="A124" i="13"/>
  <c r="B124" i="13"/>
  <c r="C124" i="13"/>
  <c r="A125" i="13"/>
  <c r="B125" i="13"/>
  <c r="A127" i="13"/>
  <c r="A129" i="13"/>
  <c r="B129" i="13"/>
  <c r="A130" i="13"/>
  <c r="B130" i="13"/>
  <c r="C130" i="13"/>
  <c r="A9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Q56" i="13"/>
  <c r="Q50" i="13"/>
  <c r="Q40" i="13"/>
  <c r="Q24" i="13"/>
  <c r="Q16" i="13"/>
  <c r="Q64" i="13"/>
  <c r="R62" i="13"/>
  <c r="S62" i="13"/>
  <c r="T62" i="13"/>
  <c r="U62" i="13"/>
  <c r="U56" i="13"/>
  <c r="U50" i="13"/>
  <c r="U40" i="13"/>
  <c r="U24" i="13"/>
  <c r="U16" i="13"/>
  <c r="U64" i="13"/>
  <c r="D62" i="13"/>
  <c r="E56" i="13"/>
  <c r="F56" i="13"/>
  <c r="G56" i="13"/>
  <c r="G50" i="13"/>
  <c r="G40" i="13"/>
  <c r="G24" i="13"/>
  <c r="G16" i="13"/>
  <c r="G64" i="13"/>
  <c r="H56" i="13"/>
  <c r="I56" i="13"/>
  <c r="J56" i="13"/>
  <c r="K56" i="13"/>
  <c r="K50" i="13"/>
  <c r="K40" i="13"/>
  <c r="K24" i="13"/>
  <c r="K16" i="13"/>
  <c r="K64" i="13"/>
  <c r="L56" i="13"/>
  <c r="M56" i="13"/>
  <c r="N56" i="13"/>
  <c r="O56" i="13"/>
  <c r="O50" i="13"/>
  <c r="O40" i="13"/>
  <c r="O24" i="13"/>
  <c r="O16" i="13"/>
  <c r="O64" i="13"/>
  <c r="P56" i="13"/>
  <c r="R56" i="13"/>
  <c r="S56" i="13"/>
  <c r="S50" i="13"/>
  <c r="S40" i="13"/>
  <c r="S24" i="13"/>
  <c r="S16" i="13"/>
  <c r="S64" i="13"/>
  <c r="T56" i="13"/>
  <c r="D56" i="13"/>
  <c r="E50" i="13"/>
  <c r="F50" i="13"/>
  <c r="H50" i="13"/>
  <c r="I50" i="13"/>
  <c r="J50" i="13"/>
  <c r="L50" i="13"/>
  <c r="M50" i="13"/>
  <c r="N50" i="13"/>
  <c r="R50" i="13"/>
  <c r="T50" i="13"/>
  <c r="D50" i="13"/>
  <c r="D40" i="13"/>
  <c r="D24" i="13"/>
  <c r="B8" i="13"/>
  <c r="D8" i="13"/>
  <c r="B9" i="13"/>
  <c r="D9" i="13"/>
  <c r="D16" i="13"/>
  <c r="D64" i="13"/>
  <c r="E40" i="13"/>
  <c r="F40" i="13"/>
  <c r="H40" i="13"/>
  <c r="H24" i="13"/>
  <c r="H16" i="13"/>
  <c r="H64" i="13"/>
  <c r="I40" i="13"/>
  <c r="L40" i="13"/>
  <c r="M40" i="13"/>
  <c r="N40" i="13"/>
  <c r="P40" i="13"/>
  <c r="R40" i="13"/>
  <c r="T40" i="13"/>
  <c r="E24" i="13"/>
  <c r="F24" i="13"/>
  <c r="I24" i="13"/>
  <c r="J24" i="13"/>
  <c r="L24" i="13"/>
  <c r="M24" i="13"/>
  <c r="N24" i="13"/>
  <c r="P24" i="13"/>
  <c r="R24" i="13"/>
  <c r="T24" i="13"/>
  <c r="T16" i="13"/>
  <c r="R16" i="13"/>
  <c r="P16" i="13"/>
  <c r="N16" i="13"/>
  <c r="M16" i="13"/>
  <c r="L16" i="13"/>
  <c r="J16" i="13"/>
  <c r="F16" i="13"/>
  <c r="J32" i="13"/>
  <c r="J40" i="13"/>
  <c r="J64" i="13"/>
  <c r="A26" i="13"/>
  <c r="A52" i="13"/>
  <c r="B52" i="13"/>
  <c r="C52" i="13"/>
  <c r="A53" i="13"/>
  <c r="B53" i="13"/>
  <c r="C53" i="13"/>
  <c r="A54" i="13"/>
  <c r="B54" i="13"/>
  <c r="C54" i="13"/>
  <c r="A56" i="13"/>
  <c r="B56" i="13"/>
  <c r="A58" i="13"/>
  <c r="B58" i="13"/>
  <c r="C58" i="13"/>
  <c r="A59" i="13"/>
  <c r="B59" i="13"/>
  <c r="C59" i="13"/>
  <c r="A60" i="13"/>
  <c r="B60" i="13"/>
  <c r="A62" i="13"/>
  <c r="B62" i="13"/>
  <c r="A64" i="13"/>
  <c r="A66" i="13"/>
  <c r="K2" i="3"/>
  <c r="K64" i="3"/>
  <c r="B66" i="13"/>
  <c r="L2" i="3"/>
  <c r="L64" i="3"/>
  <c r="C66" i="13"/>
  <c r="A69" i="13"/>
  <c r="B69" i="13"/>
  <c r="C69" i="13"/>
  <c r="A70" i="13"/>
  <c r="B70" i="13"/>
  <c r="C70" i="13"/>
  <c r="A71" i="13"/>
  <c r="B71" i="13"/>
  <c r="C71" i="13"/>
  <c r="A72" i="13"/>
  <c r="B72" i="13"/>
  <c r="C72" i="13"/>
  <c r="A73" i="13"/>
  <c r="B73" i="13"/>
  <c r="C73" i="13"/>
  <c r="A74" i="13"/>
  <c r="B74" i="13"/>
  <c r="C74" i="13"/>
  <c r="A75" i="13"/>
  <c r="B75" i="13"/>
  <c r="C75" i="13"/>
  <c r="A76" i="13"/>
  <c r="B76" i="13"/>
  <c r="C76" i="13"/>
  <c r="A77" i="13"/>
  <c r="B77" i="13"/>
  <c r="C77" i="13"/>
  <c r="A79" i="13"/>
  <c r="K77" i="3"/>
  <c r="B79" i="13"/>
  <c r="L77" i="3"/>
  <c r="C79" i="13"/>
  <c r="A45" i="13"/>
  <c r="B45" i="13"/>
  <c r="C45" i="13"/>
  <c r="A46" i="13"/>
  <c r="B46" i="13"/>
  <c r="C46" i="13"/>
  <c r="A47" i="13"/>
  <c r="B47" i="13"/>
  <c r="C47" i="13"/>
  <c r="A48" i="13"/>
  <c r="B48" i="13"/>
  <c r="C48" i="13"/>
  <c r="A50" i="13"/>
  <c r="B50" i="13"/>
  <c r="C50" i="13"/>
  <c r="A29" i="13"/>
  <c r="B29" i="13"/>
  <c r="C29" i="13"/>
  <c r="A30" i="13"/>
  <c r="B30" i="13"/>
  <c r="C30" i="13"/>
  <c r="A31" i="13"/>
  <c r="B31" i="13"/>
  <c r="C31" i="13"/>
  <c r="A32" i="13"/>
  <c r="B32" i="13"/>
  <c r="A33" i="13"/>
  <c r="B33" i="13"/>
  <c r="C33" i="13"/>
  <c r="A34" i="13"/>
  <c r="B34" i="13"/>
  <c r="C34" i="13"/>
  <c r="A35" i="13"/>
  <c r="B35" i="13"/>
  <c r="C35" i="13"/>
  <c r="A36" i="13"/>
  <c r="B36" i="13"/>
  <c r="C36" i="13"/>
  <c r="A37" i="13"/>
  <c r="B37" i="13"/>
  <c r="C37" i="13"/>
  <c r="A38" i="13"/>
  <c r="B38" i="13"/>
  <c r="C38" i="13"/>
  <c r="A40" i="13"/>
  <c r="B40" i="13"/>
  <c r="A43" i="13"/>
  <c r="B43" i="13"/>
  <c r="C43" i="13"/>
  <c r="P43" i="13"/>
  <c r="P50" i="13"/>
  <c r="P64" i="13"/>
  <c r="A44" i="13"/>
  <c r="B44" i="13"/>
  <c r="C44" i="13"/>
  <c r="A9" i="13"/>
  <c r="C9" i="13"/>
  <c r="A10" i="13"/>
  <c r="B10" i="13"/>
  <c r="E10" i="13"/>
  <c r="E16" i="13"/>
  <c r="C10" i="13"/>
  <c r="A11" i="13"/>
  <c r="B11" i="13"/>
  <c r="C11" i="13"/>
  <c r="A12" i="13"/>
  <c r="B12" i="13"/>
  <c r="C12" i="13"/>
  <c r="A13" i="13"/>
  <c r="B13" i="13"/>
  <c r="I13" i="13"/>
  <c r="I16" i="13"/>
  <c r="I64" i="13"/>
  <c r="C13" i="13"/>
  <c r="A14" i="13"/>
  <c r="B14" i="13"/>
  <c r="C14" i="13"/>
  <c r="A16" i="13"/>
  <c r="C16" i="13"/>
  <c r="A18" i="13"/>
  <c r="B18" i="13"/>
  <c r="C18" i="13"/>
  <c r="A19" i="13"/>
  <c r="B19" i="13"/>
  <c r="C19" i="13"/>
  <c r="A20" i="13"/>
  <c r="B20" i="13"/>
  <c r="C20" i="13"/>
  <c r="A21" i="13"/>
  <c r="B21" i="13"/>
  <c r="C21" i="13"/>
  <c r="A22" i="13"/>
  <c r="B22" i="13"/>
  <c r="C22" i="13"/>
  <c r="A24" i="13"/>
  <c r="B24" i="13"/>
  <c r="B26" i="13"/>
  <c r="A27" i="13"/>
  <c r="B27" i="13"/>
  <c r="C27" i="13"/>
  <c r="A28" i="13"/>
  <c r="B28" i="13"/>
  <c r="C28" i="13"/>
  <c r="C8" i="13"/>
  <c r="A8" i="13"/>
  <c r="T64" i="13"/>
  <c r="L64" i="13"/>
  <c r="M64" i="13"/>
  <c r="R64" i="13"/>
  <c r="N64" i="13"/>
  <c r="F64" i="13"/>
  <c r="D8" i="4"/>
  <c r="E8" i="4"/>
  <c r="F8" i="4"/>
  <c r="G8" i="4"/>
  <c r="H8" i="4"/>
  <c r="J8" i="4"/>
  <c r="K8" i="4"/>
  <c r="L8" i="4"/>
  <c r="C8" i="4"/>
  <c r="L21" i="4"/>
  <c r="K21" i="4"/>
  <c r="J21" i="4"/>
  <c r="I21" i="4"/>
  <c r="H21" i="4"/>
  <c r="G21" i="4"/>
  <c r="F21" i="4"/>
  <c r="E21" i="4"/>
  <c r="D21" i="4"/>
  <c r="C21" i="4"/>
  <c r="N79" i="3"/>
  <c r="M79" i="3"/>
  <c r="L108" i="3"/>
  <c r="M106" i="3"/>
  <c r="L106" i="3"/>
  <c r="K106" i="3"/>
  <c r="O73" i="3"/>
  <c r="N73" i="3"/>
  <c r="G106" i="3"/>
  <c r="Q71" i="3"/>
  <c r="I8" i="4"/>
  <c r="R79" i="3"/>
  <c r="T79" i="3"/>
  <c r="P79" i="3"/>
  <c r="S79" i="3"/>
  <c r="O79" i="3"/>
  <c r="M26" i="3"/>
  <c r="M28" i="3"/>
  <c r="I11" i="3"/>
  <c r="L93" i="3"/>
  <c r="P50" i="3"/>
  <c r="O51" i="3"/>
  <c r="O52" i="3"/>
  <c r="M8" i="3"/>
  <c r="M25" i="3"/>
  <c r="M34" i="3"/>
  <c r="M41" i="3"/>
  <c r="M42" i="3"/>
  <c r="M43" i="3"/>
  <c r="M46" i="3"/>
  <c r="M16" i="3"/>
  <c r="M17" i="3"/>
  <c r="M20" i="3"/>
  <c r="M56" i="3"/>
  <c r="M57" i="3"/>
  <c r="M58" i="3"/>
  <c r="M50" i="3"/>
  <c r="M52" i="3"/>
  <c r="Q52" i="3"/>
  <c r="N6" i="3"/>
  <c r="N8" i="3"/>
  <c r="N14" i="3"/>
  <c r="N30" i="3"/>
  <c r="N32" i="3"/>
  <c r="N33" i="3"/>
  <c r="N34" i="3"/>
  <c r="N36" i="3"/>
  <c r="N41" i="3"/>
  <c r="N42" i="3"/>
  <c r="N43" i="3"/>
  <c r="N44" i="3"/>
  <c r="N45" i="3"/>
  <c r="N46" i="3"/>
  <c r="N16" i="3"/>
  <c r="N17" i="3"/>
  <c r="N20" i="3"/>
  <c r="N56" i="3"/>
  <c r="N58" i="3"/>
  <c r="N50" i="3"/>
  <c r="N54" i="3"/>
  <c r="O6" i="3"/>
  <c r="O8" i="3"/>
  <c r="O25" i="3"/>
  <c r="O28" i="3"/>
  <c r="O29" i="3"/>
  <c r="O30" i="3"/>
  <c r="O32" i="3"/>
  <c r="O33" i="3"/>
  <c r="O34" i="3"/>
  <c r="O35" i="3"/>
  <c r="O36" i="3"/>
  <c r="O41" i="3"/>
  <c r="O42" i="3"/>
  <c r="O43" i="3"/>
  <c r="O44" i="3"/>
  <c r="O45" i="3"/>
  <c r="O46" i="3"/>
  <c r="O16" i="3"/>
  <c r="O17" i="3"/>
  <c r="O20" i="3"/>
  <c r="O56" i="3"/>
  <c r="O57" i="3"/>
  <c r="O58" i="3"/>
  <c r="O50" i="3"/>
  <c r="P6" i="3"/>
  <c r="P8" i="3"/>
  <c r="P25" i="3"/>
  <c r="P29" i="3"/>
  <c r="P34" i="3"/>
  <c r="P35" i="3"/>
  <c r="P36" i="3"/>
  <c r="P41" i="3"/>
  <c r="P42" i="3"/>
  <c r="P43" i="3"/>
  <c r="P45" i="3"/>
  <c r="P46" i="3"/>
  <c r="P16" i="3"/>
  <c r="Q16" i="3"/>
  <c r="T16" i="3"/>
  <c r="P17" i="3"/>
  <c r="P20" i="3"/>
  <c r="P56" i="3"/>
  <c r="P57" i="3"/>
  <c r="P58" i="3"/>
  <c r="P51" i="3"/>
  <c r="P52" i="3"/>
  <c r="Q6" i="3"/>
  <c r="Q8" i="3"/>
  <c r="Q14" i="3"/>
  <c r="Q25" i="3"/>
  <c r="Q28" i="3"/>
  <c r="Q29" i="3"/>
  <c r="T29" i="3"/>
  <c r="Q30" i="3"/>
  <c r="Q32" i="3"/>
  <c r="Q33" i="3"/>
  <c r="T33" i="3"/>
  <c r="Q34" i="3"/>
  <c r="Q35" i="3"/>
  <c r="Q36" i="3"/>
  <c r="Q41" i="3"/>
  <c r="Q42" i="3"/>
  <c r="Q43" i="3"/>
  <c r="Q44" i="3"/>
  <c r="Q45" i="3"/>
  <c r="Q46" i="3"/>
  <c r="T46" i="3"/>
  <c r="Q17" i="3"/>
  <c r="Q20" i="3"/>
  <c r="Q22" i="3"/>
  <c r="Q56" i="3"/>
  <c r="Q58" i="3"/>
  <c r="Q50" i="3"/>
  <c r="R6" i="3"/>
  <c r="R8" i="3"/>
  <c r="R25" i="3"/>
  <c r="R28" i="3"/>
  <c r="R29" i="3"/>
  <c r="R30" i="3"/>
  <c r="R32" i="3"/>
  <c r="R33" i="3"/>
  <c r="R34" i="3"/>
  <c r="R35" i="3"/>
  <c r="R36" i="3"/>
  <c r="R41" i="3"/>
  <c r="R42" i="3"/>
  <c r="R43" i="3"/>
  <c r="R44" i="3"/>
  <c r="R45" i="3"/>
  <c r="R46" i="3"/>
  <c r="R16" i="3"/>
  <c r="R17" i="3"/>
  <c r="R20" i="3"/>
  <c r="R56" i="3"/>
  <c r="R57" i="3"/>
  <c r="R58" i="3"/>
  <c r="R50" i="3"/>
  <c r="R51" i="3"/>
  <c r="R52" i="3"/>
  <c r="S6" i="3"/>
  <c r="S8" i="3"/>
  <c r="S25" i="3"/>
  <c r="S28" i="3"/>
  <c r="S29" i="3"/>
  <c r="S30" i="3"/>
  <c r="S32" i="3"/>
  <c r="S33" i="3"/>
  <c r="S34" i="3"/>
  <c r="S35" i="3"/>
  <c r="S36" i="3"/>
  <c r="S41" i="3"/>
  <c r="S42" i="3"/>
  <c r="S43" i="3"/>
  <c r="S44" i="3"/>
  <c r="S45" i="3"/>
  <c r="S46" i="3"/>
  <c r="S16" i="3"/>
  <c r="S17" i="3"/>
  <c r="S20" i="3"/>
  <c r="S56" i="3"/>
  <c r="S57" i="3"/>
  <c r="S58" i="3"/>
  <c r="S50" i="3"/>
  <c r="S51" i="3"/>
  <c r="S52" i="3"/>
  <c r="T28" i="3"/>
  <c r="T56" i="3"/>
  <c r="T50" i="3"/>
  <c r="T51" i="3"/>
  <c r="T52" i="3"/>
  <c r="K93" i="3"/>
  <c r="K91" i="3"/>
  <c r="G34" i="1"/>
  <c r="H34" i="1"/>
  <c r="I34" i="1"/>
  <c r="J34" i="1"/>
  <c r="F35" i="1"/>
  <c r="F45" i="1"/>
  <c r="F33" i="5"/>
  <c r="F18" i="1"/>
  <c r="G18" i="1"/>
  <c r="F19" i="1"/>
  <c r="G19" i="1"/>
  <c r="H19" i="1"/>
  <c r="I19" i="1"/>
  <c r="J19" i="1"/>
  <c r="K19" i="1"/>
  <c r="L19" i="1"/>
  <c r="G35" i="1"/>
  <c r="H35" i="1"/>
  <c r="H45" i="1"/>
  <c r="H33" i="5"/>
  <c r="I35" i="1"/>
  <c r="I45" i="1"/>
  <c r="I33" i="5"/>
  <c r="J35" i="1"/>
  <c r="J45" i="1"/>
  <c r="J33" i="5"/>
  <c r="K35" i="1"/>
  <c r="L35" i="1"/>
  <c r="E45" i="1"/>
  <c r="E33" i="5"/>
  <c r="C17" i="12"/>
  <c r="F7" i="10"/>
  <c r="F21" i="10"/>
  <c r="G21" i="10"/>
  <c r="H21" i="10"/>
  <c r="I21" i="10"/>
  <c r="J21" i="10"/>
  <c r="K21" i="10"/>
  <c r="L21" i="10"/>
  <c r="M21" i="10"/>
  <c r="E47" i="1"/>
  <c r="F47" i="1"/>
  <c r="B19" i="12"/>
  <c r="B20" i="12"/>
  <c r="B21" i="12"/>
  <c r="B22" i="12"/>
  <c r="B23" i="12"/>
  <c r="B24" i="12"/>
  <c r="B25" i="12"/>
  <c r="B26" i="12"/>
  <c r="B18" i="12"/>
  <c r="F11" i="12"/>
  <c r="F12" i="12"/>
  <c r="F13" i="12"/>
  <c r="F14" i="12"/>
  <c r="F15" i="12"/>
  <c r="F7" i="12"/>
  <c r="F8" i="12"/>
  <c r="F9" i="12"/>
  <c r="F10" i="12"/>
  <c r="E34" i="12"/>
  <c r="D17" i="12"/>
  <c r="E17" i="12"/>
  <c r="F17" i="12"/>
  <c r="C34" i="5"/>
  <c r="C39" i="1"/>
  <c r="D3" i="10"/>
  <c r="F15" i="10"/>
  <c r="G15" i="10"/>
  <c r="H15" i="10"/>
  <c r="I15" i="10"/>
  <c r="J15" i="10"/>
  <c r="K15" i="10"/>
  <c r="L15" i="10"/>
  <c r="M15" i="10"/>
  <c r="L39" i="1"/>
  <c r="M3" i="10"/>
  <c r="F9" i="10"/>
  <c r="G9" i="10"/>
  <c r="C12" i="7"/>
  <c r="F19" i="10"/>
  <c r="G19" i="10"/>
  <c r="H19" i="10"/>
  <c r="I19" i="10"/>
  <c r="J19" i="10"/>
  <c r="K19" i="10"/>
  <c r="L19" i="10"/>
  <c r="M19" i="10"/>
  <c r="L45" i="1"/>
  <c r="L33" i="5"/>
  <c r="L33" i="1"/>
  <c r="L46" i="1"/>
  <c r="L34" i="5"/>
  <c r="F23" i="10"/>
  <c r="G23" i="10"/>
  <c r="H23" i="10"/>
  <c r="I23" i="10"/>
  <c r="J23" i="10"/>
  <c r="K23" i="10"/>
  <c r="L23" i="10"/>
  <c r="M23" i="10"/>
  <c r="F25" i="10"/>
  <c r="G25" i="10"/>
  <c r="H25" i="10"/>
  <c r="I25" i="10"/>
  <c r="J25" i="10"/>
  <c r="K25" i="10"/>
  <c r="L25" i="10"/>
  <c r="M25" i="10"/>
  <c r="E48" i="1"/>
  <c r="F11" i="10"/>
  <c r="E33" i="1"/>
  <c r="E46" i="1"/>
  <c r="E34" i="5"/>
  <c r="F48" i="1"/>
  <c r="G11" i="10"/>
  <c r="F33" i="1"/>
  <c r="F46" i="1"/>
  <c r="F34" i="5"/>
  <c r="G48" i="1"/>
  <c r="H11" i="10"/>
  <c r="G45" i="1"/>
  <c r="G33" i="5"/>
  <c r="G33" i="1"/>
  <c r="G46" i="1"/>
  <c r="G34" i="5"/>
  <c r="H33" i="1"/>
  <c r="H46" i="1"/>
  <c r="H34" i="5"/>
  <c r="I33" i="1"/>
  <c r="I46" i="1"/>
  <c r="I34" i="5"/>
  <c r="J33" i="1"/>
  <c r="J46" i="1"/>
  <c r="J34" i="5"/>
  <c r="K33" i="1"/>
  <c r="K46" i="1"/>
  <c r="D34" i="5"/>
  <c r="E39" i="1"/>
  <c r="F3" i="10"/>
  <c r="F39" i="1"/>
  <c r="G3" i="10"/>
  <c r="G39" i="1"/>
  <c r="H3" i="10"/>
  <c r="H39" i="1"/>
  <c r="I3" i="10"/>
  <c r="I39" i="1"/>
  <c r="J3" i="10"/>
  <c r="J39" i="1"/>
  <c r="K3" i="10"/>
  <c r="K39" i="1"/>
  <c r="L3" i="10"/>
  <c r="D39" i="1"/>
  <c r="E3" i="10"/>
  <c r="C3" i="10"/>
  <c r="C28" i="10"/>
  <c r="I12" i="3"/>
  <c r="P11" i="3"/>
  <c r="Q11" i="3"/>
  <c r="T11" i="3"/>
  <c r="S11" i="3"/>
  <c r="R11" i="3"/>
  <c r="O11" i="3"/>
  <c r="N11" i="3"/>
  <c r="G90" i="3"/>
  <c r="G91" i="3"/>
  <c r="G104" i="3"/>
  <c r="G105" i="3"/>
  <c r="E74" i="1"/>
  <c r="F63" i="1"/>
  <c r="F74" i="1"/>
  <c r="G74" i="1"/>
  <c r="H74" i="1"/>
  <c r="I74" i="1"/>
  <c r="J74" i="1"/>
  <c r="K74" i="1"/>
  <c r="L74" i="1"/>
  <c r="G63" i="1"/>
  <c r="H63" i="1"/>
  <c r="I63" i="1"/>
  <c r="J63" i="1"/>
  <c r="K63" i="1"/>
  <c r="L63" i="1"/>
  <c r="L104" i="3"/>
  <c r="L105" i="3"/>
  <c r="G107" i="3"/>
  <c r="G103" i="3"/>
  <c r="M107" i="3"/>
  <c r="L107" i="3"/>
  <c r="K107" i="3"/>
  <c r="M105" i="3"/>
  <c r="K105" i="3"/>
  <c r="M104" i="3"/>
  <c r="K104" i="3"/>
  <c r="M103" i="3"/>
  <c r="L103" i="3"/>
  <c r="K103" i="3"/>
  <c r="B104" i="3"/>
  <c r="B105" i="3"/>
  <c r="B107" i="3"/>
  <c r="B108" i="3"/>
  <c r="B103" i="3"/>
  <c r="B90" i="3"/>
  <c r="K94" i="3"/>
  <c r="K95" i="3"/>
  <c r="F7" i="7"/>
  <c r="D8" i="7"/>
  <c r="E8" i="7"/>
  <c r="F8" i="7"/>
  <c r="D9" i="7"/>
  <c r="E9" i="7"/>
  <c r="F9" i="7"/>
  <c r="F10" i="7"/>
  <c r="D11" i="7"/>
  <c r="E11" i="7"/>
  <c r="F11" i="7"/>
  <c r="F17" i="7"/>
  <c r="D7" i="7"/>
  <c r="E6" i="7"/>
  <c r="E7" i="7"/>
  <c r="C15" i="7"/>
  <c r="C19" i="7"/>
  <c r="E6" i="1"/>
  <c r="F6" i="1"/>
  <c r="G6" i="1"/>
  <c r="H6" i="1"/>
  <c r="I6" i="1"/>
  <c r="J6" i="1"/>
  <c r="K6" i="1"/>
  <c r="L6" i="1"/>
  <c r="E36" i="1"/>
  <c r="F36" i="1"/>
  <c r="G36" i="1"/>
  <c r="H36" i="1"/>
  <c r="I36" i="1"/>
  <c r="J36" i="1"/>
  <c r="K36" i="1"/>
  <c r="L36" i="1"/>
  <c r="D112" i="1"/>
  <c r="E112" i="1"/>
  <c r="F112" i="1"/>
  <c r="G112" i="1"/>
  <c r="H112" i="1"/>
  <c r="I112" i="1"/>
  <c r="J112" i="1"/>
  <c r="K112" i="1"/>
  <c r="L112" i="1"/>
  <c r="E9" i="4"/>
  <c r="M75" i="3"/>
  <c r="E10" i="4"/>
  <c r="N80" i="3"/>
  <c r="P73" i="3"/>
  <c r="Q73" i="3"/>
  <c r="I9" i="4"/>
  <c r="R73" i="3"/>
  <c r="J9" i="4"/>
  <c r="K9" i="4"/>
  <c r="T77" i="3"/>
  <c r="C112" i="1"/>
  <c r="D18" i="4"/>
  <c r="E18" i="4"/>
  <c r="F18" i="4"/>
  <c r="G18" i="4"/>
  <c r="H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H20" i="4"/>
  <c r="I20" i="4"/>
  <c r="J20" i="4"/>
  <c r="K20" i="4"/>
  <c r="L20" i="4"/>
  <c r="D22" i="4"/>
  <c r="E22" i="4"/>
  <c r="F22" i="4"/>
  <c r="G22" i="4"/>
  <c r="H22" i="4"/>
  <c r="I22" i="4"/>
  <c r="J22" i="4"/>
  <c r="K22" i="4"/>
  <c r="L22" i="4"/>
  <c r="D23" i="4"/>
  <c r="F23" i="4"/>
  <c r="G23" i="4"/>
  <c r="I23" i="4"/>
  <c r="J23" i="4"/>
  <c r="K23" i="4"/>
  <c r="L23" i="4"/>
  <c r="C23" i="4"/>
  <c r="C19" i="4"/>
  <c r="C20" i="4"/>
  <c r="C22" i="4"/>
  <c r="C18" i="4"/>
  <c r="D9" i="4"/>
  <c r="F9" i="4"/>
  <c r="G9" i="4"/>
  <c r="D10" i="4"/>
  <c r="C10" i="4"/>
  <c r="C9" i="4"/>
  <c r="I77" i="3"/>
  <c r="B95" i="3"/>
  <c r="B94" i="3"/>
  <c r="G5" i="5"/>
  <c r="H5" i="5"/>
  <c r="I5" i="5"/>
  <c r="J5" i="5"/>
  <c r="K5" i="5"/>
  <c r="L5" i="5"/>
  <c r="F5" i="5"/>
  <c r="B32" i="5"/>
  <c r="B33" i="5"/>
  <c r="B34" i="5"/>
  <c r="B35" i="5"/>
  <c r="B36" i="5"/>
  <c r="B31" i="5"/>
  <c r="C32" i="5"/>
  <c r="C33" i="5"/>
  <c r="D33" i="5"/>
  <c r="K34" i="5"/>
  <c r="C35" i="5"/>
  <c r="D35" i="5"/>
  <c r="E35" i="5"/>
  <c r="C36" i="5"/>
  <c r="D36" i="5"/>
  <c r="F36" i="5"/>
  <c r="G36" i="5"/>
  <c r="E5" i="5"/>
  <c r="D5" i="5"/>
  <c r="C5" i="5"/>
  <c r="B91" i="3"/>
  <c r="B93" i="3"/>
  <c r="B92" i="3"/>
  <c r="D3" i="5"/>
  <c r="E3" i="5"/>
  <c r="F3" i="5"/>
  <c r="C3" i="5"/>
  <c r="C4" i="5"/>
  <c r="C7" i="5"/>
  <c r="S77" i="3"/>
  <c r="M2" i="3"/>
  <c r="M64" i="3"/>
  <c r="N2" i="3"/>
  <c r="N64" i="3"/>
  <c r="O2" i="3"/>
  <c r="O64" i="3"/>
  <c r="P2" i="3"/>
  <c r="P64" i="3"/>
  <c r="Q2" i="3"/>
  <c r="Q64" i="3"/>
  <c r="R2" i="3"/>
  <c r="R64" i="3"/>
  <c r="S2" i="3"/>
  <c r="S64" i="3"/>
  <c r="T2" i="3"/>
  <c r="T64" i="3"/>
  <c r="O77" i="3"/>
  <c r="N77" i="3"/>
  <c r="D32" i="5"/>
  <c r="M80" i="3"/>
  <c r="O80" i="3"/>
  <c r="L9" i="4"/>
  <c r="E10" i="7"/>
  <c r="E12" i="7"/>
  <c r="E15" i="7"/>
  <c r="E19" i="7"/>
  <c r="H48" i="1"/>
  <c r="P54" i="3"/>
  <c r="Q79" i="3"/>
  <c r="F12" i="7"/>
  <c r="F15" i="7"/>
  <c r="F19" i="7"/>
  <c r="C118" i="1"/>
  <c r="G63" i="3"/>
  <c r="M45" i="3"/>
  <c r="M44" i="3"/>
  <c r="M48" i="3"/>
  <c r="M93" i="3"/>
  <c r="S54" i="3"/>
  <c r="R22" i="3"/>
  <c r="T58" i="3"/>
  <c r="T17" i="3"/>
  <c r="T35" i="3"/>
  <c r="T8" i="3"/>
  <c r="N38" i="3"/>
  <c r="P44" i="3"/>
  <c r="O54" i="3"/>
  <c r="R77" i="3"/>
  <c r="G94" i="3"/>
  <c r="R14" i="3"/>
  <c r="O38" i="3"/>
  <c r="N48" i="3"/>
  <c r="M22" i="3"/>
  <c r="M91" i="3"/>
  <c r="G95" i="3"/>
  <c r="S22" i="3"/>
  <c r="S38" i="3"/>
  <c r="Q57" i="3"/>
  <c r="Q60" i="3"/>
  <c r="T36" i="3"/>
  <c r="T34" i="3"/>
  <c r="O22" i="3"/>
  <c r="N57" i="3"/>
  <c r="N22" i="3"/>
  <c r="M51" i="3"/>
  <c r="Q51" i="3"/>
  <c r="Q54" i="3"/>
  <c r="M60" i="3"/>
  <c r="M95" i="3"/>
  <c r="M31" i="3"/>
  <c r="L90" i="3"/>
  <c r="S60" i="3"/>
  <c r="S14" i="3"/>
  <c r="T20" i="3"/>
  <c r="O60" i="3"/>
  <c r="O14" i="3"/>
  <c r="N60" i="3"/>
  <c r="N62" i="3"/>
  <c r="S48" i="3"/>
  <c r="T43" i="3"/>
  <c r="T6" i="3"/>
  <c r="T14" i="3"/>
  <c r="Q48" i="3"/>
  <c r="T45" i="3"/>
  <c r="M29" i="3"/>
  <c r="Q77" i="3"/>
  <c r="K110" i="3"/>
  <c r="H44" i="1"/>
  <c r="H32" i="5"/>
  <c r="T42" i="3"/>
  <c r="I44" i="1"/>
  <c r="I32" i="5"/>
  <c r="R38" i="3"/>
  <c r="T32" i="3"/>
  <c r="K92" i="3"/>
  <c r="G66" i="1"/>
  <c r="K45" i="1"/>
  <c r="K33" i="5"/>
  <c r="H66" i="1"/>
  <c r="O48" i="3"/>
  <c r="G44" i="1"/>
  <c r="G32" i="5"/>
  <c r="I66" i="1"/>
  <c r="C117" i="1"/>
  <c r="T41" i="3"/>
  <c r="M27" i="3"/>
  <c r="F109" i="1"/>
  <c r="Q38" i="3"/>
  <c r="Q62" i="3"/>
  <c r="T30" i="3"/>
  <c r="M30" i="3"/>
  <c r="H9" i="10"/>
  <c r="I9" i="10"/>
  <c r="G16" i="10"/>
  <c r="C34" i="12"/>
  <c r="G7" i="10"/>
  <c r="F66" i="1"/>
  <c r="F44" i="1"/>
  <c r="F32" i="5"/>
  <c r="P38" i="3"/>
  <c r="P14" i="3"/>
  <c r="T22" i="3"/>
  <c r="R60" i="3"/>
  <c r="R48" i="3"/>
  <c r="R54" i="3"/>
  <c r="R62" i="3"/>
  <c r="P22" i="3"/>
  <c r="F34" i="12"/>
  <c r="P60" i="3"/>
  <c r="M36" i="3"/>
  <c r="M11" i="3"/>
  <c r="M32" i="3"/>
  <c r="D34" i="12"/>
  <c r="I11" i="10"/>
  <c r="H36" i="5"/>
  <c r="J48" i="1"/>
  <c r="I48" i="1"/>
  <c r="M54" i="3"/>
  <c r="M94" i="3"/>
  <c r="S62" i="3"/>
  <c r="T57" i="3"/>
  <c r="T60" i="3"/>
  <c r="O62" i="3"/>
  <c r="G6" i="4"/>
  <c r="T38" i="3"/>
  <c r="H7" i="10"/>
  <c r="I7" i="10"/>
  <c r="J7" i="10"/>
  <c r="K7" i="10"/>
  <c r="L7" i="10"/>
  <c r="M7" i="10"/>
  <c r="K6" i="4"/>
  <c r="G3" i="5"/>
  <c r="H16" i="10"/>
  <c r="M14" i="3"/>
  <c r="E44" i="1"/>
  <c r="E32" i="5"/>
  <c r="J11" i="10"/>
  <c r="I36" i="5"/>
  <c r="C31" i="5"/>
  <c r="C38" i="5"/>
  <c r="F75" i="1"/>
  <c r="M90" i="3"/>
  <c r="L110" i="3"/>
  <c r="L48" i="1"/>
  <c r="K48" i="1"/>
  <c r="C116" i="1"/>
  <c r="F21" i="1"/>
  <c r="F65" i="1"/>
  <c r="F64" i="1"/>
  <c r="G75" i="1"/>
  <c r="L11" i="10"/>
  <c r="K36" i="5"/>
  <c r="F67" i="1"/>
  <c r="F69" i="1"/>
  <c r="G65" i="1"/>
  <c r="G21" i="1"/>
  <c r="G67" i="1"/>
  <c r="F50" i="1"/>
  <c r="G22" i="10"/>
  <c r="F31" i="5"/>
  <c r="G31" i="5"/>
  <c r="F81" i="1"/>
  <c r="D12" i="10"/>
  <c r="H18" i="1"/>
  <c r="I18" i="1"/>
  <c r="J18" i="1"/>
  <c r="K18" i="1"/>
  <c r="L18" i="1"/>
  <c r="G20" i="1"/>
  <c r="G23" i="1"/>
  <c r="H14" i="10"/>
  <c r="P17" i="15"/>
  <c r="L36" i="5"/>
  <c r="M11" i="10"/>
  <c r="J6" i="4"/>
  <c r="J36" i="5"/>
  <c r="K11" i="10"/>
  <c r="F6" i="4"/>
  <c r="F116" i="1"/>
  <c r="F71" i="1"/>
  <c r="I6" i="4"/>
  <c r="G26" i="10"/>
  <c r="H3" i="5"/>
  <c r="J9" i="10"/>
  <c r="I16" i="10"/>
  <c r="G64" i="1"/>
  <c r="G69" i="1"/>
  <c r="F20" i="1"/>
  <c r="F23" i="1"/>
  <c r="P48" i="3"/>
  <c r="P62" i="3"/>
  <c r="T44" i="3"/>
  <c r="P80" i="3"/>
  <c r="S80" i="3"/>
  <c r="T80" i="3"/>
  <c r="R80" i="3"/>
  <c r="Q80" i="3"/>
  <c r="H9" i="4"/>
  <c r="E64" i="13"/>
  <c r="G47" i="1"/>
  <c r="G109" i="1"/>
  <c r="F35" i="5"/>
  <c r="F38" i="5"/>
  <c r="M33" i="3"/>
  <c r="M38" i="3"/>
  <c r="J44" i="1"/>
  <c r="J32" i="5"/>
  <c r="J66" i="1"/>
  <c r="K34" i="1"/>
  <c r="B123" i="13"/>
  <c r="C69" i="1"/>
  <c r="D22" i="10"/>
  <c r="B106" i="13"/>
  <c r="C81" i="1"/>
  <c r="M90" i="13"/>
  <c r="E36" i="5"/>
  <c r="F16" i="10"/>
  <c r="C99" i="1"/>
  <c r="B151" i="13"/>
  <c r="B148" i="13"/>
  <c r="D14" i="10"/>
  <c r="D13" i="10"/>
  <c r="D10" i="7"/>
  <c r="D12" i="7"/>
  <c r="D15" i="7"/>
  <c r="D19" i="7"/>
  <c r="L22" i="3"/>
  <c r="I41" i="3"/>
  <c r="I48" i="3"/>
  <c r="D20" i="10"/>
  <c r="K14" i="3"/>
  <c r="L24" i="3"/>
  <c r="P108" i="13"/>
  <c r="P111" i="13"/>
  <c r="Q108" i="13"/>
  <c r="Q111" i="13"/>
  <c r="R108" i="13"/>
  <c r="R111" i="13"/>
  <c r="U97" i="13"/>
  <c r="U99" i="13"/>
  <c r="U101" i="13"/>
  <c r="T97" i="13"/>
  <c r="T99" i="13"/>
  <c r="T101" i="13"/>
  <c r="S97" i="13"/>
  <c r="S99" i="13"/>
  <c r="S101" i="13"/>
  <c r="R97" i="13"/>
  <c r="R99" i="13"/>
  <c r="R101" i="13"/>
  <c r="Q97" i="13"/>
  <c r="Q99" i="13"/>
  <c r="Q101" i="13"/>
  <c r="P97" i="13"/>
  <c r="P99" i="13"/>
  <c r="P101" i="13"/>
  <c r="O97" i="13"/>
  <c r="O99" i="13"/>
  <c r="O101" i="13"/>
  <c r="N97" i="13"/>
  <c r="N99" i="13"/>
  <c r="N101" i="13"/>
  <c r="M97" i="13"/>
  <c r="M99" i="13"/>
  <c r="M101" i="13"/>
  <c r="K97" i="13"/>
  <c r="K99" i="13"/>
  <c r="K101" i="13"/>
  <c r="L97" i="13"/>
  <c r="L99" i="13"/>
  <c r="L101" i="13"/>
  <c r="M102" i="13"/>
  <c r="M103" i="13"/>
  <c r="J102" i="13"/>
  <c r="J103" i="13"/>
  <c r="F90" i="13"/>
  <c r="G48" i="3"/>
  <c r="G93" i="3"/>
  <c r="I32" i="3"/>
  <c r="L58" i="3"/>
  <c r="C60" i="13"/>
  <c r="I58" i="3"/>
  <c r="I60" i="3"/>
  <c r="L54" i="3"/>
  <c r="I24" i="3"/>
  <c r="I38" i="3"/>
  <c r="I62" i="3"/>
  <c r="G38" i="3"/>
  <c r="G92" i="3"/>
  <c r="G97" i="3"/>
  <c r="G28" i="1"/>
  <c r="G4" i="5"/>
  <c r="G7" i="5"/>
  <c r="H13" i="10"/>
  <c r="H92" i="1"/>
  <c r="J92" i="1"/>
  <c r="F92" i="1"/>
  <c r="I92" i="1"/>
  <c r="L92" i="1"/>
  <c r="K92" i="1"/>
  <c r="G92" i="1"/>
  <c r="P74" i="3"/>
  <c r="H6" i="4"/>
  <c r="M62" i="3"/>
  <c r="M92" i="3"/>
  <c r="M97" i="3"/>
  <c r="M99" i="3"/>
  <c r="L38" i="3"/>
  <c r="C26" i="13"/>
  <c r="G53" i="1"/>
  <c r="G55" i="1"/>
  <c r="G117" i="1"/>
  <c r="G87" i="1"/>
  <c r="G88" i="1"/>
  <c r="G90" i="1"/>
  <c r="G118" i="1"/>
  <c r="Q102" i="13"/>
  <c r="Q103" i="13"/>
  <c r="C24" i="13"/>
  <c r="L91" i="3"/>
  <c r="B137" i="13"/>
  <c r="C83" i="1"/>
  <c r="N102" i="13"/>
  <c r="N103" i="13"/>
  <c r="R102" i="13"/>
  <c r="R103" i="13"/>
  <c r="K62" i="3"/>
  <c r="B16" i="13"/>
  <c r="K90" i="3"/>
  <c r="K97" i="3"/>
  <c r="K99" i="3"/>
  <c r="N90" i="13"/>
  <c r="K44" i="1"/>
  <c r="K32" i="5"/>
  <c r="K66" i="1"/>
  <c r="L34" i="1"/>
  <c r="J16" i="10"/>
  <c r="K9" i="10"/>
  <c r="G90" i="13"/>
  <c r="E64" i="1"/>
  <c r="E20" i="1"/>
  <c r="E65" i="1"/>
  <c r="E75" i="1"/>
  <c r="C56" i="13"/>
  <c r="L94" i="3"/>
  <c r="K102" i="13"/>
  <c r="K103" i="13"/>
  <c r="O102" i="13"/>
  <c r="O103" i="13"/>
  <c r="S102" i="13"/>
  <c r="S103" i="13"/>
  <c r="D65" i="1"/>
  <c r="C123" i="13"/>
  <c r="D64" i="1"/>
  <c r="D75" i="1"/>
  <c r="C131" i="13"/>
  <c r="G62" i="3"/>
  <c r="G74" i="3"/>
  <c r="L60" i="3"/>
  <c r="B127" i="13"/>
  <c r="H47" i="1"/>
  <c r="G35" i="5"/>
  <c r="G38" i="5"/>
  <c r="G13" i="10"/>
  <c r="G14" i="10"/>
  <c r="F28" i="1"/>
  <c r="H65" i="1"/>
  <c r="H75" i="1"/>
  <c r="H20" i="1"/>
  <c r="H64" i="1"/>
  <c r="G99" i="3"/>
  <c r="G108" i="3"/>
  <c r="G110" i="3"/>
  <c r="U102" i="13"/>
  <c r="U103" i="13"/>
  <c r="L102" i="13"/>
  <c r="L103" i="13"/>
  <c r="P102" i="13"/>
  <c r="P103" i="13"/>
  <c r="T102" i="13"/>
  <c r="T103" i="13"/>
  <c r="T48" i="3"/>
  <c r="I3" i="5"/>
  <c r="G50" i="1"/>
  <c r="G30" i="1"/>
  <c r="L66" i="1"/>
  <c r="L44" i="1"/>
  <c r="L32" i="5"/>
  <c r="O90" i="13"/>
  <c r="I47" i="1"/>
  <c r="H35" i="5"/>
  <c r="C62" i="13"/>
  <c r="L95" i="3"/>
  <c r="H90" i="13"/>
  <c r="D17" i="10"/>
  <c r="D28" i="10"/>
  <c r="C76" i="1"/>
  <c r="B64" i="13"/>
  <c r="C6" i="4"/>
  <c r="B139" i="13"/>
  <c r="I94" i="1"/>
  <c r="I75" i="1"/>
  <c r="I64" i="1"/>
  <c r="I65" i="1"/>
  <c r="I20" i="1"/>
  <c r="H12" i="10"/>
  <c r="H20" i="10"/>
  <c r="G71" i="1"/>
  <c r="H22" i="10"/>
  <c r="H26" i="10"/>
  <c r="G81" i="1"/>
  <c r="G116" i="1"/>
  <c r="T54" i="3"/>
  <c r="T62" i="3"/>
  <c r="M74" i="3"/>
  <c r="G77" i="3"/>
  <c r="D67" i="1"/>
  <c r="C125" i="13"/>
  <c r="E67" i="1"/>
  <c r="E21" i="1"/>
  <c r="L9" i="10"/>
  <c r="K16" i="10"/>
  <c r="C40" i="13"/>
  <c r="L92" i="3"/>
  <c r="L62" i="3"/>
  <c r="G94" i="1"/>
  <c r="F94" i="1"/>
  <c r="F30" i="1"/>
  <c r="F4" i="5"/>
  <c r="F7" i="5"/>
  <c r="F87" i="1"/>
  <c r="F53" i="1"/>
  <c r="F55" i="1"/>
  <c r="E23" i="1"/>
  <c r="L97" i="3"/>
  <c r="L99" i="3"/>
  <c r="K94" i="1"/>
  <c r="J94" i="1"/>
  <c r="J3" i="5"/>
  <c r="H67" i="1"/>
  <c r="H69" i="1"/>
  <c r="H21" i="1"/>
  <c r="H23" i="1"/>
  <c r="C122" i="13"/>
  <c r="D69" i="1"/>
  <c r="E69" i="1"/>
  <c r="E6" i="4"/>
  <c r="H23" i="4"/>
  <c r="P77" i="3"/>
  <c r="L94" i="1"/>
  <c r="H94" i="1"/>
  <c r="E13" i="10"/>
  <c r="E14" i="10"/>
  <c r="H28" i="1"/>
  <c r="I14" i="10"/>
  <c r="I13" i="10"/>
  <c r="L6" i="4"/>
  <c r="F88" i="1"/>
  <c r="F90" i="1"/>
  <c r="F118" i="1"/>
  <c r="C69" i="3"/>
  <c r="C68" i="3"/>
  <c r="C70" i="3"/>
  <c r="C72" i="3"/>
  <c r="C67" i="3"/>
  <c r="C127" i="13"/>
  <c r="E28" i="1"/>
  <c r="F14" i="10"/>
  <c r="F13" i="10"/>
  <c r="G20" i="10"/>
  <c r="G12" i="10"/>
  <c r="C92" i="13"/>
  <c r="D109" i="1"/>
  <c r="D11" i="4"/>
  <c r="D31" i="5"/>
  <c r="D38" i="5"/>
  <c r="C74" i="3"/>
  <c r="H20" i="14"/>
  <c r="H109" i="1"/>
  <c r="H31" i="5"/>
  <c r="H38" i="5"/>
  <c r="H50" i="1"/>
  <c r="J75" i="1"/>
  <c r="J20" i="1"/>
  <c r="J65" i="1"/>
  <c r="J64" i="1"/>
  <c r="F117" i="1"/>
  <c r="M9" i="10"/>
  <c r="L16" i="10"/>
  <c r="E109" i="1"/>
  <c r="E11" i="4"/>
  <c r="E24" i="4"/>
  <c r="M82" i="3"/>
  <c r="E50" i="1"/>
  <c r="E31" i="5"/>
  <c r="E38" i="5"/>
  <c r="J47" i="1"/>
  <c r="I35" i="5"/>
  <c r="P90" i="13"/>
  <c r="K3" i="5"/>
  <c r="I67" i="1"/>
  <c r="I69" i="1"/>
  <c r="I21" i="1"/>
  <c r="I23" i="1"/>
  <c r="B132" i="13"/>
  <c r="C78" i="1"/>
  <c r="I90" i="13"/>
  <c r="G91" i="13"/>
  <c r="G92" i="13"/>
  <c r="E17" i="10"/>
  <c r="F17" i="10"/>
  <c r="G17" i="10"/>
  <c r="H17" i="10"/>
  <c r="I17" i="10"/>
  <c r="J17" i="10"/>
  <c r="K17" i="10"/>
  <c r="L17" i="10"/>
  <c r="M17" i="10"/>
  <c r="C64" i="13"/>
  <c r="D6" i="4"/>
  <c r="D92" i="1"/>
  <c r="Q75" i="3"/>
  <c r="I10" i="4"/>
  <c r="T75" i="3"/>
  <c r="L10" i="4"/>
  <c r="N75" i="3"/>
  <c r="F10" i="4"/>
  <c r="M81" i="3"/>
  <c r="M84" i="3"/>
  <c r="E96" i="1"/>
  <c r="N81" i="3"/>
  <c r="M77" i="3"/>
  <c r="S75" i="3"/>
  <c r="K10" i="4"/>
  <c r="P75" i="3"/>
  <c r="H10" i="4"/>
  <c r="O75" i="3"/>
  <c r="G10" i="4"/>
  <c r="R75" i="3"/>
  <c r="J10" i="4"/>
  <c r="E23" i="4"/>
  <c r="R81" i="3"/>
  <c r="M108" i="3"/>
  <c r="M110" i="3"/>
  <c r="O81" i="3"/>
  <c r="P81" i="3"/>
  <c r="G106" i="13"/>
  <c r="G116" i="13"/>
  <c r="J13" i="10"/>
  <c r="I28" i="1"/>
  <c r="J14" i="10"/>
  <c r="D57" i="1"/>
  <c r="C113" i="13"/>
  <c r="D94" i="1"/>
  <c r="E92" i="1"/>
  <c r="B134" i="13"/>
  <c r="C101" i="1"/>
  <c r="B153" i="13"/>
  <c r="C119" i="1"/>
  <c r="K47" i="1"/>
  <c r="J35" i="5"/>
  <c r="J21" i="1"/>
  <c r="J67" i="1"/>
  <c r="D91" i="13"/>
  <c r="D92" i="13"/>
  <c r="H28" i="10"/>
  <c r="G76" i="1"/>
  <c r="G78" i="1"/>
  <c r="E22" i="10"/>
  <c r="D81" i="1"/>
  <c r="C137" i="13"/>
  <c r="E26" i="10"/>
  <c r="C106" i="13"/>
  <c r="D116" i="1"/>
  <c r="G28" i="10"/>
  <c r="F76" i="1"/>
  <c r="F78" i="1"/>
  <c r="E53" i="1"/>
  <c r="E55" i="1"/>
  <c r="E117" i="1"/>
  <c r="E87" i="1"/>
  <c r="E4" i="5"/>
  <c r="E7" i="5"/>
  <c r="E30" i="1"/>
  <c r="C57" i="1"/>
  <c r="I57" i="1"/>
  <c r="F57" i="1"/>
  <c r="F60" i="1"/>
  <c r="L57" i="1"/>
  <c r="J57" i="1"/>
  <c r="G57" i="1"/>
  <c r="G60" i="1"/>
  <c r="K57" i="1"/>
  <c r="H57" i="1"/>
  <c r="S81" i="3"/>
  <c r="E91" i="13"/>
  <c r="E92" i="13"/>
  <c r="T81" i="3"/>
  <c r="L3" i="5"/>
  <c r="Q90" i="13"/>
  <c r="I22" i="10"/>
  <c r="I26" i="10"/>
  <c r="H81" i="1"/>
  <c r="H71" i="1"/>
  <c r="H116" i="1"/>
  <c r="K64" i="1"/>
  <c r="K20" i="1"/>
  <c r="K65" i="1"/>
  <c r="K75" i="1"/>
  <c r="H87" i="1"/>
  <c r="H4" i="5"/>
  <c r="H7" i="5"/>
  <c r="H30" i="1"/>
  <c r="H53" i="1"/>
  <c r="H55" i="1"/>
  <c r="H117" i="1"/>
  <c r="Q81" i="3"/>
  <c r="H91" i="13"/>
  <c r="H92" i="13"/>
  <c r="I31" i="5"/>
  <c r="I38" i="5"/>
  <c r="I50" i="1"/>
  <c r="I109" i="1"/>
  <c r="E71" i="1"/>
  <c r="F26" i="10"/>
  <c r="F22" i="10"/>
  <c r="E81" i="1"/>
  <c r="E116" i="1"/>
  <c r="J23" i="1"/>
  <c r="L75" i="1"/>
  <c r="L64" i="1"/>
  <c r="L20" i="1"/>
  <c r="L65" i="1"/>
  <c r="I91" i="13"/>
  <c r="I92" i="13"/>
  <c r="F91" i="13"/>
  <c r="F92" i="13"/>
  <c r="G124" i="13"/>
  <c r="M16" i="10"/>
  <c r="J69" i="1"/>
  <c r="E97" i="1"/>
  <c r="E99" i="1"/>
  <c r="F11" i="4"/>
  <c r="F24" i="4"/>
  <c r="D24" i="4"/>
  <c r="D97" i="1"/>
  <c r="C149" i="13"/>
  <c r="D53" i="1"/>
  <c r="D87" i="1"/>
  <c r="D30" i="1"/>
  <c r="D4" i="5"/>
  <c r="D7" i="5"/>
  <c r="N82" i="3"/>
  <c r="N84" i="3"/>
  <c r="F96" i="1"/>
  <c r="L21" i="1"/>
  <c r="L67" i="1"/>
  <c r="F20" i="10"/>
  <c r="F12" i="10"/>
  <c r="F83" i="1"/>
  <c r="F119" i="1"/>
  <c r="D106" i="13"/>
  <c r="D116" i="13"/>
  <c r="D125" i="13"/>
  <c r="D122" i="13"/>
  <c r="D124" i="13"/>
  <c r="D123" i="13"/>
  <c r="G123" i="13"/>
  <c r="D55" i="1"/>
  <c r="C109" i="13"/>
  <c r="H88" i="1"/>
  <c r="H90" i="1"/>
  <c r="H118" i="1"/>
  <c r="F106" i="13"/>
  <c r="F116" i="13"/>
  <c r="F122" i="13"/>
  <c r="F124" i="13"/>
  <c r="F125" i="13"/>
  <c r="F123" i="13"/>
  <c r="J28" i="1"/>
  <c r="K14" i="10"/>
  <c r="K13" i="10"/>
  <c r="H106" i="13"/>
  <c r="H116" i="13"/>
  <c r="H122" i="13"/>
  <c r="H125" i="13"/>
  <c r="H124" i="13"/>
  <c r="H123" i="13"/>
  <c r="H60" i="1"/>
  <c r="R90" i="13"/>
  <c r="I106" i="13"/>
  <c r="I116" i="13"/>
  <c r="I122" i="13"/>
  <c r="I124" i="13"/>
  <c r="I125" i="13"/>
  <c r="I123" i="13"/>
  <c r="L69" i="1"/>
  <c r="I12" i="10"/>
  <c r="I20" i="10"/>
  <c r="E106" i="13"/>
  <c r="E116" i="13"/>
  <c r="E124" i="13"/>
  <c r="E122" i="13"/>
  <c r="E125" i="13"/>
  <c r="E123" i="13"/>
  <c r="G83" i="1"/>
  <c r="G120" i="1"/>
  <c r="G119" i="1"/>
  <c r="E88" i="1"/>
  <c r="E90" i="1"/>
  <c r="C129" i="13"/>
  <c r="J50" i="1"/>
  <c r="J31" i="5"/>
  <c r="J38" i="5"/>
  <c r="J109" i="1"/>
  <c r="K35" i="5"/>
  <c r="L47" i="1"/>
  <c r="L35" i="5"/>
  <c r="G125" i="13"/>
  <c r="G11" i="4"/>
  <c r="H11" i="4"/>
  <c r="L23" i="1"/>
  <c r="E12" i="10"/>
  <c r="E20" i="10"/>
  <c r="C143" i="13"/>
  <c r="D88" i="1"/>
  <c r="C144" i="13"/>
  <c r="L82" i="3"/>
  <c r="L84" i="3"/>
  <c r="D96" i="1"/>
  <c r="F97" i="1"/>
  <c r="J22" i="10"/>
  <c r="I116" i="1"/>
  <c r="J26" i="10"/>
  <c r="I81" i="1"/>
  <c r="I71" i="1"/>
  <c r="K21" i="1"/>
  <c r="K23" i="1"/>
  <c r="K67" i="1"/>
  <c r="K69" i="1"/>
  <c r="B113" i="13"/>
  <c r="C60" i="1"/>
  <c r="E57" i="1"/>
  <c r="E60" i="1"/>
  <c r="E94" i="1"/>
  <c r="I87" i="1"/>
  <c r="I4" i="5"/>
  <c r="I7" i="5"/>
  <c r="I53" i="1"/>
  <c r="I55" i="1"/>
  <c r="I117" i="1"/>
  <c r="I30" i="1"/>
  <c r="G122" i="13"/>
  <c r="E28" i="10"/>
  <c r="D76" i="1"/>
  <c r="C132" i="13"/>
  <c r="F120" i="1"/>
  <c r="F28" i="10"/>
  <c r="E76" i="1"/>
  <c r="E78" i="1"/>
  <c r="H24" i="4"/>
  <c r="L14" i="10"/>
  <c r="K28" i="1"/>
  <c r="L13" i="10"/>
  <c r="J12" i="10"/>
  <c r="J20" i="10"/>
  <c r="E118" i="1"/>
  <c r="O88" i="1"/>
  <c r="B116" i="13"/>
  <c r="C105" i="1"/>
  <c r="C103" i="1"/>
  <c r="C120" i="1"/>
  <c r="M13" i="10"/>
  <c r="L28" i="1"/>
  <c r="M14" i="10"/>
  <c r="J87" i="1"/>
  <c r="J4" i="5"/>
  <c r="J7" i="5"/>
  <c r="J53" i="1"/>
  <c r="J55" i="1"/>
  <c r="J117" i="1"/>
  <c r="J30" i="1"/>
  <c r="C111" i="13"/>
  <c r="D117" i="1"/>
  <c r="D60" i="1"/>
  <c r="I88" i="1"/>
  <c r="I90" i="1"/>
  <c r="I118" i="1"/>
  <c r="I60" i="1"/>
  <c r="C148" i="13"/>
  <c r="D99" i="1"/>
  <c r="C151" i="13"/>
  <c r="K26" i="10"/>
  <c r="J81" i="1"/>
  <c r="J60" i="1"/>
  <c r="J71" i="1"/>
  <c r="K22" i="10"/>
  <c r="J116" i="1"/>
  <c r="I11" i="4"/>
  <c r="I97" i="1"/>
  <c r="H97" i="1"/>
  <c r="E83" i="1"/>
  <c r="E101" i="1"/>
  <c r="G24" i="4"/>
  <c r="S90" i="13"/>
  <c r="G97" i="1"/>
  <c r="E120" i="1"/>
  <c r="E119" i="1"/>
  <c r="K109" i="1"/>
  <c r="K31" i="5"/>
  <c r="K38" i="5"/>
  <c r="K50" i="1"/>
  <c r="D90" i="1"/>
  <c r="J11" i="4"/>
  <c r="D78" i="1"/>
  <c r="I28" i="10"/>
  <c r="H76" i="1"/>
  <c r="H78" i="1"/>
  <c r="H83" i="1"/>
  <c r="H120" i="1"/>
  <c r="S109" i="13"/>
  <c r="S111" i="13"/>
  <c r="T109" i="13"/>
  <c r="T111" i="13"/>
  <c r="U109" i="13"/>
  <c r="U111" i="13"/>
  <c r="L50" i="1"/>
  <c r="L109" i="1"/>
  <c r="L31" i="5"/>
  <c r="L38" i="5"/>
  <c r="F99" i="1"/>
  <c r="F101" i="1"/>
  <c r="E105" i="1"/>
  <c r="E107" i="1"/>
  <c r="J28" i="10"/>
  <c r="I76" i="1"/>
  <c r="I78" i="1"/>
  <c r="H119" i="1"/>
  <c r="F105" i="1"/>
  <c r="J24" i="4"/>
  <c r="J97" i="1"/>
  <c r="L53" i="1"/>
  <c r="L55" i="1"/>
  <c r="L117" i="1"/>
  <c r="L87" i="1"/>
  <c r="L4" i="5"/>
  <c r="L7" i="5"/>
  <c r="L30" i="1"/>
  <c r="K11" i="4"/>
  <c r="I24" i="4"/>
  <c r="J83" i="1"/>
  <c r="K20" i="10"/>
  <c r="K12" i="10"/>
  <c r="C107" i="1"/>
  <c r="C121" i="1"/>
  <c r="C146" i="13"/>
  <c r="D118" i="1"/>
  <c r="N88" i="1"/>
  <c r="T90" i="13"/>
  <c r="C116" i="13"/>
  <c r="P82" i="3"/>
  <c r="P84" i="3"/>
  <c r="H96" i="1"/>
  <c r="H99" i="1"/>
  <c r="H101" i="1"/>
  <c r="M22" i="10"/>
  <c r="L71" i="1"/>
  <c r="M26" i="10"/>
  <c r="L116" i="1"/>
  <c r="L81" i="1"/>
  <c r="O82" i="3"/>
  <c r="O84" i="3"/>
  <c r="G96" i="1"/>
  <c r="G99" i="1"/>
  <c r="G101" i="1"/>
  <c r="J88" i="1"/>
  <c r="J90" i="1"/>
  <c r="J118" i="1"/>
  <c r="C134" i="13"/>
  <c r="L26" i="10"/>
  <c r="K81" i="1"/>
  <c r="K71" i="1"/>
  <c r="L22" i="10"/>
  <c r="K116" i="1"/>
  <c r="I83" i="1"/>
  <c r="I120" i="1"/>
  <c r="I119" i="1"/>
  <c r="K87" i="1"/>
  <c r="K4" i="5"/>
  <c r="K7" i="5"/>
  <c r="K53" i="1"/>
  <c r="K55" i="1"/>
  <c r="K117" i="1"/>
  <c r="K30" i="1"/>
  <c r="L60" i="1"/>
  <c r="L83" i="1"/>
  <c r="E121" i="1"/>
  <c r="K28" i="10"/>
  <c r="J76" i="1"/>
  <c r="J78" i="1"/>
  <c r="J120" i="1"/>
  <c r="H105" i="1"/>
  <c r="K88" i="1"/>
  <c r="K90" i="1"/>
  <c r="K118" i="1"/>
  <c r="L88" i="1"/>
  <c r="L90" i="1"/>
  <c r="L118" i="1"/>
  <c r="L12" i="10"/>
  <c r="L20" i="10"/>
  <c r="K60" i="1"/>
  <c r="E25" i="4"/>
  <c r="E27" i="4"/>
  <c r="E123" i="1"/>
  <c r="E12" i="4"/>
  <c r="E14" i="4"/>
  <c r="K24" i="4"/>
  <c r="K97" i="1"/>
  <c r="L11" i="4"/>
  <c r="C25" i="4"/>
  <c r="C27" i="4"/>
  <c r="C123" i="1"/>
  <c r="C12" i="4"/>
  <c r="C14" i="4"/>
  <c r="M12" i="10"/>
  <c r="M20" i="10"/>
  <c r="C136" i="13"/>
  <c r="D83" i="1"/>
  <c r="G105" i="1"/>
  <c r="U90" i="13"/>
  <c r="O91" i="13"/>
  <c r="O92" i="13"/>
  <c r="J119" i="1"/>
  <c r="Q82" i="3"/>
  <c r="Q84" i="3"/>
  <c r="I96" i="1"/>
  <c r="I99" i="1"/>
  <c r="I101" i="1"/>
  <c r="R82" i="3"/>
  <c r="R84" i="3"/>
  <c r="J96" i="1"/>
  <c r="J99" i="1"/>
  <c r="J101" i="1"/>
  <c r="F107" i="1"/>
  <c r="F121" i="1"/>
  <c r="J105" i="1"/>
  <c r="U91" i="13"/>
  <c r="U92" i="13"/>
  <c r="J91" i="13"/>
  <c r="J92" i="13"/>
  <c r="K91" i="13"/>
  <c r="K92" i="13"/>
  <c r="L91" i="13"/>
  <c r="L92" i="13"/>
  <c r="N91" i="13"/>
  <c r="N92" i="13"/>
  <c r="S91" i="13"/>
  <c r="S92" i="13"/>
  <c r="Q91" i="13"/>
  <c r="Q92" i="13"/>
  <c r="C139" i="13"/>
  <c r="D119" i="1"/>
  <c r="D120" i="1"/>
  <c r="D101" i="1"/>
  <c r="R91" i="13"/>
  <c r="R92" i="13"/>
  <c r="T91" i="13"/>
  <c r="T92" i="13"/>
  <c r="L28" i="10"/>
  <c r="K76" i="1"/>
  <c r="K78" i="1"/>
  <c r="H107" i="1"/>
  <c r="H121" i="1"/>
  <c r="I105" i="1"/>
  <c r="G107" i="1"/>
  <c r="G121" i="1"/>
  <c r="C29" i="4"/>
  <c r="S82" i="3"/>
  <c r="S84" i="3"/>
  <c r="K96" i="1"/>
  <c r="K99" i="1"/>
  <c r="O106" i="13"/>
  <c r="O116" i="13"/>
  <c r="F123" i="1"/>
  <c r="F25" i="4"/>
  <c r="F27" i="4"/>
  <c r="F12" i="4"/>
  <c r="F14" i="4"/>
  <c r="M91" i="13"/>
  <c r="M92" i="13"/>
  <c r="P91" i="13"/>
  <c r="P92" i="13"/>
  <c r="M28" i="10"/>
  <c r="L76" i="1"/>
  <c r="L78" i="1"/>
  <c r="L119" i="1"/>
  <c r="L24" i="4"/>
  <c r="K83" i="1"/>
  <c r="K120" i="1"/>
  <c r="K119" i="1"/>
  <c r="L97" i="1"/>
  <c r="P124" i="13"/>
  <c r="P123" i="13"/>
  <c r="P106" i="13"/>
  <c r="P116" i="13"/>
  <c r="P122" i="13"/>
  <c r="P125" i="13"/>
  <c r="I121" i="1"/>
  <c r="I107" i="1"/>
  <c r="J124" i="13"/>
  <c r="J106" i="13"/>
  <c r="J116" i="13"/>
  <c r="J123" i="13"/>
  <c r="J125" i="13"/>
  <c r="J122" i="13"/>
  <c r="M124" i="13"/>
  <c r="M106" i="13"/>
  <c r="M116" i="13"/>
  <c r="M123" i="13"/>
  <c r="M122" i="13"/>
  <c r="M125" i="13"/>
  <c r="O125" i="13"/>
  <c r="O124" i="13"/>
  <c r="R124" i="13"/>
  <c r="R123" i="13"/>
  <c r="R106" i="13"/>
  <c r="R116" i="13"/>
  <c r="R125" i="13"/>
  <c r="R122" i="13"/>
  <c r="N124" i="13"/>
  <c r="N123" i="13"/>
  <c r="N106" i="13"/>
  <c r="N116" i="13"/>
  <c r="N125" i="13"/>
  <c r="N122" i="13"/>
  <c r="U124" i="13"/>
  <c r="U106" i="13"/>
  <c r="U116" i="13"/>
  <c r="U123" i="13"/>
  <c r="U122" i="13"/>
  <c r="U125" i="13"/>
  <c r="T124" i="13"/>
  <c r="T106" i="13"/>
  <c r="T116" i="13"/>
  <c r="T123" i="13"/>
  <c r="T122" i="13"/>
  <c r="T125" i="13"/>
  <c r="S124" i="13"/>
  <c r="S123" i="13"/>
  <c r="S106" i="13"/>
  <c r="S116" i="13"/>
  <c r="S122" i="13"/>
  <c r="S125" i="13"/>
  <c r="T82" i="3"/>
  <c r="T84" i="3"/>
  <c r="L96" i="1"/>
  <c r="L99" i="1"/>
  <c r="O122" i="13"/>
  <c r="G25" i="4"/>
  <c r="G27" i="4"/>
  <c r="G123" i="1"/>
  <c r="G12" i="4"/>
  <c r="G14" i="4"/>
  <c r="H25" i="4"/>
  <c r="H27" i="4"/>
  <c r="H123" i="1"/>
  <c r="H12" i="4"/>
  <c r="H14" i="4"/>
  <c r="L124" i="13"/>
  <c r="L123" i="13"/>
  <c r="L106" i="13"/>
  <c r="L116" i="13"/>
  <c r="L125" i="13"/>
  <c r="L122" i="13"/>
  <c r="J121" i="1"/>
  <c r="J107" i="1"/>
  <c r="L101" i="1"/>
  <c r="L120" i="1"/>
  <c r="O123" i="13"/>
  <c r="K101" i="1"/>
  <c r="C153" i="13"/>
  <c r="D105" i="1"/>
  <c r="Q124" i="13"/>
  <c r="Q106" i="13"/>
  <c r="Q116" i="13"/>
  <c r="Q123" i="13"/>
  <c r="Q125" i="13"/>
  <c r="Q122" i="13"/>
  <c r="K124" i="13"/>
  <c r="K106" i="13"/>
  <c r="K116" i="13"/>
  <c r="K123" i="13"/>
  <c r="K122" i="13"/>
  <c r="K125" i="13"/>
  <c r="D107" i="1"/>
  <c r="D121" i="1"/>
  <c r="I12" i="4"/>
  <c r="I14" i="4"/>
  <c r="I123" i="1"/>
  <c r="I25" i="4"/>
  <c r="I27" i="4"/>
  <c r="L105" i="1"/>
  <c r="K105" i="1"/>
  <c r="J12" i="4"/>
  <c r="J14" i="4"/>
  <c r="J25" i="4"/>
  <c r="J27" i="4"/>
  <c r="J123" i="1"/>
  <c r="L121" i="1"/>
  <c r="L107" i="1"/>
  <c r="K121" i="1"/>
  <c r="K107" i="1"/>
  <c r="D25" i="4"/>
  <c r="D27" i="4"/>
  <c r="D12" i="4"/>
  <c r="D14" i="4"/>
  <c r="D29" i="4"/>
  <c r="E29" i="4"/>
  <c r="F29" i="4"/>
  <c r="G29" i="4"/>
  <c r="H29" i="4"/>
  <c r="I29" i="4"/>
  <c r="J29" i="4"/>
  <c r="D123" i="1"/>
  <c r="K12" i="4"/>
  <c r="K14" i="4"/>
  <c r="K123" i="1"/>
  <c r="K25" i="4"/>
  <c r="K27" i="4"/>
  <c r="K29" i="4"/>
  <c r="L25" i="4"/>
  <c r="L27" i="4"/>
  <c r="L12" i="4"/>
  <c r="L14" i="4"/>
  <c r="L29" i="4"/>
  <c r="L123" i="1"/>
</calcChain>
</file>

<file path=xl/sharedStrings.xml><?xml version="1.0" encoding="utf-8"?>
<sst xmlns="http://schemas.openxmlformats.org/spreadsheetml/2006/main" count="648" uniqueCount="490">
  <si>
    <t>Subventions d'exploitation</t>
  </si>
  <si>
    <t>Quote part sub invest virée au résultat</t>
  </si>
  <si>
    <t>Autres produits exceptionnels</t>
  </si>
  <si>
    <t>TOTAL GENERAL DES PRODUITS</t>
  </si>
  <si>
    <t>Graines</t>
  </si>
  <si>
    <t xml:space="preserve">Emballages et conditionnement </t>
  </si>
  <si>
    <t>TOTAL ACHATS</t>
  </si>
  <si>
    <t>Energies (électricité, eau,..)</t>
  </si>
  <si>
    <t>TOTAL SERVICES EXTERIEURS</t>
  </si>
  <si>
    <t>TOTAL IMPÔTS ET TAXES</t>
  </si>
  <si>
    <t>Salaires personnel permanent</t>
  </si>
  <si>
    <t>Salaires salariés parcours</t>
  </si>
  <si>
    <t>TOTAL DES CHARGES DE PERSONNEL</t>
  </si>
  <si>
    <t>Amortissements</t>
  </si>
  <si>
    <t>TOTAL DOTATION AUX AMORTISSEMENTS</t>
  </si>
  <si>
    <t>Intérêts des emprunts</t>
  </si>
  <si>
    <t>Agios</t>
  </si>
  <si>
    <t>TOTAL CHARGES FINANCIERES</t>
  </si>
  <si>
    <t>TOTAL GENERAL DES CHARGES</t>
  </si>
  <si>
    <t>RESULTAT</t>
  </si>
  <si>
    <t>PU</t>
  </si>
  <si>
    <t>Total</t>
  </si>
  <si>
    <t>€/kg</t>
  </si>
  <si>
    <t>Qte</t>
  </si>
  <si>
    <t>TOTAL</t>
  </si>
  <si>
    <t>Effectif production nécessaire</t>
  </si>
  <si>
    <t>Total effectif necessaire</t>
  </si>
  <si>
    <t>Charges sociales</t>
  </si>
  <si>
    <t>Mat. Info</t>
  </si>
  <si>
    <t>Software</t>
  </si>
  <si>
    <t xml:space="preserve"> </t>
  </si>
  <si>
    <t>TOTAL BESOINS</t>
  </si>
  <si>
    <t>Investissements</t>
  </si>
  <si>
    <t>CAF</t>
  </si>
  <si>
    <t>BFR</t>
  </si>
  <si>
    <t>Effectif distribution nécessaire</t>
  </si>
  <si>
    <t>Entretien/ petit equipements</t>
  </si>
  <si>
    <t>Poids vendu</t>
  </si>
  <si>
    <t>PU moyen / Kg</t>
  </si>
  <si>
    <t>PLAN DE FINANCEMENT</t>
    <phoneticPr fontId="4" type="noConversion"/>
  </si>
  <si>
    <t>Variation du BFR</t>
    <phoneticPr fontId="4" type="noConversion"/>
  </si>
  <si>
    <t>TOTAL RESSOURCES</t>
    <phoneticPr fontId="4" type="noConversion"/>
  </si>
  <si>
    <t>TRESORERIE</t>
    <phoneticPr fontId="4" type="noConversion"/>
  </si>
  <si>
    <t>Raccordements energies</t>
  </si>
  <si>
    <t>Tables de culture</t>
  </si>
  <si>
    <t>Mobilier serres</t>
  </si>
  <si>
    <t>Terrines</t>
  </si>
  <si>
    <t xml:space="preserve">Outils de contrôle </t>
  </si>
  <si>
    <t>Véhicule utilitaire</t>
  </si>
  <si>
    <t>Vélos cargo</t>
  </si>
  <si>
    <t>Unité</t>
  </si>
  <si>
    <t>m2</t>
  </si>
  <si>
    <t>ML</t>
  </si>
  <si>
    <t>terrine</t>
  </si>
  <si>
    <t>m3</t>
  </si>
  <si>
    <t>Velo</t>
  </si>
  <si>
    <t>VU</t>
  </si>
  <si>
    <t>postes</t>
  </si>
  <si>
    <t>Batiments techniques</t>
  </si>
  <si>
    <t>Ruches</t>
  </si>
  <si>
    <t>Outillage jardin</t>
  </si>
  <si>
    <t>Surface table cultures (m2)</t>
  </si>
  <si>
    <t>Rendement annuel au m2 (Kg)</t>
  </si>
  <si>
    <t>Production annuelle (kg)</t>
  </si>
  <si>
    <t>Invendus/échantillons/Pertes (%)</t>
  </si>
  <si>
    <t>Effectif permanent distribution</t>
  </si>
  <si>
    <t>Effectif permanent administration</t>
  </si>
  <si>
    <t>Productivité par poste prod (Kg/an)</t>
  </si>
  <si>
    <t>Productivité par poste distrib (Kg/an)</t>
  </si>
  <si>
    <t>Aide socle IAE</t>
  </si>
  <si>
    <t>AUTRES PRODUITS D'EXPLOITATION</t>
  </si>
  <si>
    <t>VENTES ET PRESTATIONS</t>
  </si>
  <si>
    <t>Effectif Total</t>
  </si>
  <si>
    <t>Surface louée (site) en m2</t>
  </si>
  <si>
    <t>Loyer variable</t>
  </si>
  <si>
    <t>Autres achats et charges externes</t>
  </si>
  <si>
    <t>CVAE</t>
  </si>
  <si>
    <t>CFE</t>
  </si>
  <si>
    <t>Durée vie</t>
  </si>
  <si>
    <t>Bac</t>
  </si>
  <si>
    <t>Bacs culture au sol (palox)</t>
  </si>
  <si>
    <t>Financements</t>
  </si>
  <si>
    <t>Subventions publiques</t>
  </si>
  <si>
    <t>Subventions privées</t>
  </si>
  <si>
    <t>Capital</t>
  </si>
  <si>
    <t>Durée</t>
  </si>
  <si>
    <t>Taux</t>
  </si>
  <si>
    <t>Total financements</t>
  </si>
  <si>
    <t>Remboursement emprunts bancaires</t>
  </si>
  <si>
    <t>Apports capital</t>
  </si>
  <si>
    <t>Emprunts bancaires inv</t>
  </si>
  <si>
    <t>Financements BFR</t>
  </si>
  <si>
    <t>Insuffisance auto financement</t>
  </si>
  <si>
    <t>Excédent auto financement</t>
  </si>
  <si>
    <t>Budget prévisionnel</t>
  </si>
  <si>
    <t>Emplois</t>
  </si>
  <si>
    <t>Effectif total</t>
  </si>
  <si>
    <t>Chiffre d'affaires prévisionnel</t>
  </si>
  <si>
    <t>Prestations pédagogiques</t>
  </si>
  <si>
    <t>Total investissements</t>
  </si>
  <si>
    <t>TOTAL VENTES MICRO-POUSSES</t>
  </si>
  <si>
    <t>Fleurs comestibles</t>
  </si>
  <si>
    <t>Plants</t>
  </si>
  <si>
    <t>Ruches (unités)</t>
  </si>
  <si>
    <t>Fleurs comestibles (Kg)</t>
  </si>
  <si>
    <t>Production miel (Kg)</t>
  </si>
  <si>
    <t>Plants (unités)</t>
  </si>
  <si>
    <t>Salariés permanents</t>
  </si>
  <si>
    <t>Parcours insertion</t>
  </si>
  <si>
    <t>Services civiques</t>
  </si>
  <si>
    <t>Micro pousses</t>
  </si>
  <si>
    <t>Miel</t>
  </si>
  <si>
    <t>Prestations compost</t>
  </si>
  <si>
    <t>Collecte déchets (T)</t>
  </si>
  <si>
    <t>Terreau / Substrat</t>
  </si>
  <si>
    <t>Cultures fleurs, plants et apiculture</t>
  </si>
  <si>
    <t>Matériels transport</t>
  </si>
  <si>
    <t>Matériels manutention</t>
  </si>
  <si>
    <t>IS</t>
  </si>
  <si>
    <t>Fondations privées</t>
  </si>
  <si>
    <t>Boutique/serre pédagogique</t>
  </si>
  <si>
    <t>Mobilier/Informatique</t>
  </si>
  <si>
    <t>Mobiliers/petit equipement</t>
  </si>
  <si>
    <t>Remboursements</t>
  </si>
  <si>
    <t>Fournis. Consulté</t>
  </si>
  <si>
    <t>UTB</t>
  </si>
  <si>
    <t>Larbeletier</t>
  </si>
  <si>
    <t>Occasion</t>
  </si>
  <si>
    <t>Cyclutil</t>
  </si>
  <si>
    <t>Phase construction</t>
  </si>
  <si>
    <t>Serres production micro-pousses</t>
  </si>
  <si>
    <t>Phase productive</t>
  </si>
  <si>
    <t>Production micro-pousses</t>
  </si>
  <si>
    <t>Bacs de culture</t>
  </si>
  <si>
    <t>Production plants</t>
  </si>
  <si>
    <t>Production miel</t>
  </si>
  <si>
    <t>Amenagts terrain: accès, réseaux</t>
  </si>
  <si>
    <t>Production fleurs/légumes rares</t>
  </si>
  <si>
    <t>Calendrier du projet</t>
  </si>
  <si>
    <t>Janv</t>
  </si>
  <si>
    <t>Février</t>
  </si>
  <si>
    <t>Mars</t>
  </si>
  <si>
    <t>Avril</t>
  </si>
  <si>
    <t>Mai</t>
  </si>
  <si>
    <t>Juin</t>
  </si>
  <si>
    <t>Juillet</t>
  </si>
  <si>
    <t>Août</t>
  </si>
  <si>
    <t>Sept.</t>
  </si>
  <si>
    <t>Oct.</t>
  </si>
  <si>
    <t>Nov.</t>
  </si>
  <si>
    <t>Déc.</t>
  </si>
  <si>
    <t>Ventes</t>
  </si>
  <si>
    <t>Subventions et aides à l'emploi</t>
  </si>
  <si>
    <t>Cash flow</t>
  </si>
  <si>
    <t>Autres charges d'exploitation</t>
  </si>
  <si>
    <t>Animations en jours</t>
  </si>
  <si>
    <t>Rampes d'arrosage</t>
  </si>
  <si>
    <t>chapelle</t>
  </si>
  <si>
    <t>Lhermitte</t>
  </si>
  <si>
    <t>Procold</t>
  </si>
  <si>
    <t xml:space="preserve">Animations </t>
  </si>
  <si>
    <t>Calendrier production et animations</t>
  </si>
  <si>
    <t>Amort. Annuel</t>
  </si>
  <si>
    <t>Bioclimatisation</t>
  </si>
  <si>
    <t>Agrithermic</t>
  </si>
  <si>
    <t>Arrosage (brumisation)</t>
  </si>
  <si>
    <t>Chaîne semis</t>
  </si>
  <si>
    <t>Chambre germination</t>
  </si>
  <si>
    <t>Chemins circulations</t>
  </si>
  <si>
    <t>Raccordements SAP</t>
  </si>
  <si>
    <t>Chambres froides</t>
  </si>
  <si>
    <t>Bailly</t>
  </si>
  <si>
    <t>Unité séchage</t>
  </si>
  <si>
    <t>Auvent compostage</t>
  </si>
  <si>
    <t>Honoraires études (architecte)</t>
  </si>
  <si>
    <t>Romainv. 2016</t>
  </si>
  <si>
    <t>Romainv. 2017</t>
  </si>
  <si>
    <t>Nb de terrines</t>
  </si>
  <si>
    <t>Rendement moyen par terrine (kg)</t>
  </si>
  <si>
    <t>Cycle cultures moyen (en j)</t>
  </si>
  <si>
    <t>Production mensuelle</t>
  </si>
  <si>
    <t>Production mensuelle  facturable</t>
  </si>
  <si>
    <t>Surface de table cultivée (m2)</t>
  </si>
  <si>
    <t>Prix de vente moyen /kg</t>
  </si>
  <si>
    <t>Chiffre d'affaires mensuel</t>
  </si>
  <si>
    <t>Théorique / m2 de culture</t>
  </si>
  <si>
    <t>Nb de mois de production</t>
  </si>
  <si>
    <t>Chiffre d'affaires annuel</t>
  </si>
  <si>
    <t>Potentiel chiffre d'affaires</t>
  </si>
  <si>
    <t>Charonne 2020</t>
  </si>
  <si>
    <t>LE PAYSAN URBAIN Grand Paris</t>
  </si>
  <si>
    <t>Achat MP vrac Asso LPU (Kg)</t>
  </si>
  <si>
    <t>Prix achat MP vrac LPU asso</t>
  </si>
  <si>
    <t>Micro-pousses vrac</t>
  </si>
  <si>
    <t>Serre pédagogique</t>
  </si>
  <si>
    <t>Snack</t>
  </si>
  <si>
    <t>Honoraires BET</t>
  </si>
  <si>
    <t>Production miel (Citibizz)</t>
  </si>
  <si>
    <t>Phase commerciale</t>
  </si>
  <si>
    <t>Lancement commercialisation circuits courts et epiceries fines</t>
  </si>
  <si>
    <t>- Référencements grossistes pour restauration commerciale et restauration collective premium
'- Labellisation des micro-pousses (Ecocert)
- référencement test Carrefour et Monoprix</t>
  </si>
  <si>
    <t>- Référencement auprès des enseignes BIO (Biocoop, Natuarlalia, …)
- Restauration collective publique</t>
  </si>
  <si>
    <t>Serres et installations techniques micro-pousses</t>
  </si>
  <si>
    <t>BUDGET D'INVESTISSEMENTS</t>
  </si>
  <si>
    <t>Honoraires et aménagement site</t>
  </si>
  <si>
    <t>Carasso, Carrefour, Macif, …</t>
  </si>
  <si>
    <t>Triodos, Nef, Credit Coop</t>
  </si>
  <si>
    <t>Coûts démarrage</t>
  </si>
  <si>
    <t>FINANCEMENTS</t>
  </si>
  <si>
    <t>Salaires gestion projet</t>
  </si>
  <si>
    <t xml:space="preserve">ENEDIS </t>
  </si>
  <si>
    <t>EDP</t>
  </si>
  <si>
    <t>Caamhro</t>
  </si>
  <si>
    <t>Composteurs mecaniques</t>
  </si>
  <si>
    <t>Forfait</t>
  </si>
  <si>
    <t>BioYveline</t>
  </si>
  <si>
    <t>Demaitere</t>
  </si>
  <si>
    <t>Circuits courts</t>
  </si>
  <si>
    <t>Installation chantier</t>
  </si>
  <si>
    <t>Locaux de travail fondations</t>
  </si>
  <si>
    <t>Abri velo</t>
  </si>
  <si>
    <t>Auvent semis - stockage graines</t>
  </si>
  <si>
    <t>Serres production - Fondations</t>
  </si>
  <si>
    <t>Serres production - fourniture etmontage</t>
  </si>
  <si>
    <t>points</t>
  </si>
  <si>
    <t>Récup/stockage/filtration eau lavage</t>
  </si>
  <si>
    <t>CMF</t>
  </si>
  <si>
    <t>Tables de culture roulantes</t>
  </si>
  <si>
    <t>Vacations animations commerciales</t>
  </si>
  <si>
    <t>Matériel, équipements et travaux</t>
  </si>
  <si>
    <t>Carburants</t>
  </si>
  <si>
    <t>Fournitures Animations Pédagogie</t>
  </si>
  <si>
    <t>Fournitures administratives</t>
  </si>
  <si>
    <t>Vêtements de travail</t>
  </si>
  <si>
    <t>Consommables et cafeteria</t>
  </si>
  <si>
    <t>Location informatique</t>
  </si>
  <si>
    <t>Entretien véhicule</t>
  </si>
  <si>
    <t>Primes d’assurances</t>
  </si>
  <si>
    <t>Documentation technique</t>
  </si>
  <si>
    <t>Honoraires techniques</t>
  </si>
  <si>
    <t>Publicité, comm</t>
  </si>
  <si>
    <t>Frais bénévoles</t>
  </si>
  <si>
    <t>Frais postaux - internet - telecom</t>
  </si>
  <si>
    <t>Services bancaires et assimilés</t>
  </si>
  <si>
    <t>Produits d'entretien - consommables</t>
  </si>
  <si>
    <t>10 par mois sur 8 mois à 50€</t>
  </si>
  <si>
    <t>5% du CA pdagogie</t>
  </si>
  <si>
    <t>200 €/an/salarie hors prod</t>
  </si>
  <si>
    <t>150 €/an/salarie</t>
  </si>
  <si>
    <t>100E/an/salarie</t>
  </si>
  <si>
    <t>Honoraires RH</t>
  </si>
  <si>
    <t>Honoraires comptables, juridiques</t>
  </si>
  <si>
    <t>Total frais généraux</t>
  </si>
  <si>
    <t>1% du ca</t>
  </si>
  <si>
    <t>0,5% du ca</t>
  </si>
  <si>
    <t>0,5% des immo</t>
  </si>
  <si>
    <t>DUTRI</t>
  </si>
  <si>
    <t>Mix ventes micro-pousses</t>
  </si>
  <si>
    <t>Prix HT au Kg (2018)</t>
  </si>
  <si>
    <t>Logistique</t>
  </si>
  <si>
    <t>Pots 400ml</t>
  </si>
  <si>
    <t>Livraison Cargo</t>
  </si>
  <si>
    <t>GMS</t>
  </si>
  <si>
    <t>GMS Bio</t>
  </si>
  <si>
    <t>Grossistes restauration commerciale</t>
  </si>
  <si>
    <t>Pots 600ml  X 6</t>
  </si>
  <si>
    <t>Enlevement à la ferme</t>
  </si>
  <si>
    <t>Groupe restauration collective</t>
  </si>
  <si>
    <t>Sachets vrac</t>
  </si>
  <si>
    <t>Traiteurs</t>
  </si>
  <si>
    <t>Livraison cargo</t>
  </si>
  <si>
    <t>Primeurs vrac</t>
  </si>
  <si>
    <t>Animateur</t>
  </si>
  <si>
    <t>Total en Kg</t>
  </si>
  <si>
    <t>Total CA</t>
  </si>
  <si>
    <t>Prix moyen au Kg</t>
  </si>
  <si>
    <t>Coût emballage/Kg</t>
  </si>
  <si>
    <t>Pots 400ml  X 8</t>
  </si>
  <si>
    <t>ConFitionnement</t>
  </si>
  <si>
    <t>Nb Fe points Fe vente 2019</t>
  </si>
  <si>
    <t>Nb Fe points Fe vente 2020</t>
  </si>
  <si>
    <t>Nb Fe points Fe vente 2021</t>
  </si>
  <si>
    <t>Epiceries inFépenFantes</t>
  </si>
  <si>
    <t>Coût myen conFitionnement/au kg</t>
  </si>
  <si>
    <t>Consommables pour fleurs et plants</t>
  </si>
  <si>
    <t>Chaîne lavage-egouttage/séchage</t>
  </si>
  <si>
    <t>Marchés plein vent / vente directe</t>
  </si>
  <si>
    <t>Production vendue en Kg</t>
  </si>
  <si>
    <t>T1</t>
  </si>
  <si>
    <t>T2</t>
  </si>
  <si>
    <t>T3</t>
  </si>
  <si>
    <t>T4</t>
  </si>
  <si>
    <t>Dépôt PC (2 juin)</t>
  </si>
  <si>
    <t>Permis de construire</t>
  </si>
  <si>
    <t>Délai oppostion PC (2 dec)</t>
  </si>
  <si>
    <t>Etudes</t>
  </si>
  <si>
    <t>Avant-projet</t>
  </si>
  <si>
    <t>APS / APD</t>
  </si>
  <si>
    <t>Travaux</t>
  </si>
  <si>
    <t>Creation accès rue Stendhal</t>
  </si>
  <si>
    <t>Fondations (serres et batiments) - raccordements (SAP, Enedis)</t>
  </si>
  <si>
    <t xml:space="preserve">Construction batiments, </t>
  </si>
  <si>
    <t>Budget à financer</t>
  </si>
  <si>
    <t>Quadia, Comptoir Innov, France Active, …</t>
  </si>
  <si>
    <t>Gilloots/CMF</t>
  </si>
  <si>
    <t>Tidy Planet</t>
  </si>
  <si>
    <t>Frais de personnel (nets des aides)</t>
  </si>
  <si>
    <t>Nb  points de vente 2018</t>
  </si>
  <si>
    <t>Voyages et déplacements -receptions</t>
  </si>
  <si>
    <t>Titres participatifs</t>
  </si>
  <si>
    <t>Prêts participatifs</t>
  </si>
  <si>
    <t>Emprunts bancaires</t>
  </si>
  <si>
    <t>Ademe, Region, FSE</t>
  </si>
  <si>
    <t>Remboursement Titres participatifs</t>
  </si>
  <si>
    <t>Remboursement Prêts participatifs</t>
  </si>
  <si>
    <t xml:space="preserve">                                                                                           </t>
  </si>
  <si>
    <t>Résultats  net</t>
  </si>
  <si>
    <t>Résultats  exploitation</t>
  </si>
  <si>
    <t>- 1 tableau de décaissements des investissements (TTC)</t>
  </si>
  <si>
    <t>- 1 tableau de trésorerie recettes/dépenses en reprenant les items du P&amp;L</t>
  </si>
  <si>
    <t>Septembre</t>
  </si>
  <si>
    <t>Octobre</t>
  </si>
  <si>
    <t>Novembre</t>
  </si>
  <si>
    <t>Décembre</t>
  </si>
  <si>
    <t>Janvier</t>
  </si>
  <si>
    <t>Montant à répartir</t>
  </si>
  <si>
    <t>DECAISSEMENT INVESTISSEMENTS</t>
  </si>
  <si>
    <t>ENCAISSEMENT EXPLOITATION</t>
  </si>
  <si>
    <t>DECAISSEMENT EXPLOITATION</t>
  </si>
  <si>
    <t>Saisonnalité</t>
  </si>
  <si>
    <t>CA moyen</t>
  </si>
  <si>
    <t>Répartition du CA</t>
  </si>
  <si>
    <t>Variation/ moyenne</t>
  </si>
  <si>
    <t>% de développement</t>
  </si>
  <si>
    <t>Remplissage terrines</t>
  </si>
  <si>
    <t>Transport terrines -&gt; serres</t>
  </si>
  <si>
    <t>Semis (dépose graines/arrosage/empilage)</t>
  </si>
  <si>
    <t>Sortie chambre germination/mise sur tables</t>
  </si>
  <si>
    <t>Récolte</t>
  </si>
  <si>
    <t>Brumisation/gestion climat</t>
  </si>
  <si>
    <t>Conditionnement vrac Ch froide</t>
  </si>
  <si>
    <t>Etapes processus production</t>
  </si>
  <si>
    <t>Remplissage tombereau compost</t>
  </si>
  <si>
    <t>Remplissage composteur</t>
  </si>
  <si>
    <t>Stockage compost cellule maturation</t>
  </si>
  <si>
    <t>Description poste de travail</t>
  </si>
  <si>
    <t>Evacuation terreau vers aire de compostage</t>
  </si>
  <si>
    <t>Unite</t>
  </si>
  <si>
    <t>Rendement horaire</t>
  </si>
  <si>
    <t>Nb Unite/kg de micro-pousses</t>
  </si>
  <si>
    <t>Temps (en Mn par kg Micro-pousses)</t>
  </si>
  <si>
    <t>Chargement  (terreau usé et drêche) du composteur mécanique (A900) - prévoir un tapis-convoyeur pour chargement par le haut - Réduction de masse de 30%</t>
  </si>
  <si>
    <t>Vidage du composteur par le bas (brouette) et transport vers cellule maturation - déchargement à la pelle ?)</t>
  </si>
  <si>
    <t>L de compost</t>
  </si>
  <si>
    <t>Terrine</t>
  </si>
  <si>
    <t xml:space="preserve">Transport terreau par brouette (30m) et remplissage godet de 50L avec crémaillère pour deversement dans tombereau de 500 L </t>
  </si>
  <si>
    <t>Lavage / stockage terrines vides</t>
  </si>
  <si>
    <t>Placement terrine sous le tombereau, versement compost (doseur), etalement dans la terrine, mise sur charriot</t>
  </si>
  <si>
    <t>Chariot de 50 terrines - Distance de 50m environ Dépose sur table semis</t>
  </si>
  <si>
    <t>Compost/terrine</t>
  </si>
  <si>
    <t>L</t>
  </si>
  <si>
    <t>Rendement moyen / terrine</t>
  </si>
  <si>
    <t>Kg</t>
  </si>
  <si>
    <t>Tapis roulant à vitesse réglable  passant sous un doseur de graines et brumisateur</t>
  </si>
  <si>
    <t>Utilisation d'un charriot 50 terrines - Distances &lt; 20 m</t>
  </si>
  <si>
    <t>Pose/ dépose voiles ombrage, film mini-tunnel, reglage brumisation, ….</t>
  </si>
  <si>
    <t>Idealement, prévoir terrines avec fonds amovibles - Cisaille automatique se déplaçant sur la longueur de la terrine</t>
  </si>
  <si>
    <t>Utilisation d'un charriot 50 terrines - Distances 100 m ou 30m</t>
  </si>
  <si>
    <t>Lavage/egouttage/séchage des micro-pousses</t>
  </si>
  <si>
    <t xml:space="preserve">Trempage dans bain &gt; 5° puis laveuse lots 20kg + évacuation par ruban sur plaque vibrante (egouttage) et passage dans min tunel séchant (pour certaines Mp) </t>
  </si>
  <si>
    <t>Lot</t>
  </si>
  <si>
    <t>Caisse</t>
  </si>
  <si>
    <t>Caisse conditionnement vrac de 2 à 10kg, selon variétés - Transport vers Ch froide</t>
  </si>
  <si>
    <t>Duree moyenne cycle sur table</t>
  </si>
  <si>
    <t>Rendements /terrine</t>
  </si>
  <si>
    <t>Production</t>
  </si>
  <si>
    <t>Terrines/M2</t>
  </si>
  <si>
    <t>Nb de jours</t>
  </si>
  <si>
    <t>Surface table en culture</t>
  </si>
  <si>
    <t>Jours ouvrables</t>
  </si>
  <si>
    <t>Effectif nécessaire</t>
  </si>
  <si>
    <t>MOD Production (en J/H)</t>
  </si>
  <si>
    <t>Total temps productif</t>
  </si>
  <si>
    <t>Total temps "improductif"</t>
  </si>
  <si>
    <t>Nettoyage, rangement, pauses, pb techniques)</t>
  </si>
  <si>
    <t>Total MO Production</t>
  </si>
  <si>
    <t>Effectif nécessaire en EI (+ 25% perte de productivité)</t>
  </si>
  <si>
    <t>PRODUCTION</t>
  </si>
  <si>
    <t>Conditionnement/distrib</t>
  </si>
  <si>
    <t>Volume graines / kg MP</t>
  </si>
  <si>
    <t>Conditionnement sachet vrac</t>
  </si>
  <si>
    <t>Opération manuelle - sachets ZIP 250g</t>
  </si>
  <si>
    <t>sachet</t>
  </si>
  <si>
    <t>pot</t>
  </si>
  <si>
    <t>Pot</t>
  </si>
  <si>
    <t>Conditionnement pot 50g</t>
  </si>
  <si>
    <t>Conditionnement pot 35g</t>
  </si>
  <si>
    <t>Total temps productif moyen</t>
  </si>
  <si>
    <t>Total MO Conditionnement</t>
  </si>
  <si>
    <t>Opération manuelle - Pots PET X6 + suremballage</t>
  </si>
  <si>
    <t>Etapes processus Conditionnement</t>
  </si>
  <si>
    <t>Etapes processus livraison</t>
  </si>
  <si>
    <t>Préparation commande</t>
  </si>
  <si>
    <t>Enlèvement sur site</t>
  </si>
  <si>
    <t>Livraison Velo Cargo</t>
  </si>
  <si>
    <t>Livraison VL frigo</t>
  </si>
  <si>
    <t>Commande</t>
  </si>
  <si>
    <t>Tournée</t>
  </si>
  <si>
    <t>Total MO Livraison</t>
  </si>
  <si>
    <t>Tournée velo (moyenne de 3h pour 150 pots sur 5 clients)</t>
  </si>
  <si>
    <t>Camion frigo livraison R Stendhal (grossistes) - Commande moyenne de 2 kg</t>
  </si>
  <si>
    <t>Commande moyenne : 2 Kg</t>
  </si>
  <si>
    <t>Terrines mises en culture</t>
  </si>
  <si>
    <t>Nb terrines/J ouvrables</t>
  </si>
  <si>
    <t>MOD Conditionnement (en j/h)</t>
  </si>
  <si>
    <t>MOD Livraison (en j/h)</t>
  </si>
  <si>
    <t xml:space="preserve">Production conditionnée/livrée </t>
  </si>
  <si>
    <t>Total Condit + livraison</t>
  </si>
  <si>
    <t>Effectif saisonnier</t>
  </si>
  <si>
    <t>Livraison Rungis ou plateforme GMS</t>
  </si>
  <si>
    <t>Nb g de micro-pousses /unité</t>
  </si>
  <si>
    <t>Prix HT</t>
  </si>
  <si>
    <t>Px / Kg</t>
  </si>
  <si>
    <t>Varietes</t>
  </si>
  <si>
    <t>Sac graines</t>
  </si>
  <si>
    <t>Pois vert</t>
  </si>
  <si>
    <t>Tournesol</t>
  </si>
  <si>
    <t>Betterave</t>
  </si>
  <si>
    <t>Radis Noir</t>
  </si>
  <si>
    <t>Radis P</t>
  </si>
  <si>
    <t>Brocoli</t>
  </si>
  <si>
    <t>Moutarde</t>
  </si>
  <si>
    <t>Chou Rouge</t>
  </si>
  <si>
    <t>Roquette</t>
  </si>
  <si>
    <t>Cresson</t>
  </si>
  <si>
    <t>Rendement g:terrine</t>
  </si>
  <si>
    <t>Utilisation compresseur air comprimé / Vapeur ? (1X par mois ?)</t>
  </si>
  <si>
    <t>Lavage caisses conditionnement</t>
  </si>
  <si>
    <t>Moyenne</t>
  </si>
  <si>
    <t>Graine(g par kg de mp</t>
  </si>
  <si>
    <t>Coût graines/kg MP</t>
  </si>
  <si>
    <t>Pois graine (gr) /terrine</t>
  </si>
  <si>
    <t>MOD Prod</t>
  </si>
  <si>
    <t>MOD Condt</t>
  </si>
  <si>
    <t>MOD Distrib</t>
  </si>
  <si>
    <t>Emballages/condit</t>
  </si>
  <si>
    <t>Cout de prod Kg Micro-pousses</t>
  </si>
  <si>
    <t xml:space="preserve">VRAC (sachets) </t>
  </si>
  <si>
    <t>Récupéré sur site</t>
  </si>
  <si>
    <t>Livré en Velo-Cargo</t>
  </si>
  <si>
    <t>Pots grossistes 
en pack X 6</t>
  </si>
  <si>
    <t xml:space="preserve">Pots indivuduels
 petit format </t>
  </si>
  <si>
    <t>Coût horaire charge salarié EI</t>
  </si>
  <si>
    <t>Aide au poste EI (heure travaillée)</t>
  </si>
  <si>
    <t xml:space="preserve">Perte production </t>
  </si>
  <si>
    <t>Perte commercialisation</t>
  </si>
  <si>
    <t>Prix de vente / Kg</t>
  </si>
  <si>
    <t>Total coûts directs variables par Kg</t>
  </si>
  <si>
    <t>Marge par Kg</t>
  </si>
  <si>
    <t>Effectif</t>
  </si>
  <si>
    <t>Brut annuel</t>
  </si>
  <si>
    <t>Respons cultures adj</t>
  </si>
  <si>
    <t>Resp adm et finances</t>
  </si>
  <si>
    <t>Technico-commercial</t>
  </si>
  <si>
    <t>RH - accompagnement IAE</t>
  </si>
  <si>
    <t>ADV et compta</t>
  </si>
  <si>
    <t>Frais généraux</t>
  </si>
  <si>
    <t>Loyer EDP</t>
  </si>
  <si>
    <t>Energies (Elec / Eau)</t>
  </si>
  <si>
    <t>Charges patronales</t>
  </si>
  <si>
    <t>Total coûts fixes hors amort</t>
  </si>
  <si>
    <t>Pondération</t>
  </si>
  <si>
    <t>Point mort cash flow (Kg/an)</t>
  </si>
  <si>
    <t>Amort productifs</t>
  </si>
  <si>
    <t>-batiments (20 ans)</t>
  </si>
  <si>
    <t>-Equipements (5 à 15 ans))</t>
  </si>
  <si>
    <t>Marge Par Kg en €</t>
  </si>
  <si>
    <t>Total coûts fixes avec amort</t>
  </si>
  <si>
    <t>Point mort résultat exploitation (Kg/an)</t>
  </si>
  <si>
    <t>Impôts et taxes</t>
  </si>
  <si>
    <t>Marge pondérée (en €/kg)</t>
  </si>
  <si>
    <t>- coûts démarrage)</t>
  </si>
  <si>
    <t>Dir Général</t>
  </si>
  <si>
    <t>Substrat</t>
  </si>
  <si>
    <t>Sous-traitance pédagogie</t>
  </si>
  <si>
    <t>Redevance marque</t>
  </si>
  <si>
    <t>Effectif permanent (ETP)</t>
  </si>
  <si>
    <t>Effectif insertion (ETP)</t>
  </si>
  <si>
    <t>Chef de cultures</t>
  </si>
  <si>
    <t>Effectif permanent production / condit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</si>
</sst>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_-* #,##0.00\ _F_-;\-* #,##0.00\ _F_-;_-* \-??\ _F_-;_-@_-"/>
    <numFmt numFmtId="165" formatCode="#,##0;\(#,##0\);\-"/>
    <numFmt numFmtId="166" formatCode="#,##0.00;\(#,##0.00\);\-"/>
    <numFmt numFmtId="167" formatCode="#,##0&quot; €&quot;"/>
    <numFmt numFmtId="168" formatCode="#,##0&quot; &quot;"/>
    <numFmt numFmtId="169" formatCode="#,##0.0;\(#,##0.0\);\-"/>
    <numFmt numFmtId="170" formatCode="0.0%"/>
    <numFmt numFmtId="171" formatCode="_-* #,##0\ &quot;€&quot;_-;\-* #,##0\ &quot;€&quot;_-;_-* &quot;-&quot;??\ &quot;€&quot;_-;_-@_-"/>
    <numFmt numFmtId="172" formatCode="0.0"/>
    <numFmt numFmtId="173" formatCode="0.000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name val="Calibri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Avenir Next Bold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Verdana"/>
      <family val="2"/>
    </font>
    <font>
      <b/>
      <sz val="12"/>
      <name val="Calibri"/>
      <family val="2"/>
    </font>
    <font>
      <b/>
      <sz val="14"/>
      <name val="Calibri"/>
      <family val="2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  <fill>
      <patternFill patternType="solid">
        <fgColor indexed="43"/>
        <bgColor indexed="27"/>
      </patternFill>
    </fill>
    <fill>
      <patternFill patternType="solid">
        <fgColor indexed="9"/>
        <bgColor indexed="35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35"/>
      </patternFill>
    </fill>
    <fill>
      <patternFill patternType="solid">
        <fgColor theme="8" tint="0.79998168889431442"/>
        <bgColor indexed="35"/>
      </patternFill>
    </fill>
    <fill>
      <patternFill patternType="solid">
        <fgColor theme="0"/>
        <bgColor indexed="3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3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35"/>
      </patternFill>
    </fill>
    <fill>
      <patternFill patternType="solid">
        <fgColor theme="6"/>
        <bgColor indexed="35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</borders>
  <cellStyleXfs count="733">
    <xf numFmtId="0" fontId="0" fillId="0" borderId="0"/>
    <xf numFmtId="164" fontId="2" fillId="0" borderId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1">
    <xf numFmtId="0" fontId="0" fillId="0" borderId="0" xfId="0"/>
    <xf numFmtId="164" fontId="4" fillId="0" borderId="2" xfId="1" applyFont="1" applyFill="1" applyBorder="1" applyAlignment="1" applyProtection="1">
      <alignment horizontal="left"/>
    </xf>
    <xf numFmtId="165" fontId="4" fillId="2" borderId="3" xfId="1" applyNumberFormat="1" applyFont="1" applyFill="1" applyBorder="1" applyAlignment="1" applyProtection="1">
      <alignment horizontal="right"/>
    </xf>
    <xf numFmtId="164" fontId="4" fillId="0" borderId="2" xfId="1" applyFont="1" applyFill="1" applyBorder="1" applyAlignment="1" applyProtection="1"/>
    <xf numFmtId="165" fontId="4" fillId="0" borderId="3" xfId="1" applyNumberFormat="1" applyFont="1" applyFill="1" applyBorder="1" applyAlignment="1" applyProtection="1">
      <alignment horizontal="right"/>
    </xf>
    <xf numFmtId="165" fontId="3" fillId="3" borderId="3" xfId="1" applyNumberFormat="1" applyFont="1" applyFill="1" applyBorder="1" applyAlignment="1" applyProtection="1">
      <alignment horizontal="right"/>
    </xf>
    <xf numFmtId="164" fontId="3" fillId="0" borderId="2" xfId="1" applyFont="1" applyFill="1" applyBorder="1" applyAlignment="1" applyProtection="1"/>
    <xf numFmtId="165" fontId="4" fillId="0" borderId="3" xfId="1" applyNumberFormat="1" applyFont="1" applyFill="1" applyBorder="1" applyAlignment="1" applyProtection="1"/>
    <xf numFmtId="0" fontId="4" fillId="0" borderId="2" xfId="2" applyFont="1" applyBorder="1" applyProtection="1"/>
    <xf numFmtId="165" fontId="4" fillId="0" borderId="3" xfId="2" applyNumberFormat="1" applyFont="1" applyBorder="1" applyProtection="1"/>
    <xf numFmtId="164" fontId="3" fillId="0" borderId="4" xfId="1" applyFont="1" applyFill="1" applyBorder="1" applyAlignment="1" applyProtection="1">
      <alignment horizontal="center"/>
    </xf>
    <xf numFmtId="164" fontId="4" fillId="4" borderId="2" xfId="1" applyFont="1" applyFill="1" applyBorder="1" applyAlignment="1" applyProtection="1"/>
    <xf numFmtId="0" fontId="6" fillId="0" borderId="5" xfId="0" applyFont="1" applyBorder="1"/>
    <xf numFmtId="0" fontId="4" fillId="0" borderId="1" xfId="2" applyFont="1" applyBorder="1" applyProtection="1"/>
    <xf numFmtId="165" fontId="4" fillId="0" borderId="6" xfId="1" applyNumberFormat="1" applyFont="1" applyFill="1" applyBorder="1" applyAlignment="1" applyProtection="1">
      <alignment horizontal="right"/>
    </xf>
    <xf numFmtId="165" fontId="4" fillId="6" borderId="3" xfId="1" applyNumberFormat="1" applyFont="1" applyFill="1" applyBorder="1" applyAlignment="1" applyProtection="1">
      <alignment horizontal="right"/>
      <protection locked="0"/>
    </xf>
    <xf numFmtId="165" fontId="4" fillId="7" borderId="3" xfId="1" applyNumberFormat="1" applyFont="1" applyFill="1" applyBorder="1" applyAlignment="1" applyProtection="1">
      <alignment horizontal="right"/>
    </xf>
    <xf numFmtId="165" fontId="4" fillId="8" borderId="3" xfId="1" applyNumberFormat="1" applyFont="1" applyFill="1" applyBorder="1" applyAlignment="1" applyProtection="1"/>
    <xf numFmtId="165" fontId="3" fillId="0" borderId="3" xfId="1" applyNumberFormat="1" applyFont="1" applyFill="1" applyBorder="1" applyAlignment="1" applyProtection="1"/>
    <xf numFmtId="165" fontId="4" fillId="0" borderId="7" xfId="2" applyNumberFormat="1" applyFont="1" applyBorder="1" applyProtection="1"/>
    <xf numFmtId="0" fontId="0" fillId="0" borderId="0" xfId="0" applyAlignment="1">
      <alignment horizontal="left"/>
    </xf>
    <xf numFmtId="165" fontId="4" fillId="0" borderId="6" xfId="1" applyNumberFormat="1" applyFont="1" applyFill="1" applyBorder="1" applyAlignment="1" applyProtection="1">
      <alignment horizontal="left"/>
    </xf>
    <xf numFmtId="165" fontId="4" fillId="0" borderId="3" xfId="1" applyNumberFormat="1" applyFont="1" applyFill="1" applyBorder="1" applyAlignment="1" applyProtection="1">
      <alignment horizontal="left"/>
    </xf>
    <xf numFmtId="165" fontId="4" fillId="0" borderId="3" xfId="2" applyNumberFormat="1" applyFont="1" applyBorder="1" applyAlignment="1" applyProtection="1">
      <alignment horizontal="left"/>
    </xf>
    <xf numFmtId="0" fontId="6" fillId="0" borderId="0" xfId="0" applyFont="1" applyProtection="1"/>
    <xf numFmtId="0" fontId="6" fillId="0" borderId="0" xfId="0" applyFont="1"/>
    <xf numFmtId="0" fontId="4" fillId="0" borderId="0" xfId="0" applyFont="1" applyProtection="1"/>
    <xf numFmtId="0" fontId="10" fillId="0" borderId="0" xfId="0" applyFont="1" applyFill="1" applyBorder="1"/>
    <xf numFmtId="167" fontId="3" fillId="0" borderId="0" xfId="0" applyNumberFormat="1" applyFont="1" applyFill="1" applyBorder="1" applyAlignment="1">
      <alignment horizontal="right"/>
    </xf>
    <xf numFmtId="0" fontId="4" fillId="0" borderId="0" xfId="0" applyFont="1"/>
    <xf numFmtId="0" fontId="11" fillId="0" borderId="0" xfId="0" applyFont="1" applyFill="1" applyBorder="1"/>
    <xf numFmtId="167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67" fontId="12" fillId="0" borderId="0" xfId="0" applyNumberFormat="1" applyFont="1" applyFill="1" applyBorder="1"/>
    <xf numFmtId="167" fontId="11" fillId="0" borderId="0" xfId="0" applyNumberFormat="1" applyFont="1" applyFill="1" applyBorder="1"/>
    <xf numFmtId="0" fontId="6" fillId="0" borderId="0" xfId="0" applyFont="1" applyFill="1" applyBorder="1"/>
    <xf numFmtId="0" fontId="11" fillId="0" borderId="0" xfId="0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9" fontId="4" fillId="2" borderId="3" xfId="227" applyFont="1" applyFill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8" fontId="3" fillId="5" borderId="3" xfId="1" applyNumberFormat="1" applyFont="1" applyFill="1" applyBorder="1" applyAlignment="1" applyProtection="1"/>
    <xf numFmtId="168" fontId="6" fillId="0" borderId="0" xfId="0" applyNumberFormat="1" applyFont="1"/>
    <xf numFmtId="168" fontId="3" fillId="0" borderId="0" xfId="0" applyNumberFormat="1" applyFont="1" applyFill="1" applyBorder="1" applyAlignment="1">
      <alignment horizontal="right"/>
    </xf>
    <xf numFmtId="168" fontId="4" fillId="0" borderId="0" xfId="0" applyNumberFormat="1" applyFont="1"/>
    <xf numFmtId="165" fontId="0" fillId="0" borderId="0" xfId="0" applyNumberFormat="1"/>
    <xf numFmtId="169" fontId="4" fillId="2" borderId="3" xfId="1" applyNumberFormat="1" applyFont="1" applyFill="1" applyBorder="1" applyAlignment="1" applyProtection="1">
      <alignment horizontal="right"/>
    </xf>
    <xf numFmtId="165" fontId="4" fillId="10" borderId="3" xfId="1" applyNumberFormat="1" applyFont="1" applyFill="1" applyBorder="1" applyAlignment="1" applyProtection="1">
      <alignment horizontal="right"/>
    </xf>
    <xf numFmtId="0" fontId="0" fillId="11" borderId="26" xfId="0" applyFill="1" applyBorder="1"/>
    <xf numFmtId="0" fontId="0" fillId="12" borderId="26" xfId="0" applyFill="1" applyBorder="1"/>
    <xf numFmtId="0" fontId="0" fillId="13" borderId="26" xfId="0" applyFill="1" applyBorder="1"/>
    <xf numFmtId="0" fontId="0" fillId="14" borderId="26" xfId="0" applyFill="1" applyBorder="1"/>
    <xf numFmtId="0" fontId="0" fillId="15" borderId="26" xfId="0" applyFill="1" applyBorder="1"/>
    <xf numFmtId="0" fontId="0" fillId="16" borderId="26" xfId="0" applyFill="1" applyBorder="1"/>
    <xf numFmtId="0" fontId="16" fillId="0" borderId="13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0" fillId="0" borderId="0" xfId="0" applyBorder="1"/>
    <xf numFmtId="0" fontId="0" fillId="0" borderId="29" xfId="0" applyBorder="1"/>
    <xf numFmtId="0" fontId="0" fillId="0" borderId="28" xfId="0" applyBorder="1"/>
    <xf numFmtId="0" fontId="0" fillId="0" borderId="16" xfId="0" applyBorder="1"/>
    <xf numFmtId="0" fontId="0" fillId="0" borderId="17" xfId="0" applyBorder="1"/>
    <xf numFmtId="0" fontId="0" fillId="17" borderId="26" xfId="0" applyFill="1" applyBorder="1"/>
    <xf numFmtId="0" fontId="17" fillId="0" borderId="0" xfId="0" applyFont="1"/>
    <xf numFmtId="166" fontId="17" fillId="0" borderId="0" xfId="0" applyNumberFormat="1" applyFont="1"/>
    <xf numFmtId="0" fontId="15" fillId="4" borderId="23" xfId="0" applyFont="1" applyFill="1" applyBorder="1" applyAlignment="1">
      <alignment horizontal="left" wrapText="1"/>
    </xf>
    <xf numFmtId="0" fontId="9" fillId="4" borderId="23" xfId="0" applyFont="1" applyFill="1" applyBorder="1" applyAlignment="1">
      <alignment horizontal="left" wrapText="1"/>
    </xf>
    <xf numFmtId="0" fontId="14" fillId="4" borderId="23" xfId="0" applyFont="1" applyFill="1" applyBorder="1" applyAlignment="1">
      <alignment horizontal="left" wrapText="1"/>
    </xf>
    <xf numFmtId="164" fontId="3" fillId="5" borderId="2" xfId="1" applyFont="1" applyFill="1" applyBorder="1" applyAlignment="1" applyProtection="1">
      <alignment wrapText="1"/>
    </xf>
    <xf numFmtId="0" fontId="6" fillId="0" borderId="0" xfId="0" applyFont="1" applyAlignment="1">
      <alignment wrapText="1"/>
    </xf>
    <xf numFmtId="0" fontId="10" fillId="0" borderId="0" xfId="0" applyFont="1" applyFill="1" applyBorder="1" applyAlignment="1">
      <alignment wrapText="1"/>
    </xf>
    <xf numFmtId="164" fontId="3" fillId="5" borderId="31" xfId="1" applyFont="1" applyFill="1" applyBorder="1" applyAlignment="1" applyProtection="1">
      <alignment wrapText="1"/>
    </xf>
    <xf numFmtId="168" fontId="3" fillId="0" borderId="10" xfId="0" applyNumberFormat="1" applyFont="1" applyFill="1" applyBorder="1" applyAlignment="1">
      <alignment horizontal="center" vertical="center" wrapText="1"/>
    </xf>
    <xf numFmtId="168" fontId="3" fillId="4" borderId="32" xfId="0" applyNumberFormat="1" applyFont="1" applyFill="1" applyBorder="1" applyAlignment="1" applyProtection="1">
      <alignment horizontal="right"/>
      <protection locked="0"/>
    </xf>
    <xf numFmtId="168" fontId="3" fillId="4" borderId="32" xfId="0" applyNumberFormat="1" applyFont="1" applyFill="1" applyBorder="1" applyAlignment="1" applyProtection="1">
      <protection locked="0"/>
    </xf>
    <xf numFmtId="168" fontId="3" fillId="5" borderId="33" xfId="1" applyNumberFormat="1" applyFont="1" applyFill="1" applyBorder="1" applyAlignment="1" applyProtection="1"/>
    <xf numFmtId="168" fontId="3" fillId="4" borderId="34" xfId="0" applyNumberFormat="1" applyFont="1" applyFill="1" applyBorder="1" applyAlignment="1" applyProtection="1">
      <protection locked="0"/>
    </xf>
    <xf numFmtId="165" fontId="4" fillId="18" borderId="3" xfId="1" applyNumberFormat="1" applyFont="1" applyFill="1" applyBorder="1" applyAlignment="1" applyProtection="1">
      <alignment horizontal="left"/>
    </xf>
    <xf numFmtId="165" fontId="4" fillId="18" borderId="3" xfId="1" applyNumberFormat="1" applyFont="1" applyFill="1" applyBorder="1" applyAlignment="1" applyProtection="1">
      <alignment horizontal="right"/>
    </xf>
    <xf numFmtId="0" fontId="0" fillId="19" borderId="0" xfId="0" applyFill="1"/>
    <xf numFmtId="165" fontId="3" fillId="20" borderId="3" xfId="1" applyNumberFormat="1" applyFont="1" applyFill="1" applyBorder="1" applyAlignment="1" applyProtection="1">
      <alignment horizontal="left"/>
    </xf>
    <xf numFmtId="165" fontId="3" fillId="20" borderId="3" xfId="1" applyNumberFormat="1" applyFont="1" applyFill="1" applyBorder="1" applyAlignment="1" applyProtection="1">
      <alignment horizontal="right"/>
    </xf>
    <xf numFmtId="9" fontId="4" fillId="18" borderId="3" xfId="227" applyFont="1" applyFill="1" applyBorder="1" applyAlignment="1" applyProtection="1">
      <alignment horizontal="right"/>
    </xf>
    <xf numFmtId="164" fontId="3" fillId="21" borderId="2" xfId="1" applyFont="1" applyFill="1" applyBorder="1" applyAlignment="1" applyProtection="1"/>
    <xf numFmtId="165" fontId="3" fillId="21" borderId="3" xfId="1" applyNumberFormat="1" applyFont="1" applyFill="1" applyBorder="1" applyAlignment="1" applyProtection="1">
      <alignment horizontal="right"/>
    </xf>
    <xf numFmtId="166" fontId="4" fillId="18" borderId="3" xfId="1" applyNumberFormat="1" applyFont="1" applyFill="1" applyBorder="1" applyAlignment="1" applyProtection="1">
      <alignment horizontal="right"/>
    </xf>
    <xf numFmtId="169" fontId="4" fillId="18" borderId="3" xfId="1" applyNumberFormat="1" applyFont="1" applyFill="1" applyBorder="1" applyAlignment="1" applyProtection="1">
      <alignment horizontal="right"/>
    </xf>
    <xf numFmtId="0" fontId="0" fillId="0" borderId="30" xfId="0" applyBorder="1"/>
    <xf numFmtId="0" fontId="0" fillId="0" borderId="0" xfId="0" applyAlignment="1">
      <alignment horizontal="center" vertical="center" wrapText="1"/>
    </xf>
    <xf numFmtId="165" fontId="3" fillId="22" borderId="3" xfId="1" applyNumberFormat="1" applyFont="1" applyFill="1" applyBorder="1" applyAlignment="1" applyProtection="1">
      <alignment horizontal="right"/>
    </xf>
    <xf numFmtId="0" fontId="18" fillId="0" borderId="26" xfId="0" applyFont="1" applyBorder="1" applyAlignment="1">
      <alignment horizontal="left" vertical="center" wrapText="1"/>
    </xf>
    <xf numFmtId="0" fontId="18" fillId="0" borderId="26" xfId="0" quotePrefix="1" applyFont="1" applyBorder="1" applyAlignment="1">
      <alignment horizontal="left" vertical="center" wrapText="1"/>
    </xf>
    <xf numFmtId="165" fontId="3" fillId="22" borderId="38" xfId="1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165" fontId="4" fillId="0" borderId="6" xfId="1" applyNumberFormat="1" applyFont="1" applyFill="1" applyBorder="1" applyAlignment="1" applyProtection="1">
      <alignment horizontal="center"/>
    </xf>
    <xf numFmtId="165" fontId="4" fillId="18" borderId="3" xfId="1" applyNumberFormat="1" applyFont="1" applyFill="1" applyBorder="1" applyAlignment="1" applyProtection="1">
      <alignment horizontal="center"/>
    </xf>
    <xf numFmtId="165" fontId="4" fillId="0" borderId="3" xfId="1" applyNumberFormat="1" applyFont="1" applyFill="1" applyBorder="1" applyAlignment="1" applyProtection="1">
      <alignment horizontal="center"/>
    </xf>
    <xf numFmtId="165" fontId="3" fillId="20" borderId="3" xfId="1" applyNumberFormat="1" applyFont="1" applyFill="1" applyBorder="1" applyAlignment="1" applyProtection="1">
      <alignment horizontal="center"/>
    </xf>
    <xf numFmtId="165" fontId="4" fillId="0" borderId="3" xfId="2" applyNumberFormat="1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65" fontId="4" fillId="2" borderId="3" xfId="1" applyNumberFormat="1" applyFont="1" applyFill="1" applyBorder="1" applyAlignment="1" applyProtection="1">
      <alignment horizontal="center"/>
    </xf>
    <xf numFmtId="0" fontId="17" fillId="23" borderId="0" xfId="0" applyFont="1" applyFill="1"/>
    <xf numFmtId="0" fontId="19" fillId="0" borderId="28" xfId="0" applyNumberFormat="1" applyFont="1" applyFill="1" applyBorder="1" applyAlignment="1" applyProtection="1">
      <alignment vertical="center"/>
    </xf>
    <xf numFmtId="165" fontId="4" fillId="2" borderId="3" xfId="1" applyNumberFormat="1" applyFont="1" applyFill="1" applyBorder="1" applyAlignment="1" applyProtection="1">
      <alignment horizontal="center" vertical="center" wrapText="1"/>
    </xf>
    <xf numFmtId="169" fontId="4" fillId="2" borderId="3" xfId="1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165" fontId="4" fillId="18" borderId="38" xfId="1" applyNumberFormat="1" applyFont="1" applyFill="1" applyBorder="1" applyAlignment="1" applyProtection="1">
      <alignment horizontal="right"/>
    </xf>
    <xf numFmtId="164" fontId="4" fillId="0" borderId="32" xfId="1" applyFont="1" applyFill="1" applyBorder="1" applyAlignment="1" applyProtection="1"/>
    <xf numFmtId="164" fontId="4" fillId="0" borderId="39" xfId="1" applyFont="1" applyFill="1" applyBorder="1" applyAlignment="1" applyProtection="1"/>
    <xf numFmtId="164" fontId="3" fillId="21" borderId="26" xfId="1" applyFont="1" applyFill="1" applyBorder="1" applyAlignment="1" applyProtection="1"/>
    <xf numFmtId="165" fontId="4" fillId="0" borderId="40" xfId="1" applyNumberFormat="1" applyFont="1" applyFill="1" applyBorder="1" applyAlignment="1" applyProtection="1">
      <alignment horizontal="right"/>
    </xf>
    <xf numFmtId="165" fontId="4" fillId="0" borderId="41" xfId="1" applyNumberFormat="1" applyFont="1" applyFill="1" applyBorder="1" applyAlignment="1" applyProtection="1">
      <alignment horizontal="right"/>
    </xf>
    <xf numFmtId="165" fontId="3" fillId="21" borderId="42" xfId="1" applyNumberFormat="1" applyFont="1" applyFill="1" applyBorder="1" applyAlignment="1" applyProtection="1">
      <alignment horizontal="right"/>
    </xf>
    <xf numFmtId="165" fontId="3" fillId="21" borderId="43" xfId="1" applyNumberFormat="1" applyFont="1" applyFill="1" applyBorder="1" applyAlignment="1" applyProtection="1">
      <alignment horizontal="right"/>
    </xf>
    <xf numFmtId="165" fontId="3" fillId="21" borderId="44" xfId="1" applyNumberFormat="1" applyFont="1" applyFill="1" applyBorder="1" applyAlignment="1" applyProtection="1">
      <alignment horizontal="right"/>
    </xf>
    <xf numFmtId="169" fontId="3" fillId="21" borderId="42" xfId="1" applyNumberFormat="1" applyFont="1" applyFill="1" applyBorder="1" applyAlignment="1" applyProtection="1">
      <alignment horizontal="right"/>
    </xf>
    <xf numFmtId="169" fontId="3" fillId="21" borderId="43" xfId="1" applyNumberFormat="1" applyFont="1" applyFill="1" applyBorder="1" applyAlignment="1" applyProtection="1">
      <alignment horizontal="right"/>
    </xf>
    <xf numFmtId="169" fontId="3" fillId="21" borderId="44" xfId="1" applyNumberFormat="1" applyFont="1" applyFill="1" applyBorder="1" applyAlignment="1" applyProtection="1">
      <alignment horizontal="right"/>
    </xf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16" fillId="0" borderId="50" xfId="0" applyFont="1" applyBorder="1" applyAlignment="1">
      <alignment horizontal="left" vertical="center" wrapText="1"/>
    </xf>
    <xf numFmtId="0" fontId="0" fillId="16" borderId="45" xfId="0" applyFill="1" applyBorder="1"/>
    <xf numFmtId="0" fontId="0" fillId="0" borderId="51" xfId="0" applyBorder="1"/>
    <xf numFmtId="0" fontId="0" fillId="0" borderId="52" xfId="0" applyBorder="1"/>
    <xf numFmtId="0" fontId="0" fillId="0" borderId="13" xfId="0" applyBorder="1"/>
    <xf numFmtId="170" fontId="4" fillId="18" borderId="3" xfId="227" applyNumberFormat="1" applyFont="1" applyFill="1" applyBorder="1" applyAlignment="1" applyProtection="1">
      <alignment horizontal="right"/>
    </xf>
    <xf numFmtId="165" fontId="3" fillId="24" borderId="3" xfId="1" applyNumberFormat="1" applyFont="1" applyFill="1" applyBorder="1" applyAlignment="1" applyProtection="1">
      <alignment horizontal="right"/>
    </xf>
    <xf numFmtId="0" fontId="18" fillId="25" borderId="26" xfId="0" applyFont="1" applyFill="1" applyBorder="1" applyAlignment="1">
      <alignment horizontal="center"/>
    </xf>
    <xf numFmtId="0" fontId="18" fillId="26" borderId="26" xfId="0" applyFont="1" applyFill="1" applyBorder="1" applyAlignment="1">
      <alignment horizontal="center"/>
    </xf>
    <xf numFmtId="165" fontId="3" fillId="20" borderId="35" xfId="1" applyNumberFormat="1" applyFont="1" applyFill="1" applyBorder="1" applyAlignment="1" applyProtection="1"/>
    <xf numFmtId="165" fontId="3" fillId="20" borderId="36" xfId="1" applyNumberFormat="1" applyFont="1" applyFill="1" applyBorder="1" applyAlignment="1" applyProtection="1"/>
    <xf numFmtId="165" fontId="3" fillId="20" borderId="37" xfId="1" applyNumberFormat="1" applyFont="1" applyFill="1" applyBorder="1" applyAlignment="1" applyProtection="1"/>
    <xf numFmtId="165" fontId="3" fillId="22" borderId="50" xfId="1" applyNumberFormat="1" applyFont="1" applyFill="1" applyBorder="1" applyAlignment="1" applyProtection="1"/>
    <xf numFmtId="165" fontId="3" fillId="22" borderId="51" xfId="1" applyNumberFormat="1" applyFont="1" applyFill="1" applyBorder="1" applyAlignment="1" applyProtection="1"/>
    <xf numFmtId="165" fontId="3" fillId="22" borderId="52" xfId="1" applyNumberFormat="1" applyFont="1" applyFill="1" applyBorder="1" applyAlignment="1" applyProtection="1"/>
    <xf numFmtId="165" fontId="3" fillId="2" borderId="3" xfId="1" applyNumberFormat="1" applyFont="1" applyFill="1" applyBorder="1" applyAlignment="1" applyProtection="1">
      <alignment horizontal="right"/>
    </xf>
    <xf numFmtId="164" fontId="3" fillId="0" borderId="2" xfId="1" applyFont="1" applyFill="1" applyBorder="1" applyAlignment="1" applyProtection="1">
      <alignment horizontal="left"/>
    </xf>
    <xf numFmtId="164" fontId="4" fillId="23" borderId="2" xfId="1" applyFont="1" applyFill="1" applyBorder="1" applyAlignment="1" applyProtection="1">
      <alignment horizontal="left"/>
    </xf>
    <xf numFmtId="164" fontId="4" fillId="23" borderId="2" xfId="1" applyFont="1" applyFill="1" applyBorder="1" applyAlignment="1" applyProtection="1"/>
    <xf numFmtId="165" fontId="4" fillId="27" borderId="3" xfId="1" applyNumberFormat="1" applyFont="1" applyFill="1" applyBorder="1" applyAlignment="1" applyProtection="1">
      <alignment horizontal="right"/>
    </xf>
    <xf numFmtId="165" fontId="0" fillId="23" borderId="0" xfId="0" applyNumberFormat="1" applyFill="1"/>
    <xf numFmtId="0" fontId="21" fillId="0" borderId="0" xfId="0" applyFont="1" applyAlignment="1">
      <alignment vertical="center" wrapText="1"/>
    </xf>
    <xf numFmtId="171" fontId="0" fillId="0" borderId="0" xfId="682" applyNumberFormat="1" applyFont="1" applyAlignment="1">
      <alignment horizontal="center" vertical="center" wrapText="1"/>
    </xf>
    <xf numFmtId="171" fontId="0" fillId="0" borderId="0" xfId="682" applyNumberFormat="1" applyFont="1" applyAlignment="1">
      <alignment horizontal="center" vertical="center"/>
    </xf>
    <xf numFmtId="171" fontId="0" fillId="0" borderId="0" xfId="682" applyNumberFormat="1" applyFont="1"/>
    <xf numFmtId="171" fontId="3" fillId="20" borderId="3" xfId="682" applyNumberFormat="1" applyFont="1" applyFill="1" applyBorder="1" applyAlignment="1" applyProtection="1">
      <alignment horizontal="left"/>
    </xf>
    <xf numFmtId="171" fontId="0" fillId="28" borderId="0" xfId="682" applyNumberFormat="1" applyFont="1" applyFill="1"/>
    <xf numFmtId="0" fontId="0" fillId="0" borderId="59" xfId="0" applyBorder="1" applyAlignment="1">
      <alignment horizontal="center" vertical="center"/>
    </xf>
    <xf numFmtId="0" fontId="0" fillId="29" borderId="59" xfId="0" applyFill="1" applyBorder="1" applyAlignment="1">
      <alignment horizontal="center" vertical="center"/>
    </xf>
    <xf numFmtId="171" fontId="0" fillId="0" borderId="60" xfId="682" applyNumberFormat="1" applyFont="1" applyBorder="1"/>
    <xf numFmtId="0" fontId="0" fillId="0" borderId="60" xfId="0" applyBorder="1"/>
    <xf numFmtId="0" fontId="0" fillId="0" borderId="61" xfId="0" applyBorder="1" applyAlignment="1">
      <alignment horizontal="center" vertical="center"/>
    </xf>
    <xf numFmtId="0" fontId="0" fillId="29" borderId="61" xfId="0" applyFill="1" applyBorder="1" applyAlignment="1">
      <alignment horizontal="center" vertical="center"/>
    </xf>
    <xf numFmtId="171" fontId="0" fillId="0" borderId="62" xfId="682" applyNumberFormat="1" applyFont="1" applyBorder="1"/>
    <xf numFmtId="171" fontId="3" fillId="20" borderId="38" xfId="682" applyNumberFormat="1" applyFont="1" applyFill="1" applyBorder="1" applyAlignment="1" applyProtection="1">
      <alignment horizontal="left"/>
    </xf>
    <xf numFmtId="0" fontId="0" fillId="29" borderId="63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1" fontId="0" fillId="0" borderId="29" xfId="682" applyNumberFormat="1" applyFont="1" applyBorder="1" applyAlignment="1">
      <alignment horizontal="center" vertical="center"/>
    </xf>
    <xf numFmtId="171" fontId="0" fillId="0" borderId="64" xfId="682" applyNumberFormat="1" applyFont="1" applyBorder="1"/>
    <xf numFmtId="171" fontId="0" fillId="0" borderId="29" xfId="682" applyNumberFormat="1" applyFont="1" applyBorder="1"/>
    <xf numFmtId="171" fontId="3" fillId="20" borderId="65" xfId="682" applyNumberFormat="1" applyFont="1" applyFill="1" applyBorder="1" applyAlignment="1" applyProtection="1">
      <alignment horizontal="left"/>
    </xf>
    <xf numFmtId="165" fontId="23" fillId="20" borderId="3" xfId="1" applyNumberFormat="1" applyFont="1" applyFill="1" applyBorder="1" applyAlignment="1" applyProtection="1">
      <alignment horizontal="left" vertical="center"/>
    </xf>
    <xf numFmtId="0" fontId="0" fillId="0" borderId="59" xfId="0" applyBorder="1" applyAlignment="1">
      <alignment horizontal="center" vertical="center" wrapText="1"/>
    </xf>
    <xf numFmtId="165" fontId="23" fillId="30" borderId="3" xfId="1" applyNumberFormat="1" applyFont="1" applyFill="1" applyBorder="1" applyAlignment="1" applyProtection="1">
      <alignment horizontal="left" vertical="center"/>
    </xf>
    <xf numFmtId="165" fontId="23" fillId="31" borderId="3" xfId="1" applyNumberFormat="1" applyFont="1" applyFill="1" applyBorder="1" applyAlignment="1" applyProtection="1">
      <alignment horizontal="left" vertical="center"/>
    </xf>
    <xf numFmtId="165" fontId="22" fillId="30" borderId="3" xfId="1" applyNumberFormat="1" applyFont="1" applyFill="1" applyBorder="1" applyAlignment="1" applyProtection="1">
      <alignment horizontal="left" vertical="center"/>
    </xf>
    <xf numFmtId="165" fontId="22" fillId="31" borderId="3" xfId="1" applyNumberFormat="1" applyFont="1" applyFill="1" applyBorder="1" applyAlignment="1" applyProtection="1">
      <alignment horizontal="left" vertical="center"/>
    </xf>
    <xf numFmtId="171" fontId="22" fillId="31" borderId="3" xfId="1" applyNumberFormat="1" applyFont="1" applyFill="1" applyBorder="1" applyAlignment="1" applyProtection="1">
      <alignment horizontal="left" vertical="center"/>
    </xf>
    <xf numFmtId="171" fontId="22" fillId="30" borderId="3" xfId="1" applyNumberFormat="1" applyFont="1" applyFill="1" applyBorder="1" applyAlignment="1" applyProtection="1">
      <alignment horizontal="left" vertical="center"/>
    </xf>
    <xf numFmtId="171" fontId="0" fillId="0" borderId="0" xfId="0" applyNumberFormat="1"/>
    <xf numFmtId="0" fontId="24" fillId="0" borderId="0" xfId="0" applyFont="1"/>
    <xf numFmtId="9" fontId="24" fillId="0" borderId="0" xfId="227" applyFont="1"/>
    <xf numFmtId="1" fontId="24" fillId="0" borderId="0" xfId="0" applyNumberFormat="1" applyFont="1"/>
    <xf numFmtId="0" fontId="25" fillId="0" borderId="0" xfId="0" applyFont="1"/>
    <xf numFmtId="171" fontId="25" fillId="0" borderId="0" xfId="682" applyNumberFormat="1" applyFont="1"/>
    <xf numFmtId="171" fontId="25" fillId="0" borderId="0" xfId="0" applyNumberFormat="1" applyFont="1"/>
    <xf numFmtId="9" fontId="25" fillId="0" borderId="0" xfId="227" applyFont="1"/>
    <xf numFmtId="1" fontId="25" fillId="0" borderId="0" xfId="227" applyNumberFormat="1" applyFont="1"/>
    <xf numFmtId="2" fontId="25" fillId="0" borderId="0" xfId="227" applyNumberFormat="1" applyFont="1"/>
    <xf numFmtId="0" fontId="0" fillId="0" borderId="45" xfId="0" applyBorder="1" applyAlignment="1">
      <alignment vertical="center" wrapText="1"/>
    </xf>
    <xf numFmtId="0" fontId="18" fillId="0" borderId="45" xfId="0" applyFont="1" applyBorder="1" applyAlignment="1">
      <alignment horizontal="center" vertical="center" wrapText="1"/>
    </xf>
    <xf numFmtId="2" fontId="0" fillId="0" borderId="45" xfId="0" applyNumberFormat="1" applyBorder="1" applyAlignment="1">
      <alignment vertical="center" wrapText="1"/>
    </xf>
    <xf numFmtId="172" fontId="0" fillId="0" borderId="45" xfId="0" applyNumberFormat="1" applyBorder="1" applyAlignment="1">
      <alignment vertical="center" wrapText="1"/>
    </xf>
    <xf numFmtId="9" fontId="0" fillId="0" borderId="45" xfId="0" applyNumberFormat="1" applyBorder="1" applyAlignment="1">
      <alignment vertical="center" wrapText="1"/>
    </xf>
    <xf numFmtId="172" fontId="0" fillId="0" borderId="0" xfId="0" applyNumberFormat="1"/>
    <xf numFmtId="9" fontId="0" fillId="0" borderId="0" xfId="0" applyNumberFormat="1"/>
    <xf numFmtId="0" fontId="18" fillId="23" borderId="45" xfId="0" applyFont="1" applyFill="1" applyBorder="1" applyAlignment="1">
      <alignment horizontal="center" vertical="center" wrapText="1"/>
    </xf>
    <xf numFmtId="172" fontId="0" fillId="23" borderId="45" xfId="0" applyNumberFormat="1" applyFill="1" applyBorder="1" applyAlignment="1">
      <alignment vertical="center" wrapText="1"/>
    </xf>
    <xf numFmtId="173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45" xfId="0" applyNumberFormat="1" applyBorder="1" applyAlignment="1">
      <alignment vertical="center" wrapText="1"/>
    </xf>
    <xf numFmtId="172" fontId="0" fillId="0" borderId="45" xfId="0" applyNumberFormat="1" applyBorder="1" applyAlignment="1">
      <alignment horizontal="center" vertical="center" wrapText="1"/>
    </xf>
    <xf numFmtId="9" fontId="4" fillId="18" borderId="3" xfId="227" applyFont="1" applyFill="1" applyBorder="1" applyAlignment="1" applyProtection="1">
      <alignment horizontal="center"/>
    </xf>
    <xf numFmtId="9" fontId="0" fillId="0" borderId="45" xfId="227" applyFont="1" applyBorder="1" applyAlignment="1">
      <alignment vertical="center" wrapText="1"/>
    </xf>
    <xf numFmtId="2" fontId="0" fillId="23" borderId="45" xfId="0" applyNumberFormat="1" applyFill="1" applyBorder="1" applyAlignment="1">
      <alignment vertical="center" wrapText="1"/>
    </xf>
    <xf numFmtId="172" fontId="0" fillId="0" borderId="45" xfId="0" applyNumberFormat="1" applyBorder="1" applyAlignment="1">
      <alignment horizontal="left" vertical="center" wrapText="1"/>
    </xf>
    <xf numFmtId="172" fontId="0" fillId="0" borderId="45" xfId="0" quotePrefix="1" applyNumberFormat="1" applyBorder="1" applyAlignment="1">
      <alignment horizontal="left" vertical="center" wrapText="1"/>
    </xf>
    <xf numFmtId="3" fontId="0" fillId="0" borderId="45" xfId="0" applyNumberFormat="1" applyBorder="1" applyAlignment="1">
      <alignment vertical="center" wrapText="1"/>
    </xf>
    <xf numFmtId="9" fontId="4" fillId="18" borderId="3" xfId="227" applyNumberFormat="1" applyFont="1" applyFill="1" applyBorder="1" applyAlignment="1" applyProtection="1">
      <alignment horizontal="right"/>
    </xf>
    <xf numFmtId="2" fontId="17" fillId="23" borderId="0" xfId="0" applyNumberFormat="1" applyFont="1" applyFill="1"/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18" fillId="25" borderId="35" xfId="0" applyFont="1" applyFill="1" applyBorder="1" applyAlignment="1">
      <alignment horizontal="center"/>
    </xf>
    <xf numFmtId="0" fontId="18" fillId="25" borderId="36" xfId="0" applyFont="1" applyFill="1" applyBorder="1" applyAlignment="1">
      <alignment horizontal="center"/>
    </xf>
    <xf numFmtId="0" fontId="18" fillId="25" borderId="37" xfId="0" applyFont="1" applyFill="1" applyBorder="1" applyAlignment="1">
      <alignment horizontal="center"/>
    </xf>
    <xf numFmtId="165" fontId="3" fillId="22" borderId="28" xfId="1" applyNumberFormat="1" applyFont="1" applyFill="1" applyBorder="1" applyAlignment="1" applyProtection="1">
      <alignment horizontal="left"/>
    </xf>
    <xf numFmtId="165" fontId="3" fillId="22" borderId="0" xfId="1" applyNumberFormat="1" applyFont="1" applyFill="1" applyBorder="1" applyAlignment="1" applyProtection="1">
      <alignment horizontal="left"/>
    </xf>
    <xf numFmtId="165" fontId="3" fillId="22" borderId="29" xfId="1" applyNumberFormat="1" applyFont="1" applyFill="1" applyBorder="1" applyAlignment="1" applyProtection="1">
      <alignment horizontal="left"/>
    </xf>
    <xf numFmtId="0" fontId="3" fillId="0" borderId="8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165" fontId="3" fillId="22" borderId="46" xfId="1" applyNumberFormat="1" applyFont="1" applyFill="1" applyBorder="1" applyAlignment="1" applyProtection="1">
      <alignment horizontal="left"/>
    </xf>
    <xf numFmtId="165" fontId="3" fillId="22" borderId="47" xfId="1" applyNumberFormat="1" applyFont="1" applyFill="1" applyBorder="1" applyAlignment="1" applyProtection="1">
      <alignment horizontal="left"/>
    </xf>
    <xf numFmtId="165" fontId="3" fillId="22" borderId="48" xfId="1" applyNumberFormat="1" applyFont="1" applyFill="1" applyBorder="1" applyAlignment="1" applyProtection="1">
      <alignment horizontal="left"/>
    </xf>
    <xf numFmtId="0" fontId="18" fillId="26" borderId="35" xfId="0" applyFont="1" applyFill="1" applyBorder="1" applyAlignment="1">
      <alignment horizontal="center"/>
    </xf>
    <xf numFmtId="0" fontId="18" fillId="26" borderId="36" xfId="0" applyFont="1" applyFill="1" applyBorder="1" applyAlignment="1">
      <alignment horizontal="center"/>
    </xf>
    <xf numFmtId="0" fontId="18" fillId="26" borderId="37" xfId="0" applyFont="1" applyFill="1" applyBorder="1" applyAlignment="1">
      <alignment horizontal="center"/>
    </xf>
    <xf numFmtId="165" fontId="3" fillId="22" borderId="54" xfId="1" applyNumberFormat="1" applyFont="1" applyFill="1" applyBorder="1" applyAlignment="1" applyProtection="1">
      <alignment horizontal="left"/>
    </xf>
    <xf numFmtId="165" fontId="3" fillId="22" borderId="17" xfId="1" applyNumberFormat="1" applyFont="1" applyFill="1" applyBorder="1" applyAlignment="1" applyProtection="1">
      <alignment horizontal="left"/>
    </xf>
    <xf numFmtId="165" fontId="3" fillId="22" borderId="30" xfId="1" applyNumberFormat="1" applyFont="1" applyFill="1" applyBorder="1" applyAlignment="1" applyProtection="1">
      <alignment horizontal="left"/>
    </xf>
    <xf numFmtId="165" fontId="3" fillId="24" borderId="46" xfId="1" applyNumberFormat="1" applyFont="1" applyFill="1" applyBorder="1" applyAlignment="1" applyProtection="1">
      <alignment horizontal="left"/>
    </xf>
    <xf numFmtId="165" fontId="3" fillId="24" borderId="47" xfId="1" applyNumberFormat="1" applyFont="1" applyFill="1" applyBorder="1" applyAlignment="1" applyProtection="1">
      <alignment horizontal="left"/>
    </xf>
    <xf numFmtId="165" fontId="3" fillId="24" borderId="48" xfId="1" applyNumberFormat="1" applyFont="1" applyFill="1" applyBorder="1" applyAlignment="1" applyProtection="1">
      <alignment horizontal="left"/>
    </xf>
    <xf numFmtId="165" fontId="3" fillId="22" borderId="35" xfId="1" applyNumberFormat="1" applyFont="1" applyFill="1" applyBorder="1" applyAlignment="1" applyProtection="1">
      <alignment horizontal="left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20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72" fontId="18" fillId="0" borderId="56" xfId="0" applyNumberFormat="1" applyFont="1" applyBorder="1" applyAlignment="1">
      <alignment horizontal="center" vertical="center" wrapText="1"/>
    </xf>
    <xf numFmtId="172" fontId="18" fillId="0" borderId="58" xfId="0" applyNumberFormat="1" applyFont="1" applyBorder="1" applyAlignment="1">
      <alignment horizontal="center" vertical="center" wrapText="1"/>
    </xf>
    <xf numFmtId="172" fontId="0" fillId="0" borderId="46" xfId="0" applyNumberFormat="1" applyBorder="1" applyAlignment="1">
      <alignment horizontal="center" vertical="center" wrapText="1"/>
    </xf>
    <xf numFmtId="172" fontId="0" fillId="0" borderId="48" xfId="0" applyNumberFormat="1" applyBorder="1" applyAlignment="1">
      <alignment horizontal="center" vertical="center" wrapText="1"/>
    </xf>
  </cellXfs>
  <cellStyles count="733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" xfId="294" builtinId="8" hidden="1"/>
    <cellStyle name="Lien hypertexte" xfId="296" builtinId="8" hidden="1"/>
    <cellStyle name="Lien hypertexte" xfId="298" builtinId="8" hidden="1"/>
    <cellStyle name="Lien hypertexte" xfId="300" builtinId="8" hidden="1"/>
    <cellStyle name="Lien hypertexte" xfId="302" builtinId="8" hidden="1"/>
    <cellStyle name="Lien hypertexte" xfId="304" builtinId="8" hidden="1"/>
    <cellStyle name="Lien hypertexte" xfId="306" builtinId="8" hidden="1"/>
    <cellStyle name="Lien hypertexte" xfId="308" builtinId="8" hidden="1"/>
    <cellStyle name="Lien hypertexte" xfId="310" builtinId="8" hidden="1"/>
    <cellStyle name="Lien hypertexte" xfId="312" builtinId="8" hidden="1"/>
    <cellStyle name="Lien hypertexte" xfId="314" builtinId="8" hidden="1"/>
    <cellStyle name="Lien hypertexte" xfId="316" builtinId="8" hidden="1"/>
    <cellStyle name="Lien hypertexte" xfId="318" builtinId="8" hidden="1"/>
    <cellStyle name="Lien hypertexte" xfId="320" builtinId="8" hidden="1"/>
    <cellStyle name="Lien hypertexte" xfId="322" builtinId="8" hidden="1"/>
    <cellStyle name="Lien hypertexte" xfId="324" builtinId="8" hidden="1"/>
    <cellStyle name="Lien hypertexte" xfId="326" builtinId="8" hidden="1"/>
    <cellStyle name="Lien hypertexte" xfId="328" builtinId="8" hidden="1"/>
    <cellStyle name="Lien hypertexte" xfId="330" builtinId="8" hidden="1"/>
    <cellStyle name="Lien hypertexte" xfId="332" builtinId="8" hidden="1"/>
    <cellStyle name="Lien hypertexte" xfId="334" builtinId="8" hidden="1"/>
    <cellStyle name="Lien hypertexte" xfId="336" builtinId="8" hidden="1"/>
    <cellStyle name="Lien hypertexte" xfId="338" builtinId="8" hidden="1"/>
    <cellStyle name="Lien hypertexte" xfId="340" builtinId="8" hidden="1"/>
    <cellStyle name="Lien hypertexte" xfId="342" builtinId="8" hidden="1"/>
    <cellStyle name="Lien hypertexte" xfId="344" builtinId="8" hidden="1"/>
    <cellStyle name="Lien hypertexte" xfId="346" builtinId="8" hidden="1"/>
    <cellStyle name="Lien hypertexte" xfId="348" builtinId="8" hidden="1"/>
    <cellStyle name="Lien hypertexte" xfId="350" builtinId="8" hidden="1"/>
    <cellStyle name="Lien hypertexte" xfId="352" builtinId="8" hidden="1"/>
    <cellStyle name="Lien hypertexte" xfId="354" builtinId="8" hidden="1"/>
    <cellStyle name="Lien hypertexte" xfId="356" builtinId="8" hidden="1"/>
    <cellStyle name="Lien hypertexte" xfId="358" builtinId="8" hidden="1"/>
    <cellStyle name="Lien hypertexte" xfId="360" builtinId="8" hidden="1"/>
    <cellStyle name="Lien hypertexte" xfId="362" builtinId="8" hidden="1"/>
    <cellStyle name="Lien hypertexte" xfId="364" builtinId="8" hidden="1"/>
    <cellStyle name="Lien hypertexte" xfId="366" builtinId="8" hidden="1"/>
    <cellStyle name="Lien hypertexte" xfId="368" builtinId="8" hidden="1"/>
    <cellStyle name="Lien hypertexte" xfId="370" builtinId="8" hidden="1"/>
    <cellStyle name="Lien hypertexte" xfId="372" builtinId="8" hidden="1"/>
    <cellStyle name="Lien hypertexte" xfId="374" builtinId="8" hidden="1"/>
    <cellStyle name="Lien hypertexte" xfId="376" builtinId="8" hidden="1"/>
    <cellStyle name="Lien hypertexte" xfId="378" builtinId="8" hidden="1"/>
    <cellStyle name="Lien hypertexte" xfId="380" builtinId="8" hidden="1"/>
    <cellStyle name="Lien hypertexte" xfId="382" builtinId="8" hidden="1"/>
    <cellStyle name="Lien hypertexte" xfId="384" builtinId="8" hidden="1"/>
    <cellStyle name="Lien hypertexte" xfId="386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Lien hypertexte visité" xfId="295" builtinId="9" hidden="1"/>
    <cellStyle name="Lien hypertexte visité" xfId="297" builtinId="9" hidden="1"/>
    <cellStyle name="Lien hypertexte visité" xfId="299" builtinId="9" hidden="1"/>
    <cellStyle name="Lien hypertexte visité" xfId="301" builtinId="9" hidden="1"/>
    <cellStyle name="Lien hypertexte visité" xfId="303" builtinId="9" hidden="1"/>
    <cellStyle name="Lien hypertexte visité" xfId="305" builtinId="9" hidden="1"/>
    <cellStyle name="Lien hypertexte visité" xfId="307" builtinId="9" hidden="1"/>
    <cellStyle name="Lien hypertexte visité" xfId="309" builtinId="9" hidden="1"/>
    <cellStyle name="Lien hypertexte visité" xfId="311" builtinId="9" hidden="1"/>
    <cellStyle name="Lien hypertexte visité" xfId="313" builtinId="9" hidden="1"/>
    <cellStyle name="Lien hypertexte visité" xfId="315" builtinId="9" hidden="1"/>
    <cellStyle name="Lien hypertexte visité" xfId="317" builtinId="9" hidden="1"/>
    <cellStyle name="Lien hypertexte visité" xfId="319" builtinId="9" hidden="1"/>
    <cellStyle name="Lien hypertexte visité" xfId="321" builtinId="9" hidden="1"/>
    <cellStyle name="Lien hypertexte visité" xfId="323" builtinId="9" hidden="1"/>
    <cellStyle name="Lien hypertexte visité" xfId="325" builtinId="9" hidden="1"/>
    <cellStyle name="Lien hypertexte visité" xfId="327" builtinId="9" hidden="1"/>
    <cellStyle name="Lien hypertexte visité" xfId="329" builtinId="9" hidden="1"/>
    <cellStyle name="Lien hypertexte visité" xfId="331" builtinId="9" hidden="1"/>
    <cellStyle name="Lien hypertexte visité" xfId="333" builtinId="9" hidden="1"/>
    <cellStyle name="Lien hypertexte visité" xfId="335" builtinId="9" hidden="1"/>
    <cellStyle name="Lien hypertexte visité" xfId="337" builtinId="9" hidden="1"/>
    <cellStyle name="Lien hypertexte visité" xfId="339" builtinId="9" hidden="1"/>
    <cellStyle name="Lien hypertexte visité" xfId="341" builtinId="9" hidden="1"/>
    <cellStyle name="Lien hypertexte visité" xfId="343" builtinId="9" hidden="1"/>
    <cellStyle name="Lien hypertexte visité" xfId="345" builtinId="9" hidden="1"/>
    <cellStyle name="Lien hypertexte visité" xfId="347" builtinId="9" hidden="1"/>
    <cellStyle name="Lien hypertexte visité" xfId="349" builtinId="9" hidden="1"/>
    <cellStyle name="Lien hypertexte visité" xfId="351" builtinId="9" hidden="1"/>
    <cellStyle name="Lien hypertexte visité" xfId="353" builtinId="9" hidden="1"/>
    <cellStyle name="Lien hypertexte visité" xfId="355" builtinId="9" hidden="1"/>
    <cellStyle name="Lien hypertexte visité" xfId="357" builtinId="9" hidden="1"/>
    <cellStyle name="Lien hypertexte visité" xfId="359" builtinId="9" hidden="1"/>
    <cellStyle name="Lien hypertexte visité" xfId="361" builtinId="9" hidden="1"/>
    <cellStyle name="Lien hypertexte visité" xfId="363" builtinId="9" hidden="1"/>
    <cellStyle name="Lien hypertexte visité" xfId="365" builtinId="9" hidden="1"/>
    <cellStyle name="Lien hypertexte visité" xfId="367" builtinId="9" hidden="1"/>
    <cellStyle name="Lien hypertexte visité" xfId="369" builtinId="9" hidden="1"/>
    <cellStyle name="Lien hypertexte visité" xfId="371" builtinId="9" hidden="1"/>
    <cellStyle name="Lien hypertexte visité" xfId="373" builtinId="9" hidden="1"/>
    <cellStyle name="Lien hypertexte visité" xfId="375" builtinId="9" hidden="1"/>
    <cellStyle name="Lien hypertexte visité" xfId="377" builtinId="9" hidden="1"/>
    <cellStyle name="Lien hypertexte visité" xfId="379" builtinId="9" hidden="1"/>
    <cellStyle name="Lien hypertexte visité" xfId="381" builtinId="9" hidden="1"/>
    <cellStyle name="Lien hypertexte visité" xfId="383" builtinId="9" hidden="1"/>
    <cellStyle name="Lien hypertexte visité" xfId="385" builtinId="9" hidden="1"/>
    <cellStyle name="Lien hypertexte visité" xfId="387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Milliers" xfId="682" builtinId="3"/>
    <cellStyle name="Milliers_BP AJPV" xfId="1"/>
    <cellStyle name="Normal" xfId="0" builtinId="0"/>
    <cellStyle name="Normal_BP AJPV" xfId="2"/>
    <cellStyle name="Pourcentage" xfId="22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Expl!$B$123</c:f>
              <c:strCache>
                <c:ptCount val="1"/>
                <c:pt idx="0">
                  <c:v>Cash flow</c:v>
                </c:pt>
              </c:strCache>
            </c:strRef>
          </c:tx>
          <c:invertIfNegative val="0"/>
          <c:cat>
            <c:numRef>
              <c:f>Expl!$C$112:$G$112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Expl!$C$123:$G$123</c:f>
              <c:numCache>
                <c:formatCode>#\ ##0;\(#\ ##0\);\-</c:formatCode>
                <c:ptCount val="5"/>
                <c:pt idx="0">
                  <c:v>-13653.908333333326</c:v>
                </c:pt>
                <c:pt idx="1">
                  <c:v>-64534.410535106494</c:v>
                </c:pt>
                <c:pt idx="2">
                  <c:v>-55591.865921117373</c:v>
                </c:pt>
                <c:pt idx="3">
                  <c:v>-9527.4360015506463</c:v>
                </c:pt>
                <c:pt idx="4">
                  <c:v>31196.092863625956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3F5-99AB-3EF07485564E}"/>
            </c:ext>
          </c:extLst>
        </c:ser>
        <c:ser>
          <c:idx val="5"/>
          <c:order val="1"/>
          <c:tx>
            <c:strRef>
              <c:f>Expl!$B$116</c:f>
              <c:strCache>
                <c:ptCount val="1"/>
                <c:pt idx="0">
                  <c:v>Ventes</c:v>
                </c:pt>
              </c:strCache>
            </c:strRef>
          </c:tx>
          <c:invertIfNegative val="0"/>
          <c:cat>
            <c:numRef>
              <c:f>Expl!$C$112:$G$112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Expl!$C$116:$G$116</c:f>
              <c:numCache>
                <c:formatCode>#\ ##0;\(#\ ##0\);\-</c:formatCode>
                <c:ptCount val="5"/>
                <c:pt idx="0">
                  <c:v>68900</c:v>
                </c:pt>
                <c:pt idx="1">
                  <c:v>230823.56301525349</c:v>
                </c:pt>
                <c:pt idx="2">
                  <c:v>475384.84187991096</c:v>
                </c:pt>
                <c:pt idx="3">
                  <c:v>624071.64665082912</c:v>
                </c:pt>
                <c:pt idx="4">
                  <c:v>761966.25474568619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3F5-99AB-3EF07485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0929816"/>
        <c:axId val="2021047624"/>
        <c:axId val="2020940424"/>
      </c:bar3DChart>
      <c:catAx>
        <c:axId val="2020929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1047624"/>
        <c:crosses val="autoZero"/>
        <c:auto val="1"/>
        <c:lblAlgn val="ctr"/>
        <c:lblOffset val="100"/>
        <c:noMultiLvlLbl val="0"/>
      </c:catAx>
      <c:valAx>
        <c:axId val="2021047624"/>
        <c:scaling>
          <c:orientation val="minMax"/>
        </c:scaling>
        <c:delete val="0"/>
        <c:axPos val="l"/>
        <c:majorGridlines/>
        <c:numFmt formatCode="#\ ##0;\(#\ ##0\);\-" sourceLinked="1"/>
        <c:majorTickMark val="out"/>
        <c:minorTickMark val="none"/>
        <c:tickLblPos val="nextTo"/>
        <c:crossAx val="2020929816"/>
        <c:crosses val="autoZero"/>
        <c:crossBetween val="between"/>
      </c:valAx>
      <c:serAx>
        <c:axId val="2020940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1047624"/>
        <c:crosses val="autoZero"/>
      </c:ser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 i="0">
          <a:latin typeface="Avenir Next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Ventes prévisionnelles en Kg par segments de marché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'Mix CA'!$B$17</c:f>
              <c:strCache>
                <c:ptCount val="1"/>
                <c:pt idx="0">
                  <c:v>Production vendue en 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'Mix CA'!$C$17:$F$17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C49-8BBD-E9E835CD0D60}"/>
            </c:ext>
          </c:extLst>
        </c:ser>
        <c:ser>
          <c:idx val="1"/>
          <c:order val="1"/>
          <c:tx>
            <c:strRef>
              <c:f>'Mix CA'!$B$18</c:f>
              <c:strCache>
                <c:ptCount val="1"/>
                <c:pt idx="0">
                  <c:v> Circuits courts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'Mix CA'!$C$18:$F$18</c:f>
              <c:numCache>
                <c:formatCode>#\ ##0;\(#\ ##0\);\-</c:formatCode>
                <c:ptCount val="4"/>
                <c:pt idx="0">
                  <c:v>1440</c:v>
                </c:pt>
                <c:pt idx="1">
                  <c:v>1920</c:v>
                </c:pt>
                <c:pt idx="2">
                  <c:v>2160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C49-8BBD-E9E835CD0D60}"/>
            </c:ext>
          </c:extLst>
        </c:ser>
        <c:ser>
          <c:idx val="2"/>
          <c:order val="2"/>
          <c:tx>
            <c:strRef>
              <c:f>'Mix CA'!$B$19</c:f>
              <c:strCache>
                <c:ptCount val="1"/>
                <c:pt idx="0">
                  <c:v> Epiceries inFépenFantes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'Mix CA'!$C$19:$F$19</c:f>
              <c:numCache>
                <c:formatCode>#\ ##0;\(#\ ##0\);\-</c:formatCode>
                <c:ptCount val="4"/>
                <c:pt idx="0">
                  <c:v>576</c:v>
                </c:pt>
                <c:pt idx="1">
                  <c:v>960</c:v>
                </c:pt>
                <c:pt idx="2">
                  <c:v>1200</c:v>
                </c:pt>
                <c:pt idx="3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C49-8BBD-E9E835CD0D60}"/>
            </c:ext>
          </c:extLst>
        </c:ser>
        <c:ser>
          <c:idx val="3"/>
          <c:order val="3"/>
          <c:tx>
            <c:strRef>
              <c:f>'Mix CA'!$B$20</c:f>
              <c:strCache>
                <c:ptCount val="1"/>
                <c:pt idx="0">
                  <c:v> GMS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'Mix CA'!$C$20:$F$20</c:f>
              <c:numCache>
                <c:formatCode>#\ ##0;\(#\ ##0\);\-</c:formatCode>
                <c:ptCount val="4"/>
                <c:pt idx="0">
                  <c:v>1920</c:v>
                </c:pt>
                <c:pt idx="1">
                  <c:v>2880</c:v>
                </c:pt>
                <c:pt idx="2">
                  <c:v>3840</c:v>
                </c:pt>
                <c:pt idx="3">
                  <c:v>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C49-8BBD-E9E835CD0D60}"/>
            </c:ext>
          </c:extLst>
        </c:ser>
        <c:ser>
          <c:idx val="4"/>
          <c:order val="4"/>
          <c:tx>
            <c:strRef>
              <c:f>'Mix CA'!$B$21</c:f>
              <c:strCache>
                <c:ptCount val="1"/>
                <c:pt idx="0">
                  <c:v> GMS Bio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'Mix CA'!$C$21:$F$21</c:f>
              <c:numCache>
                <c:formatCode>#\ ##0;\(#\ ##0\);\-</c:formatCode>
                <c:ptCount val="4"/>
                <c:pt idx="0">
                  <c:v>480</c:v>
                </c:pt>
                <c:pt idx="1">
                  <c:v>1440</c:v>
                </c:pt>
                <c:pt idx="2">
                  <c:v>1920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74-4C49-8BBD-E9E835CD0D60}"/>
            </c:ext>
          </c:extLst>
        </c:ser>
        <c:ser>
          <c:idx val="5"/>
          <c:order val="5"/>
          <c:tx>
            <c:strRef>
              <c:f>'Mix CA'!$B$22</c:f>
              <c:strCache>
                <c:ptCount val="1"/>
                <c:pt idx="0">
                  <c:v> Grossistes restauration commerciale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'Mix CA'!$C$22:$F$22</c:f>
              <c:numCache>
                <c:formatCode>#\ ##0;\(#\ ##0\);\-</c:formatCode>
                <c:ptCount val="4"/>
                <c:pt idx="0">
                  <c:v>880</c:v>
                </c:pt>
                <c:pt idx="1">
                  <c:v>1100</c:v>
                </c:pt>
                <c:pt idx="2">
                  <c:v>1320</c:v>
                </c:pt>
                <c:pt idx="3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74-4C49-8BBD-E9E835CD0D60}"/>
            </c:ext>
          </c:extLst>
        </c:ser>
        <c:ser>
          <c:idx val="6"/>
          <c:order val="6"/>
          <c:tx>
            <c:strRef>
              <c:f>'Mix CA'!$B$23</c:f>
              <c:strCache>
                <c:ptCount val="1"/>
                <c:pt idx="0">
                  <c:v> Groupe restauration collective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'Mix CA'!$C$23:$F$23</c:f>
              <c:numCache>
                <c:formatCode>#\ ##0;\(#\ ##0\);\-</c:formatCode>
                <c:ptCount val="4"/>
                <c:pt idx="0">
                  <c:v>400</c:v>
                </c:pt>
                <c:pt idx="1">
                  <c:v>800</c:v>
                </c:pt>
                <c:pt idx="2">
                  <c:v>1200</c:v>
                </c:pt>
                <c:pt idx="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74-4C49-8BBD-E9E835CD0D60}"/>
            </c:ext>
          </c:extLst>
        </c:ser>
        <c:ser>
          <c:idx val="7"/>
          <c:order val="7"/>
          <c:tx>
            <c:strRef>
              <c:f>'Mix CA'!$B$24</c:f>
              <c:strCache>
                <c:ptCount val="1"/>
                <c:pt idx="0">
                  <c:v> Traiteurs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'Mix CA'!$C$24:$F$24</c:f>
              <c:numCache>
                <c:formatCode>#\ ##0;\(#\ ##0\);\-</c:formatCode>
                <c:ptCount val="4"/>
                <c:pt idx="0">
                  <c:v>960</c:v>
                </c:pt>
                <c:pt idx="1">
                  <c:v>1440</c:v>
                </c:pt>
                <c:pt idx="2">
                  <c:v>1920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74-4C49-8BBD-E9E835CD0D60}"/>
            </c:ext>
          </c:extLst>
        </c:ser>
        <c:ser>
          <c:idx val="8"/>
          <c:order val="8"/>
          <c:tx>
            <c:strRef>
              <c:f>'Mix CA'!$B$25</c:f>
              <c:strCache>
                <c:ptCount val="1"/>
                <c:pt idx="0">
                  <c:v> Primeurs vrac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'Mix CA'!$C$25:$F$25</c:f>
              <c:numCache>
                <c:formatCode>#\ ##0;\(#\ ##0\);\-</c:formatCode>
                <c:ptCount val="4"/>
                <c:pt idx="0">
                  <c:v>960</c:v>
                </c:pt>
                <c:pt idx="1">
                  <c:v>1440</c:v>
                </c:pt>
                <c:pt idx="2">
                  <c:v>1920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74-4C49-8BBD-E9E835CD0D60}"/>
            </c:ext>
          </c:extLst>
        </c:ser>
        <c:ser>
          <c:idx val="9"/>
          <c:order val="9"/>
          <c:tx>
            <c:strRef>
              <c:f>'Mix CA'!$B$26</c:f>
              <c:strCache>
                <c:ptCount val="1"/>
                <c:pt idx="0">
                  <c:v> Marchés plein vent / vente directe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'Mix CA'!$C$26:$F$26</c:f>
              <c:numCache>
                <c:formatCode>#\ ##0;\(#\ ##0\);\-</c:formatCode>
                <c:ptCount val="4"/>
                <c:pt idx="0">
                  <c:v>0</c:v>
                </c:pt>
                <c:pt idx="1">
                  <c:v>240</c:v>
                </c:pt>
                <c:pt idx="2">
                  <c:v>400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74-4C49-8BBD-E9E835CD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750632"/>
        <c:axId val="2047753640"/>
        <c:axId val="0"/>
      </c:bar3DChart>
      <c:catAx>
        <c:axId val="2047750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47753640"/>
        <c:crosses val="autoZero"/>
        <c:auto val="1"/>
        <c:lblAlgn val="ctr"/>
        <c:lblOffset val="100"/>
        <c:noMultiLvlLbl val="0"/>
      </c:catAx>
      <c:valAx>
        <c:axId val="204775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7750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solidFill>
            <a:schemeClr val="accent1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EFFECTIF PREVISIONNEL (en ETP)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Graphique!$B$3</c:f>
              <c:strCache>
                <c:ptCount val="1"/>
                <c:pt idx="0">
                  <c:v>Salariés permanents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Graphique!$C$2:$G$2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Graphique!$C$3:$G$3</c:f>
              <c:numCache>
                <c:formatCode>#\ ##0.0;\(#\ ##0.0\);\-</c:formatCode>
                <c:ptCount val="5"/>
                <c:pt idx="0">
                  <c:v>0.75</c:v>
                </c:pt>
                <c:pt idx="1">
                  <c:v>3</c:v>
                </c:pt>
                <c:pt idx="2">
                  <c:v>6</c:v>
                </c:pt>
                <c:pt idx="3">
                  <c:v>6.5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F-4A57-AF78-6A15747384DD}"/>
            </c:ext>
          </c:extLst>
        </c:ser>
        <c:ser>
          <c:idx val="1"/>
          <c:order val="1"/>
          <c:tx>
            <c:strRef>
              <c:f>Graphique!$B$4</c:f>
              <c:strCache>
                <c:ptCount val="1"/>
                <c:pt idx="0">
                  <c:v>Parcours insertion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Graphique!$C$2:$G$2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Graphique!$C$4:$G$4</c:f>
              <c:numCache>
                <c:formatCode>#\ ##0.0;\(#\ ##0.0\);\-</c:formatCode>
                <c:ptCount val="5"/>
                <c:pt idx="0">
                  <c:v>0</c:v>
                </c:pt>
                <c:pt idx="1">
                  <c:v>1.9902380952380951</c:v>
                </c:pt>
                <c:pt idx="2">
                  <c:v>6.6950000000000003</c:v>
                </c:pt>
                <c:pt idx="3">
                  <c:v>9.4179901960784314</c:v>
                </c:pt>
                <c:pt idx="4">
                  <c:v>12.377590408712505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F-4A57-AF78-6A15747384DD}"/>
            </c:ext>
          </c:extLst>
        </c:ser>
        <c:ser>
          <c:idx val="2"/>
          <c:order val="2"/>
          <c:tx>
            <c:strRef>
              <c:f>Graphique!$B$5</c:f>
              <c:strCache>
                <c:ptCount val="1"/>
                <c:pt idx="0">
                  <c:v>Services civiques</c:v>
                </c:pt>
              </c:strCache>
            </c:strRef>
          </c:tx>
          <c:invertIfNegative val="0"/>
          <c:val>
            <c:numRef>
              <c:f>Graphique!$C$5:$G$5</c:f>
              <c:numCache>
                <c:formatCode>#\ ##0.0;\(#\ ##0.0\);\-</c:formatCode>
                <c:ptCount val="5"/>
                <c:pt idx="0">
                  <c:v>0.66666666666666663</c:v>
                </c:pt>
                <c:pt idx="1">
                  <c:v>1.3333333333333333</c:v>
                </c:pt>
                <c:pt idx="2">
                  <c:v>1.6666666666666667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F-4A57-AF78-6A157473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849880"/>
        <c:axId val="2047206200"/>
        <c:axId val="0"/>
      </c:bar3DChart>
      <c:catAx>
        <c:axId val="204784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7206200"/>
        <c:crosses val="autoZero"/>
        <c:auto val="1"/>
        <c:lblAlgn val="ctr"/>
        <c:lblOffset val="100"/>
        <c:noMultiLvlLbl val="0"/>
      </c:catAx>
      <c:valAx>
        <c:axId val="2047206200"/>
        <c:scaling>
          <c:orientation val="minMax"/>
        </c:scaling>
        <c:delete val="0"/>
        <c:axPos val="l"/>
        <c:majorGridlines/>
        <c:numFmt formatCode="#\ ##0.0;\(#\ ##0.0\);\-" sourceLinked="1"/>
        <c:majorTickMark val="out"/>
        <c:minorTickMark val="none"/>
        <c:tickLblPos val="nextTo"/>
        <c:crossAx val="2047849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b="1" i="0">
          <a:latin typeface="Avenir Next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2000"/>
              <a:t>INVESTISSEMENTS</a:t>
            </a:r>
          </a:p>
          <a:p>
            <a:pPr>
              <a:defRPr sz="1600"/>
            </a:pPr>
            <a:r>
              <a:rPr lang="fr-FR" sz="2000"/>
              <a:t>2017 - 2019</a:t>
            </a:r>
          </a:p>
        </c:rich>
      </c:tx>
      <c:layout>
        <c:manualLayout>
          <c:xMode val="edge"/>
          <c:yMode val="edge"/>
          <c:x val="7.5971667925071201E-4"/>
          <c:y val="0.858953635043192"/>
        </c:manualLayout>
      </c:layout>
      <c:overlay val="0"/>
    </c:title>
    <c:autoTitleDeleted val="0"/>
    <c:plotArea>
      <c:layout/>
      <c:pieChart>
        <c:varyColors val="1"/>
        <c:ser>
          <c:idx val="1"/>
          <c:order val="1"/>
          <c:spPr>
            <a:ln>
              <a:solidFill>
                <a:schemeClr val="accent3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0C8-4454-93A9-46BF1506297A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0C8-4454-93A9-46BF1506297A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0C8-4454-93A9-46BF1506297A}"/>
              </c:ext>
            </c:extLst>
          </c:dPt>
          <c:dPt>
            <c:idx val="6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0C8-4454-93A9-46BF150629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venir Next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Invest!$B$90:$B$95</c:f>
              <c:strCache>
                <c:ptCount val="6"/>
                <c:pt idx="0">
                  <c:v>Honoraires et aménagement site</c:v>
                </c:pt>
                <c:pt idx="1">
                  <c:v>Batiments techniques</c:v>
                </c:pt>
                <c:pt idx="2">
                  <c:v>Serres et installations techniques micro-pousses</c:v>
                </c:pt>
                <c:pt idx="3">
                  <c:v>Cultures fleurs, plants et apiculture</c:v>
                </c:pt>
                <c:pt idx="4">
                  <c:v>Matériels transport</c:v>
                </c:pt>
                <c:pt idx="5">
                  <c:v>Mobilier/Informatique</c:v>
                </c:pt>
              </c:strCache>
            </c:strRef>
          </c:cat>
          <c:val>
            <c:numRef>
              <c:f>Invest!$G$90:$G$95</c:f>
              <c:numCache>
                <c:formatCode>#\ ##0;\(#\ ##0\);\-</c:formatCode>
                <c:ptCount val="6"/>
                <c:pt idx="0">
                  <c:v>94085</c:v>
                </c:pt>
                <c:pt idx="1">
                  <c:v>354040</c:v>
                </c:pt>
                <c:pt idx="2">
                  <c:v>324700</c:v>
                </c:pt>
                <c:pt idx="3">
                  <c:v>97000</c:v>
                </c:pt>
                <c:pt idx="4">
                  <c:v>38000</c:v>
                </c:pt>
                <c:pt idx="5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C8-4454-93A9-46BF1506297A}"/>
            </c:ext>
          </c:extLst>
        </c:ser>
        <c:ser>
          <c:idx val="0"/>
          <c:order val="0"/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0C8-4454-93A9-46BF1506297A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0C8-4454-93A9-46BF1506297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0C8-4454-93A9-46BF1506297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Invest!$B$90:$B$95</c:f>
              <c:strCache>
                <c:ptCount val="6"/>
                <c:pt idx="0">
                  <c:v>Honoraires et aménagement site</c:v>
                </c:pt>
                <c:pt idx="1">
                  <c:v>Batiments techniques</c:v>
                </c:pt>
                <c:pt idx="2">
                  <c:v>Serres et installations techniques micro-pousses</c:v>
                </c:pt>
                <c:pt idx="3">
                  <c:v>Cultures fleurs, plants et apiculture</c:v>
                </c:pt>
                <c:pt idx="4">
                  <c:v>Matériels transport</c:v>
                </c:pt>
                <c:pt idx="5">
                  <c:v>Mobilier/Informatique</c:v>
                </c:pt>
              </c:strCache>
            </c:strRef>
          </c:cat>
          <c:val>
            <c:numRef>
              <c:f>Invest!$G$90:$G$95</c:f>
              <c:numCache>
                <c:formatCode>#\ ##0;\(#\ ##0\);\-</c:formatCode>
                <c:ptCount val="6"/>
                <c:pt idx="0">
                  <c:v>94085</c:v>
                </c:pt>
                <c:pt idx="1">
                  <c:v>354040</c:v>
                </c:pt>
                <c:pt idx="2">
                  <c:v>324700</c:v>
                </c:pt>
                <c:pt idx="3">
                  <c:v>97000</c:v>
                </c:pt>
                <c:pt idx="4">
                  <c:v>38000</c:v>
                </c:pt>
                <c:pt idx="5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C8-4454-93A9-46BF150629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100" b="1" i="0"/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000">
                <a:latin typeface="Avenir Next"/>
              </a:rPr>
              <a:t>FINANCEMENTS</a:t>
            </a:r>
          </a:p>
        </c:rich>
      </c:tx>
      <c:layout>
        <c:manualLayout>
          <c:xMode val="edge"/>
          <c:yMode val="edge"/>
          <c:x val="0.31815777398454598"/>
          <c:y val="8.611111111111109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36-493B-AB0F-2923F877B53A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C36-493B-AB0F-2923F877B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C36-493B-AB0F-2923F877B5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venir Next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Invest!$B$67:$B$74</c:f>
              <c:strCache>
                <c:ptCount val="8"/>
                <c:pt idx="0">
                  <c:v>Capital</c:v>
                </c:pt>
                <c:pt idx="1">
                  <c:v>Subventions publiques</c:v>
                </c:pt>
                <c:pt idx="2">
                  <c:v>Fondations privées</c:v>
                </c:pt>
                <c:pt idx="3">
                  <c:v>Titres participatifs</c:v>
                </c:pt>
                <c:pt idx="4">
                  <c:v>Remboursements</c:v>
                </c:pt>
                <c:pt idx="5">
                  <c:v>Prêts participatifs</c:v>
                </c:pt>
                <c:pt idx="6">
                  <c:v>Remboursements</c:v>
                </c:pt>
                <c:pt idx="7">
                  <c:v>Emprunts bancaires</c:v>
                </c:pt>
              </c:strCache>
            </c:strRef>
          </c:cat>
          <c:val>
            <c:numRef>
              <c:f>Invest!$G$67:$G$74</c:f>
              <c:numCache>
                <c:formatCode>#\ ##0;\(#\ ##0\);\-</c:formatCode>
                <c:ptCount val="8"/>
                <c:pt idx="0">
                  <c:v>200000</c:v>
                </c:pt>
                <c:pt idx="1">
                  <c:v>115000</c:v>
                </c:pt>
                <c:pt idx="2">
                  <c:v>135000</c:v>
                </c:pt>
                <c:pt idx="3">
                  <c:v>200000</c:v>
                </c:pt>
                <c:pt idx="5">
                  <c:v>100000</c:v>
                </c:pt>
                <c:pt idx="7">
                  <c:v>368825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6-493B-AB0F-2923F877B53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1100" b="1" i="0"/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VENTES PREVISIONNELLES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Graphique!$B$31</c:f>
              <c:strCache>
                <c:ptCount val="1"/>
                <c:pt idx="0">
                  <c:v> Micro pousses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Graphique!$C$31:$G$31</c:f>
              <c:numCache>
                <c:formatCode>#\ ##0;\(#\ ##0\);\-</c:formatCode>
                <c:ptCount val="5"/>
                <c:pt idx="0">
                  <c:v>68900</c:v>
                </c:pt>
                <c:pt idx="1">
                  <c:v>230823.56301525349</c:v>
                </c:pt>
                <c:pt idx="2">
                  <c:v>461384.84187991096</c:v>
                </c:pt>
                <c:pt idx="3">
                  <c:v>585271.64665082912</c:v>
                </c:pt>
                <c:pt idx="4">
                  <c:v>720766.25474568619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4-4A68-89DE-5D11DB442D4B}"/>
            </c:ext>
          </c:extLst>
        </c:ser>
        <c:ser>
          <c:idx val="1"/>
          <c:order val="1"/>
          <c:tx>
            <c:strRef>
              <c:f>Graphique!$B$32</c:f>
              <c:strCache>
                <c:ptCount val="1"/>
                <c:pt idx="0">
                  <c:v> Fleurs comestibles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Graphique!$C$32:$G$32</c:f>
              <c:numCache>
                <c:formatCode>#\ ##0;\(#\ 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4-4A68-89DE-5D11DB442D4B}"/>
            </c:ext>
          </c:extLst>
        </c:ser>
        <c:ser>
          <c:idx val="3"/>
          <c:order val="2"/>
          <c:tx>
            <c:strRef>
              <c:f>Graphique!$B$33</c:f>
              <c:strCache>
                <c:ptCount val="1"/>
                <c:pt idx="0">
                  <c:v> Plants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Graphique!$C$33:$G$33</c:f>
              <c:numCache>
                <c:formatCode>#\ ##0;\(#\ 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2000</c:v>
                </c:pt>
                <c:pt idx="3">
                  <c:v>2800</c:v>
                </c:pt>
                <c:pt idx="4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4-4A68-89DE-5D11DB442D4B}"/>
            </c:ext>
          </c:extLst>
        </c:ser>
        <c:ser>
          <c:idx val="4"/>
          <c:order val="3"/>
          <c:tx>
            <c:strRef>
              <c:f>Graphique!$B$34</c:f>
              <c:strCache>
                <c:ptCount val="1"/>
                <c:pt idx="0">
                  <c:v> Miel </c:v>
                </c:pt>
              </c:strCache>
            </c:strRef>
          </c:tx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Graphique!$C$34:$G$34</c:f>
              <c:numCache>
                <c:formatCode>#\ ##0;\(#\ 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24-4A68-89DE-5D11DB442D4B}"/>
            </c:ext>
          </c:extLst>
        </c:ser>
        <c:ser>
          <c:idx val="5"/>
          <c:order val="4"/>
          <c:tx>
            <c:strRef>
              <c:f>Graphique!$B$35</c:f>
              <c:strCache>
                <c:ptCount val="1"/>
                <c:pt idx="0">
                  <c:v> Prestations compost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Graphique!$C$35:$G$35</c:f>
              <c:numCache>
                <c:formatCode>#\ ##0;\(#\ 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4-4A68-89DE-5D11DB442D4B}"/>
            </c:ext>
          </c:extLst>
        </c:ser>
        <c:ser>
          <c:idx val="6"/>
          <c:order val="5"/>
          <c:tx>
            <c:strRef>
              <c:f>Graphique!$B$36</c:f>
              <c:strCache>
                <c:ptCount val="1"/>
                <c:pt idx="0">
                  <c:v> Prestations pédagogiques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Graphique!$C$30:$G$30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Graphique!$C$36:$G$36</c:f>
              <c:numCache>
                <c:formatCode>#\ ##0;\(#\ ##0\);\-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12000</c:v>
                </c:pt>
                <c:pt idx="3">
                  <c:v>36000</c:v>
                </c:pt>
                <c:pt idx="4">
                  <c:v>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24-4A68-89DE-5D11DB442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20795848"/>
        <c:axId val="2020798888"/>
        <c:axId val="0"/>
      </c:bar3DChart>
      <c:catAx>
        <c:axId val="202079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20798888"/>
        <c:crosses val="autoZero"/>
        <c:auto val="1"/>
        <c:lblAlgn val="ctr"/>
        <c:lblOffset val="100"/>
        <c:noMultiLvlLbl val="0"/>
      </c:catAx>
      <c:valAx>
        <c:axId val="2020798888"/>
        <c:scaling>
          <c:orientation val="minMax"/>
        </c:scaling>
        <c:delete val="0"/>
        <c:axPos val="l"/>
        <c:majorGridlines/>
        <c:numFmt formatCode="#\ ##0;\(#\ ##0\);\-" sourceLinked="1"/>
        <c:majorTickMark val="none"/>
        <c:minorTickMark val="none"/>
        <c:tickLblPos val="nextTo"/>
        <c:crossAx val="2020795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 i="0">
          <a:latin typeface="Avenir Next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124</xdr:row>
      <xdr:rowOff>88900</xdr:rowOff>
    </xdr:from>
    <xdr:to>
      <xdr:col>6</xdr:col>
      <xdr:colOff>431800</xdr:colOff>
      <xdr:row>143</xdr:row>
      <xdr:rowOff>127000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16</xdr:row>
      <xdr:rowOff>9525</xdr:rowOff>
    </xdr:from>
    <xdr:to>
      <xdr:col>14</xdr:col>
      <xdr:colOff>114300</xdr:colOff>
      <xdr:row>40</xdr:row>
      <xdr:rowOff>114301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D723426-7F49-4C3F-BC1C-8C8ABF9AB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0.16966</cdr:x>
      <cdr:y>0.75835</cdr:y>
    </cdr:from>
    <cdr:to>
      <cdr:x>0.24276</cdr:x>
      <cdr:y>0.80943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1CE7A6E-5D1D-42B2-A67F-D2E2F9528981}"/>
            </a:ext>
          </a:extLst>
        </cdr:cNvPr>
        <cdr:cNvSpPr txBox="1"/>
      </cdr:nvSpPr>
      <cdr:spPr>
        <a:xfrm xmlns:a="http://schemas.openxmlformats.org/drawingml/2006/main">
          <a:off x="1171575" y="3676650"/>
          <a:ext cx="504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0.77149</cdr:x>
      <cdr:y>0.759</cdr:y>
    </cdr:from>
    <cdr:to>
      <cdr:x>0.8446</cdr:x>
      <cdr:y>0.81008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00CC70F6-F25F-45F2-882A-550C608BD73B}"/>
            </a:ext>
          </a:extLst>
        </cdr:cNvPr>
        <cdr:cNvSpPr txBox="1"/>
      </cdr:nvSpPr>
      <cdr:spPr>
        <a:xfrm xmlns:a="http://schemas.openxmlformats.org/drawingml/2006/main">
          <a:off x="5327650" y="3679825"/>
          <a:ext cx="504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0.57011</cdr:x>
      <cdr:y>0.76097</cdr:y>
    </cdr:from>
    <cdr:to>
      <cdr:x>0.64322</cdr:x>
      <cdr:y>0.81205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00CC70F6-F25F-45F2-882A-550C608BD73B}"/>
            </a:ext>
          </a:extLst>
        </cdr:cNvPr>
        <cdr:cNvSpPr txBox="1"/>
      </cdr:nvSpPr>
      <cdr:spPr>
        <a:xfrm xmlns:a="http://schemas.openxmlformats.org/drawingml/2006/main">
          <a:off x="3937000" y="3689350"/>
          <a:ext cx="504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0.36736</cdr:x>
      <cdr:y>0.75704</cdr:y>
    </cdr:from>
    <cdr:to>
      <cdr:x>0.44046</cdr:x>
      <cdr:y>0.80812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D931C2C7-F846-447F-997C-9B71FC56BC3B}"/>
            </a:ext>
          </a:extLst>
        </cdr:cNvPr>
        <cdr:cNvSpPr txBox="1"/>
      </cdr:nvSpPr>
      <cdr:spPr>
        <a:xfrm xmlns:a="http://schemas.openxmlformats.org/drawingml/2006/main">
          <a:off x="2536825" y="3670300"/>
          <a:ext cx="504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882650</xdr:colOff>
      <xdr:row>9</xdr:row>
      <xdr:rowOff>114300</xdr:rowOff>
    </xdr:from>
    <xdr:to>
      <xdr:col>8</xdr:col>
      <xdr:colOff>342900</xdr:colOff>
      <xdr:row>27</xdr:row>
      <xdr:rowOff>165100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45</xdr:row>
      <xdr:rowOff>0</xdr:rowOff>
    </xdr:from>
    <xdr:to>
      <xdr:col>6</xdr:col>
      <xdr:colOff>533400</xdr:colOff>
      <xdr:row>72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73</xdr:row>
      <xdr:rowOff>101600</xdr:rowOff>
    </xdr:from>
    <xdr:to>
      <xdr:col>6</xdr:col>
      <xdr:colOff>495300</xdr:colOff>
      <xdr:row>98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12700</xdr:colOff>
      <xdr:row>98</xdr:row>
      <xdr:rowOff>127000</xdr:rowOff>
    </xdr:from>
    <xdr:to>
      <xdr:col>8</xdr:col>
      <xdr:colOff>495300</xdr:colOff>
      <xdr:row>122</xdr:row>
      <xdr:rowOff>139700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32</xdr:row>
      <xdr:rowOff>190500</xdr:rowOff>
    </xdr:from>
    <xdr:to>
      <xdr:col>11</xdr:col>
      <xdr:colOff>212725</xdr:colOff>
      <xdr:row>42</xdr:row>
      <xdr:rowOff>3175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6791325"/>
          <a:ext cx="8223250" cy="1812925"/>
        </a:xfrm>
        <a:prstGeom prst="rect">
          <a:avLst/>
        </a:prstGeom>
      </xdr:spPr>
    </xdr:pic>
    <xdr:clientData/>
  </xdr:twoCellAnchor>
  <xdr:twoCellAnchor>
    <xdr:from>
      <xdr:col>1</xdr:col>
      <xdr:colOff>2381250</xdr:colOff>
      <xdr:row>46</xdr:row>
      <xdr:rowOff>190500</xdr:rowOff>
    </xdr:from>
    <xdr:to>
      <xdr:col>1</xdr:col>
      <xdr:colOff>2381250</xdr:colOff>
      <xdr:row>48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EA595A6-A282-455C-A641-D07DADDB300A}"/>
            </a:ext>
          </a:extLst>
        </xdr:cNvPr>
        <xdr:cNvCxnSpPr/>
      </xdr:nvCxnSpPr>
      <xdr:spPr>
        <a:xfrm flipV="1">
          <a:off x="3381375" y="9629775"/>
          <a:ext cx="0" cy="3905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46</xdr:row>
      <xdr:rowOff>180976</xdr:rowOff>
    </xdr:from>
    <xdr:to>
      <xdr:col>3</xdr:col>
      <xdr:colOff>276225</xdr:colOff>
      <xdr:row>50</xdr:row>
      <xdr:rowOff>19050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A1495084-1AC1-4E58-A924-7BAB11006746}"/>
            </a:ext>
          </a:extLst>
        </xdr:cNvPr>
        <xdr:cNvCxnSpPr/>
      </xdr:nvCxnSpPr>
      <xdr:spPr>
        <a:xfrm flipV="1">
          <a:off x="4171950" y="9620251"/>
          <a:ext cx="0" cy="8381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46</xdr:row>
      <xdr:rowOff>152400</xdr:rowOff>
    </xdr:from>
    <xdr:to>
      <xdr:col>5</xdr:col>
      <xdr:colOff>419100</xdr:colOff>
      <xdr:row>49</xdr:row>
      <xdr:rowOff>190499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31B48A5-1CD1-4CE7-A4F6-929A058634D3}"/>
            </a:ext>
          </a:extLst>
        </xdr:cNvPr>
        <xdr:cNvCxnSpPr/>
      </xdr:nvCxnSpPr>
      <xdr:spPr>
        <a:xfrm flipV="1">
          <a:off x="5676900" y="9591675"/>
          <a:ext cx="0" cy="14477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8"/>
  <sheetViews>
    <sheetView topLeftCell="A87" workbookViewId="0">
      <selection activeCell="B112" sqref="B112:I123"/>
    </sheetView>
  </sheetViews>
  <sheetFormatPr baseColWidth="10" defaultColWidth="10.625" defaultRowHeight="15" x14ac:dyDescent="0.25"/>
  <cols>
    <col min="1" max="1" width="2.625" style="70" customWidth="1"/>
    <col min="2" max="2" width="30.625" style="70" customWidth="1"/>
    <col min="3" max="7" width="8.5" style="70" customWidth="1"/>
    <col min="8" max="12" width="9.125" style="70" customWidth="1"/>
    <col min="13" max="16384" width="10.625" style="70"/>
  </cols>
  <sheetData>
    <row r="1" spans="2:12" ht="15.75" thickBot="1" x14ac:dyDescent="0.3"/>
    <row r="2" spans="2:12" ht="16.350000000000001" customHeight="1" thickBot="1" x14ac:dyDescent="0.3">
      <c r="B2" s="213" t="s">
        <v>190</v>
      </c>
      <c r="C2" s="211">
        <v>2017</v>
      </c>
      <c r="D2" s="211">
        <v>2018</v>
      </c>
      <c r="E2" s="211">
        <v>2019</v>
      </c>
      <c r="F2" s="211">
        <v>2020</v>
      </c>
      <c r="G2" s="211">
        <v>2021</v>
      </c>
      <c r="H2" s="211">
        <v>2022</v>
      </c>
      <c r="I2" s="211">
        <v>2023</v>
      </c>
      <c r="J2" s="211">
        <v>2024</v>
      </c>
      <c r="K2" s="211">
        <v>2025</v>
      </c>
      <c r="L2" s="211">
        <v>2026</v>
      </c>
    </row>
    <row r="3" spans="2:12" ht="16.350000000000001" customHeight="1" thickBot="1" x14ac:dyDescent="0.3">
      <c r="B3" s="214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2:12" ht="15.75" thickBot="1" x14ac:dyDescent="0.3"/>
    <row r="5" spans="2:12" x14ac:dyDescent="0.25">
      <c r="B5" s="10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2:12" x14ac:dyDescent="0.25">
      <c r="B6" s="1" t="s">
        <v>73</v>
      </c>
      <c r="C6" s="85"/>
      <c r="D6" s="85">
        <v>6190</v>
      </c>
      <c r="E6" s="85">
        <f t="shared" ref="E6:L6" si="0">D6</f>
        <v>6190</v>
      </c>
      <c r="F6" s="85">
        <f t="shared" si="0"/>
        <v>6190</v>
      </c>
      <c r="G6" s="85">
        <f t="shared" si="0"/>
        <v>6190</v>
      </c>
      <c r="H6" s="85">
        <f t="shared" si="0"/>
        <v>6190</v>
      </c>
      <c r="I6" s="85">
        <f t="shared" si="0"/>
        <v>6190</v>
      </c>
      <c r="J6" s="85">
        <f t="shared" si="0"/>
        <v>6190</v>
      </c>
      <c r="K6" s="85">
        <f t="shared" si="0"/>
        <v>6190</v>
      </c>
      <c r="L6" s="85">
        <f t="shared" si="0"/>
        <v>6190</v>
      </c>
    </row>
    <row r="7" spans="2:12" x14ac:dyDescent="0.25">
      <c r="B7" s="1" t="s">
        <v>61</v>
      </c>
      <c r="C7" s="85"/>
      <c r="D7" s="85">
        <v>100</v>
      </c>
      <c r="E7" s="85">
        <v>400</v>
      </c>
      <c r="F7" s="85">
        <f>E7+150</f>
        <v>550</v>
      </c>
      <c r="G7" s="85">
        <f>F7+150</f>
        <v>700</v>
      </c>
      <c r="H7" s="85">
        <v>900</v>
      </c>
      <c r="I7" s="85">
        <v>900</v>
      </c>
      <c r="J7" s="85">
        <v>900</v>
      </c>
      <c r="K7" s="85">
        <v>900</v>
      </c>
      <c r="L7" s="85">
        <v>900</v>
      </c>
    </row>
    <row r="8" spans="2:12" x14ac:dyDescent="0.25">
      <c r="B8" s="147" t="s">
        <v>62</v>
      </c>
      <c r="C8" s="85"/>
      <c r="D8" s="85">
        <v>19</v>
      </c>
      <c r="E8" s="85">
        <f t="shared" ref="E8:L8" si="1">D8+0.5</f>
        <v>19.5</v>
      </c>
      <c r="F8" s="85">
        <f t="shared" si="1"/>
        <v>20</v>
      </c>
      <c r="G8" s="85">
        <f t="shared" si="1"/>
        <v>20.5</v>
      </c>
      <c r="H8" s="85">
        <f t="shared" si="1"/>
        <v>21</v>
      </c>
      <c r="I8" s="85">
        <f t="shared" si="1"/>
        <v>21.5</v>
      </c>
      <c r="J8" s="85">
        <f t="shared" si="1"/>
        <v>22</v>
      </c>
      <c r="K8" s="85">
        <f t="shared" si="1"/>
        <v>22.5</v>
      </c>
      <c r="L8" s="85">
        <f t="shared" si="1"/>
        <v>23</v>
      </c>
    </row>
    <row r="9" spans="2:12" x14ac:dyDescent="0.25">
      <c r="B9" s="1" t="s">
        <v>63</v>
      </c>
      <c r="C9" s="85">
        <f>C7*C8</f>
        <v>0</v>
      </c>
      <c r="D9" s="85">
        <f t="shared" ref="D9:L9" si="2">D7*D8</f>
        <v>1900</v>
      </c>
      <c r="E9" s="85">
        <f t="shared" si="2"/>
        <v>7800</v>
      </c>
      <c r="F9" s="85">
        <f t="shared" si="2"/>
        <v>11000</v>
      </c>
      <c r="G9" s="85">
        <f t="shared" si="2"/>
        <v>14350</v>
      </c>
      <c r="H9" s="85">
        <f t="shared" si="2"/>
        <v>18900</v>
      </c>
      <c r="I9" s="85">
        <f t="shared" si="2"/>
        <v>19350</v>
      </c>
      <c r="J9" s="85">
        <f t="shared" si="2"/>
        <v>19800</v>
      </c>
      <c r="K9" s="85">
        <f t="shared" si="2"/>
        <v>20250</v>
      </c>
      <c r="L9" s="85">
        <f t="shared" si="2"/>
        <v>20700</v>
      </c>
    </row>
    <row r="10" spans="2:12" x14ac:dyDescent="0.25">
      <c r="B10" s="3" t="s">
        <v>191</v>
      </c>
      <c r="C10" s="85">
        <v>1300</v>
      </c>
      <c r="D10" s="85">
        <v>3000</v>
      </c>
      <c r="E10" s="85">
        <v>3000</v>
      </c>
      <c r="F10" s="85">
        <v>3000</v>
      </c>
      <c r="G10" s="85">
        <v>3000</v>
      </c>
      <c r="H10" s="85">
        <v>3000</v>
      </c>
      <c r="I10" s="85">
        <v>3000</v>
      </c>
      <c r="J10" s="85">
        <v>3000</v>
      </c>
      <c r="K10" s="85">
        <v>3000</v>
      </c>
      <c r="L10" s="85">
        <v>3000</v>
      </c>
    </row>
    <row r="11" spans="2:12" x14ac:dyDescent="0.25">
      <c r="B11" s="3" t="s">
        <v>192</v>
      </c>
      <c r="C11" s="85">
        <v>25</v>
      </c>
      <c r="D11" s="85">
        <v>25</v>
      </c>
      <c r="E11" s="85">
        <v>25</v>
      </c>
      <c r="F11" s="85">
        <v>25</v>
      </c>
      <c r="G11" s="85">
        <v>25</v>
      </c>
      <c r="H11" s="85">
        <v>25</v>
      </c>
      <c r="I11" s="85">
        <v>25</v>
      </c>
      <c r="J11" s="85">
        <v>25</v>
      </c>
      <c r="K11" s="85">
        <v>25</v>
      </c>
      <c r="L11" s="85">
        <v>25</v>
      </c>
    </row>
    <row r="12" spans="2:12" x14ac:dyDescent="0.25">
      <c r="B12" s="147" t="s">
        <v>64</v>
      </c>
      <c r="C12" s="89"/>
      <c r="D12" s="89">
        <v>0.25</v>
      </c>
      <c r="E12" s="89">
        <f>D12</f>
        <v>0.25</v>
      </c>
      <c r="F12" s="209">
        <f>E12-0.5%</f>
        <v>0.245</v>
      </c>
      <c r="G12" s="209">
        <f>F12-0.5%</f>
        <v>0.24</v>
      </c>
      <c r="H12" s="89">
        <f>G12-1%</f>
        <v>0.22999999999999998</v>
      </c>
      <c r="I12" s="89">
        <f>H12-1%</f>
        <v>0.21999999999999997</v>
      </c>
      <c r="J12" s="89">
        <f>I12-1%</f>
        <v>0.20999999999999996</v>
      </c>
      <c r="K12" s="89">
        <f>J12-1%</f>
        <v>0.19999999999999996</v>
      </c>
      <c r="L12" s="89">
        <f>K12-1%</f>
        <v>0.18999999999999995</v>
      </c>
    </row>
    <row r="13" spans="2:12" x14ac:dyDescent="0.25">
      <c r="B13" s="1" t="s">
        <v>37</v>
      </c>
      <c r="C13" s="85">
        <f t="shared" ref="C13:L13" si="3">C9*(1-C12)+C10</f>
        <v>1300</v>
      </c>
      <c r="D13" s="85">
        <f t="shared" si="3"/>
        <v>4425</v>
      </c>
      <c r="E13" s="85">
        <f t="shared" si="3"/>
        <v>8850</v>
      </c>
      <c r="F13" s="85">
        <f t="shared" si="3"/>
        <v>11305</v>
      </c>
      <c r="G13" s="85">
        <f t="shared" si="3"/>
        <v>13906</v>
      </c>
      <c r="H13" s="85">
        <f t="shared" si="3"/>
        <v>17553</v>
      </c>
      <c r="I13" s="85">
        <f t="shared" si="3"/>
        <v>18093</v>
      </c>
      <c r="J13" s="85">
        <f t="shared" si="3"/>
        <v>18642</v>
      </c>
      <c r="K13" s="85">
        <f t="shared" si="3"/>
        <v>19200</v>
      </c>
      <c r="L13" s="85">
        <f t="shared" si="3"/>
        <v>19767</v>
      </c>
    </row>
    <row r="14" spans="2:12" x14ac:dyDescent="0.25">
      <c r="B14" s="148" t="s">
        <v>38</v>
      </c>
      <c r="C14" s="93">
        <v>53</v>
      </c>
      <c r="D14" s="93">
        <f>'Mix CA'!C32</f>
        <v>52.163517065594007</v>
      </c>
      <c r="E14" s="93">
        <f>'Mix CA'!D32</f>
        <v>52.133880438408021</v>
      </c>
      <c r="F14" s="93">
        <f>'Mix CA'!E32</f>
        <v>51.771043489679705</v>
      </c>
      <c r="G14" s="93">
        <f>'Mix CA'!F32</f>
        <v>51.831314162641029</v>
      </c>
      <c r="H14" s="93">
        <f t="shared" ref="H14" si="4">G14-1</f>
        <v>50.831314162641029</v>
      </c>
      <c r="I14" s="93">
        <f>H14</f>
        <v>50.831314162641029</v>
      </c>
      <c r="J14" s="93">
        <f t="shared" ref="J14:L14" si="5">I14</f>
        <v>50.831314162641029</v>
      </c>
      <c r="K14" s="93">
        <f t="shared" si="5"/>
        <v>50.831314162641029</v>
      </c>
      <c r="L14" s="93">
        <f t="shared" si="5"/>
        <v>50.831314162641029</v>
      </c>
    </row>
    <row r="15" spans="2:12" x14ac:dyDescent="0.25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90" t="s">
        <v>100</v>
      </c>
      <c r="C16" s="91">
        <f t="shared" ref="C16:L16" si="6">C13*C14</f>
        <v>68900</v>
      </c>
      <c r="D16" s="91">
        <f t="shared" si="6"/>
        <v>230823.56301525349</v>
      </c>
      <c r="E16" s="91">
        <f t="shared" si="6"/>
        <v>461384.84187991096</v>
      </c>
      <c r="F16" s="91">
        <f t="shared" si="6"/>
        <v>585271.64665082912</v>
      </c>
      <c r="G16" s="91">
        <f t="shared" si="6"/>
        <v>720766.25474568619</v>
      </c>
      <c r="H16" s="91">
        <f t="shared" si="6"/>
        <v>892242.05749683792</v>
      </c>
      <c r="I16" s="91">
        <f t="shared" si="6"/>
        <v>919690.96714466414</v>
      </c>
      <c r="J16" s="91">
        <f t="shared" si="6"/>
        <v>947597.35861995409</v>
      </c>
      <c r="K16" s="91">
        <f t="shared" si="6"/>
        <v>975961.23192270775</v>
      </c>
      <c r="L16" s="91">
        <f t="shared" si="6"/>
        <v>1004782.5870529253</v>
      </c>
    </row>
    <row r="17" spans="2:14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4" x14ac:dyDescent="0.25">
      <c r="B18" s="147" t="s">
        <v>67</v>
      </c>
      <c r="C18" s="85"/>
      <c r="D18" s="85">
        <v>1500</v>
      </c>
      <c r="E18" s="85">
        <f>D18+100</f>
        <v>1600</v>
      </c>
      <c r="F18" s="85">
        <f>E18+100</f>
        <v>1700</v>
      </c>
      <c r="G18" s="85">
        <f>F18*1.02</f>
        <v>1734</v>
      </c>
      <c r="H18" s="85">
        <f t="shared" ref="H18:L19" si="7">G18*1.02</f>
        <v>1768.68</v>
      </c>
      <c r="I18" s="85">
        <f t="shared" si="7"/>
        <v>1804.0536000000002</v>
      </c>
      <c r="J18" s="85">
        <f t="shared" si="7"/>
        <v>1840.1346720000001</v>
      </c>
      <c r="K18" s="85">
        <f t="shared" si="7"/>
        <v>1876.9373654400001</v>
      </c>
      <c r="L18" s="85">
        <f t="shared" si="7"/>
        <v>1914.4761127488002</v>
      </c>
    </row>
    <row r="19" spans="2:14" x14ac:dyDescent="0.25">
      <c r="B19" s="147" t="s">
        <v>68</v>
      </c>
      <c r="C19" s="85">
        <v>2500</v>
      </c>
      <c r="D19" s="85">
        <v>3500</v>
      </c>
      <c r="E19" s="85">
        <v>4000</v>
      </c>
      <c r="F19" s="85">
        <f>E19*1.05</f>
        <v>4200</v>
      </c>
      <c r="G19" s="85">
        <f>F19*1.05</f>
        <v>4410</v>
      </c>
      <c r="H19" s="85">
        <f t="shared" si="7"/>
        <v>4498.2</v>
      </c>
      <c r="I19" s="85">
        <f t="shared" si="7"/>
        <v>4588.1639999999998</v>
      </c>
      <c r="J19" s="85">
        <f t="shared" si="7"/>
        <v>4679.9272799999999</v>
      </c>
      <c r="K19" s="85">
        <f t="shared" si="7"/>
        <v>4773.5258255999997</v>
      </c>
      <c r="L19" s="85">
        <f t="shared" si="7"/>
        <v>4868.9963421120001</v>
      </c>
    </row>
    <row r="20" spans="2:14" x14ac:dyDescent="0.25">
      <c r="B20" s="1" t="s">
        <v>25</v>
      </c>
      <c r="C20" s="92"/>
      <c r="D20" s="92">
        <f t="shared" ref="D20:L20" si="8">(D9+D34*4+D35*0.25)/D18</f>
        <v>1.2666666666666666</v>
      </c>
      <c r="E20" s="92">
        <f t="shared" si="8"/>
        <v>4.9375</v>
      </c>
      <c r="F20" s="92">
        <f t="shared" si="8"/>
        <v>6.552941176470588</v>
      </c>
      <c r="G20" s="92">
        <f t="shared" si="8"/>
        <v>8.3679354094579015</v>
      </c>
      <c r="H20" s="92">
        <f t="shared" si="8"/>
        <v>10.787706085894564</v>
      </c>
      <c r="I20" s="92">
        <f t="shared" si="8"/>
        <v>10.83670684729101</v>
      </c>
      <c r="J20" s="92">
        <f t="shared" si="8"/>
        <v>10.86876971795899</v>
      </c>
      <c r="K20" s="92">
        <f t="shared" si="8"/>
        <v>10.895408859424576</v>
      </c>
      <c r="L20" s="92">
        <f t="shared" si="8"/>
        <v>10.916824639818477</v>
      </c>
      <c r="N20" s="70">
        <v>1400</v>
      </c>
    </row>
    <row r="21" spans="2:14" x14ac:dyDescent="0.25">
      <c r="B21" s="1" t="s">
        <v>35</v>
      </c>
      <c r="C21" s="92">
        <f t="shared" ref="C21:L21" si="9">C13/C19</f>
        <v>0.52</v>
      </c>
      <c r="D21" s="92">
        <f t="shared" si="9"/>
        <v>1.2642857142857142</v>
      </c>
      <c r="E21" s="92">
        <f t="shared" si="9"/>
        <v>2.2124999999999999</v>
      </c>
      <c r="F21" s="92">
        <f t="shared" si="9"/>
        <v>2.6916666666666669</v>
      </c>
      <c r="G21" s="92">
        <f t="shared" si="9"/>
        <v>3.1532879818594104</v>
      </c>
      <c r="H21" s="92">
        <f t="shared" si="9"/>
        <v>3.9022275576897427</v>
      </c>
      <c r="I21" s="92">
        <f t="shared" si="9"/>
        <v>3.9434074283308096</v>
      </c>
      <c r="J21" s="92">
        <f t="shared" si="9"/>
        <v>3.9833952291668941</v>
      </c>
      <c r="K21" s="92">
        <f t="shared" si="9"/>
        <v>4.0221841677344843</v>
      </c>
      <c r="L21" s="92">
        <f t="shared" si="9"/>
        <v>4.0597689156253844</v>
      </c>
      <c r="N21" s="70">
        <v>2000</v>
      </c>
    </row>
    <row r="22" spans="2:14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4" x14ac:dyDescent="0.25">
      <c r="B23" s="90" t="s">
        <v>26</v>
      </c>
      <c r="C23" s="91">
        <f t="shared" ref="C23:L23" si="10">SUM(C20:C21)</f>
        <v>0.52</v>
      </c>
      <c r="D23" s="91">
        <f t="shared" si="10"/>
        <v>2.5309523809523808</v>
      </c>
      <c r="E23" s="91">
        <f t="shared" si="10"/>
        <v>7.15</v>
      </c>
      <c r="F23" s="91">
        <f t="shared" si="10"/>
        <v>9.2446078431372545</v>
      </c>
      <c r="G23" s="91">
        <f t="shared" si="10"/>
        <v>11.521223391317312</v>
      </c>
      <c r="H23" s="91">
        <f t="shared" si="10"/>
        <v>14.689933643584308</v>
      </c>
      <c r="I23" s="91">
        <f t="shared" si="10"/>
        <v>14.78011427562182</v>
      </c>
      <c r="J23" s="91">
        <f t="shared" si="10"/>
        <v>14.852164947125885</v>
      </c>
      <c r="K23" s="91">
        <f t="shared" si="10"/>
        <v>14.917593027159061</v>
      </c>
      <c r="L23" s="91">
        <f t="shared" si="10"/>
        <v>14.976593555443863</v>
      </c>
    </row>
    <row r="24" spans="2:14" x14ac:dyDescent="0.25"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2:14" x14ac:dyDescent="0.25">
      <c r="B25" s="1" t="s">
        <v>489</v>
      </c>
      <c r="C25" s="92"/>
      <c r="D25" s="92">
        <v>0.5</v>
      </c>
      <c r="E25" s="92">
        <v>1</v>
      </c>
      <c r="F25" s="92">
        <f>E25</f>
        <v>1</v>
      </c>
      <c r="G25" s="92">
        <f t="shared" ref="G25:L25" si="11">F25</f>
        <v>1</v>
      </c>
      <c r="H25" s="92">
        <f t="shared" si="11"/>
        <v>1</v>
      </c>
      <c r="I25" s="92">
        <f t="shared" si="11"/>
        <v>1</v>
      </c>
      <c r="J25" s="92">
        <f t="shared" si="11"/>
        <v>1</v>
      </c>
      <c r="K25" s="92">
        <f t="shared" si="11"/>
        <v>1</v>
      </c>
      <c r="L25" s="92">
        <f t="shared" si="11"/>
        <v>1</v>
      </c>
    </row>
    <row r="26" spans="2:14" x14ac:dyDescent="0.25">
      <c r="B26" s="1" t="s">
        <v>65</v>
      </c>
      <c r="C26" s="92">
        <v>0.5</v>
      </c>
      <c r="D26" s="92">
        <v>0.5</v>
      </c>
      <c r="E26" s="92">
        <v>1</v>
      </c>
      <c r="F26" s="92">
        <f>E26</f>
        <v>1</v>
      </c>
      <c r="G26" s="92">
        <f t="shared" ref="G26:L26" si="12">F26</f>
        <v>1</v>
      </c>
      <c r="H26" s="92">
        <f t="shared" si="12"/>
        <v>1</v>
      </c>
      <c r="I26" s="92">
        <f t="shared" si="12"/>
        <v>1</v>
      </c>
      <c r="J26" s="92">
        <f t="shared" si="12"/>
        <v>1</v>
      </c>
      <c r="K26" s="92">
        <f t="shared" si="12"/>
        <v>1</v>
      </c>
      <c r="L26" s="92">
        <f t="shared" si="12"/>
        <v>1</v>
      </c>
    </row>
    <row r="27" spans="2:14" x14ac:dyDescent="0.25">
      <c r="B27" s="1" t="s">
        <v>66</v>
      </c>
      <c r="C27" s="92">
        <v>0.25</v>
      </c>
      <c r="D27" s="92">
        <v>2</v>
      </c>
      <c r="E27" s="92">
        <v>4</v>
      </c>
      <c r="F27" s="92">
        <f t="shared" ref="F27:H27" si="13">+E27+0.5</f>
        <v>4.5</v>
      </c>
      <c r="G27" s="92">
        <f t="shared" si="13"/>
        <v>5</v>
      </c>
      <c r="H27" s="92">
        <f t="shared" si="13"/>
        <v>5.5</v>
      </c>
      <c r="I27" s="92">
        <f>+H27</f>
        <v>5.5</v>
      </c>
      <c r="J27" s="92">
        <f t="shared" ref="J27:L27" si="14">+I27</f>
        <v>5.5</v>
      </c>
      <c r="K27" s="92">
        <f t="shared" si="14"/>
        <v>5.5</v>
      </c>
      <c r="L27" s="92">
        <f t="shared" si="14"/>
        <v>5.5</v>
      </c>
    </row>
    <row r="28" spans="2:14" x14ac:dyDescent="0.25">
      <c r="B28" s="1" t="s">
        <v>487</v>
      </c>
      <c r="C28" s="92"/>
      <c r="D28" s="92">
        <f>(D23-D25-D26)*1.3</f>
        <v>1.9902380952380951</v>
      </c>
      <c r="E28" s="92">
        <f t="shared" ref="E28:L28" si="15">(E23-E25-E26)*1.3</f>
        <v>6.6950000000000003</v>
      </c>
      <c r="F28" s="92">
        <f t="shared" si="15"/>
        <v>9.4179901960784314</v>
      </c>
      <c r="G28" s="92">
        <f t="shared" si="15"/>
        <v>12.377590408712505</v>
      </c>
      <c r="H28" s="92">
        <f t="shared" si="15"/>
        <v>16.4969137366596</v>
      </c>
      <c r="I28" s="92">
        <f t="shared" si="15"/>
        <v>16.614148558308365</v>
      </c>
      <c r="J28" s="92">
        <f t="shared" si="15"/>
        <v>16.707814431263653</v>
      </c>
      <c r="K28" s="92">
        <f t="shared" si="15"/>
        <v>16.79287093530678</v>
      </c>
      <c r="L28" s="92">
        <f t="shared" si="15"/>
        <v>16.869571622077022</v>
      </c>
    </row>
    <row r="29" spans="2:14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2:14" x14ac:dyDescent="0.25">
      <c r="B30" s="90" t="s">
        <v>72</v>
      </c>
      <c r="C30" s="91">
        <f>SUM(C25:C29)</f>
        <v>0.75</v>
      </c>
      <c r="D30" s="91">
        <f t="shared" ref="D30:L30" si="16">SUM(D25:D29)</f>
        <v>4.9902380952380954</v>
      </c>
      <c r="E30" s="91">
        <f t="shared" si="16"/>
        <v>12.695</v>
      </c>
      <c r="F30" s="91">
        <f t="shared" si="16"/>
        <v>15.917990196078431</v>
      </c>
      <c r="G30" s="91">
        <f t="shared" si="16"/>
        <v>19.377590408712507</v>
      </c>
      <c r="H30" s="91">
        <f t="shared" si="16"/>
        <v>23.9969137366596</v>
      </c>
      <c r="I30" s="91">
        <f t="shared" si="16"/>
        <v>24.114148558308365</v>
      </c>
      <c r="J30" s="91">
        <f t="shared" si="16"/>
        <v>24.207814431263653</v>
      </c>
      <c r="K30" s="91">
        <f t="shared" si="16"/>
        <v>24.29287093530678</v>
      </c>
      <c r="L30" s="91">
        <f t="shared" si="16"/>
        <v>24.369571622077022</v>
      </c>
    </row>
    <row r="31" spans="2:14" x14ac:dyDescent="0.25"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2:14" hidden="1" x14ac:dyDescent="0.25">
      <c r="B32" s="1" t="s">
        <v>103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2:14" hidden="1" x14ac:dyDescent="0.25">
      <c r="B33" s="1" t="s">
        <v>105</v>
      </c>
      <c r="C33" s="92"/>
      <c r="D33" s="92">
        <f>D32*$N33</f>
        <v>0</v>
      </c>
      <c r="E33" s="92">
        <f t="shared" ref="E33:L33" si="17">E32*$N33</f>
        <v>0</v>
      </c>
      <c r="F33" s="92">
        <f t="shared" si="17"/>
        <v>0</v>
      </c>
      <c r="G33" s="92">
        <f t="shared" si="17"/>
        <v>0</v>
      </c>
      <c r="H33" s="92">
        <f t="shared" si="17"/>
        <v>0</v>
      </c>
      <c r="I33" s="92">
        <f t="shared" si="17"/>
        <v>0</v>
      </c>
      <c r="J33" s="92">
        <f t="shared" si="17"/>
        <v>0</v>
      </c>
      <c r="K33" s="92">
        <f t="shared" si="17"/>
        <v>0</v>
      </c>
      <c r="L33" s="92">
        <f t="shared" si="17"/>
        <v>0</v>
      </c>
      <c r="N33" s="70">
        <v>20</v>
      </c>
    </row>
    <row r="34" spans="2:14" x14ac:dyDescent="0.25">
      <c r="B34" s="1" t="s">
        <v>104</v>
      </c>
      <c r="C34" s="92"/>
      <c r="D34" s="92"/>
      <c r="E34" s="92">
        <f>$F34*0.6</f>
        <v>0</v>
      </c>
      <c r="F34" s="92">
        <f>Invest!$D41*Expl!$N34</f>
        <v>0</v>
      </c>
      <c r="G34" s="92">
        <f>+F34*1.05</f>
        <v>0</v>
      </c>
      <c r="H34" s="92">
        <f t="shared" ref="H34:L34" si="18">+G34*1.05</f>
        <v>0</v>
      </c>
      <c r="I34" s="92">
        <f t="shared" si="18"/>
        <v>0</v>
      </c>
      <c r="J34" s="92">
        <f t="shared" si="18"/>
        <v>0</v>
      </c>
      <c r="K34" s="92">
        <f t="shared" si="18"/>
        <v>0</v>
      </c>
      <c r="L34" s="92">
        <f t="shared" si="18"/>
        <v>0</v>
      </c>
    </row>
    <row r="35" spans="2:14" x14ac:dyDescent="0.25">
      <c r="B35" s="1" t="s">
        <v>106</v>
      </c>
      <c r="C35" s="92"/>
      <c r="D35" s="85"/>
      <c r="E35" s="85">
        <f>$N35*Invest!$D43*0.5</f>
        <v>400</v>
      </c>
      <c r="F35" s="85">
        <f>$N35*Invest!$D43*0.7</f>
        <v>560</v>
      </c>
      <c r="G35" s="85">
        <f>$N35*Invest!$D43*0.8</f>
        <v>640</v>
      </c>
      <c r="H35" s="85">
        <f>$N35*Invest!$D43*0.9</f>
        <v>720</v>
      </c>
      <c r="I35" s="85">
        <f>$N35*Invest!$D43</f>
        <v>800</v>
      </c>
      <c r="J35" s="85">
        <f>$N35*Invest!$D43</f>
        <v>800</v>
      </c>
      <c r="K35" s="85">
        <f>$N35*Invest!$D43</f>
        <v>800</v>
      </c>
      <c r="L35" s="85">
        <f>$N35*Invest!$D43</f>
        <v>800</v>
      </c>
      <c r="N35" s="70">
        <v>40</v>
      </c>
    </row>
    <row r="36" spans="2:14" hidden="1" x14ac:dyDescent="0.25">
      <c r="B36" s="1" t="s">
        <v>113</v>
      </c>
      <c r="C36" s="92"/>
      <c r="D36" s="92">
        <v>0.5</v>
      </c>
      <c r="E36" s="92">
        <f>D36*1.2</f>
        <v>0.6</v>
      </c>
      <c r="F36" s="92">
        <f>E36*1.2</f>
        <v>0.72</v>
      </c>
      <c r="G36" s="92">
        <f>F36*1.2</f>
        <v>0.86399999999999999</v>
      </c>
      <c r="H36" s="92">
        <f>G36*1.2</f>
        <v>1.0367999999999999</v>
      </c>
      <c r="I36" s="92">
        <f>H36*1.1</f>
        <v>1.1404799999999999</v>
      </c>
      <c r="J36" s="92">
        <f>I36*1.1</f>
        <v>1.2545280000000001</v>
      </c>
      <c r="K36" s="92">
        <f>J36*1.1</f>
        <v>1.3799808000000002</v>
      </c>
      <c r="L36" s="92">
        <f>K36*1.1</f>
        <v>1.5179788800000005</v>
      </c>
    </row>
    <row r="37" spans="2:14" x14ac:dyDescent="0.25">
      <c r="B37" s="1" t="s">
        <v>155</v>
      </c>
      <c r="C37" s="92"/>
      <c r="D37" s="92"/>
      <c r="E37" s="92">
        <v>30</v>
      </c>
      <c r="F37" s="92">
        <v>90</v>
      </c>
      <c r="G37" s="92">
        <f>F37+5</f>
        <v>95</v>
      </c>
      <c r="H37" s="92">
        <f t="shared" ref="H37:K37" si="19">G37+5</f>
        <v>100</v>
      </c>
      <c r="I37" s="92">
        <f t="shared" si="19"/>
        <v>105</v>
      </c>
      <c r="J37" s="92">
        <f t="shared" si="19"/>
        <v>110</v>
      </c>
      <c r="K37" s="92">
        <f t="shared" si="19"/>
        <v>115</v>
      </c>
      <c r="L37" s="92">
        <f>K37+5</f>
        <v>120</v>
      </c>
    </row>
    <row r="38" spans="2:14" ht="15.75" thickBot="1" x14ac:dyDescent="0.3"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2:14" ht="16.350000000000001" customHeight="1" thickBot="1" x14ac:dyDescent="0.3">
      <c r="B39" s="213" t="s">
        <v>94</v>
      </c>
      <c r="C39" s="211">
        <f t="shared" ref="C39:L39" si="20">C2</f>
        <v>2017</v>
      </c>
      <c r="D39" s="211">
        <f t="shared" si="20"/>
        <v>2018</v>
      </c>
      <c r="E39" s="211">
        <f t="shared" si="20"/>
        <v>2019</v>
      </c>
      <c r="F39" s="211">
        <f t="shared" si="20"/>
        <v>2020</v>
      </c>
      <c r="G39" s="211">
        <f t="shared" si="20"/>
        <v>2021</v>
      </c>
      <c r="H39" s="211">
        <f t="shared" si="20"/>
        <v>2022</v>
      </c>
      <c r="I39" s="211">
        <f t="shared" si="20"/>
        <v>2023</v>
      </c>
      <c r="J39" s="211">
        <f t="shared" si="20"/>
        <v>2024</v>
      </c>
      <c r="K39" s="211">
        <f t="shared" si="20"/>
        <v>2025</v>
      </c>
      <c r="L39" s="211">
        <f t="shared" si="20"/>
        <v>2026</v>
      </c>
    </row>
    <row r="40" spans="2:14" ht="16.350000000000001" customHeight="1" thickBot="1" x14ac:dyDescent="0.3">
      <c r="B40" s="214"/>
      <c r="C40" s="212"/>
      <c r="D40" s="212"/>
      <c r="E40" s="212"/>
      <c r="F40" s="212"/>
      <c r="G40" s="212"/>
      <c r="H40" s="212"/>
      <c r="I40" s="212"/>
      <c r="J40" s="212"/>
      <c r="K40" s="212"/>
      <c r="L40" s="212"/>
    </row>
    <row r="41" spans="2:14" ht="7.5" customHeight="1" thickBot="1" x14ac:dyDescent="0.3"/>
    <row r="42" spans="2:14" ht="7.5" customHeight="1" x14ac:dyDescent="0.25">
      <c r="B42" s="10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2:14" x14ac:dyDescent="0.25">
      <c r="B43" s="1" t="s">
        <v>110</v>
      </c>
      <c r="C43" s="2">
        <f t="shared" ref="C43:L43" si="21">C16</f>
        <v>68900</v>
      </c>
      <c r="D43" s="85">
        <f t="shared" si="21"/>
        <v>230823.56301525349</v>
      </c>
      <c r="E43" s="85">
        <f t="shared" si="21"/>
        <v>461384.84187991096</v>
      </c>
      <c r="F43" s="85">
        <f t="shared" si="21"/>
        <v>585271.64665082912</v>
      </c>
      <c r="G43" s="85">
        <f t="shared" si="21"/>
        <v>720766.25474568619</v>
      </c>
      <c r="H43" s="85">
        <f t="shared" si="21"/>
        <v>892242.05749683792</v>
      </c>
      <c r="I43" s="85">
        <f t="shared" si="21"/>
        <v>919690.96714466414</v>
      </c>
      <c r="J43" s="85">
        <f t="shared" si="21"/>
        <v>947597.35861995409</v>
      </c>
      <c r="K43" s="85">
        <f t="shared" si="21"/>
        <v>975961.23192270775</v>
      </c>
      <c r="L43" s="85">
        <f t="shared" si="21"/>
        <v>1004782.5870529253</v>
      </c>
    </row>
    <row r="44" spans="2:14" x14ac:dyDescent="0.25">
      <c r="B44" s="1" t="s">
        <v>101</v>
      </c>
      <c r="C44" s="2">
        <f t="shared" ref="C44:L44" si="22">C34*$N44</f>
        <v>0</v>
      </c>
      <c r="D44" s="85">
        <f t="shared" si="22"/>
        <v>0</v>
      </c>
      <c r="E44" s="85">
        <f t="shared" si="22"/>
        <v>0</v>
      </c>
      <c r="F44" s="85">
        <f t="shared" si="22"/>
        <v>0</v>
      </c>
      <c r="G44" s="85">
        <f>G34*$N44</f>
        <v>0</v>
      </c>
      <c r="H44" s="85">
        <f t="shared" si="22"/>
        <v>0</v>
      </c>
      <c r="I44" s="85">
        <f t="shared" si="22"/>
        <v>0</v>
      </c>
      <c r="J44" s="85">
        <f t="shared" si="22"/>
        <v>0</v>
      </c>
      <c r="K44" s="85">
        <f t="shared" si="22"/>
        <v>0</v>
      </c>
      <c r="L44" s="85">
        <f t="shared" si="22"/>
        <v>0</v>
      </c>
      <c r="N44" s="70">
        <v>150</v>
      </c>
    </row>
    <row r="45" spans="2:14" x14ac:dyDescent="0.25">
      <c r="B45" s="1" t="s">
        <v>102</v>
      </c>
      <c r="C45" s="2">
        <f t="shared" ref="C45:L45" si="23">C35*$N45</f>
        <v>0</v>
      </c>
      <c r="D45" s="85">
        <f t="shared" si="23"/>
        <v>0</v>
      </c>
      <c r="E45" s="85">
        <f t="shared" si="23"/>
        <v>2000</v>
      </c>
      <c r="F45" s="85">
        <f t="shared" si="23"/>
        <v>2800</v>
      </c>
      <c r="G45" s="85">
        <f t="shared" si="23"/>
        <v>3200</v>
      </c>
      <c r="H45" s="85">
        <f t="shared" si="23"/>
        <v>3600</v>
      </c>
      <c r="I45" s="85">
        <f t="shared" si="23"/>
        <v>4000</v>
      </c>
      <c r="J45" s="85">
        <f t="shared" si="23"/>
        <v>4000</v>
      </c>
      <c r="K45" s="85">
        <f t="shared" si="23"/>
        <v>4000</v>
      </c>
      <c r="L45" s="85">
        <f t="shared" si="23"/>
        <v>4000</v>
      </c>
      <c r="N45" s="70">
        <v>5</v>
      </c>
    </row>
    <row r="46" spans="2:14" hidden="1" x14ac:dyDescent="0.25">
      <c r="B46" s="1" t="s">
        <v>111</v>
      </c>
      <c r="C46" s="2">
        <f t="shared" ref="C46:L46" si="24">C33*$N46</f>
        <v>0</v>
      </c>
      <c r="D46" s="85">
        <f t="shared" si="24"/>
        <v>0</v>
      </c>
      <c r="E46" s="85">
        <f t="shared" si="24"/>
        <v>0</v>
      </c>
      <c r="F46" s="85">
        <f t="shared" si="24"/>
        <v>0</v>
      </c>
      <c r="G46" s="85">
        <f t="shared" si="24"/>
        <v>0</v>
      </c>
      <c r="H46" s="85">
        <f t="shared" si="24"/>
        <v>0</v>
      </c>
      <c r="I46" s="85">
        <f t="shared" si="24"/>
        <v>0</v>
      </c>
      <c r="J46" s="85">
        <f t="shared" si="24"/>
        <v>0</v>
      </c>
      <c r="K46" s="85">
        <f t="shared" si="24"/>
        <v>0</v>
      </c>
      <c r="L46" s="85">
        <f t="shared" si="24"/>
        <v>0</v>
      </c>
      <c r="N46" s="70">
        <v>15</v>
      </c>
    </row>
    <row r="47" spans="2:14" x14ac:dyDescent="0.25">
      <c r="B47" s="3" t="s">
        <v>112</v>
      </c>
      <c r="C47" s="2"/>
      <c r="D47" s="85"/>
      <c r="E47" s="85">
        <f>D47*2</f>
        <v>0</v>
      </c>
      <c r="F47" s="85">
        <f>E47*2</f>
        <v>0</v>
      </c>
      <c r="G47" s="85">
        <f>F47*1.5</f>
        <v>0</v>
      </c>
      <c r="H47" s="85">
        <f t="shared" ref="H47:L47" si="25">G47*1.1</f>
        <v>0</v>
      </c>
      <c r="I47" s="85">
        <f t="shared" si="25"/>
        <v>0</v>
      </c>
      <c r="J47" s="85">
        <f t="shared" si="25"/>
        <v>0</v>
      </c>
      <c r="K47" s="85">
        <f t="shared" si="25"/>
        <v>0</v>
      </c>
      <c r="L47" s="85">
        <f t="shared" si="25"/>
        <v>0</v>
      </c>
    </row>
    <row r="48" spans="2:14" x14ac:dyDescent="0.25">
      <c r="B48" s="3" t="s">
        <v>98</v>
      </c>
      <c r="C48" s="2"/>
      <c r="D48" s="85">
        <f>D37*$N48</f>
        <v>0</v>
      </c>
      <c r="E48" s="85">
        <f t="shared" ref="E48:L48" si="26">E37*$N48</f>
        <v>12000</v>
      </c>
      <c r="F48" s="85">
        <f t="shared" si="26"/>
        <v>36000</v>
      </c>
      <c r="G48" s="85">
        <f t="shared" si="26"/>
        <v>38000</v>
      </c>
      <c r="H48" s="85">
        <f t="shared" si="26"/>
        <v>40000</v>
      </c>
      <c r="I48" s="85">
        <f t="shared" si="26"/>
        <v>42000</v>
      </c>
      <c r="J48" s="85">
        <f t="shared" si="26"/>
        <v>44000</v>
      </c>
      <c r="K48" s="85">
        <f t="shared" si="26"/>
        <v>46000</v>
      </c>
      <c r="L48" s="85">
        <f t="shared" si="26"/>
        <v>48000</v>
      </c>
      <c r="N48" s="70">
        <v>400</v>
      </c>
    </row>
    <row r="49" spans="2:14" ht="6" customHeight="1" x14ac:dyDescent="0.25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4" x14ac:dyDescent="0.25">
      <c r="B50" s="90" t="s">
        <v>71</v>
      </c>
      <c r="C50" s="91">
        <f>SUM(C43:C49)</f>
        <v>68900</v>
      </c>
      <c r="D50" s="91">
        <f t="shared" ref="D50:L50" si="27">SUM(D43:D49)</f>
        <v>230823.56301525349</v>
      </c>
      <c r="E50" s="91">
        <f t="shared" si="27"/>
        <v>475384.84187991096</v>
      </c>
      <c r="F50" s="91">
        <f t="shared" si="27"/>
        <v>624071.64665082912</v>
      </c>
      <c r="G50" s="91">
        <f t="shared" si="27"/>
        <v>761966.25474568619</v>
      </c>
      <c r="H50" s="91">
        <f t="shared" si="27"/>
        <v>935842.05749683792</v>
      </c>
      <c r="I50" s="91">
        <f t="shared" si="27"/>
        <v>965690.96714466414</v>
      </c>
      <c r="J50" s="91">
        <f t="shared" si="27"/>
        <v>995597.35861995409</v>
      </c>
      <c r="K50" s="91">
        <f t="shared" si="27"/>
        <v>1025961.2319227078</v>
      </c>
      <c r="L50" s="91">
        <f t="shared" si="27"/>
        <v>1056782.5870529253</v>
      </c>
    </row>
    <row r="51" spans="2:14" ht="6.75" customHeight="1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4" x14ac:dyDescent="0.25">
      <c r="B52" s="3" t="s">
        <v>0</v>
      </c>
      <c r="C52" s="2"/>
      <c r="D52" s="85">
        <v>50000</v>
      </c>
      <c r="E52" s="85">
        <v>30000</v>
      </c>
      <c r="F52" s="85">
        <v>10000</v>
      </c>
      <c r="G52" s="85"/>
      <c r="H52" s="85"/>
      <c r="I52" s="85"/>
      <c r="J52" s="85"/>
      <c r="K52" s="85"/>
      <c r="L52" s="85"/>
    </row>
    <row r="53" spans="2:14" x14ac:dyDescent="0.25">
      <c r="B53" s="3" t="s">
        <v>69</v>
      </c>
      <c r="C53" s="2">
        <f t="shared" ref="C53:L53" si="28">$N53*C28</f>
        <v>0</v>
      </c>
      <c r="D53" s="85">
        <f t="shared" si="28"/>
        <v>20186.985000000001</v>
      </c>
      <c r="E53" s="85">
        <f t="shared" si="28"/>
        <v>67907.385000000009</v>
      </c>
      <c r="F53" s="85">
        <f t="shared" si="28"/>
        <v>95526.674558823535</v>
      </c>
      <c r="G53" s="85">
        <f t="shared" si="28"/>
        <v>125545.89951557094</v>
      </c>
      <c r="H53" s="85">
        <f t="shared" si="28"/>
        <v>167328.19603093833</v>
      </c>
      <c r="I53" s="85">
        <f t="shared" si="28"/>
        <v>168517.30882692174</v>
      </c>
      <c r="J53" s="85">
        <f t="shared" si="28"/>
        <v>169467.36177630723</v>
      </c>
      <c r="K53" s="85">
        <f t="shared" si="28"/>
        <v>170330.08989681667</v>
      </c>
      <c r="L53" s="85">
        <f t="shared" si="28"/>
        <v>171108.06496272722</v>
      </c>
      <c r="N53" s="70">
        <v>10143</v>
      </c>
    </row>
    <row r="54" spans="2:14" ht="6.75" customHeight="1" x14ac:dyDescent="0.25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4" x14ac:dyDescent="0.25">
      <c r="B55" s="90" t="s">
        <v>70</v>
      </c>
      <c r="C55" s="91">
        <f>SUM(C51:C54)</f>
        <v>0</v>
      </c>
      <c r="D55" s="91">
        <f t="shared" ref="D55:L55" si="29">SUM(D51:D54)</f>
        <v>70186.985000000001</v>
      </c>
      <c r="E55" s="91">
        <f t="shared" si="29"/>
        <v>97907.385000000009</v>
      </c>
      <c r="F55" s="91">
        <f t="shared" si="29"/>
        <v>105526.67455882354</v>
      </c>
      <c r="G55" s="91">
        <f t="shared" si="29"/>
        <v>125545.89951557094</v>
      </c>
      <c r="H55" s="91">
        <f t="shared" si="29"/>
        <v>167328.19603093833</v>
      </c>
      <c r="I55" s="91">
        <f t="shared" si="29"/>
        <v>168517.30882692174</v>
      </c>
      <c r="J55" s="91">
        <f t="shared" si="29"/>
        <v>169467.36177630723</v>
      </c>
      <c r="K55" s="91">
        <f t="shared" si="29"/>
        <v>170330.08989681667</v>
      </c>
      <c r="L55" s="91">
        <f t="shared" si="29"/>
        <v>171108.06496272722</v>
      </c>
    </row>
    <row r="56" spans="2:14" ht="9" customHeight="1" x14ac:dyDescent="0.25"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2:14" x14ac:dyDescent="0.25">
      <c r="B57" s="3" t="s">
        <v>1</v>
      </c>
      <c r="C57" s="2">
        <f>C92*(Invest!$C68+Invest!$C69)</f>
        <v>0</v>
      </c>
      <c r="D57" s="85">
        <f>D92*(Invest!$C68+Invest!$C69)</f>
        <v>7203.8690447157906</v>
      </c>
      <c r="E57" s="85">
        <f>E92*(Invest!$C68+Invest!$C69)</f>
        <v>16565.103673306796</v>
      </c>
      <c r="F57" s="85">
        <f>F92*(Invest!$C68+Invest!$C69)</f>
        <v>18722.469257182012</v>
      </c>
      <c r="G57" s="85">
        <f>G92*(Invest!$C68+Invest!$C69)</f>
        <v>18722.469257182012</v>
      </c>
      <c r="H57" s="85">
        <f>H92*(Invest!$C68+Invest!$C69)</f>
        <v>18722.469257182012</v>
      </c>
      <c r="I57" s="85">
        <f>I92*(Invest!$C68+Invest!$C69)</f>
        <v>18722.469257182012</v>
      </c>
      <c r="J57" s="85">
        <f>J92*(Invest!$C68+Invest!$C69)</f>
        <v>18722.469257182012</v>
      </c>
      <c r="K57" s="85">
        <f>K92*(Invest!$C68+Invest!$C69)</f>
        <v>18722.469257182012</v>
      </c>
      <c r="L57" s="85">
        <f>L92*(Invest!$C68+Invest!$C69)</f>
        <v>18722.469257182012</v>
      </c>
    </row>
    <row r="58" spans="2:14" hidden="1" x14ac:dyDescent="0.25">
      <c r="B58" s="3" t="s">
        <v>2</v>
      </c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4" ht="7.5" customHeight="1" x14ac:dyDescent="0.25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2:14" x14ac:dyDescent="0.25">
      <c r="B60" s="90" t="s">
        <v>3</v>
      </c>
      <c r="C60" s="91">
        <f t="shared" ref="C60:L60" si="30">C50+C55+C57+C58</f>
        <v>68900</v>
      </c>
      <c r="D60" s="91">
        <f t="shared" si="30"/>
        <v>308214.41705996927</v>
      </c>
      <c r="E60" s="91">
        <f t="shared" si="30"/>
        <v>589857.33055321779</v>
      </c>
      <c r="F60" s="91">
        <f t="shared" si="30"/>
        <v>748320.79046683467</v>
      </c>
      <c r="G60" s="91">
        <f t="shared" si="30"/>
        <v>906234.62351843913</v>
      </c>
      <c r="H60" s="91">
        <f t="shared" si="30"/>
        <v>1121892.7227849583</v>
      </c>
      <c r="I60" s="91">
        <f t="shared" si="30"/>
        <v>1152930.7452287679</v>
      </c>
      <c r="J60" s="91">
        <f t="shared" si="30"/>
        <v>1183787.1896534432</v>
      </c>
      <c r="K60" s="91">
        <f t="shared" si="30"/>
        <v>1215013.7910767065</v>
      </c>
      <c r="L60" s="91">
        <f t="shared" si="30"/>
        <v>1246613.1212728345</v>
      </c>
    </row>
    <row r="61" spans="2:14" ht="8.25" customHeight="1" thickBot="1" x14ac:dyDescent="0.3"/>
    <row r="62" spans="2:14" ht="8.25" customHeight="1" x14ac:dyDescent="0.25"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N62" s="70" t="s">
        <v>22</v>
      </c>
    </row>
    <row r="63" spans="2:14" x14ac:dyDescent="0.25">
      <c r="B63" s="3" t="s">
        <v>193</v>
      </c>
      <c r="C63" s="15">
        <f t="shared" ref="C63:L63" si="31">C10*C11</f>
        <v>32500</v>
      </c>
      <c r="D63" s="15">
        <f t="shared" si="31"/>
        <v>75000</v>
      </c>
      <c r="E63" s="15">
        <f t="shared" si="31"/>
        <v>75000</v>
      </c>
      <c r="F63" s="15">
        <f t="shared" si="31"/>
        <v>75000</v>
      </c>
      <c r="G63" s="15">
        <f t="shared" si="31"/>
        <v>75000</v>
      </c>
      <c r="H63" s="15">
        <f t="shared" si="31"/>
        <v>75000</v>
      </c>
      <c r="I63" s="15">
        <f t="shared" si="31"/>
        <v>75000</v>
      </c>
      <c r="J63" s="15">
        <f t="shared" si="31"/>
        <v>75000</v>
      </c>
      <c r="K63" s="15">
        <f t="shared" si="31"/>
        <v>75000</v>
      </c>
      <c r="L63" s="15">
        <f t="shared" si="31"/>
        <v>75000</v>
      </c>
    </row>
    <row r="64" spans="2:14" x14ac:dyDescent="0.25">
      <c r="B64" s="3" t="s">
        <v>4</v>
      </c>
      <c r="C64" s="15">
        <f t="shared" ref="C64:L66" si="32">C$9*$N64</f>
        <v>0</v>
      </c>
      <c r="D64" s="15">
        <f t="shared" si="32"/>
        <v>2611.114583333333</v>
      </c>
      <c r="E64" s="15">
        <f t="shared" si="32"/>
        <v>10719.312499999998</v>
      </c>
      <c r="F64" s="15">
        <f t="shared" si="32"/>
        <v>15116.979166666664</v>
      </c>
      <c r="G64" s="15">
        <f t="shared" si="32"/>
        <v>19720.786458333328</v>
      </c>
      <c r="H64" s="15">
        <f t="shared" si="32"/>
        <v>25973.718749999996</v>
      </c>
      <c r="I64" s="15">
        <f t="shared" si="32"/>
        <v>26592.140624999996</v>
      </c>
      <c r="J64" s="15">
        <f t="shared" si="32"/>
        <v>27210.562499999996</v>
      </c>
      <c r="K64" s="15">
        <f t="shared" si="32"/>
        <v>27828.984374999996</v>
      </c>
      <c r="L64" s="15">
        <f t="shared" si="32"/>
        <v>28447.406249999996</v>
      </c>
      <c r="N64" s="210">
        <f>Graines!J17</f>
        <v>1.3742708333333331</v>
      </c>
    </row>
    <row r="65" spans="2:14" x14ac:dyDescent="0.25">
      <c r="B65" s="3" t="s">
        <v>483</v>
      </c>
      <c r="C65" s="15">
        <f t="shared" si="32"/>
        <v>0</v>
      </c>
      <c r="D65" s="15">
        <f t="shared" si="32"/>
        <v>1140</v>
      </c>
      <c r="E65" s="15">
        <f t="shared" si="32"/>
        <v>4680</v>
      </c>
      <c r="F65" s="15">
        <f t="shared" si="32"/>
        <v>6600</v>
      </c>
      <c r="G65" s="15">
        <f t="shared" si="32"/>
        <v>8610</v>
      </c>
      <c r="H65" s="15">
        <f t="shared" si="32"/>
        <v>11340</v>
      </c>
      <c r="I65" s="15">
        <f t="shared" si="32"/>
        <v>11610</v>
      </c>
      <c r="J65" s="15">
        <f t="shared" si="32"/>
        <v>11880</v>
      </c>
      <c r="K65" s="15">
        <f t="shared" si="32"/>
        <v>12150</v>
      </c>
      <c r="L65" s="15">
        <f t="shared" si="32"/>
        <v>12420</v>
      </c>
      <c r="N65" s="109">
        <v>0.6</v>
      </c>
    </row>
    <row r="66" spans="2:14" x14ac:dyDescent="0.25">
      <c r="B66" s="3" t="s">
        <v>284</v>
      </c>
      <c r="C66" s="15">
        <f t="shared" si="32"/>
        <v>0</v>
      </c>
      <c r="D66" s="15">
        <f>D34*15+D35*0.5</f>
        <v>0</v>
      </c>
      <c r="E66" s="15">
        <f t="shared" ref="E66:L66" si="33">E34*15+E35*0.5</f>
        <v>200</v>
      </c>
      <c r="F66" s="15">
        <f t="shared" si="33"/>
        <v>280</v>
      </c>
      <c r="G66" s="15">
        <f t="shared" si="33"/>
        <v>320</v>
      </c>
      <c r="H66" s="15">
        <f t="shared" si="33"/>
        <v>360</v>
      </c>
      <c r="I66" s="15">
        <f t="shared" si="33"/>
        <v>400</v>
      </c>
      <c r="J66" s="15">
        <f t="shared" si="33"/>
        <v>400</v>
      </c>
      <c r="K66" s="15">
        <f t="shared" si="33"/>
        <v>400</v>
      </c>
      <c r="L66" s="15">
        <f t="shared" si="33"/>
        <v>400</v>
      </c>
    </row>
    <row r="67" spans="2:14" x14ac:dyDescent="0.25">
      <c r="B67" s="3" t="s">
        <v>5</v>
      </c>
      <c r="C67" s="15">
        <f t="shared" ref="C67:L67" si="34">(C13+C34*2+C35/10)*$N67</f>
        <v>5850</v>
      </c>
      <c r="D67" s="15">
        <f t="shared" si="34"/>
        <v>19912.5</v>
      </c>
      <c r="E67" s="15">
        <f t="shared" si="34"/>
        <v>40005</v>
      </c>
      <c r="F67" s="15">
        <f t="shared" si="34"/>
        <v>51124.5</v>
      </c>
      <c r="G67" s="15">
        <f t="shared" si="34"/>
        <v>62865</v>
      </c>
      <c r="H67" s="15">
        <f t="shared" si="34"/>
        <v>79312.5</v>
      </c>
      <c r="I67" s="15">
        <f t="shared" si="34"/>
        <v>81778.5</v>
      </c>
      <c r="J67" s="15">
        <f t="shared" si="34"/>
        <v>84249</v>
      </c>
      <c r="K67" s="15">
        <f t="shared" si="34"/>
        <v>86760</v>
      </c>
      <c r="L67" s="15">
        <f t="shared" si="34"/>
        <v>89311.5</v>
      </c>
      <c r="N67" s="109">
        <v>4.5</v>
      </c>
    </row>
    <row r="68" spans="2:14" ht="3.75" customHeight="1" x14ac:dyDescent="0.25"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4" x14ac:dyDescent="0.25">
      <c r="B69" s="90" t="s">
        <v>6</v>
      </c>
      <c r="C69" s="91">
        <f>SUM(C63:C68)</f>
        <v>38350</v>
      </c>
      <c r="D69" s="91">
        <f t="shared" ref="D69:L69" si="35">SUM(D63:D68)</f>
        <v>98663.614583333328</v>
      </c>
      <c r="E69" s="91">
        <f t="shared" si="35"/>
        <v>130604.3125</v>
      </c>
      <c r="F69" s="91">
        <f t="shared" si="35"/>
        <v>148121.47916666666</v>
      </c>
      <c r="G69" s="91">
        <f t="shared" si="35"/>
        <v>166515.78645833331</v>
      </c>
      <c r="H69" s="91">
        <f t="shared" si="35"/>
        <v>191986.21875</v>
      </c>
      <c r="I69" s="91">
        <f t="shared" si="35"/>
        <v>195380.640625</v>
      </c>
      <c r="J69" s="91">
        <f t="shared" si="35"/>
        <v>198739.5625</v>
      </c>
      <c r="K69" s="91">
        <f t="shared" si="35"/>
        <v>202138.984375</v>
      </c>
      <c r="L69" s="91">
        <f t="shared" si="35"/>
        <v>205578.90625</v>
      </c>
    </row>
    <row r="70" spans="2:14" ht="3.75" customHeight="1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4" x14ac:dyDescent="0.25">
      <c r="B71" s="3" t="s">
        <v>74</v>
      </c>
      <c r="C71" s="15"/>
      <c r="D71" s="15">
        <f>IF(D50&lt;300000,D50*1%+11274,IF(D50&lt;500000,(D50-300000)*2%+4250,(D50-500000)*3%+8250))</f>
        <v>13582.235630152536</v>
      </c>
      <c r="E71" s="15">
        <f>IF(E50&lt;300000,E50*1%+1250,IF(E50&lt;500000,(E50-300000)*2%+4250,(E50-500000)*3%+8250))</f>
        <v>7757.6968375982196</v>
      </c>
      <c r="F71" s="15">
        <f t="shared" ref="F71:L71" si="36">IF(F50&lt;300000,F50*1%+1250,IF(F50&lt;500000,(F50-300000)*2%+4250,(F50-500000)*3%+8250))</f>
        <v>11972.149399524873</v>
      </c>
      <c r="G71" s="15">
        <f t="shared" si="36"/>
        <v>16108.987642370586</v>
      </c>
      <c r="H71" s="15">
        <f t="shared" si="36"/>
        <v>21325.261724905136</v>
      </c>
      <c r="I71" s="15">
        <f t="shared" si="36"/>
        <v>22220.729014339922</v>
      </c>
      <c r="J71" s="15">
        <f t="shared" si="36"/>
        <v>23117.920758598622</v>
      </c>
      <c r="K71" s="15">
        <f t="shared" si="36"/>
        <v>24028.836957681233</v>
      </c>
      <c r="L71" s="15">
        <f t="shared" si="36"/>
        <v>24953.477611587758</v>
      </c>
    </row>
    <row r="72" spans="2:14" x14ac:dyDescent="0.25">
      <c r="B72" s="3" t="s">
        <v>485</v>
      </c>
      <c r="C72" s="15"/>
      <c r="D72" s="15">
        <f>IF(D43&lt;200000,D43*0.5%+1000,IF(D43&lt;500000,(D43-200000)*1.5%+2000,(D43-500000)*2%+6500))</f>
        <v>2462.3534452288022</v>
      </c>
      <c r="E72" s="15">
        <f t="shared" ref="E72:L72" si="37">IF(E43&lt;200000,E43*0.5%+1000,IF(E43&lt;500000,(E43-200000)*1.5%+2000,(E43-500000)*2%+6500))</f>
        <v>5920.7726281986643</v>
      </c>
      <c r="F72" s="15">
        <f t="shared" si="37"/>
        <v>8205.432933016582</v>
      </c>
      <c r="G72" s="15">
        <f t="shared" si="37"/>
        <v>10915.325094913724</v>
      </c>
      <c r="H72" s="15">
        <f t="shared" si="37"/>
        <v>14344.841149936758</v>
      </c>
      <c r="I72" s="15">
        <f t="shared" si="37"/>
        <v>14893.819342893283</v>
      </c>
      <c r="J72" s="15">
        <f t="shared" si="37"/>
        <v>15451.947172399083</v>
      </c>
      <c r="K72" s="15">
        <f t="shared" si="37"/>
        <v>16019.224638454156</v>
      </c>
      <c r="L72" s="15">
        <f t="shared" si="37"/>
        <v>16595.651741058507</v>
      </c>
    </row>
    <row r="73" spans="2:14" x14ac:dyDescent="0.25">
      <c r="B73" s="3" t="s">
        <v>484</v>
      </c>
      <c r="C73" s="15"/>
      <c r="D73" s="15"/>
      <c r="E73" s="15">
        <f>E37*$N73</f>
        <v>3000</v>
      </c>
      <c r="F73" s="15">
        <f t="shared" ref="F73:L73" si="38">F37*$N73</f>
        <v>9000</v>
      </c>
      <c r="G73" s="15">
        <f t="shared" si="38"/>
        <v>9500</v>
      </c>
      <c r="H73" s="15">
        <f t="shared" si="38"/>
        <v>10000</v>
      </c>
      <c r="I73" s="15">
        <f t="shared" si="38"/>
        <v>10500</v>
      </c>
      <c r="J73" s="15">
        <f t="shared" si="38"/>
        <v>11000</v>
      </c>
      <c r="K73" s="15">
        <f t="shared" si="38"/>
        <v>11500</v>
      </c>
      <c r="L73" s="15">
        <f t="shared" si="38"/>
        <v>12000</v>
      </c>
      <c r="N73" s="70">
        <v>100</v>
      </c>
    </row>
    <row r="74" spans="2:14" x14ac:dyDescent="0.25">
      <c r="B74" s="3" t="s">
        <v>36</v>
      </c>
      <c r="C74" s="15">
        <v>1500</v>
      </c>
      <c r="D74" s="15">
        <v>3000</v>
      </c>
      <c r="E74" s="15">
        <f>D74*1.2</f>
        <v>3600</v>
      </c>
      <c r="F74" s="15">
        <f t="shared" ref="F74:L74" si="39">E74*1.2</f>
        <v>4320</v>
      </c>
      <c r="G74" s="15">
        <f t="shared" si="39"/>
        <v>5184</v>
      </c>
      <c r="H74" s="15">
        <f t="shared" si="39"/>
        <v>6220.8</v>
      </c>
      <c r="I74" s="15">
        <f t="shared" si="39"/>
        <v>7464.96</v>
      </c>
      <c r="J74" s="15">
        <f t="shared" si="39"/>
        <v>8957.9519999999993</v>
      </c>
      <c r="K74" s="15">
        <f t="shared" si="39"/>
        <v>10749.542399999998</v>
      </c>
      <c r="L74" s="15">
        <f t="shared" si="39"/>
        <v>12899.450879999999</v>
      </c>
    </row>
    <row r="75" spans="2:14" x14ac:dyDescent="0.25">
      <c r="B75" s="3" t="s">
        <v>7</v>
      </c>
      <c r="C75" s="15">
        <f t="shared" ref="C75:L75" si="40">C$9*$N75</f>
        <v>0</v>
      </c>
      <c r="D75" s="15">
        <f t="shared" si="40"/>
        <v>475</v>
      </c>
      <c r="E75" s="15">
        <f t="shared" si="40"/>
        <v>1950</v>
      </c>
      <c r="F75" s="15">
        <f t="shared" si="40"/>
        <v>2750</v>
      </c>
      <c r="G75" s="15">
        <f t="shared" si="40"/>
        <v>3587.5</v>
      </c>
      <c r="H75" s="15">
        <f t="shared" si="40"/>
        <v>4725</v>
      </c>
      <c r="I75" s="15">
        <f t="shared" si="40"/>
        <v>4837.5</v>
      </c>
      <c r="J75" s="15">
        <f t="shared" si="40"/>
        <v>4950</v>
      </c>
      <c r="K75" s="15">
        <f t="shared" si="40"/>
        <v>5062.5</v>
      </c>
      <c r="L75" s="15">
        <f t="shared" si="40"/>
        <v>5175</v>
      </c>
      <c r="N75" s="70">
        <v>0.25</v>
      </c>
    </row>
    <row r="76" spans="2:14" x14ac:dyDescent="0.25">
      <c r="B76" s="3" t="s">
        <v>75</v>
      </c>
      <c r="C76" s="15">
        <f>'Fs Gx'!D28</f>
        <v>26910.575000000001</v>
      </c>
      <c r="D76" s="15">
        <f>'Fs Gx'!E28</f>
        <v>49665.90098014324</v>
      </c>
      <c r="E76" s="15">
        <f>'Fs Gx'!F28</f>
        <v>57561.421046997777</v>
      </c>
      <c r="F76" s="15">
        <f>'Fs Gx'!G28</f>
        <v>56656.892246742071</v>
      </c>
      <c r="G76" s="15">
        <f>'Fs Gx'!H28</f>
        <v>61286.247044772099</v>
      </c>
      <c r="H76" s="15">
        <f>'Fs Gx'!I28</f>
        <v>67624.078900150751</v>
      </c>
      <c r="I76" s="15">
        <f>'Fs Gx'!J28</f>
        <v>62704.204651605985</v>
      </c>
      <c r="J76" s="15">
        <f>'Fs Gx'!K28</f>
        <v>62689.928064995132</v>
      </c>
      <c r="K76" s="15">
        <f>'Fs Gx'!L28</f>
        <v>62965.714277992891</v>
      </c>
      <c r="L76" s="15">
        <f>'Fs Gx'!M28</f>
        <v>63825.872999653162</v>
      </c>
    </row>
    <row r="77" spans="2:14" ht="3.75" customHeight="1" x14ac:dyDescent="0.25">
      <c r="B77" s="3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4" x14ac:dyDescent="0.25">
      <c r="B78" s="90" t="s">
        <v>8</v>
      </c>
      <c r="C78" s="91">
        <f t="shared" ref="C78:L78" si="41">SUM(C71:C77)</f>
        <v>28410.575000000001</v>
      </c>
      <c r="D78" s="91">
        <f t="shared" si="41"/>
        <v>69185.490055524569</v>
      </c>
      <c r="E78" s="91">
        <f t="shared" si="41"/>
        <v>79789.890512794664</v>
      </c>
      <c r="F78" s="91">
        <f t="shared" si="41"/>
        <v>92904.474579283531</v>
      </c>
      <c r="G78" s="91">
        <f t="shared" si="41"/>
        <v>106582.0597820564</v>
      </c>
      <c r="H78" s="91">
        <f t="shared" si="41"/>
        <v>124239.98177499264</v>
      </c>
      <c r="I78" s="91">
        <f t="shared" si="41"/>
        <v>122621.21300883919</v>
      </c>
      <c r="J78" s="91">
        <f t="shared" si="41"/>
        <v>126167.74799599283</v>
      </c>
      <c r="K78" s="91">
        <f t="shared" si="41"/>
        <v>130325.81827412828</v>
      </c>
      <c r="L78" s="91">
        <f t="shared" si="41"/>
        <v>135449.45323229942</v>
      </c>
    </row>
    <row r="79" spans="2:14" ht="3.75" customHeight="1" x14ac:dyDescent="0.25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2:14" x14ac:dyDescent="0.25">
      <c r="B80" s="3" t="s">
        <v>77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5" x14ac:dyDescent="0.25">
      <c r="B81" s="3" t="s">
        <v>76</v>
      </c>
      <c r="C81" s="17">
        <f t="shared" ref="C81:L81" si="42">IF(C50&gt;500000,(C50-500000)*0.5%,0)</f>
        <v>0</v>
      </c>
      <c r="D81" s="17">
        <f t="shared" si="42"/>
        <v>0</v>
      </c>
      <c r="E81" s="17">
        <f t="shared" si="42"/>
        <v>0</v>
      </c>
      <c r="F81" s="17">
        <f t="shared" si="42"/>
        <v>620.3582332541456</v>
      </c>
      <c r="G81" s="17">
        <f t="shared" si="42"/>
        <v>1309.8312737284309</v>
      </c>
      <c r="H81" s="17">
        <f t="shared" si="42"/>
        <v>2179.2102874841898</v>
      </c>
      <c r="I81" s="17">
        <f t="shared" si="42"/>
        <v>2328.4548357233207</v>
      </c>
      <c r="J81" s="17">
        <f t="shared" si="42"/>
        <v>2477.9867930997707</v>
      </c>
      <c r="K81" s="17">
        <f t="shared" si="42"/>
        <v>2629.806159613539</v>
      </c>
      <c r="L81" s="17">
        <f t="shared" si="42"/>
        <v>2783.9129352646264</v>
      </c>
    </row>
    <row r="82" spans="2:15" ht="3.75" customHeight="1" x14ac:dyDescent="0.25">
      <c r="B82" s="3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2:15" x14ac:dyDescent="0.25">
      <c r="B83" s="90" t="s">
        <v>9</v>
      </c>
      <c r="C83" s="91">
        <f>SUM(C80:C81)</f>
        <v>0</v>
      </c>
      <c r="D83" s="91">
        <f t="shared" ref="D83:L83" si="43">SUM(D80:D81)</f>
        <v>0</v>
      </c>
      <c r="E83" s="91">
        <f t="shared" si="43"/>
        <v>0</v>
      </c>
      <c r="F83" s="91">
        <f t="shared" si="43"/>
        <v>620.3582332541456</v>
      </c>
      <c r="G83" s="91">
        <f t="shared" si="43"/>
        <v>1309.8312737284309</v>
      </c>
      <c r="H83" s="91">
        <f t="shared" si="43"/>
        <v>2179.2102874841898</v>
      </c>
      <c r="I83" s="91">
        <f t="shared" si="43"/>
        <v>2328.4548357233207</v>
      </c>
      <c r="J83" s="91">
        <f t="shared" si="43"/>
        <v>2477.9867930997707</v>
      </c>
      <c r="K83" s="91">
        <f t="shared" si="43"/>
        <v>2629.806159613539</v>
      </c>
      <c r="L83" s="91">
        <f t="shared" si="43"/>
        <v>2783.9129352646264</v>
      </c>
    </row>
    <row r="84" spans="2:15" ht="3.75" customHeight="1" x14ac:dyDescent="0.25"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2:15" x14ac:dyDescent="0.25">
      <c r="B85" s="3" t="s">
        <v>209</v>
      </c>
      <c r="C85" s="17">
        <f>2000*6</f>
        <v>12000</v>
      </c>
      <c r="D85" s="17">
        <f>3000*12</f>
        <v>36000</v>
      </c>
      <c r="E85" s="17">
        <f t="shared" ref="E85:L85" si="44">3000*12</f>
        <v>36000</v>
      </c>
      <c r="F85" s="17">
        <f t="shared" si="44"/>
        <v>36000</v>
      </c>
      <c r="G85" s="17">
        <f t="shared" si="44"/>
        <v>36000</v>
      </c>
      <c r="H85" s="17">
        <f t="shared" si="44"/>
        <v>36000</v>
      </c>
      <c r="I85" s="17">
        <f t="shared" si="44"/>
        <v>36000</v>
      </c>
      <c r="J85" s="17">
        <f t="shared" si="44"/>
        <v>36000</v>
      </c>
      <c r="K85" s="17">
        <f t="shared" si="44"/>
        <v>36000</v>
      </c>
      <c r="L85" s="17">
        <f t="shared" si="44"/>
        <v>36000</v>
      </c>
    </row>
    <row r="86" spans="2:15" x14ac:dyDescent="0.25">
      <c r="B86" s="3" t="s">
        <v>10</v>
      </c>
      <c r="C86" s="17">
        <f>SUM(C25:C27)*1600*6</f>
        <v>7200</v>
      </c>
      <c r="D86" s="17">
        <f>SUM(D25:D27)*2200*12</f>
        <v>79200</v>
      </c>
      <c r="E86" s="17">
        <f t="shared" ref="E86:L86" si="45">SUM(E25:E27)*2200*12</f>
        <v>158400</v>
      </c>
      <c r="F86" s="17">
        <f t="shared" si="45"/>
        <v>171600</v>
      </c>
      <c r="G86" s="17">
        <f t="shared" si="45"/>
        <v>184800</v>
      </c>
      <c r="H86" s="17">
        <f t="shared" si="45"/>
        <v>198000</v>
      </c>
      <c r="I86" s="17">
        <f t="shared" si="45"/>
        <v>198000</v>
      </c>
      <c r="J86" s="17">
        <f t="shared" si="45"/>
        <v>198000</v>
      </c>
      <c r="K86" s="17">
        <f t="shared" si="45"/>
        <v>198000</v>
      </c>
      <c r="L86" s="17">
        <f t="shared" si="45"/>
        <v>198000</v>
      </c>
    </row>
    <row r="87" spans="2:15" x14ac:dyDescent="0.25">
      <c r="B87" s="3" t="s">
        <v>11</v>
      </c>
      <c r="C87" s="17">
        <f t="shared" ref="C87:L87" si="46">C28*1500*12</f>
        <v>0</v>
      </c>
      <c r="D87" s="17">
        <f t="shared" si="46"/>
        <v>35824.28571428571</v>
      </c>
      <c r="E87" s="17">
        <f t="shared" si="46"/>
        <v>120510</v>
      </c>
      <c r="F87" s="17">
        <f t="shared" si="46"/>
        <v>169523.82352941175</v>
      </c>
      <c r="G87" s="17">
        <f t="shared" si="46"/>
        <v>222796.62735682508</v>
      </c>
      <c r="H87" s="17">
        <f t="shared" si="46"/>
        <v>296944.4472598728</v>
      </c>
      <c r="I87" s="17">
        <f t="shared" si="46"/>
        <v>299054.67404955055</v>
      </c>
      <c r="J87" s="17">
        <f t="shared" si="46"/>
        <v>300740.65976274572</v>
      </c>
      <c r="K87" s="17">
        <f t="shared" si="46"/>
        <v>302271.67683552206</v>
      </c>
      <c r="L87" s="17">
        <f t="shared" si="46"/>
        <v>303652.28919738636</v>
      </c>
    </row>
    <row r="88" spans="2:15" x14ac:dyDescent="0.25">
      <c r="B88" s="3" t="s">
        <v>27</v>
      </c>
      <c r="C88" s="17">
        <f>(C85+C86+C87)*0.3</f>
        <v>5760</v>
      </c>
      <c r="D88" s="17">
        <f>(D85+D86+D87*0.6)*0.43</f>
        <v>58778.665714285708</v>
      </c>
      <c r="E88" s="17">
        <f>(E85+E86+E87*0.6)*0.43</f>
        <v>114683.58</v>
      </c>
      <c r="F88" s="17">
        <f t="shared" ref="F88:L88" si="47">(F85+F86+F87*0.6)*0.43</f>
        <v>133005.14647058822</v>
      </c>
      <c r="G88" s="17">
        <f t="shared" si="47"/>
        <v>152425.52985806085</v>
      </c>
      <c r="H88" s="17">
        <f t="shared" si="47"/>
        <v>177231.66739304719</v>
      </c>
      <c r="I88" s="17">
        <f t="shared" si="47"/>
        <v>177776.10590478402</v>
      </c>
      <c r="J88" s="17">
        <f t="shared" si="47"/>
        <v>178211.09021878839</v>
      </c>
      <c r="K88" s="17">
        <f t="shared" si="47"/>
        <v>178606.09262356468</v>
      </c>
      <c r="L88" s="17">
        <f t="shared" si="47"/>
        <v>178962.29061292566</v>
      </c>
      <c r="N88" s="70">
        <f>D43-D69-D75-D90*0.8+D53</f>
        <v>12829.572289062999</v>
      </c>
      <c r="O88" s="70">
        <f>E43-E69-E75-E90*0.8+E53</f>
        <v>81863.050379910914</v>
      </c>
    </row>
    <row r="89" spans="2:15" ht="3.75" customHeight="1" x14ac:dyDescent="0.25">
      <c r="B89" s="3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5" x14ac:dyDescent="0.25">
      <c r="B90" s="90" t="s">
        <v>12</v>
      </c>
      <c r="C90" s="91">
        <f t="shared" ref="C90:L90" si="48">SUM(C86:C88)</f>
        <v>12960</v>
      </c>
      <c r="D90" s="91">
        <f t="shared" si="48"/>
        <v>173802.95142857142</v>
      </c>
      <c r="E90" s="91">
        <f t="shared" si="48"/>
        <v>393593.58</v>
      </c>
      <c r="F90" s="91">
        <f t="shared" si="48"/>
        <v>474128.97</v>
      </c>
      <c r="G90" s="91">
        <f t="shared" si="48"/>
        <v>560022.15721488593</v>
      </c>
      <c r="H90" s="91">
        <f t="shared" si="48"/>
        <v>672176.11465292005</v>
      </c>
      <c r="I90" s="91">
        <f t="shared" si="48"/>
        <v>674830.7799543346</v>
      </c>
      <c r="J90" s="91">
        <f t="shared" si="48"/>
        <v>676951.74998153409</v>
      </c>
      <c r="K90" s="91">
        <f t="shared" si="48"/>
        <v>678877.7694590867</v>
      </c>
      <c r="L90" s="91">
        <f t="shared" si="48"/>
        <v>680614.57981031202</v>
      </c>
    </row>
    <row r="91" spans="2:15" ht="3.75" customHeight="1" x14ac:dyDescent="0.25">
      <c r="B91" s="11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5" hidden="1" x14ac:dyDescent="0.25">
      <c r="B92" s="11" t="s">
        <v>13</v>
      </c>
      <c r="C92" s="17"/>
      <c r="D92" s="17">
        <f>Invest!$I62*(Invest!L62+Invest!K62)/Invest!G62*0.5</f>
        <v>32239.475135816574</v>
      </c>
      <c r="E92" s="17">
        <f>Invest!$I62*(Invest!M62)/Invest!G62*0.5+D92*2</f>
        <v>74133.808469149895</v>
      </c>
      <c r="F92" s="17">
        <f>Invest!$I62</f>
        <v>83788.666666666657</v>
      </c>
      <c r="G92" s="17">
        <f>Invest!$I62</f>
        <v>83788.666666666657</v>
      </c>
      <c r="H92" s="17">
        <f>Invest!$I62</f>
        <v>83788.666666666657</v>
      </c>
      <c r="I92" s="17">
        <f>Invest!$I62</f>
        <v>83788.666666666657</v>
      </c>
      <c r="J92" s="17">
        <f>Invest!$I62</f>
        <v>83788.666666666657</v>
      </c>
      <c r="K92" s="17">
        <f>Invest!$I62</f>
        <v>83788.666666666657</v>
      </c>
      <c r="L92" s="17">
        <f>Invest!$I62</f>
        <v>83788.666666666657</v>
      </c>
    </row>
    <row r="93" spans="2:15" ht="3.75" hidden="1" customHeight="1" x14ac:dyDescent="0.25">
      <c r="B93" s="6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5" x14ac:dyDescent="0.25">
      <c r="B94" s="90" t="s">
        <v>14</v>
      </c>
      <c r="C94" s="91">
        <f>C92</f>
        <v>0</v>
      </c>
      <c r="D94" s="91">
        <f t="shared" ref="D94:L94" si="49">D92</f>
        <v>32239.475135816574</v>
      </c>
      <c r="E94" s="91">
        <f t="shared" si="49"/>
        <v>74133.808469149895</v>
      </c>
      <c r="F94" s="91">
        <f t="shared" si="49"/>
        <v>83788.666666666657</v>
      </c>
      <c r="G94" s="91">
        <f t="shared" si="49"/>
        <v>83788.666666666657</v>
      </c>
      <c r="H94" s="91">
        <f t="shared" si="49"/>
        <v>83788.666666666657</v>
      </c>
      <c r="I94" s="91">
        <f t="shared" si="49"/>
        <v>83788.666666666657</v>
      </c>
      <c r="J94" s="91">
        <f t="shared" si="49"/>
        <v>83788.666666666657</v>
      </c>
      <c r="K94" s="91">
        <f t="shared" si="49"/>
        <v>83788.666666666657</v>
      </c>
      <c r="L94" s="91">
        <f t="shared" si="49"/>
        <v>83788.666666666657</v>
      </c>
    </row>
    <row r="95" spans="2:15" ht="3.75" customHeight="1" x14ac:dyDescent="0.25">
      <c r="B95" s="12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5" x14ac:dyDescent="0.25">
      <c r="B96" s="3" t="s">
        <v>15</v>
      </c>
      <c r="C96" s="17">
        <f>Invest!K84</f>
        <v>2833.3333333333335</v>
      </c>
      <c r="D96" s="17">
        <f>Invest!L84</f>
        <v>23487.037717962186</v>
      </c>
      <c r="E96" s="17">
        <f>Invest!M84</f>
        <v>24049.041441261572</v>
      </c>
      <c r="F96" s="17">
        <f>Invest!N84</f>
        <v>22213.372586638066</v>
      </c>
      <c r="G96" s="17">
        <f>Invest!O84</f>
        <v>20504.879337365866</v>
      </c>
      <c r="H96" s="17">
        <f>Invest!P84</f>
        <v>19268.01394380493</v>
      </c>
      <c r="I96" s="17">
        <f>Invest!Q84</f>
        <v>3261.6171993569133</v>
      </c>
      <c r="J96" s="17">
        <f>Invest!R84</f>
        <v>1560.0824860128619</v>
      </c>
      <c r="K96" s="17">
        <f>Invest!S84</f>
        <v>458.54777266881035</v>
      </c>
      <c r="L96" s="17">
        <f>Invest!T84</f>
        <v>-642.98694067524116</v>
      </c>
    </row>
    <row r="97" spans="2:14" x14ac:dyDescent="0.25">
      <c r="B97" s="3" t="s">
        <v>16</v>
      </c>
      <c r="C97" s="17">
        <v>0</v>
      </c>
      <c r="D97" s="17">
        <f>SUM(SF!$C11:D11)*2%</f>
        <v>405.86476496848735</v>
      </c>
      <c r="E97" s="17">
        <f>SUM(SF!$C11:E11)*2%</f>
        <v>847.26834697217669</v>
      </c>
      <c r="F97" s="17">
        <f>SUM(SF!$C11:F11)*2%</f>
        <v>1137.1026453610411</v>
      </c>
      <c r="G97" s="17">
        <f>SUM(SF!$C11:G11)*2%</f>
        <v>1381.3473312611652</v>
      </c>
      <c r="H97" s="17">
        <f>SUM(SF!$C11:H11)*2%</f>
        <v>1688.8589510986067</v>
      </c>
      <c r="I97" s="17">
        <f>SUM(SF!$C11:I11)*2%</f>
        <v>1743.1232838960345</v>
      </c>
      <c r="J97" s="17">
        <f>SUM(SF!$C11:J11)*2%</f>
        <v>1798.1920222400859</v>
      </c>
      <c r="K97" s="17">
        <f>SUM(SF!$C11:K11)*2%</f>
        <v>1854.0651661307613</v>
      </c>
      <c r="L97" s="17">
        <f>SUM(SF!$C11:L11)*2%</f>
        <v>1910.7427155680602</v>
      </c>
    </row>
    <row r="98" spans="2:14" ht="5.25" customHeight="1" x14ac:dyDescent="0.25"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4" x14ac:dyDescent="0.25">
      <c r="B99" s="90" t="s">
        <v>17</v>
      </c>
      <c r="C99" s="91">
        <f>SUM(C96:C98)</f>
        <v>2833.3333333333335</v>
      </c>
      <c r="D99" s="91">
        <f>SUM(D96:D98)</f>
        <v>23892.902482930673</v>
      </c>
      <c r="E99" s="91">
        <f t="shared" ref="E99:L99" si="50">SUM(E96:E98)</f>
        <v>24896.30978823375</v>
      </c>
      <c r="F99" s="91">
        <f t="shared" si="50"/>
        <v>23350.475231999109</v>
      </c>
      <c r="G99" s="91">
        <f t="shared" si="50"/>
        <v>21886.22666862703</v>
      </c>
      <c r="H99" s="91">
        <f t="shared" si="50"/>
        <v>20956.872894903536</v>
      </c>
      <c r="I99" s="91">
        <f t="shared" si="50"/>
        <v>5004.7404832529483</v>
      </c>
      <c r="J99" s="91">
        <f t="shared" si="50"/>
        <v>3358.2745082529477</v>
      </c>
      <c r="K99" s="91">
        <f t="shared" si="50"/>
        <v>2312.6129387995716</v>
      </c>
      <c r="L99" s="91">
        <f t="shared" si="50"/>
        <v>1267.7557748928191</v>
      </c>
      <c r="N99" s="70" t="s">
        <v>315</v>
      </c>
    </row>
    <row r="100" spans="2:14" ht="3.75" customHeight="1" x14ac:dyDescent="0.25"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4" x14ac:dyDescent="0.25">
      <c r="B101" s="90" t="s">
        <v>18</v>
      </c>
      <c r="C101" s="91">
        <f>SUM(C69,C78,C83,C90,C99,C94)</f>
        <v>82553.908333333326</v>
      </c>
      <c r="D101" s="91">
        <f t="shared" ref="D101:L101" si="51">SUM(D69,D78,D83,D90,D94,D99)</f>
        <v>397784.43368617655</v>
      </c>
      <c r="E101" s="91">
        <f t="shared" si="51"/>
        <v>703017.90127017826</v>
      </c>
      <c r="F101" s="91">
        <f t="shared" si="51"/>
        <v>822914.42387786997</v>
      </c>
      <c r="G101" s="91">
        <f t="shared" si="51"/>
        <v>940104.72806429781</v>
      </c>
      <c r="H101" s="91">
        <f t="shared" si="51"/>
        <v>1095327.0650269673</v>
      </c>
      <c r="I101" s="91">
        <f t="shared" si="51"/>
        <v>1083954.4955738168</v>
      </c>
      <c r="J101" s="91">
        <f t="shared" si="51"/>
        <v>1091483.9884455465</v>
      </c>
      <c r="K101" s="91">
        <f t="shared" si="51"/>
        <v>1100073.6578732948</v>
      </c>
      <c r="L101" s="91">
        <f t="shared" si="51"/>
        <v>1109483.2746694356</v>
      </c>
    </row>
    <row r="102" spans="2:14" ht="3.75" customHeight="1" x14ac:dyDescent="0.25">
      <c r="B102" s="13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4" x14ac:dyDescent="0.25">
      <c r="B103" s="3" t="s">
        <v>118</v>
      </c>
      <c r="C103" s="17">
        <f t="shared" ref="C103" si="52">IF((C60-C101)&gt;0,(C60-C101)*35%,0)</f>
        <v>0</v>
      </c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ht="3.75" customHeight="1" x14ac:dyDescent="0.25"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4" x14ac:dyDescent="0.25">
      <c r="B105" s="90" t="s">
        <v>19</v>
      </c>
      <c r="C105" s="91">
        <f t="shared" ref="C105:L105" si="53">C60-C101</f>
        <v>-13653.908333333326</v>
      </c>
      <c r="D105" s="91">
        <f t="shared" si="53"/>
        <v>-89570.016626207274</v>
      </c>
      <c r="E105" s="91">
        <f t="shared" si="53"/>
        <v>-113160.57071696047</v>
      </c>
      <c r="F105" s="91">
        <f t="shared" si="53"/>
        <v>-74593.633411035291</v>
      </c>
      <c r="G105" s="91">
        <f t="shared" si="53"/>
        <v>-33870.104545858689</v>
      </c>
      <c r="H105" s="91">
        <f t="shared" si="53"/>
        <v>26565.657757990994</v>
      </c>
      <c r="I105" s="91">
        <f t="shared" si="53"/>
        <v>68976.24965495104</v>
      </c>
      <c r="J105" s="91">
        <f t="shared" si="53"/>
        <v>92303.201207896695</v>
      </c>
      <c r="K105" s="91">
        <f t="shared" si="53"/>
        <v>114940.13320341171</v>
      </c>
      <c r="L105" s="91">
        <f t="shared" si="53"/>
        <v>137129.84660339891</v>
      </c>
    </row>
    <row r="106" spans="2:14" ht="3.75" customHeight="1" x14ac:dyDescent="0.25"/>
    <row r="107" spans="2:14" x14ac:dyDescent="0.25">
      <c r="B107" s="90" t="s">
        <v>33</v>
      </c>
      <c r="C107" s="91">
        <f t="shared" ref="C107:L107" si="54">C105+C92-C57</f>
        <v>-13653.908333333326</v>
      </c>
      <c r="D107" s="91">
        <f t="shared" si="54"/>
        <v>-64534.410535106494</v>
      </c>
      <c r="E107" s="91">
        <f t="shared" si="54"/>
        <v>-55591.865921117373</v>
      </c>
      <c r="F107" s="91">
        <f t="shared" si="54"/>
        <v>-9527.4360015506463</v>
      </c>
      <c r="G107" s="91">
        <f t="shared" si="54"/>
        <v>31196.092863625956</v>
      </c>
      <c r="H107" s="91">
        <f t="shared" si="54"/>
        <v>91631.855167475645</v>
      </c>
      <c r="I107" s="91">
        <f t="shared" si="54"/>
        <v>134042.44706443569</v>
      </c>
      <c r="J107" s="91">
        <f t="shared" si="54"/>
        <v>157369.39861738135</v>
      </c>
      <c r="K107" s="91">
        <f t="shared" si="54"/>
        <v>180006.33061289636</v>
      </c>
      <c r="L107" s="91">
        <f t="shared" si="54"/>
        <v>202196.04401288356</v>
      </c>
    </row>
    <row r="109" spans="2:14" x14ac:dyDescent="0.25">
      <c r="B109" s="90" t="s">
        <v>34</v>
      </c>
      <c r="C109" s="91">
        <f t="shared" ref="C109:L109" si="55">(C43+C47)*1.055*1/12+C48*1.2*1.5/12</f>
        <v>6057.458333333333</v>
      </c>
      <c r="D109" s="91">
        <f t="shared" si="55"/>
        <v>20293.238248424368</v>
      </c>
      <c r="E109" s="91">
        <f t="shared" si="55"/>
        <v>42363.417348608833</v>
      </c>
      <c r="F109" s="91">
        <f t="shared" si="55"/>
        <v>56855.132268052053</v>
      </c>
      <c r="G109" s="91">
        <f t="shared" si="55"/>
        <v>69067.366563058255</v>
      </c>
      <c r="H109" s="91">
        <f t="shared" si="55"/>
        <v>84442.947554930332</v>
      </c>
      <c r="I109" s="91">
        <f t="shared" si="55"/>
        <v>87156.16419480172</v>
      </c>
      <c r="J109" s="91">
        <f t="shared" si="55"/>
        <v>89909.601112004297</v>
      </c>
      <c r="K109" s="91">
        <f t="shared" si="55"/>
        <v>92703.25830653806</v>
      </c>
      <c r="L109" s="91">
        <f t="shared" si="55"/>
        <v>95537.135778403011</v>
      </c>
    </row>
    <row r="111" spans="2:14" ht="15.75" thickBot="1" x14ac:dyDescent="0.3"/>
    <row r="112" spans="2:14" ht="16.350000000000001" customHeight="1" thickBot="1" x14ac:dyDescent="0.3">
      <c r="B112" s="213" t="s">
        <v>94</v>
      </c>
      <c r="C112" s="215">
        <f t="shared" ref="C112:L112" si="56">C2</f>
        <v>2017</v>
      </c>
      <c r="D112" s="215">
        <f t="shared" si="56"/>
        <v>2018</v>
      </c>
      <c r="E112" s="215">
        <f t="shared" si="56"/>
        <v>2019</v>
      </c>
      <c r="F112" s="217">
        <f t="shared" si="56"/>
        <v>2020</v>
      </c>
      <c r="G112" s="219">
        <f t="shared" si="56"/>
        <v>2021</v>
      </c>
      <c r="H112" s="215">
        <f t="shared" si="56"/>
        <v>2022</v>
      </c>
      <c r="I112" s="215">
        <f t="shared" si="56"/>
        <v>2023</v>
      </c>
      <c r="J112" s="215">
        <f t="shared" si="56"/>
        <v>2024</v>
      </c>
      <c r="K112" s="215">
        <f t="shared" si="56"/>
        <v>2025</v>
      </c>
      <c r="L112" s="219">
        <f t="shared" si="56"/>
        <v>2026</v>
      </c>
    </row>
    <row r="113" spans="2:14" ht="16.350000000000001" customHeight="1" thickBot="1" x14ac:dyDescent="0.3">
      <c r="B113" s="214"/>
      <c r="C113" s="216"/>
      <c r="D113" s="216"/>
      <c r="E113" s="216"/>
      <c r="F113" s="218"/>
      <c r="G113" s="220"/>
      <c r="H113" s="216"/>
      <c r="I113" s="216"/>
      <c r="J113" s="216"/>
      <c r="K113" s="216"/>
      <c r="L113" s="220"/>
    </row>
    <row r="114" spans="2:14" ht="15.75" thickBot="1" x14ac:dyDescent="0.3"/>
    <row r="115" spans="2:14" x14ac:dyDescent="0.25">
      <c r="B115" s="10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4" x14ac:dyDescent="0.25">
      <c r="B116" s="146" t="s">
        <v>151</v>
      </c>
      <c r="C116" s="145">
        <f t="shared" ref="C116:L116" si="57">C50</f>
        <v>68900</v>
      </c>
      <c r="D116" s="145">
        <f t="shared" si="57"/>
        <v>230823.56301525349</v>
      </c>
      <c r="E116" s="145">
        <f t="shared" si="57"/>
        <v>475384.84187991096</v>
      </c>
      <c r="F116" s="145">
        <f t="shared" si="57"/>
        <v>624071.64665082912</v>
      </c>
      <c r="G116" s="145">
        <f t="shared" si="57"/>
        <v>761966.25474568619</v>
      </c>
      <c r="H116" s="145">
        <f t="shared" si="57"/>
        <v>935842.05749683792</v>
      </c>
      <c r="I116" s="145">
        <f t="shared" si="57"/>
        <v>965690.96714466414</v>
      </c>
      <c r="J116" s="145">
        <f t="shared" si="57"/>
        <v>995597.35861995409</v>
      </c>
      <c r="K116" s="145">
        <f t="shared" si="57"/>
        <v>1025961.2319227078</v>
      </c>
      <c r="L116" s="145">
        <f t="shared" si="57"/>
        <v>1056782.5870529253</v>
      </c>
    </row>
    <row r="117" spans="2:14" hidden="1" x14ac:dyDescent="0.25">
      <c r="B117" s="1" t="s">
        <v>152</v>
      </c>
      <c r="C117" s="2">
        <f t="shared" ref="C117:L117" si="58">C55</f>
        <v>0</v>
      </c>
      <c r="D117" s="2">
        <f t="shared" si="58"/>
        <v>70186.985000000001</v>
      </c>
      <c r="E117" s="2">
        <f t="shared" si="58"/>
        <v>97907.385000000009</v>
      </c>
      <c r="F117" s="2">
        <f t="shared" si="58"/>
        <v>105526.67455882354</v>
      </c>
      <c r="G117" s="2">
        <f t="shared" si="58"/>
        <v>125545.89951557094</v>
      </c>
      <c r="H117" s="2">
        <f t="shared" si="58"/>
        <v>167328.19603093833</v>
      </c>
      <c r="I117" s="2">
        <f t="shared" si="58"/>
        <v>168517.30882692174</v>
      </c>
      <c r="J117" s="2">
        <f t="shared" si="58"/>
        <v>169467.36177630723</v>
      </c>
      <c r="K117" s="2">
        <f t="shared" si="58"/>
        <v>170330.08989681667</v>
      </c>
      <c r="L117" s="2">
        <f t="shared" si="58"/>
        <v>171108.06496272722</v>
      </c>
      <c r="N117" s="70">
        <v>150</v>
      </c>
    </row>
    <row r="118" spans="2:14" x14ac:dyDescent="0.25">
      <c r="B118" s="3" t="s">
        <v>306</v>
      </c>
      <c r="C118" s="2">
        <f>C90-C55</f>
        <v>12960</v>
      </c>
      <c r="D118" s="2">
        <f t="shared" ref="D118:L118" si="59">D90-D55</f>
        <v>103615.96642857142</v>
      </c>
      <c r="E118" s="2">
        <f t="shared" si="59"/>
        <v>295686.19500000001</v>
      </c>
      <c r="F118" s="2">
        <f t="shared" si="59"/>
        <v>368602.29544117645</v>
      </c>
      <c r="G118" s="2">
        <f t="shared" si="59"/>
        <v>434476.25769931497</v>
      </c>
      <c r="H118" s="2">
        <f t="shared" si="59"/>
        <v>504847.91862198175</v>
      </c>
      <c r="I118" s="2">
        <f t="shared" si="59"/>
        <v>506313.47112741286</v>
      </c>
      <c r="J118" s="2">
        <f t="shared" si="59"/>
        <v>507484.38820522686</v>
      </c>
      <c r="K118" s="2">
        <f t="shared" si="59"/>
        <v>508547.67956227006</v>
      </c>
      <c r="L118" s="2">
        <f t="shared" si="59"/>
        <v>509506.51484758477</v>
      </c>
    </row>
    <row r="119" spans="2:14" x14ac:dyDescent="0.25">
      <c r="B119" s="3" t="s">
        <v>154</v>
      </c>
      <c r="C119" s="2">
        <f t="shared" ref="C119:L119" si="60">C94+C83+C78+C69</f>
        <v>66760.574999999997</v>
      </c>
      <c r="D119" s="2">
        <f t="shared" si="60"/>
        <v>200088.57977467449</v>
      </c>
      <c r="E119" s="2">
        <f t="shared" si="60"/>
        <v>284528.01148194459</v>
      </c>
      <c r="F119" s="2">
        <f t="shared" si="60"/>
        <v>325434.97864587099</v>
      </c>
      <c r="G119" s="2">
        <f t="shared" si="60"/>
        <v>358196.34418078477</v>
      </c>
      <c r="H119" s="2">
        <f t="shared" si="60"/>
        <v>402194.07747914351</v>
      </c>
      <c r="I119" s="2">
        <f t="shared" si="60"/>
        <v>404118.97513622919</v>
      </c>
      <c r="J119" s="2">
        <f t="shared" si="60"/>
        <v>411173.96395575925</v>
      </c>
      <c r="K119" s="2">
        <f t="shared" si="60"/>
        <v>418883.27547540847</v>
      </c>
      <c r="L119" s="2">
        <f t="shared" si="60"/>
        <v>427600.93908423069</v>
      </c>
    </row>
    <row r="120" spans="2:14" x14ac:dyDescent="0.25">
      <c r="B120" s="6" t="s">
        <v>317</v>
      </c>
      <c r="C120" s="145">
        <f>+C60-(C69+C78+C83+C90+C94)</f>
        <v>-10820.574999999997</v>
      </c>
      <c r="D120" s="145">
        <f t="shared" ref="D120:L120" si="61">+D60-(D69+D78+D83+D90+D94)</f>
        <v>-65677.114143276587</v>
      </c>
      <c r="E120" s="145">
        <f t="shared" si="61"/>
        <v>-88264.260928726755</v>
      </c>
      <c r="F120" s="145">
        <f t="shared" si="61"/>
        <v>-51243.158179036225</v>
      </c>
      <c r="G120" s="145">
        <f t="shared" si="61"/>
        <v>-11983.877877231687</v>
      </c>
      <c r="H120" s="145">
        <f t="shared" si="61"/>
        <v>47522.530652894638</v>
      </c>
      <c r="I120" s="145">
        <f t="shared" si="61"/>
        <v>73980.99013820407</v>
      </c>
      <c r="J120" s="145">
        <f t="shared" si="61"/>
        <v>95661.475716149667</v>
      </c>
      <c r="K120" s="145">
        <f t="shared" si="61"/>
        <v>117252.74614221137</v>
      </c>
      <c r="L120" s="145">
        <f t="shared" si="61"/>
        <v>138397.60237829178</v>
      </c>
    </row>
    <row r="121" spans="2:14" x14ac:dyDescent="0.25">
      <c r="B121" s="6" t="s">
        <v>316</v>
      </c>
      <c r="C121" s="145">
        <f>C105</f>
        <v>-13653.908333333326</v>
      </c>
      <c r="D121" s="145">
        <f t="shared" ref="D121:L121" si="62">D105</f>
        <v>-89570.016626207274</v>
      </c>
      <c r="E121" s="145">
        <f t="shared" si="62"/>
        <v>-113160.57071696047</v>
      </c>
      <c r="F121" s="145">
        <f t="shared" si="62"/>
        <v>-74593.633411035291</v>
      </c>
      <c r="G121" s="145">
        <f t="shared" si="62"/>
        <v>-33870.104545858689</v>
      </c>
      <c r="H121" s="145">
        <f t="shared" si="62"/>
        <v>26565.657757990994</v>
      </c>
      <c r="I121" s="145">
        <f t="shared" si="62"/>
        <v>68976.24965495104</v>
      </c>
      <c r="J121" s="145">
        <f t="shared" si="62"/>
        <v>92303.201207896695</v>
      </c>
      <c r="K121" s="145">
        <f t="shared" si="62"/>
        <v>114940.13320341171</v>
      </c>
      <c r="L121" s="145">
        <f t="shared" si="62"/>
        <v>137129.84660339891</v>
      </c>
    </row>
    <row r="123" spans="2:14" x14ac:dyDescent="0.25">
      <c r="B123" s="6" t="s">
        <v>153</v>
      </c>
      <c r="C123" s="145">
        <f>C107</f>
        <v>-13653.908333333326</v>
      </c>
      <c r="D123" s="145">
        <f t="shared" ref="D123:L123" si="63">D107</f>
        <v>-64534.410535106494</v>
      </c>
      <c r="E123" s="145">
        <f t="shared" si="63"/>
        <v>-55591.865921117373</v>
      </c>
      <c r="F123" s="145">
        <f t="shared" si="63"/>
        <v>-9527.4360015506463</v>
      </c>
      <c r="G123" s="145">
        <f t="shared" si="63"/>
        <v>31196.092863625956</v>
      </c>
      <c r="H123" s="145">
        <f t="shared" si="63"/>
        <v>91631.855167475645</v>
      </c>
      <c r="I123" s="145">
        <f t="shared" si="63"/>
        <v>134042.44706443569</v>
      </c>
      <c r="J123" s="145">
        <f t="shared" si="63"/>
        <v>157369.39861738135</v>
      </c>
      <c r="K123" s="145">
        <f t="shared" si="63"/>
        <v>180006.33061289636</v>
      </c>
      <c r="L123" s="145">
        <f t="shared" si="63"/>
        <v>202196.04401288356</v>
      </c>
    </row>
    <row r="128" spans="2:14" hidden="1" x14ac:dyDescent="0.25"/>
  </sheetData>
  <mergeCells count="33">
    <mergeCell ref="F39:F40"/>
    <mergeCell ref="C2:C3"/>
    <mergeCell ref="D2:D3"/>
    <mergeCell ref="E2:E3"/>
    <mergeCell ref="F2:F3"/>
    <mergeCell ref="B2:B3"/>
    <mergeCell ref="B39:B40"/>
    <mergeCell ref="C39:C40"/>
    <mergeCell ref="D39:D40"/>
    <mergeCell ref="E39:E40"/>
    <mergeCell ref="H2:H3"/>
    <mergeCell ref="I2:I3"/>
    <mergeCell ref="J2:J3"/>
    <mergeCell ref="G39:G40"/>
    <mergeCell ref="H39:H40"/>
    <mergeCell ref="I39:I40"/>
    <mergeCell ref="J39:J40"/>
    <mergeCell ref="K2:K3"/>
    <mergeCell ref="L2:L3"/>
    <mergeCell ref="K39:K40"/>
    <mergeCell ref="L39:L40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G2:G3"/>
  </mergeCells>
  <phoneticPr fontId="1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24" orientation="landscape" horizontalDpi="4294967292" verticalDpi="4294967292" r:id="rId1"/>
  <headerFooter>
    <oddHeader>&amp;L&amp;"Calibri,Normal"&amp;K000000LE PAYSAN URBAIN GRAND PARIS&amp;C&amp;"Calibri,Normal"&amp;K000000BUDGET PREVISIONNEL&amp;R&amp;"Calibri,Normal"&amp;K000000&amp;D</oddHeader>
  </headerFooter>
  <rowBreaks count="2" manualBreakCount="2">
    <brk id="37" max="16383" man="1"/>
    <brk id="38" max="16383" man="1"/>
  </rowBreaks>
  <colBreaks count="1" manualBreakCount="1">
    <brk id="12" max="1048575" man="1"/>
  </colBreaks>
  <drawing r:id="rId2"/>
  <extLst>
    <ext xmlns:mx="http://schemas.microsoft.com/office/mac/excel/2008/main" uri="{64002731-A6B0-56B0-2670-7721B7C09600}">
      <mx:PLV Mode="0" OnePage="0" WScale="6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opLeftCell="A2" workbookViewId="0">
      <selection activeCell="H18" sqref="G18:H18"/>
    </sheetView>
  </sheetViews>
  <sheetFormatPr baseColWidth="10" defaultRowHeight="15.75" x14ac:dyDescent="0.25"/>
  <cols>
    <col min="2" max="2" width="16.875" customWidth="1"/>
  </cols>
  <sheetData>
    <row r="2" spans="2:9" ht="16.5" thickBot="1" x14ac:dyDescent="0.3"/>
    <row r="3" spans="2:9" ht="63.75" customHeight="1" thickBot="1" x14ac:dyDescent="0.3">
      <c r="B3" s="267" t="s">
        <v>446</v>
      </c>
      <c r="C3" s="269" t="s">
        <v>447</v>
      </c>
      <c r="D3" s="270"/>
      <c r="E3" s="269" t="s">
        <v>450</v>
      </c>
      <c r="F3" s="270"/>
      <c r="G3" s="269" t="s">
        <v>451</v>
      </c>
      <c r="H3" s="270"/>
    </row>
    <row r="4" spans="2:9" ht="32.25" thickBot="1" x14ac:dyDescent="0.3">
      <c r="B4" s="268"/>
      <c r="C4" s="202" t="s">
        <v>448</v>
      </c>
      <c r="D4" s="202" t="s">
        <v>449</v>
      </c>
      <c r="E4" s="202" t="s">
        <v>448</v>
      </c>
      <c r="F4" s="202" t="s">
        <v>449</v>
      </c>
      <c r="G4" s="202" t="s">
        <v>448</v>
      </c>
      <c r="H4" s="202" t="s">
        <v>449</v>
      </c>
    </row>
    <row r="5" spans="2:9" ht="16.5" thickBot="1" x14ac:dyDescent="0.3"/>
    <row r="6" spans="2:9" ht="16.5" thickBot="1" x14ac:dyDescent="0.3">
      <c r="B6" s="202" t="s">
        <v>442</v>
      </c>
      <c r="C6" s="191">
        <f>+MOD!$I$29*(MOD!$G$5-MOD!$G$6)/60</f>
        <v>5.9454141534391542</v>
      </c>
      <c r="D6" s="191">
        <f>+MOD!$I$29*(MOD!$G$5-MOD!$G$6)/60</f>
        <v>5.9454141534391542</v>
      </c>
      <c r="E6" s="191">
        <f>+MOD!$I$29*(MOD!$G$5-MOD!$G$6)/60</f>
        <v>5.9454141534391542</v>
      </c>
      <c r="F6" s="191">
        <f>+MOD!$I$29*(MOD!$G$5-MOD!$G$6)/60</f>
        <v>5.9454141534391542</v>
      </c>
      <c r="G6" s="191">
        <f>+MOD!$I$29*(MOD!$G$5-MOD!$G$6)/60</f>
        <v>5.9454141534391542</v>
      </c>
      <c r="H6" s="191">
        <f>+MOD!$I$29*(MOD!$G$5-MOD!$G$6)/60</f>
        <v>5.9454141534391542</v>
      </c>
    </row>
    <row r="7" spans="2:9" ht="16.5" thickBot="1" x14ac:dyDescent="0.3">
      <c r="B7" s="202" t="s">
        <v>4</v>
      </c>
      <c r="C7" s="191">
        <f>+Graines!$J17</f>
        <v>1.3742708333333331</v>
      </c>
      <c r="D7" s="191">
        <f>+Graines!$J17</f>
        <v>1.3742708333333331</v>
      </c>
      <c r="E7" s="191">
        <f>+Graines!$J17</f>
        <v>1.3742708333333331</v>
      </c>
      <c r="F7" s="191">
        <f>+Graines!$J17</f>
        <v>1.3742708333333331</v>
      </c>
      <c r="G7" s="191">
        <f>+Graines!$J17</f>
        <v>1.3742708333333331</v>
      </c>
      <c r="H7" s="191">
        <f>+Graines!$J17</f>
        <v>1.3742708333333331</v>
      </c>
    </row>
    <row r="8" spans="2:9" ht="16.5" thickBot="1" x14ac:dyDescent="0.3">
      <c r="B8" s="202" t="s">
        <v>443</v>
      </c>
      <c r="C8" s="191">
        <f>+MOD!$I$34*1.25*(MOD!$G$5-MOD!$G$6)/60</f>
        <v>1.3062499999999999</v>
      </c>
      <c r="D8" s="191">
        <f>+MOD!$I$34*1.25*(MOD!$G$5-MOD!$G$6)/60</f>
        <v>1.3062499999999999</v>
      </c>
      <c r="E8" s="191">
        <f>+MOD!$I$35*1.25*(MOD!$G$5-MOD!$G$6)/60</f>
        <v>3.265625</v>
      </c>
      <c r="F8" s="191">
        <f>+MOD!$I$35*1.25*(MOD!$G$5-MOD!$G$6)/60</f>
        <v>3.265625</v>
      </c>
      <c r="G8" s="191">
        <f>+MOD!$I$36*1.25*(MOD!$G$5-MOD!$G$6)/60</f>
        <v>3.722812499999999</v>
      </c>
      <c r="H8" s="191">
        <f>+MOD!$I$36*1.25*(MOD!$G$5-MOD!$G$6)/60</f>
        <v>3.722812499999999</v>
      </c>
    </row>
    <row r="9" spans="2:9" ht="16.5" thickBot="1" x14ac:dyDescent="0.3">
      <c r="B9" s="202" t="s">
        <v>445</v>
      </c>
      <c r="C9" s="191">
        <v>0.28000000000000003</v>
      </c>
      <c r="D9" s="191">
        <v>0.28000000000000003</v>
      </c>
      <c r="E9" s="191">
        <f>0.3/0.05</f>
        <v>5.9999999999999991</v>
      </c>
      <c r="F9" s="191">
        <f>0.3/0.05</f>
        <v>5.9999999999999991</v>
      </c>
      <c r="G9" s="191">
        <f>0.3/0.035</f>
        <v>8.5714285714285712</v>
      </c>
      <c r="H9" s="191">
        <f>0.3/0.035</f>
        <v>8.5714285714285712</v>
      </c>
    </row>
    <row r="10" spans="2:9" ht="16.5" thickBot="1" x14ac:dyDescent="0.3">
      <c r="B10" s="202" t="s">
        <v>444</v>
      </c>
      <c r="C10" s="191">
        <f>(+MOD!$I$46+MOD!$I$47)*1.25*(MOD!$G$5-MOD!$G$6)/60</f>
        <v>0.97968749999999993</v>
      </c>
      <c r="D10" s="191">
        <f>(+MOD!$I$46+MOD!$I$48)*1.25*(MOD!$G$5-MOD!$G$6)/60</f>
        <v>6.9237847222222229</v>
      </c>
      <c r="E10" s="191">
        <f>(+MOD!$I$46+MOD!$I$47)*1.25*(MOD!$G$5-MOD!$G$6)/60</f>
        <v>0.97968749999999993</v>
      </c>
      <c r="F10" s="191">
        <f>(+MOD!$I$46+MOD!$I$48)*1.25*(MOD!$G$5-MOD!$G$6)/60</f>
        <v>6.9237847222222229</v>
      </c>
      <c r="G10" s="191">
        <f>(+MOD!$I$46+MOD!$I$47)*1.25*(MOD!$G$5-MOD!$G$6)/60</f>
        <v>0.97968749999999993</v>
      </c>
      <c r="H10" s="191">
        <f>(+MOD!$I$46+MOD!$I$48)*1.25*(MOD!$G$5-MOD!$G$6)/60</f>
        <v>6.9237847222222229</v>
      </c>
    </row>
    <row r="11" spans="2:9" ht="16.5" thickBot="1" x14ac:dyDescent="0.3">
      <c r="B11" s="202" t="s">
        <v>454</v>
      </c>
      <c r="C11" s="191">
        <f>+(C6+C7)*$I11</f>
        <v>1.0979527480158731</v>
      </c>
      <c r="D11" s="191">
        <f t="shared" ref="D11:H11" si="0">+(D6+D7)*$I11</f>
        <v>1.0979527480158731</v>
      </c>
      <c r="E11" s="191">
        <f t="shared" si="0"/>
        <v>1.0979527480158731</v>
      </c>
      <c r="F11" s="191">
        <f t="shared" si="0"/>
        <v>1.0979527480158731</v>
      </c>
      <c r="G11" s="191">
        <f t="shared" si="0"/>
        <v>1.0979527480158731</v>
      </c>
      <c r="H11" s="191">
        <f t="shared" si="0"/>
        <v>1.0979527480158731</v>
      </c>
      <c r="I11" s="204">
        <v>0.15</v>
      </c>
    </row>
    <row r="12" spans="2:9" ht="32.25" thickBot="1" x14ac:dyDescent="0.3">
      <c r="B12" s="202" t="s">
        <v>455</v>
      </c>
      <c r="C12" s="191">
        <f>+SUM(C6:C9)*$I12</f>
        <v>0.89059349867724868</v>
      </c>
      <c r="D12" s="191">
        <f t="shared" ref="D12:H12" si="1">+SUM(D6:D9)*$I12</f>
        <v>0.89059349867724868</v>
      </c>
      <c r="E12" s="191">
        <f t="shared" si="1"/>
        <v>1.6585309986772487</v>
      </c>
      <c r="F12" s="191">
        <f t="shared" si="1"/>
        <v>1.6585309986772487</v>
      </c>
      <c r="G12" s="191">
        <f t="shared" si="1"/>
        <v>1.9613926058201061</v>
      </c>
      <c r="H12" s="191">
        <f t="shared" si="1"/>
        <v>1.9613926058201061</v>
      </c>
      <c r="I12" s="204">
        <v>0.1</v>
      </c>
    </row>
    <row r="13" spans="2:9" ht="16.5" thickBot="1" x14ac:dyDescent="0.3"/>
    <row r="14" spans="2:9" ht="32.25" thickBot="1" x14ac:dyDescent="0.3">
      <c r="B14" s="202" t="s">
        <v>457</v>
      </c>
      <c r="C14" s="191">
        <f>SUM(C6:C13)</f>
        <v>11.874168733465607</v>
      </c>
      <c r="D14" s="191">
        <f t="shared" ref="D14:H14" si="2">SUM(D6:D13)</f>
        <v>17.818265955687831</v>
      </c>
      <c r="E14" s="191">
        <f t="shared" si="2"/>
        <v>20.321481233465612</v>
      </c>
      <c r="F14" s="191">
        <f t="shared" si="2"/>
        <v>26.265578455687834</v>
      </c>
      <c r="G14" s="191">
        <f t="shared" si="2"/>
        <v>23.65295891203704</v>
      </c>
      <c r="H14" s="191">
        <f t="shared" si="2"/>
        <v>29.597056134259262</v>
      </c>
      <c r="I14" s="195"/>
    </row>
    <row r="15" spans="2:9" ht="16.5" thickBot="1" x14ac:dyDescent="0.3"/>
    <row r="16" spans="2:9" ht="16.5" thickBot="1" x14ac:dyDescent="0.3">
      <c r="B16" s="202" t="s">
        <v>456</v>
      </c>
      <c r="C16" s="191">
        <v>40</v>
      </c>
      <c r="D16" s="191">
        <v>48</v>
      </c>
      <c r="E16" s="191">
        <f>2.4/0.055</f>
        <v>43.636363636363633</v>
      </c>
      <c r="F16" s="191">
        <f>2.8/0.055</f>
        <v>50.909090909090907</v>
      </c>
      <c r="G16" s="191">
        <f>+E16*1.1</f>
        <v>48</v>
      </c>
      <c r="H16" s="191">
        <f>+F16*1.1</f>
        <v>56</v>
      </c>
      <c r="I16" s="195"/>
    </row>
    <row r="17" spans="2:9" ht="16.5" thickBot="1" x14ac:dyDescent="0.3"/>
    <row r="18" spans="2:9" ht="16.5" thickBot="1" x14ac:dyDescent="0.3">
      <c r="B18" s="202" t="s">
        <v>458</v>
      </c>
      <c r="C18" s="191">
        <f>+(C16-C14)</f>
        <v>28.125831266534391</v>
      </c>
      <c r="D18" s="191">
        <f t="shared" ref="D18:H18" si="3">+(D16-D14)</f>
        <v>30.181734044312169</v>
      </c>
      <c r="E18" s="191">
        <f t="shared" si="3"/>
        <v>23.314882402898021</v>
      </c>
      <c r="F18" s="191">
        <f t="shared" si="3"/>
        <v>24.643512453403073</v>
      </c>
      <c r="G18" s="191">
        <f t="shared" si="3"/>
        <v>24.34704108796296</v>
      </c>
      <c r="H18" s="191">
        <f t="shared" si="3"/>
        <v>26.402943865740738</v>
      </c>
      <c r="I18" s="195"/>
    </row>
    <row r="19" spans="2:9" ht="16.5" thickBot="1" x14ac:dyDescent="0.3"/>
    <row r="20" spans="2:9" ht="16.5" thickBot="1" x14ac:dyDescent="0.3">
      <c r="B20" s="202" t="s">
        <v>471</v>
      </c>
      <c r="C20" s="204">
        <v>0.1</v>
      </c>
      <c r="D20" s="204">
        <v>0.15</v>
      </c>
      <c r="E20" s="204">
        <v>0.3</v>
      </c>
      <c r="F20" s="204">
        <v>0.05</v>
      </c>
      <c r="G20" s="204">
        <v>0.05</v>
      </c>
      <c r="H20" s="204">
        <v>0.35</v>
      </c>
      <c r="I20" s="195"/>
    </row>
    <row r="21" spans="2:9" ht="16.5" thickBot="1" x14ac:dyDescent="0.3"/>
    <row r="22" spans="2:9" ht="32.25" thickBot="1" x14ac:dyDescent="0.3">
      <c r="B22" s="202" t="s">
        <v>480</v>
      </c>
      <c r="C22" s="191">
        <f>+C18*C20</f>
        <v>2.8125831266534393</v>
      </c>
      <c r="D22" s="191">
        <f t="shared" ref="D22:H22" si="4">+D18*D20</f>
        <v>4.5272601066468248</v>
      </c>
      <c r="E22" s="191">
        <f t="shared" si="4"/>
        <v>6.9944647208694066</v>
      </c>
      <c r="F22" s="191">
        <f t="shared" si="4"/>
        <v>1.2321756226701537</v>
      </c>
      <c r="G22" s="191">
        <f t="shared" si="4"/>
        <v>1.2173520543981482</v>
      </c>
      <c r="H22" s="191">
        <f t="shared" si="4"/>
        <v>9.2410303530092577</v>
      </c>
      <c r="I22" s="205">
        <f>SUM(C22:H22)</f>
        <v>26.024865984247228</v>
      </c>
    </row>
  </sheetData>
  <mergeCells count="4">
    <mergeCell ref="B3:B4"/>
    <mergeCell ref="C3:D3"/>
    <mergeCell ref="E3:F3"/>
    <mergeCell ref="G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8"/>
  <sheetViews>
    <sheetView workbookViewId="0">
      <selection activeCell="E19" sqref="E19"/>
    </sheetView>
  </sheetViews>
  <sheetFormatPr baseColWidth="10" defaultRowHeight="15.75" x14ac:dyDescent="0.25"/>
  <cols>
    <col min="2" max="2" width="32.375" customWidth="1"/>
    <col min="3" max="3" width="22.875" customWidth="1"/>
  </cols>
  <sheetData>
    <row r="2" spans="2:13" ht="16.5" thickBot="1" x14ac:dyDescent="0.3"/>
    <row r="3" spans="2:13" s="70" customFormat="1" ht="16.350000000000001" customHeight="1" thickBot="1" x14ac:dyDescent="0.3">
      <c r="B3" s="213" t="s">
        <v>94</v>
      </c>
      <c r="C3" s="211">
        <f>+Expl!C39</f>
        <v>2017</v>
      </c>
      <c r="D3" s="211">
        <f>+Expl!C39</f>
        <v>2017</v>
      </c>
      <c r="E3" s="211">
        <f>+Expl!D39</f>
        <v>2018</v>
      </c>
      <c r="F3" s="211">
        <f>+Expl!E39</f>
        <v>2019</v>
      </c>
      <c r="G3" s="211">
        <f>+Expl!F39</f>
        <v>2020</v>
      </c>
      <c r="H3" s="211">
        <f>+Expl!G39</f>
        <v>2021</v>
      </c>
      <c r="I3" s="211">
        <f>+Expl!H39</f>
        <v>2022</v>
      </c>
      <c r="J3" s="211">
        <f>+Expl!I39</f>
        <v>2023</v>
      </c>
      <c r="K3" s="211">
        <f>+Expl!J39</f>
        <v>2024</v>
      </c>
      <c r="L3" s="211">
        <f>+Expl!K39</f>
        <v>2025</v>
      </c>
      <c r="M3" s="211">
        <f>+Expl!L39</f>
        <v>2026</v>
      </c>
    </row>
    <row r="4" spans="2:13" s="70" customFormat="1" ht="16.350000000000001" customHeight="1" thickBot="1" x14ac:dyDescent="0.3">
      <c r="B4" s="214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2:13" s="70" customFormat="1" thickBot="1" x14ac:dyDescent="0.3"/>
    <row r="6" spans="2:13" s="70" customFormat="1" ht="15" x14ac:dyDescent="0.25">
      <c r="B6" s="10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2:13" s="70" customFormat="1" ht="15" x14ac:dyDescent="0.25">
      <c r="B7" s="110" t="s">
        <v>228</v>
      </c>
      <c r="C7" s="2" t="s">
        <v>245</v>
      </c>
      <c r="D7" s="85">
        <v>1000</v>
      </c>
      <c r="E7" s="85">
        <f>80*40</f>
        <v>3200</v>
      </c>
      <c r="F7" s="85">
        <f>E7*1.1</f>
        <v>3520.0000000000005</v>
      </c>
      <c r="G7" s="85">
        <f t="shared" ref="G7:I7" si="0">F7*1.1</f>
        <v>3872.0000000000009</v>
      </c>
      <c r="H7" s="85">
        <f t="shared" si="0"/>
        <v>4259.2000000000016</v>
      </c>
      <c r="I7" s="85">
        <f t="shared" si="0"/>
        <v>4685.1200000000026</v>
      </c>
      <c r="J7" s="85">
        <f>I7*0.8</f>
        <v>3748.0960000000023</v>
      </c>
      <c r="K7" s="85">
        <f t="shared" ref="K7:M7" si="1">J7*0.8</f>
        <v>2998.4768000000022</v>
      </c>
      <c r="L7" s="85">
        <f t="shared" si="1"/>
        <v>2398.781440000002</v>
      </c>
      <c r="M7" s="85">
        <f t="shared" si="1"/>
        <v>1919.0251520000018</v>
      </c>
    </row>
    <row r="8" spans="2:13" s="70" customFormat="1" ht="15" x14ac:dyDescent="0.25">
      <c r="B8" s="110" t="s">
        <v>229</v>
      </c>
      <c r="C8" s="2"/>
      <c r="D8" s="85">
        <v>6000</v>
      </c>
      <c r="E8" s="85">
        <v>10000</v>
      </c>
      <c r="F8" s="85">
        <v>10000</v>
      </c>
      <c r="G8" s="85">
        <v>6000</v>
      </c>
      <c r="H8" s="85">
        <v>6000</v>
      </c>
      <c r="I8" s="85">
        <v>6000</v>
      </c>
      <c r="J8" s="85">
        <v>6000</v>
      </c>
      <c r="K8" s="85">
        <v>6000</v>
      </c>
      <c r="L8" s="85">
        <v>6000</v>
      </c>
      <c r="M8" s="85">
        <v>6000</v>
      </c>
    </row>
    <row r="9" spans="2:13" s="70" customFormat="1" ht="15" x14ac:dyDescent="0.25">
      <c r="B9" s="110" t="s">
        <v>230</v>
      </c>
      <c r="C9" s="2"/>
      <c r="D9" s="85">
        <v>500</v>
      </c>
      <c r="E9" s="85">
        <v>1200</v>
      </c>
      <c r="F9" s="85">
        <f>+E9*1.05</f>
        <v>1260</v>
      </c>
      <c r="G9" s="85">
        <f t="shared" ref="G9:M9" si="2">+F9*1.05</f>
        <v>1323</v>
      </c>
      <c r="H9" s="85">
        <f t="shared" si="2"/>
        <v>1389.15</v>
      </c>
      <c r="I9" s="85">
        <f t="shared" si="2"/>
        <v>1458.6075000000001</v>
      </c>
      <c r="J9" s="85">
        <f t="shared" si="2"/>
        <v>1531.5378750000002</v>
      </c>
      <c r="K9" s="85">
        <f t="shared" si="2"/>
        <v>1608.1147687500004</v>
      </c>
      <c r="L9" s="85">
        <f t="shared" si="2"/>
        <v>1688.5205071875005</v>
      </c>
      <c r="M9" s="85">
        <f t="shared" si="2"/>
        <v>1772.9465325468755</v>
      </c>
    </row>
    <row r="10" spans="2:13" s="70" customFormat="1" ht="15" x14ac:dyDescent="0.25">
      <c r="B10" s="110" t="s">
        <v>244</v>
      </c>
      <c r="C10" s="2"/>
      <c r="D10" s="85">
        <v>500</v>
      </c>
      <c r="E10" s="85">
        <v>2400</v>
      </c>
      <c r="F10" s="85">
        <v>2400</v>
      </c>
      <c r="G10" s="85">
        <v>2400</v>
      </c>
      <c r="H10" s="85">
        <v>2400</v>
      </c>
      <c r="I10" s="85">
        <v>2400</v>
      </c>
      <c r="J10" s="85">
        <v>2400</v>
      </c>
      <c r="K10" s="85">
        <v>2400</v>
      </c>
      <c r="L10" s="85">
        <v>2400</v>
      </c>
      <c r="M10" s="85">
        <v>2401</v>
      </c>
    </row>
    <row r="11" spans="2:13" s="70" customFormat="1" ht="15" x14ac:dyDescent="0.25">
      <c r="B11" s="110" t="s">
        <v>231</v>
      </c>
      <c r="C11" s="2" t="s">
        <v>246</v>
      </c>
      <c r="D11" s="85">
        <f>+Expl!C48*5%</f>
        <v>0</v>
      </c>
      <c r="E11" s="85">
        <f>+Expl!D48*5%</f>
        <v>0</v>
      </c>
      <c r="F11" s="85">
        <f>+Expl!E48*5%</f>
        <v>600</v>
      </c>
      <c r="G11" s="85">
        <f>+Expl!F48*5%</f>
        <v>1800</v>
      </c>
      <c r="H11" s="85">
        <f>+Expl!G48*5%</f>
        <v>1900</v>
      </c>
      <c r="I11" s="85">
        <f>+Expl!H48*5%</f>
        <v>2000</v>
      </c>
      <c r="J11" s="85">
        <f>+Expl!I48*5%</f>
        <v>2100</v>
      </c>
      <c r="K11" s="85">
        <f>+Expl!J48*5%</f>
        <v>2200</v>
      </c>
      <c r="L11" s="85">
        <f>+Expl!K48*5%</f>
        <v>2300</v>
      </c>
      <c r="M11" s="85">
        <f>+Expl!L48*5%</f>
        <v>2400</v>
      </c>
    </row>
    <row r="12" spans="2:13" s="70" customFormat="1" ht="15" x14ac:dyDescent="0.25">
      <c r="B12" s="110" t="s">
        <v>232</v>
      </c>
      <c r="C12" s="2" t="s">
        <v>247</v>
      </c>
      <c r="D12" s="85">
        <f>+(Expl!C30-Expl!C20)*200</f>
        <v>150</v>
      </c>
      <c r="E12" s="85">
        <f>+(Expl!D30-Expl!D20)*200</f>
        <v>744.71428571428578</v>
      </c>
      <c r="F12" s="85">
        <f>+(Expl!E30-Expl!E20)*200</f>
        <v>1551.5</v>
      </c>
      <c r="G12" s="85">
        <f>+(Expl!F30-Expl!F20)*200</f>
        <v>1873.0098039215686</v>
      </c>
      <c r="H12" s="85">
        <f>+(Expl!G30-Expl!G20)*200</f>
        <v>2201.9309998509211</v>
      </c>
      <c r="I12" s="85">
        <f>+(Expl!H30-Expl!H20)*200</f>
        <v>2641.8415301530072</v>
      </c>
      <c r="J12" s="85">
        <f>+(Expl!I30-Expl!I20)*200</f>
        <v>2655.4883422034709</v>
      </c>
      <c r="K12" s="85">
        <f>+(Expl!J30-Expl!J20)*200</f>
        <v>2667.8089426609326</v>
      </c>
      <c r="L12" s="85">
        <f>+(Expl!K30-Expl!K20)*200</f>
        <v>2679.4924151764408</v>
      </c>
      <c r="M12" s="85">
        <f>+(Expl!L30-Expl!L20)*200</f>
        <v>2690.5493964517086</v>
      </c>
    </row>
    <row r="13" spans="2:13" s="70" customFormat="1" ht="15" x14ac:dyDescent="0.25">
      <c r="B13" s="110" t="s">
        <v>233</v>
      </c>
      <c r="C13" s="2" t="s">
        <v>248</v>
      </c>
      <c r="D13" s="85">
        <f>+Expl!C23*150</f>
        <v>78</v>
      </c>
      <c r="E13" s="85">
        <f>+Expl!D23*150</f>
        <v>379.64285714285711</v>
      </c>
      <c r="F13" s="85">
        <f>+Expl!E23*150</f>
        <v>1072.5</v>
      </c>
      <c r="G13" s="85">
        <f>+Expl!F23*150</f>
        <v>1386.6911764705881</v>
      </c>
      <c r="H13" s="85">
        <f>+Expl!G23*150</f>
        <v>1728.1835086975968</v>
      </c>
      <c r="I13" s="85">
        <f>+Expl!H23*150</f>
        <v>2203.4900465376463</v>
      </c>
      <c r="J13" s="85">
        <f>+Expl!I23*150</f>
        <v>2217.0171413432731</v>
      </c>
      <c r="K13" s="85">
        <f>+Expl!J23*150</f>
        <v>2227.8247420688826</v>
      </c>
      <c r="L13" s="85">
        <f>+Expl!K23*150</f>
        <v>2237.6389540738592</v>
      </c>
      <c r="M13" s="85">
        <f>+Expl!L23*150</f>
        <v>2246.4890333165795</v>
      </c>
    </row>
    <row r="14" spans="2:13" s="70" customFormat="1" ht="15" x14ac:dyDescent="0.25">
      <c r="B14" s="110" t="s">
        <v>234</v>
      </c>
      <c r="C14" s="2" t="s">
        <v>249</v>
      </c>
      <c r="D14" s="85">
        <f>+Expl!C23*100</f>
        <v>52</v>
      </c>
      <c r="E14" s="85">
        <f>+Expl!D23*100</f>
        <v>253.09523809523807</v>
      </c>
      <c r="F14" s="85">
        <f>+Expl!E23*100</f>
        <v>715</v>
      </c>
      <c r="G14" s="85">
        <f>+Expl!F23*100</f>
        <v>924.46078431372541</v>
      </c>
      <c r="H14" s="85">
        <f>+Expl!G23*100</f>
        <v>1152.1223391317312</v>
      </c>
      <c r="I14" s="85">
        <f>+Expl!H23*100</f>
        <v>1468.9933643584307</v>
      </c>
      <c r="J14" s="85">
        <f>+Expl!I23*100</f>
        <v>1478.011427562182</v>
      </c>
      <c r="K14" s="85">
        <f>+Expl!J23*100</f>
        <v>1485.2164947125884</v>
      </c>
      <c r="L14" s="85">
        <f>+Expl!K23*100</f>
        <v>1491.7593027159062</v>
      </c>
      <c r="M14" s="85">
        <f>+Expl!L23*100</f>
        <v>1497.6593555443862</v>
      </c>
    </row>
    <row r="15" spans="2:13" s="70" customFormat="1" ht="15" x14ac:dyDescent="0.25">
      <c r="B15" s="110" t="s">
        <v>235</v>
      </c>
      <c r="C15" s="2"/>
      <c r="D15" s="85">
        <v>250</v>
      </c>
      <c r="E15" s="85">
        <v>500</v>
      </c>
      <c r="F15" s="85">
        <f>E15*1.05</f>
        <v>525</v>
      </c>
      <c r="G15" s="85">
        <f t="shared" ref="G15:M15" si="3">F15*1.05</f>
        <v>551.25</v>
      </c>
      <c r="H15" s="85">
        <f t="shared" si="3"/>
        <v>578.8125</v>
      </c>
      <c r="I15" s="85">
        <f t="shared" si="3"/>
        <v>607.75312500000007</v>
      </c>
      <c r="J15" s="85">
        <f t="shared" si="3"/>
        <v>638.14078125000015</v>
      </c>
      <c r="K15" s="85">
        <f t="shared" si="3"/>
        <v>670.04782031250022</v>
      </c>
      <c r="L15" s="85">
        <f t="shared" si="3"/>
        <v>703.55021132812522</v>
      </c>
      <c r="M15" s="85">
        <f t="shared" si="3"/>
        <v>738.72772189453156</v>
      </c>
    </row>
    <row r="16" spans="2:13" s="70" customFormat="1" ht="15" x14ac:dyDescent="0.25">
      <c r="B16" s="110" t="s">
        <v>236</v>
      </c>
      <c r="C16" s="2"/>
      <c r="D16" s="85">
        <f>+D9/2</f>
        <v>250</v>
      </c>
      <c r="E16" s="85">
        <f>+E9/2</f>
        <v>600</v>
      </c>
      <c r="F16" s="85">
        <f t="shared" ref="F16:L16" si="4">+F9/2</f>
        <v>630</v>
      </c>
      <c r="G16" s="85">
        <f t="shared" si="4"/>
        <v>661.5</v>
      </c>
      <c r="H16" s="85">
        <f t="shared" si="4"/>
        <v>694.57500000000005</v>
      </c>
      <c r="I16" s="85">
        <f t="shared" si="4"/>
        <v>729.30375000000004</v>
      </c>
      <c r="J16" s="85">
        <f t="shared" si="4"/>
        <v>765.76893750000011</v>
      </c>
      <c r="K16" s="85">
        <f t="shared" si="4"/>
        <v>804.0573843750002</v>
      </c>
      <c r="L16" s="85">
        <f t="shared" si="4"/>
        <v>844.26025359375024</v>
      </c>
      <c r="M16" s="85">
        <f>+M9/2</f>
        <v>886.47326627343773</v>
      </c>
    </row>
    <row r="17" spans="2:13" s="70" customFormat="1" ht="15" x14ac:dyDescent="0.25">
      <c r="B17" s="110" t="s">
        <v>237</v>
      </c>
      <c r="C17" s="2" t="s">
        <v>255</v>
      </c>
      <c r="D17" s="85">
        <f>+Invest!K62*0.5%</f>
        <v>665.07500000000005</v>
      </c>
      <c r="E17" s="85">
        <f>+Invest!L62*0.5%</f>
        <v>2870.3</v>
      </c>
      <c r="F17" s="85">
        <f>+Invest!M62*0.5%+E17</f>
        <v>3929.05</v>
      </c>
      <c r="G17" s="85">
        <f>+Invest!N62*0.5%+F17</f>
        <v>3964.05</v>
      </c>
      <c r="H17" s="85">
        <f>+Invest!O62*0.5%+G17</f>
        <v>4041.55</v>
      </c>
      <c r="I17" s="85">
        <f>+Invest!P62*0.5%+H17</f>
        <v>4212.05</v>
      </c>
      <c r="J17" s="85">
        <f>+Invest!Q62*0.5%+I17</f>
        <v>4324.55</v>
      </c>
      <c r="K17" s="85">
        <f>+Invest!R62*0.5%+J17</f>
        <v>4324.55</v>
      </c>
      <c r="L17" s="85">
        <f>+Invest!S62*0.5%+K17</f>
        <v>4324.55</v>
      </c>
      <c r="M17" s="85">
        <f>+Invest!T62*0.5%+L17</f>
        <v>4666.05</v>
      </c>
    </row>
    <row r="18" spans="2:13" s="70" customFormat="1" ht="15" x14ac:dyDescent="0.25">
      <c r="B18" s="110" t="s">
        <v>238</v>
      </c>
      <c r="C18" s="2"/>
      <c r="D18" s="85">
        <v>500</v>
      </c>
      <c r="E18" s="85">
        <v>500</v>
      </c>
      <c r="F18" s="85">
        <v>500</v>
      </c>
      <c r="G18" s="85">
        <v>500</v>
      </c>
      <c r="H18" s="85">
        <v>500</v>
      </c>
      <c r="I18" s="85">
        <v>500</v>
      </c>
      <c r="J18" s="85">
        <v>500</v>
      </c>
      <c r="K18" s="85">
        <v>500</v>
      </c>
      <c r="L18" s="85">
        <v>500</v>
      </c>
      <c r="M18" s="85">
        <v>501</v>
      </c>
    </row>
    <row r="19" spans="2:13" s="70" customFormat="1" ht="15" x14ac:dyDescent="0.25">
      <c r="B19" s="110" t="s">
        <v>251</v>
      </c>
      <c r="C19" s="2"/>
      <c r="D19" s="85">
        <v>1500</v>
      </c>
      <c r="E19" s="85">
        <v>3000</v>
      </c>
      <c r="F19" s="85">
        <f>E19*1.05</f>
        <v>3150</v>
      </c>
      <c r="G19" s="85">
        <f t="shared" ref="G19:L25" si="5">F19*1.05</f>
        <v>3307.5</v>
      </c>
      <c r="H19" s="85">
        <f t="shared" si="5"/>
        <v>3472.875</v>
      </c>
      <c r="I19" s="85">
        <f t="shared" si="5"/>
        <v>3646.5187500000002</v>
      </c>
      <c r="J19" s="85">
        <f t="shared" si="5"/>
        <v>3828.8446875000004</v>
      </c>
      <c r="K19" s="85">
        <f t="shared" si="5"/>
        <v>4020.2869218750006</v>
      </c>
      <c r="L19" s="85">
        <f t="shared" si="5"/>
        <v>4221.3012679687508</v>
      </c>
      <c r="M19" s="85">
        <f>L19*1.05</f>
        <v>4432.3663313671886</v>
      </c>
    </row>
    <row r="20" spans="2:13" s="70" customFormat="1" ht="15" x14ac:dyDescent="0.25">
      <c r="B20" s="110" t="s">
        <v>250</v>
      </c>
      <c r="C20" s="2"/>
      <c r="D20" s="85">
        <f>250*Expl!C30</f>
        <v>187.5</v>
      </c>
      <c r="E20" s="85">
        <f>250*Expl!D30</f>
        <v>1247.5595238095239</v>
      </c>
      <c r="F20" s="85">
        <f>250*Expl!E30</f>
        <v>3173.75</v>
      </c>
      <c r="G20" s="85">
        <f>250*Expl!F30</f>
        <v>3979.497549019608</v>
      </c>
      <c r="H20" s="85">
        <f>250*Expl!G30</f>
        <v>4844.3976021781264</v>
      </c>
      <c r="I20" s="85">
        <f>250*Expl!H30</f>
        <v>5999.2284341649001</v>
      </c>
      <c r="J20" s="85">
        <f>250*Expl!I30</f>
        <v>6028.5371395770917</v>
      </c>
      <c r="K20" s="85">
        <f>250*Expl!J30</f>
        <v>6051.9536078159135</v>
      </c>
      <c r="L20" s="85">
        <f>250*Expl!K30</f>
        <v>6073.2177338266947</v>
      </c>
      <c r="M20" s="85">
        <f>250*Expl!L30</f>
        <v>6092.3929055192557</v>
      </c>
    </row>
    <row r="21" spans="2:13" s="70" customFormat="1" ht="15" x14ac:dyDescent="0.25">
      <c r="B21" s="110" t="s">
        <v>239</v>
      </c>
      <c r="C21" s="2"/>
      <c r="D21" s="85">
        <v>6000</v>
      </c>
      <c r="E21" s="85">
        <v>8000</v>
      </c>
      <c r="F21" s="85">
        <f>E21*0.8</f>
        <v>6400</v>
      </c>
      <c r="G21" s="85">
        <f t="shared" ref="G21:M21" si="6">F21*0.8</f>
        <v>5120</v>
      </c>
      <c r="H21" s="85">
        <f t="shared" si="6"/>
        <v>4096</v>
      </c>
      <c r="I21" s="85">
        <f t="shared" si="6"/>
        <v>3276.8</v>
      </c>
      <c r="J21" s="85">
        <f t="shared" si="6"/>
        <v>2621.4400000000005</v>
      </c>
      <c r="K21" s="85">
        <f t="shared" si="6"/>
        <v>2097.1520000000005</v>
      </c>
      <c r="L21" s="85">
        <f t="shared" si="6"/>
        <v>1677.7216000000005</v>
      </c>
      <c r="M21" s="85">
        <f t="shared" si="6"/>
        <v>1342.1772800000006</v>
      </c>
    </row>
    <row r="22" spans="2:13" s="70" customFormat="1" ht="15" x14ac:dyDescent="0.25">
      <c r="B22" s="110" t="s">
        <v>240</v>
      </c>
      <c r="C22" s="2" t="s">
        <v>253</v>
      </c>
      <c r="D22" s="85">
        <f>Expl!C50*2%</f>
        <v>1378</v>
      </c>
      <c r="E22" s="85">
        <f>Expl!D50*2%</f>
        <v>4616.4712603050702</v>
      </c>
      <c r="F22" s="85">
        <f>Expl!E50*2%</f>
        <v>9507.6968375982196</v>
      </c>
      <c r="G22" s="85">
        <f>Expl!F50*1.5%</f>
        <v>9361.0746997624356</v>
      </c>
      <c r="H22" s="85">
        <f>Expl!G50*1.5%</f>
        <v>11429.493821185293</v>
      </c>
      <c r="I22" s="85">
        <f>Expl!H50*1.5%</f>
        <v>14037.630862452568</v>
      </c>
      <c r="J22" s="85">
        <f>Expl!I50*1%</f>
        <v>9656.9096714466414</v>
      </c>
      <c r="K22" s="85">
        <f>Expl!J50*1%</f>
        <v>9955.9735861995414</v>
      </c>
      <c r="L22" s="85">
        <f>Expl!K50*1%</f>
        <v>10259.612319227077</v>
      </c>
      <c r="M22" s="85">
        <f>Expl!L50*1%</f>
        <v>10567.825870529252</v>
      </c>
    </row>
    <row r="23" spans="2:13" s="70" customFormat="1" ht="15" x14ac:dyDescent="0.25">
      <c r="B23" s="110" t="s">
        <v>308</v>
      </c>
      <c r="C23" s="2"/>
      <c r="D23" s="85">
        <v>1500</v>
      </c>
      <c r="E23" s="85">
        <v>3000</v>
      </c>
      <c r="F23" s="85">
        <f>E23*1.05</f>
        <v>3150</v>
      </c>
      <c r="G23" s="85">
        <f t="shared" si="5"/>
        <v>3307.5</v>
      </c>
      <c r="H23" s="85">
        <f t="shared" si="5"/>
        <v>3472.875</v>
      </c>
      <c r="I23" s="85">
        <f t="shared" si="5"/>
        <v>3646.5187500000002</v>
      </c>
      <c r="J23" s="85">
        <f t="shared" si="5"/>
        <v>3828.8446875000004</v>
      </c>
      <c r="K23" s="85">
        <f t="shared" si="5"/>
        <v>4020.2869218750006</v>
      </c>
      <c r="L23" s="85">
        <f t="shared" si="5"/>
        <v>4221.3012679687508</v>
      </c>
      <c r="M23" s="85">
        <f>L23*1.05</f>
        <v>4432.3663313671886</v>
      </c>
    </row>
    <row r="24" spans="2:13" s="70" customFormat="1" ht="15" x14ac:dyDescent="0.25">
      <c r="B24" s="110" t="s">
        <v>241</v>
      </c>
      <c r="C24" s="2"/>
      <c r="D24" s="85">
        <v>6000</v>
      </c>
      <c r="E24" s="85">
        <v>4000</v>
      </c>
      <c r="F24" s="85">
        <v>1000</v>
      </c>
      <c r="G24" s="85">
        <v>1000</v>
      </c>
      <c r="H24" s="85">
        <v>1000</v>
      </c>
      <c r="I24" s="85">
        <v>1000</v>
      </c>
      <c r="J24" s="85">
        <v>1000</v>
      </c>
      <c r="K24" s="85">
        <v>1000</v>
      </c>
      <c r="L24" s="85">
        <v>1000</v>
      </c>
      <c r="M24" s="85">
        <v>1000</v>
      </c>
    </row>
    <row r="25" spans="2:13" s="70" customFormat="1" ht="15" x14ac:dyDescent="0.25">
      <c r="B25" s="110" t="s">
        <v>242</v>
      </c>
      <c r="C25" s="2"/>
      <c r="D25" s="85">
        <v>200</v>
      </c>
      <c r="E25" s="85">
        <v>2000</v>
      </c>
      <c r="F25" s="85">
        <f>E25*1.05</f>
        <v>2100</v>
      </c>
      <c r="G25" s="85">
        <f t="shared" si="5"/>
        <v>2205</v>
      </c>
      <c r="H25" s="85">
        <f t="shared" si="5"/>
        <v>2315.25</v>
      </c>
      <c r="I25" s="85">
        <f t="shared" si="5"/>
        <v>2431.0125000000003</v>
      </c>
      <c r="J25" s="85">
        <f t="shared" si="5"/>
        <v>2552.5631250000006</v>
      </c>
      <c r="K25" s="85">
        <f t="shared" si="5"/>
        <v>2680.1912812500009</v>
      </c>
      <c r="L25" s="85">
        <f t="shared" si="5"/>
        <v>2814.2008453125009</v>
      </c>
      <c r="M25" s="85">
        <f>L25*1.05</f>
        <v>2954.9108875781262</v>
      </c>
    </row>
    <row r="26" spans="2:13" s="70" customFormat="1" ht="15" x14ac:dyDescent="0.25">
      <c r="B26" s="110" t="s">
        <v>243</v>
      </c>
      <c r="C26" s="2" t="s">
        <v>254</v>
      </c>
      <c r="D26" s="85">
        <v>200</v>
      </c>
      <c r="E26" s="85">
        <f>Expl!D50*0.5%</f>
        <v>1154.1178150762676</v>
      </c>
      <c r="F26" s="85">
        <f>Expl!E50*0.5%</f>
        <v>2376.9242093995549</v>
      </c>
      <c r="G26" s="85">
        <f>Expl!F50*0.5%</f>
        <v>3120.3582332541455</v>
      </c>
      <c r="H26" s="85">
        <f>Expl!G50*0.5%</f>
        <v>3809.8312737284309</v>
      </c>
      <c r="I26" s="85">
        <f>Expl!H50*0.5%</f>
        <v>4679.2102874841894</v>
      </c>
      <c r="J26" s="85">
        <f>Expl!I50*0.5%</f>
        <v>4828.4548357233207</v>
      </c>
      <c r="K26" s="85">
        <f>Expl!J50*0.5%</f>
        <v>4977.9867930997707</v>
      </c>
      <c r="L26" s="85">
        <f>Expl!K50*0.5%</f>
        <v>5129.8061596135385</v>
      </c>
      <c r="M26" s="85">
        <f>Expl!L50*0.5%</f>
        <v>5283.912935264626</v>
      </c>
    </row>
    <row r="27" spans="2:13" s="70" customFormat="1" ht="15" x14ac:dyDescent="0.25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s="70" customFormat="1" ht="15" x14ac:dyDescent="0.25">
      <c r="B28" s="90" t="s">
        <v>252</v>
      </c>
      <c r="C28" s="91">
        <f t="shared" ref="C28:M28" si="7">SUM(C7:C27)</f>
        <v>0</v>
      </c>
      <c r="D28" s="91">
        <f t="shared" si="7"/>
        <v>26910.575000000001</v>
      </c>
      <c r="E28" s="91">
        <f t="shared" si="7"/>
        <v>49665.90098014324</v>
      </c>
      <c r="F28" s="91">
        <f t="shared" si="7"/>
        <v>57561.421046997777</v>
      </c>
      <c r="G28" s="91">
        <f t="shared" si="7"/>
        <v>56656.892246742071</v>
      </c>
      <c r="H28" s="91">
        <f t="shared" si="7"/>
        <v>61286.247044772099</v>
      </c>
      <c r="I28" s="91">
        <f t="shared" si="7"/>
        <v>67624.078900150751</v>
      </c>
      <c r="J28" s="91">
        <f t="shared" si="7"/>
        <v>62704.204651605985</v>
      </c>
      <c r="K28" s="91">
        <f t="shared" si="7"/>
        <v>62689.928064995132</v>
      </c>
      <c r="L28" s="91">
        <f t="shared" si="7"/>
        <v>62965.714277992891</v>
      </c>
      <c r="M28" s="91">
        <f t="shared" si="7"/>
        <v>63825.872999653162</v>
      </c>
    </row>
  </sheetData>
  <mergeCells count="12">
    <mergeCell ref="M3:M4"/>
    <mergeCell ref="D3:D4"/>
    <mergeCell ref="B3:B4"/>
    <mergeCell ref="C3:C4"/>
    <mergeCell ref="E3:E4"/>
    <mergeCell ref="F3:F4"/>
    <mergeCell ref="G3:G4"/>
    <mergeCell ref="H3:H4"/>
    <mergeCell ref="I3:I4"/>
    <mergeCell ref="J3:J4"/>
    <mergeCell ref="K3:K4"/>
    <mergeCell ref="L3:L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workbookViewId="0">
      <selection activeCell="A16" sqref="A16:XFD16"/>
    </sheetView>
  </sheetViews>
  <sheetFormatPr baseColWidth="10" defaultRowHeight="15.75" x14ac:dyDescent="0.25"/>
  <cols>
    <col min="2" max="2" width="30.125" customWidth="1"/>
    <col min="3" max="3" width="9.5" customWidth="1"/>
  </cols>
  <sheetData>
    <row r="1" spans="2:4" ht="16.5" thickBot="1" x14ac:dyDescent="0.3"/>
    <row r="2" spans="2:4" ht="16.5" thickBot="1" x14ac:dyDescent="0.3">
      <c r="C2" s="202" t="s">
        <v>459</v>
      </c>
      <c r="D2" s="202" t="s">
        <v>460</v>
      </c>
    </row>
    <row r="3" spans="2:4" ht="16.5" thickBot="1" x14ac:dyDescent="0.3">
      <c r="B3" s="206" t="s">
        <v>482</v>
      </c>
      <c r="C3" s="102">
        <v>1</v>
      </c>
      <c r="D3" s="85">
        <v>36000</v>
      </c>
    </row>
    <row r="4" spans="2:4" ht="16.5" thickBot="1" x14ac:dyDescent="0.3">
      <c r="B4" s="206" t="s">
        <v>488</v>
      </c>
      <c r="C4" s="102">
        <v>1</v>
      </c>
      <c r="D4" s="85">
        <v>33600</v>
      </c>
    </row>
    <row r="5" spans="2:4" ht="16.5" thickBot="1" x14ac:dyDescent="0.3">
      <c r="B5" s="206" t="s">
        <v>461</v>
      </c>
      <c r="C5" s="102">
        <v>1</v>
      </c>
      <c r="D5" s="85">
        <v>19200</v>
      </c>
    </row>
    <row r="6" spans="2:4" ht="16.5" thickBot="1" x14ac:dyDescent="0.3">
      <c r="B6" s="206" t="s">
        <v>462</v>
      </c>
      <c r="C6" s="102">
        <v>1</v>
      </c>
      <c r="D6" s="85">
        <v>28800</v>
      </c>
    </row>
    <row r="7" spans="2:4" ht="16.5" thickBot="1" x14ac:dyDescent="0.3">
      <c r="B7" s="206" t="s">
        <v>463</v>
      </c>
      <c r="C7" s="102">
        <v>1</v>
      </c>
      <c r="D7" s="85">
        <v>26000</v>
      </c>
    </row>
    <row r="8" spans="2:4" ht="16.5" thickBot="1" x14ac:dyDescent="0.3">
      <c r="B8" s="206" t="s">
        <v>465</v>
      </c>
      <c r="C8" s="102">
        <v>1</v>
      </c>
      <c r="D8" s="85">
        <v>21600</v>
      </c>
    </row>
    <row r="9" spans="2:4" ht="16.5" thickBot="1" x14ac:dyDescent="0.3">
      <c r="B9" s="206" t="s">
        <v>464</v>
      </c>
      <c r="C9" s="102">
        <v>1</v>
      </c>
      <c r="D9" s="85">
        <v>26000</v>
      </c>
    </row>
    <row r="10" spans="2:4" ht="16.5" thickBot="1" x14ac:dyDescent="0.3">
      <c r="B10" s="20"/>
    </row>
    <row r="11" spans="2:4" ht="16.5" thickBot="1" x14ac:dyDescent="0.3">
      <c r="B11" s="206" t="s">
        <v>21</v>
      </c>
      <c r="C11" s="102">
        <f>SUM(C3:C10)</f>
        <v>7</v>
      </c>
      <c r="D11" s="85">
        <f>SUM(D3:D10)</f>
        <v>191200</v>
      </c>
    </row>
    <row r="12" spans="2:4" ht="16.5" thickBot="1" x14ac:dyDescent="0.3">
      <c r="B12" s="20"/>
    </row>
    <row r="13" spans="2:4" ht="16.5" thickBot="1" x14ac:dyDescent="0.3">
      <c r="B13" s="206" t="s">
        <v>469</v>
      </c>
      <c r="C13" s="203">
        <v>0.45</v>
      </c>
      <c r="D13" s="85">
        <f>+D11*C13</f>
        <v>86040</v>
      </c>
    </row>
    <row r="14" spans="2:4" ht="16.5" thickBot="1" x14ac:dyDescent="0.3">
      <c r="B14" s="20"/>
    </row>
    <row r="15" spans="2:4" ht="16.5" thickBot="1" x14ac:dyDescent="0.3">
      <c r="B15" s="206" t="s">
        <v>468</v>
      </c>
      <c r="D15" s="85">
        <v>5000</v>
      </c>
    </row>
    <row r="16" spans="2:4" ht="16.5" thickBot="1" x14ac:dyDescent="0.3">
      <c r="B16" s="206" t="s">
        <v>467</v>
      </c>
      <c r="D16" s="85">
        <f>1800+600000*0.02</f>
        <v>13800</v>
      </c>
    </row>
    <row r="17" spans="2:4" ht="16.5" thickBot="1" x14ac:dyDescent="0.3">
      <c r="B17" s="206" t="s">
        <v>466</v>
      </c>
      <c r="D17" s="85">
        <v>54000</v>
      </c>
    </row>
    <row r="18" spans="2:4" ht="16.5" thickBot="1" x14ac:dyDescent="0.3">
      <c r="B18" s="206" t="s">
        <v>479</v>
      </c>
      <c r="D18" s="85">
        <v>2000</v>
      </c>
    </row>
    <row r="19" spans="2:4" ht="16.5" thickBot="1" x14ac:dyDescent="0.3">
      <c r="B19" s="206" t="s">
        <v>470</v>
      </c>
      <c r="D19" s="85">
        <f>SUM(D11:D18)</f>
        <v>352040</v>
      </c>
    </row>
    <row r="20" spans="2:4" ht="16.5" thickBot="1" x14ac:dyDescent="0.3">
      <c r="B20" s="20"/>
    </row>
    <row r="21" spans="2:4" ht="16.5" thickBot="1" x14ac:dyDescent="0.3">
      <c r="B21" s="206" t="s">
        <v>476</v>
      </c>
      <c r="D21" s="93">
        <f>+Marges!I22</f>
        <v>26.024865984247228</v>
      </c>
    </row>
    <row r="22" spans="2:4" ht="16.5" thickBot="1" x14ac:dyDescent="0.3">
      <c r="B22" s="20"/>
    </row>
    <row r="23" spans="2:4" ht="16.5" thickBot="1" x14ac:dyDescent="0.3">
      <c r="B23" s="206" t="s">
        <v>472</v>
      </c>
      <c r="D23" s="149">
        <f>+D19/D21</f>
        <v>13527.062933314959</v>
      </c>
    </row>
    <row r="24" spans="2:4" ht="16.5" thickBot="1" x14ac:dyDescent="0.3">
      <c r="B24" s="20"/>
    </row>
    <row r="25" spans="2:4" ht="16.5" thickBot="1" x14ac:dyDescent="0.3">
      <c r="B25" s="206" t="s">
        <v>473</v>
      </c>
    </row>
    <row r="26" spans="2:4" ht="16.5" thickBot="1" x14ac:dyDescent="0.3">
      <c r="B26" s="206" t="s">
        <v>474</v>
      </c>
      <c r="C26" s="85">
        <v>420000</v>
      </c>
      <c r="D26" s="85">
        <f>+C26/20</f>
        <v>21000</v>
      </c>
    </row>
    <row r="27" spans="2:4" ht="16.5" thickBot="1" x14ac:dyDescent="0.3">
      <c r="B27" s="206" t="s">
        <v>475</v>
      </c>
      <c r="C27" s="85">
        <v>500000</v>
      </c>
      <c r="D27" s="85">
        <f>+C27/10</f>
        <v>50000</v>
      </c>
    </row>
    <row r="28" spans="2:4" ht="16.5" thickBot="1" x14ac:dyDescent="0.3">
      <c r="B28" s="207" t="s">
        <v>481</v>
      </c>
      <c r="C28" s="85">
        <v>150000</v>
      </c>
      <c r="D28" s="85">
        <f>+C28/10</f>
        <v>15000</v>
      </c>
    </row>
    <row r="29" spans="2:4" ht="16.5" thickBot="1" x14ac:dyDescent="0.3">
      <c r="B29" s="20"/>
    </row>
    <row r="30" spans="2:4" ht="16.5" thickBot="1" x14ac:dyDescent="0.3">
      <c r="B30" s="206" t="s">
        <v>477</v>
      </c>
      <c r="D30" s="85">
        <f>+D19+D26+D27+D28</f>
        <v>438040</v>
      </c>
    </row>
    <row r="31" spans="2:4" ht="16.5" thickBot="1" x14ac:dyDescent="0.3">
      <c r="B31" s="20"/>
    </row>
    <row r="32" spans="2:4" ht="32.25" thickBot="1" x14ac:dyDescent="0.3">
      <c r="B32" s="206" t="s">
        <v>478</v>
      </c>
      <c r="D32" s="149">
        <f>+D30/D21</f>
        <v>16831.594839533249</v>
      </c>
    </row>
  </sheetData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workbookViewId="0">
      <selection activeCell="C20" sqref="C20"/>
    </sheetView>
  </sheetViews>
  <sheetFormatPr baseColWidth="10" defaultRowHeight="15.75" x14ac:dyDescent="0.25"/>
  <cols>
    <col min="1" max="1" width="5" customWidth="1"/>
    <col min="2" max="4" width="29.375" customWidth="1"/>
    <col min="5" max="5" width="4.5" customWidth="1"/>
  </cols>
  <sheetData>
    <row r="1" spans="2:5" ht="16.5" thickBot="1" x14ac:dyDescent="0.3"/>
    <row r="2" spans="2:5" x14ac:dyDescent="0.25">
      <c r="B2" s="248">
        <v>2017</v>
      </c>
      <c r="C2" s="248">
        <v>2018</v>
      </c>
      <c r="D2" s="248">
        <v>2019</v>
      </c>
    </row>
    <row r="3" spans="2:5" ht="16.5" thickBot="1" x14ac:dyDescent="0.3">
      <c r="B3" s="258"/>
      <c r="C3" s="258"/>
      <c r="D3" s="258"/>
    </row>
    <row r="4" spans="2:5" ht="128.1" customHeight="1" thickBot="1" x14ac:dyDescent="0.3">
      <c r="B4" s="97" t="s">
        <v>199</v>
      </c>
      <c r="C4" s="98" t="s">
        <v>200</v>
      </c>
      <c r="D4" s="98" t="s">
        <v>201</v>
      </c>
      <c r="E4" s="95"/>
    </row>
  </sheetData>
  <mergeCells count="3">
    <mergeCell ref="B2:B3"/>
    <mergeCell ref="C2:C3"/>
    <mergeCell ref="D2:D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27" sqref="B27"/>
    </sheetView>
  </sheetViews>
  <sheetFormatPr baseColWidth="10" defaultColWidth="10.625" defaultRowHeight="15" x14ac:dyDescent="0.25"/>
  <cols>
    <col min="1" max="1" width="2.625" style="70" customWidth="1"/>
    <col min="2" max="2" width="34.625" style="70" customWidth="1"/>
    <col min="3" max="3" width="9.625" style="70" customWidth="1"/>
    <col min="4" max="6" width="9.125" style="70" customWidth="1"/>
    <col min="7" max="16384" width="10.625" style="70"/>
  </cols>
  <sheetData>
    <row r="1" spans="2:6" ht="15.75" thickBot="1" x14ac:dyDescent="0.3"/>
    <row r="2" spans="2:6" ht="23.25" customHeight="1" thickBot="1" x14ac:dyDescent="0.3">
      <c r="B2" s="213" t="s">
        <v>188</v>
      </c>
      <c r="C2" s="221" t="s">
        <v>185</v>
      </c>
      <c r="D2" s="221" t="s">
        <v>175</v>
      </c>
      <c r="E2" s="221" t="s">
        <v>176</v>
      </c>
      <c r="F2" s="221" t="s">
        <v>189</v>
      </c>
    </row>
    <row r="3" spans="2:6" ht="22.5" customHeight="1" thickBot="1" x14ac:dyDescent="0.3">
      <c r="B3" s="214"/>
      <c r="C3" s="222"/>
      <c r="D3" s="222"/>
      <c r="E3" s="222"/>
      <c r="F3" s="222"/>
    </row>
    <row r="4" spans="2:6" ht="15.75" thickBot="1" x14ac:dyDescent="0.3"/>
    <row r="5" spans="2:6" x14ac:dyDescent="0.25">
      <c r="B5" s="10"/>
      <c r="C5" s="14"/>
      <c r="D5" s="14"/>
      <c r="E5" s="14"/>
      <c r="F5" s="14"/>
    </row>
    <row r="6" spans="2:6" x14ac:dyDescent="0.25">
      <c r="B6" s="1" t="s">
        <v>182</v>
      </c>
      <c r="C6" s="85">
        <v>1</v>
      </c>
      <c r="D6" s="85">
        <v>60</v>
      </c>
      <c r="E6" s="85">
        <f>180*0.666666666666667</f>
        <v>120.00000000000006</v>
      </c>
      <c r="F6" s="85">
        <v>730</v>
      </c>
    </row>
    <row r="7" spans="2:6" x14ac:dyDescent="0.25">
      <c r="B7" s="1" t="s">
        <v>177</v>
      </c>
      <c r="C7" s="85">
        <v>6</v>
      </c>
      <c r="D7" s="85">
        <f>+D6*$C7</f>
        <v>360</v>
      </c>
      <c r="E7" s="85">
        <f>+E6*$C7</f>
        <v>720.00000000000034</v>
      </c>
      <c r="F7" s="85">
        <f>+F6*$C7</f>
        <v>4380</v>
      </c>
    </row>
    <row r="8" spans="2:6" x14ac:dyDescent="0.25">
      <c r="B8" s="1" t="s">
        <v>178</v>
      </c>
      <c r="C8" s="92">
        <v>0.15</v>
      </c>
      <c r="D8" s="92">
        <f t="shared" ref="D8:F9" si="0">+C8</f>
        <v>0.15</v>
      </c>
      <c r="E8" s="92">
        <f t="shared" si="0"/>
        <v>0.15</v>
      </c>
      <c r="F8" s="92">
        <f t="shared" si="0"/>
        <v>0.15</v>
      </c>
    </row>
    <row r="9" spans="2:6" x14ac:dyDescent="0.25">
      <c r="B9" s="1" t="s">
        <v>179</v>
      </c>
      <c r="C9" s="85">
        <v>14</v>
      </c>
      <c r="D9" s="85">
        <f t="shared" si="0"/>
        <v>14</v>
      </c>
      <c r="E9" s="85">
        <f t="shared" si="0"/>
        <v>14</v>
      </c>
      <c r="F9" s="85">
        <f t="shared" si="0"/>
        <v>14</v>
      </c>
    </row>
    <row r="10" spans="2:6" x14ac:dyDescent="0.25">
      <c r="B10" s="1" t="s">
        <v>180</v>
      </c>
      <c r="C10" s="93">
        <f>+C7*C8*30/C9</f>
        <v>1.9285714285714284</v>
      </c>
      <c r="D10" s="93">
        <f>+D7*D8*30/D9</f>
        <v>115.71428571428571</v>
      </c>
      <c r="E10" s="93">
        <f>+E7*E8*30/E9</f>
        <v>231.42857142857153</v>
      </c>
      <c r="F10" s="93">
        <f>+F7*F8*30/F9</f>
        <v>1407.8571428571429</v>
      </c>
    </row>
    <row r="11" spans="2:6" x14ac:dyDescent="0.25">
      <c r="B11" s="1" t="s">
        <v>64</v>
      </c>
      <c r="C11" s="89">
        <v>0.3</v>
      </c>
      <c r="D11" s="89">
        <f>+C11</f>
        <v>0.3</v>
      </c>
      <c r="E11" s="89">
        <f>+D11</f>
        <v>0.3</v>
      </c>
      <c r="F11" s="89">
        <f>+E11</f>
        <v>0.3</v>
      </c>
    </row>
    <row r="12" spans="2:6" x14ac:dyDescent="0.25">
      <c r="B12" s="1" t="s">
        <v>181</v>
      </c>
      <c r="C12" s="92">
        <f>+C10*(1-C11)</f>
        <v>1.3499999999999999</v>
      </c>
      <c r="D12" s="85">
        <f>+D10*(1-D11)</f>
        <v>80.999999999999986</v>
      </c>
      <c r="E12" s="85">
        <f>+E10*(1-E11)</f>
        <v>162.00000000000006</v>
      </c>
      <c r="F12" s="85">
        <f>+F10*(1-F11)</f>
        <v>985.5</v>
      </c>
    </row>
    <row r="13" spans="2:6" x14ac:dyDescent="0.25">
      <c r="B13" s="3" t="s">
        <v>183</v>
      </c>
      <c r="C13" s="85">
        <v>50</v>
      </c>
      <c r="D13" s="85">
        <v>50</v>
      </c>
      <c r="E13" s="85">
        <v>50</v>
      </c>
      <c r="F13" s="85">
        <v>51</v>
      </c>
    </row>
    <row r="14" spans="2:6" x14ac:dyDescent="0.25">
      <c r="B14" s="3"/>
      <c r="C14" s="4"/>
      <c r="D14" s="4"/>
      <c r="E14" s="4"/>
      <c r="F14" s="4"/>
    </row>
    <row r="15" spans="2:6" x14ac:dyDescent="0.25">
      <c r="B15" s="90" t="s">
        <v>184</v>
      </c>
      <c r="C15" s="91">
        <f>C12*C13</f>
        <v>67.5</v>
      </c>
      <c r="D15" s="91">
        <f>D12*D13</f>
        <v>4049.9999999999991</v>
      </c>
      <c r="E15" s="91">
        <f>E12*E13</f>
        <v>8100.0000000000027</v>
      </c>
      <c r="F15" s="91">
        <f>F12*F13</f>
        <v>50260.5</v>
      </c>
    </row>
    <row r="16" spans="2:6" ht="10.5" customHeight="1" x14ac:dyDescent="0.25">
      <c r="B16" s="3"/>
      <c r="C16" s="4"/>
      <c r="D16" s="4"/>
      <c r="E16" s="4"/>
      <c r="F16" s="4"/>
    </row>
    <row r="17" spans="2:6" x14ac:dyDescent="0.25">
      <c r="B17" s="1" t="s">
        <v>186</v>
      </c>
      <c r="C17" s="85">
        <v>11</v>
      </c>
      <c r="D17" s="85">
        <v>6</v>
      </c>
      <c r="E17" s="85">
        <v>11</v>
      </c>
      <c r="F17" s="85">
        <f>E17*1.02</f>
        <v>11.22</v>
      </c>
    </row>
    <row r="18" spans="2:6" ht="10.5" customHeight="1" x14ac:dyDescent="0.25">
      <c r="B18" s="3"/>
      <c r="C18" s="4"/>
      <c r="D18" s="4"/>
      <c r="E18" s="4"/>
      <c r="F18" s="4"/>
    </row>
    <row r="19" spans="2:6" x14ac:dyDescent="0.25">
      <c r="B19" s="90" t="s">
        <v>187</v>
      </c>
      <c r="C19" s="91">
        <f>+C15*C17</f>
        <v>742.5</v>
      </c>
      <c r="D19" s="91">
        <f>+D15*D17</f>
        <v>24299.999999999993</v>
      </c>
      <c r="E19" s="91">
        <f>+E15*E17</f>
        <v>89100.000000000029</v>
      </c>
      <c r="F19" s="91">
        <f>+F15*F17</f>
        <v>563922.81000000006</v>
      </c>
    </row>
    <row r="20" spans="2:6" x14ac:dyDescent="0.25">
      <c r="C20" s="71"/>
      <c r="D20" s="71"/>
      <c r="E20" s="71"/>
      <c r="F20" s="71"/>
    </row>
  </sheetData>
  <mergeCells count="5"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3"/>
  <sheetViews>
    <sheetView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E117" sqref="E117"/>
    </sheetView>
  </sheetViews>
  <sheetFormatPr baseColWidth="10" defaultRowHeight="15.75" x14ac:dyDescent="0.25"/>
  <cols>
    <col min="1" max="1" width="51.375" customWidth="1"/>
    <col min="2" max="3" width="12.5" customWidth="1"/>
  </cols>
  <sheetData>
    <row r="1" spans="1:21" x14ac:dyDescent="0.25">
      <c r="A1" s="151" t="s">
        <v>318</v>
      </c>
      <c r="B1" s="151"/>
      <c r="C1" s="151"/>
    </row>
    <row r="2" spans="1:21" ht="25.5" x14ac:dyDescent="0.25">
      <c r="A2" s="151" t="s">
        <v>319</v>
      </c>
      <c r="B2" s="151"/>
      <c r="C2" s="151"/>
    </row>
    <row r="4" spans="1:21" x14ac:dyDescent="0.25">
      <c r="B4" s="157">
        <v>2017</v>
      </c>
      <c r="C4" s="157">
        <v>2018</v>
      </c>
      <c r="D4" s="158">
        <v>2017</v>
      </c>
      <c r="E4" s="158">
        <v>2017</v>
      </c>
      <c r="F4" s="165">
        <v>2017</v>
      </c>
      <c r="G4" s="162">
        <v>2017</v>
      </c>
      <c r="H4" s="158">
        <v>2017</v>
      </c>
      <c r="I4" s="165">
        <v>2017</v>
      </c>
      <c r="J4" s="161">
        <v>2018</v>
      </c>
      <c r="K4" s="157">
        <v>2018</v>
      </c>
      <c r="L4" s="166">
        <v>2018</v>
      </c>
      <c r="M4" s="161">
        <v>2018</v>
      </c>
      <c r="N4" s="157">
        <v>2018</v>
      </c>
      <c r="O4" s="166">
        <v>2018</v>
      </c>
      <c r="P4" s="161">
        <v>2018</v>
      </c>
      <c r="Q4" s="157">
        <v>2018</v>
      </c>
      <c r="R4" s="166">
        <v>2018</v>
      </c>
      <c r="S4" s="161">
        <v>2018</v>
      </c>
      <c r="T4" s="157">
        <v>2018</v>
      </c>
      <c r="U4" s="166">
        <v>2018</v>
      </c>
    </row>
    <row r="5" spans="1:21" ht="31.5" x14ac:dyDescent="0.25">
      <c r="A5" s="171" t="s">
        <v>326</v>
      </c>
      <c r="B5" s="172" t="s">
        <v>325</v>
      </c>
      <c r="C5" s="172" t="s">
        <v>325</v>
      </c>
      <c r="D5" s="157" t="s">
        <v>145</v>
      </c>
      <c r="E5" s="157" t="s">
        <v>146</v>
      </c>
      <c r="F5" s="166" t="s">
        <v>320</v>
      </c>
      <c r="G5" s="161" t="s">
        <v>321</v>
      </c>
      <c r="H5" s="157" t="s">
        <v>322</v>
      </c>
      <c r="I5" s="166" t="s">
        <v>323</v>
      </c>
      <c r="J5" s="161" t="s">
        <v>324</v>
      </c>
      <c r="K5" s="157" t="s">
        <v>140</v>
      </c>
      <c r="L5" s="166" t="s">
        <v>141</v>
      </c>
      <c r="M5" s="161" t="s">
        <v>142</v>
      </c>
      <c r="N5" s="157" t="s">
        <v>143</v>
      </c>
      <c r="O5" s="166" t="s">
        <v>144</v>
      </c>
      <c r="P5" s="161" t="s">
        <v>145</v>
      </c>
      <c r="Q5" s="157" t="s">
        <v>146</v>
      </c>
      <c r="R5" s="166" t="s">
        <v>320</v>
      </c>
      <c r="S5" s="161" t="s">
        <v>321</v>
      </c>
      <c r="T5" s="157" t="s">
        <v>322</v>
      </c>
      <c r="U5" s="166" t="s">
        <v>323</v>
      </c>
    </row>
    <row r="6" spans="1:21" x14ac:dyDescent="0.25">
      <c r="B6" s="154"/>
      <c r="C6" s="154"/>
      <c r="D6" s="158" t="s">
        <v>290</v>
      </c>
      <c r="E6" s="158" t="s">
        <v>290</v>
      </c>
      <c r="F6" s="165" t="s">
        <v>290</v>
      </c>
      <c r="G6" s="161" t="s">
        <v>291</v>
      </c>
      <c r="H6" s="157" t="s">
        <v>291</v>
      </c>
      <c r="I6" s="166" t="s">
        <v>291</v>
      </c>
      <c r="J6" s="162" t="s">
        <v>288</v>
      </c>
      <c r="K6" s="158" t="s">
        <v>288</v>
      </c>
      <c r="L6" s="165" t="s">
        <v>288</v>
      </c>
      <c r="M6" s="161" t="s">
        <v>289</v>
      </c>
      <c r="N6" s="157" t="s">
        <v>289</v>
      </c>
      <c r="O6" s="166" t="s">
        <v>289</v>
      </c>
      <c r="P6" s="162" t="s">
        <v>290</v>
      </c>
      <c r="Q6" s="158" t="s">
        <v>290</v>
      </c>
      <c r="R6" s="165" t="s">
        <v>290</v>
      </c>
      <c r="S6" s="161" t="s">
        <v>291</v>
      </c>
      <c r="T6" s="157" t="s">
        <v>291</v>
      </c>
      <c r="U6" s="166" t="s">
        <v>291</v>
      </c>
    </row>
    <row r="7" spans="1:21" x14ac:dyDescent="0.25">
      <c r="B7" s="152"/>
      <c r="C7" s="152"/>
      <c r="D7" s="153"/>
      <c r="E7" s="153"/>
      <c r="F7" s="167"/>
      <c r="G7" s="153"/>
      <c r="H7" s="153"/>
      <c r="I7" s="167"/>
      <c r="J7" s="153"/>
      <c r="K7" s="153"/>
      <c r="L7" s="167"/>
      <c r="M7" s="153"/>
      <c r="N7" s="153"/>
      <c r="O7" s="167"/>
      <c r="P7" s="153"/>
      <c r="Q7" s="153"/>
      <c r="R7" s="167"/>
      <c r="S7" s="153"/>
      <c r="T7" s="153"/>
      <c r="U7" s="167"/>
    </row>
    <row r="8" spans="1:21" x14ac:dyDescent="0.25">
      <c r="A8" t="str">
        <f>Invest!B6</f>
        <v>Honoraires études (architecte)</v>
      </c>
      <c r="B8" s="154">
        <f>Invest!K6</f>
        <v>21200</v>
      </c>
      <c r="C8" s="154">
        <f>Invest!L6</f>
        <v>0</v>
      </c>
      <c r="D8" s="159">
        <f>B8</f>
        <v>21200</v>
      </c>
      <c r="E8" s="159"/>
      <c r="F8" s="168"/>
      <c r="G8" s="163"/>
      <c r="H8" s="159"/>
      <c r="I8" s="168"/>
      <c r="J8" s="163"/>
      <c r="K8" s="159"/>
      <c r="L8" s="168"/>
      <c r="M8" s="163"/>
      <c r="N8" s="159"/>
      <c r="O8" s="168"/>
      <c r="P8" s="163"/>
      <c r="Q8" s="159"/>
      <c r="R8" s="168"/>
      <c r="S8" s="163"/>
      <c r="T8" s="159"/>
      <c r="U8" s="168"/>
    </row>
    <row r="9" spans="1:21" x14ac:dyDescent="0.25">
      <c r="A9" t="str">
        <f>Invest!B7</f>
        <v>Honoraires BET</v>
      </c>
      <c r="B9" s="154">
        <f>Invest!K7</f>
        <v>4800</v>
      </c>
      <c r="C9" s="154">
        <f>Invest!L7</f>
        <v>3200</v>
      </c>
      <c r="D9" s="159">
        <f>B9</f>
        <v>4800</v>
      </c>
      <c r="E9" s="159"/>
      <c r="F9" s="168"/>
      <c r="G9" s="163"/>
      <c r="H9" s="159"/>
      <c r="I9" s="168"/>
      <c r="J9" s="163"/>
      <c r="K9" s="159"/>
      <c r="L9" s="168"/>
      <c r="M9" s="163"/>
      <c r="N9" s="159"/>
      <c r="O9" s="168"/>
      <c r="P9" s="163"/>
      <c r="Q9" s="159"/>
      <c r="R9" s="168"/>
      <c r="S9" s="163"/>
      <c r="T9" s="159"/>
      <c r="U9" s="168"/>
    </row>
    <row r="10" spans="1:21" x14ac:dyDescent="0.25">
      <c r="A10" t="str">
        <f>Invest!B8</f>
        <v>Installation chantier</v>
      </c>
      <c r="B10" s="154">
        <f>Invest!K8</f>
        <v>8430</v>
      </c>
      <c r="C10" s="154">
        <f>Invest!L8</f>
        <v>19670</v>
      </c>
      <c r="D10" s="159"/>
      <c r="E10" s="159">
        <f>B10</f>
        <v>8430</v>
      </c>
      <c r="F10" s="168"/>
      <c r="G10" s="163"/>
      <c r="H10" s="159"/>
      <c r="I10" s="168"/>
      <c r="J10" s="163"/>
      <c r="K10" s="159"/>
      <c r="L10" s="168"/>
      <c r="M10" s="163"/>
      <c r="N10" s="159"/>
      <c r="O10" s="168"/>
      <c r="P10" s="163"/>
      <c r="Q10" s="159"/>
      <c r="R10" s="168"/>
      <c r="S10" s="163"/>
      <c r="T10" s="159"/>
      <c r="U10" s="168"/>
    </row>
    <row r="11" spans="1:21" x14ac:dyDescent="0.25">
      <c r="A11" t="str">
        <f>Invest!B9</f>
        <v>Raccordements energies</v>
      </c>
      <c r="B11" s="154">
        <f>Invest!K9</f>
        <v>4500</v>
      </c>
      <c r="C11" s="154">
        <f>Invest!L9</f>
        <v>0</v>
      </c>
      <c r="D11" s="159"/>
      <c r="E11" s="159"/>
      <c r="F11" s="168"/>
      <c r="G11" s="163"/>
      <c r="H11" s="159"/>
      <c r="I11" s="168"/>
      <c r="J11" s="163"/>
      <c r="K11" s="159"/>
      <c r="L11" s="168"/>
      <c r="M11" s="163"/>
      <c r="N11" s="159"/>
      <c r="O11" s="168"/>
      <c r="P11" s="163"/>
      <c r="Q11" s="159"/>
      <c r="R11" s="168"/>
      <c r="S11" s="163"/>
      <c r="T11" s="159"/>
      <c r="U11" s="168"/>
    </row>
    <row r="12" spans="1:21" x14ac:dyDescent="0.25">
      <c r="A12" t="str">
        <f>Invest!B10</f>
        <v>Raccordements SAP</v>
      </c>
      <c r="B12" s="154">
        <f>Invest!K10</f>
        <v>0</v>
      </c>
      <c r="C12" s="154">
        <f>Invest!L10</f>
        <v>0</v>
      </c>
      <c r="D12" s="159"/>
      <c r="E12" s="159"/>
      <c r="F12" s="168"/>
      <c r="G12" s="163"/>
      <c r="H12" s="159"/>
      <c r="I12" s="168"/>
      <c r="J12" s="163"/>
      <c r="K12" s="159"/>
      <c r="L12" s="168"/>
      <c r="M12" s="163"/>
      <c r="N12" s="159"/>
      <c r="O12" s="168"/>
      <c r="P12" s="163"/>
      <c r="Q12" s="159"/>
      <c r="R12" s="168"/>
      <c r="S12" s="163"/>
      <c r="T12" s="159"/>
      <c r="U12" s="168"/>
    </row>
    <row r="13" spans="1:21" x14ac:dyDescent="0.25">
      <c r="A13" t="str">
        <f>Invest!B11</f>
        <v>Serres production - Fondations</v>
      </c>
      <c r="B13" s="154">
        <f>Invest!K11</f>
        <v>12285</v>
      </c>
      <c r="C13" s="154">
        <f>Invest!L11</f>
        <v>0</v>
      </c>
      <c r="D13" s="159"/>
      <c r="E13" s="159"/>
      <c r="F13" s="168"/>
      <c r="G13" s="163"/>
      <c r="H13" s="160"/>
      <c r="I13" s="168">
        <f>B13</f>
        <v>12285</v>
      </c>
      <c r="J13" s="163"/>
      <c r="K13" s="159"/>
      <c r="L13" s="168"/>
      <c r="M13" s="163"/>
      <c r="N13" s="159"/>
      <c r="O13" s="168"/>
      <c r="P13" s="163"/>
      <c r="Q13" s="159"/>
      <c r="R13" s="168"/>
      <c r="S13" s="163"/>
      <c r="T13" s="159"/>
      <c r="U13" s="168"/>
    </row>
    <row r="14" spans="1:21" x14ac:dyDescent="0.25">
      <c r="A14" t="str">
        <f>Invest!B12</f>
        <v>Chemins circulations</v>
      </c>
      <c r="B14" s="154">
        <f>Invest!K12</f>
        <v>20000</v>
      </c>
      <c r="C14" s="154">
        <f>Invest!L12</f>
        <v>0</v>
      </c>
      <c r="D14" s="159"/>
      <c r="E14" s="159"/>
      <c r="F14" s="168"/>
      <c r="G14" s="163"/>
      <c r="H14" s="159"/>
      <c r="I14" s="168"/>
      <c r="J14" s="163"/>
      <c r="K14" s="159"/>
      <c r="L14" s="168"/>
      <c r="M14" s="163"/>
      <c r="N14" s="159"/>
      <c r="O14" s="168"/>
      <c r="P14" s="163"/>
      <c r="Q14" s="159"/>
      <c r="R14" s="168"/>
      <c r="S14" s="163"/>
      <c r="T14" s="159"/>
      <c r="U14" s="168"/>
    </row>
    <row r="15" spans="1:21" x14ac:dyDescent="0.25">
      <c r="B15" s="154"/>
      <c r="C15" s="154"/>
      <c r="D15" s="154"/>
      <c r="E15" s="154"/>
      <c r="F15" s="169"/>
      <c r="G15" s="154"/>
      <c r="H15" s="154"/>
      <c r="I15" s="169"/>
      <c r="J15" s="154"/>
      <c r="K15" s="154"/>
      <c r="L15" s="169"/>
      <c r="M15" s="154"/>
      <c r="N15" s="154"/>
      <c r="O15" s="169"/>
      <c r="P15" s="154"/>
      <c r="Q15" s="154"/>
      <c r="R15" s="169"/>
      <c r="S15" s="154"/>
      <c r="T15" s="154"/>
      <c r="U15" s="169"/>
    </row>
    <row r="16" spans="1:21" x14ac:dyDescent="0.25">
      <c r="A16" s="87" t="str">
        <f>Invest!B14</f>
        <v>Honoraires et aménagement site</v>
      </c>
      <c r="B16" s="155">
        <f>Invest!K14</f>
        <v>71215</v>
      </c>
      <c r="C16" s="155">
        <f>Invest!L14</f>
        <v>22870</v>
      </c>
      <c r="D16" s="155">
        <f>SUM(D8:D14)</f>
        <v>26000</v>
      </c>
      <c r="E16" s="155">
        <f t="shared" ref="E16:U16" si="0">SUM(E8:E14)</f>
        <v>8430</v>
      </c>
      <c r="F16" s="170">
        <f t="shared" si="0"/>
        <v>0</v>
      </c>
      <c r="G16" s="164">
        <f t="shared" si="0"/>
        <v>0</v>
      </c>
      <c r="H16" s="155">
        <f t="shared" si="0"/>
        <v>0</v>
      </c>
      <c r="I16" s="170">
        <f t="shared" si="0"/>
        <v>12285</v>
      </c>
      <c r="J16" s="164">
        <f t="shared" si="0"/>
        <v>0</v>
      </c>
      <c r="K16" s="155">
        <f t="shared" si="0"/>
        <v>0</v>
      </c>
      <c r="L16" s="170">
        <f t="shared" si="0"/>
        <v>0</v>
      </c>
      <c r="M16" s="164">
        <f t="shared" si="0"/>
        <v>0</v>
      </c>
      <c r="N16" s="155">
        <f t="shared" si="0"/>
        <v>0</v>
      </c>
      <c r="O16" s="170">
        <f t="shared" si="0"/>
        <v>0</v>
      </c>
      <c r="P16" s="164">
        <f t="shared" si="0"/>
        <v>0</v>
      </c>
      <c r="Q16" s="155">
        <f t="shared" si="0"/>
        <v>0</v>
      </c>
      <c r="R16" s="170">
        <f t="shared" si="0"/>
        <v>0</v>
      </c>
      <c r="S16" s="164">
        <f t="shared" si="0"/>
        <v>0</v>
      </c>
      <c r="T16" s="155">
        <f t="shared" si="0"/>
        <v>0</v>
      </c>
      <c r="U16" s="170">
        <f t="shared" si="0"/>
        <v>0</v>
      </c>
    </row>
    <row r="17" spans="1:21" x14ac:dyDescent="0.25">
      <c r="B17" s="154"/>
      <c r="C17" s="154"/>
      <c r="D17" s="154"/>
      <c r="E17" s="154"/>
      <c r="F17" s="169"/>
      <c r="G17" s="154"/>
      <c r="H17" s="154"/>
      <c r="I17" s="169"/>
      <c r="J17" s="154"/>
      <c r="K17" s="154"/>
      <c r="L17" s="169"/>
      <c r="M17" s="154"/>
      <c r="N17" s="154"/>
      <c r="O17" s="169"/>
      <c r="P17" s="154"/>
      <c r="Q17" s="154"/>
      <c r="R17" s="169"/>
      <c r="S17" s="154"/>
      <c r="T17" s="154"/>
      <c r="U17" s="169"/>
    </row>
    <row r="18" spans="1:21" x14ac:dyDescent="0.25">
      <c r="A18" t="str">
        <f>Invest!B16</f>
        <v>Locaux de travail fondations</v>
      </c>
      <c r="B18" s="154">
        <f>Invest!K16</f>
        <v>0</v>
      </c>
      <c r="C18" s="154">
        <f>Invest!L16</f>
        <v>294560</v>
      </c>
      <c r="D18" s="159"/>
      <c r="E18" s="159"/>
      <c r="F18" s="168"/>
      <c r="G18" s="163"/>
      <c r="H18" s="159"/>
      <c r="I18" s="168"/>
      <c r="J18" s="163"/>
      <c r="K18" s="159"/>
      <c r="L18" s="168"/>
      <c r="M18" s="163"/>
      <c r="N18" s="159"/>
      <c r="O18" s="168"/>
      <c r="P18" s="163"/>
      <c r="Q18" s="159"/>
      <c r="R18" s="168"/>
      <c r="S18" s="163"/>
      <c r="T18" s="159"/>
      <c r="U18" s="168"/>
    </row>
    <row r="19" spans="1:21" x14ac:dyDescent="0.25">
      <c r="A19" t="str">
        <f>Invest!B17</f>
        <v>Abri velo</v>
      </c>
      <c r="B19" s="154">
        <f>Invest!K17</f>
        <v>0</v>
      </c>
      <c r="C19" s="154">
        <f>Invest!L17</f>
        <v>11750</v>
      </c>
      <c r="D19" s="159"/>
      <c r="E19" s="159"/>
      <c r="F19" s="168"/>
      <c r="G19" s="163"/>
      <c r="H19" s="159"/>
      <c r="I19" s="168"/>
      <c r="J19" s="163"/>
      <c r="K19" s="159"/>
      <c r="L19" s="168"/>
      <c r="M19" s="163"/>
      <c r="N19" s="159"/>
      <c r="O19" s="168"/>
      <c r="P19" s="163"/>
      <c r="Q19" s="159"/>
      <c r="R19" s="168"/>
      <c r="S19" s="163"/>
      <c r="T19" s="159"/>
      <c r="U19" s="168"/>
    </row>
    <row r="20" spans="1:21" x14ac:dyDescent="0.25">
      <c r="A20" t="str">
        <f>Invest!B18</f>
        <v>Auvent semis - stockage graines</v>
      </c>
      <c r="B20" s="154">
        <f>Invest!K18</f>
        <v>0</v>
      </c>
      <c r="C20" s="154">
        <f>Invest!L18</f>
        <v>22230</v>
      </c>
      <c r="D20" s="159"/>
      <c r="E20" s="159"/>
      <c r="F20" s="168"/>
      <c r="G20" s="163"/>
      <c r="H20" s="159"/>
      <c r="I20" s="168"/>
      <c r="J20" s="163"/>
      <c r="K20" s="159"/>
      <c r="L20" s="168"/>
      <c r="M20" s="163"/>
      <c r="N20" s="159"/>
      <c r="O20" s="168"/>
      <c r="P20" s="163"/>
      <c r="Q20" s="159"/>
      <c r="R20" s="168"/>
      <c r="S20" s="163"/>
      <c r="T20" s="159"/>
      <c r="U20" s="168"/>
    </row>
    <row r="21" spans="1:21" x14ac:dyDescent="0.25">
      <c r="A21" t="str">
        <f>Invest!B19</f>
        <v>Auvent compostage</v>
      </c>
      <c r="B21" s="154">
        <f>Invest!K19</f>
        <v>0</v>
      </c>
      <c r="C21" s="154">
        <f>Invest!L19</f>
        <v>16500</v>
      </c>
      <c r="D21" s="159"/>
      <c r="E21" s="159"/>
      <c r="F21" s="168"/>
      <c r="G21" s="163"/>
      <c r="H21" s="159"/>
      <c r="I21" s="168"/>
      <c r="J21" s="163"/>
      <c r="K21" s="159"/>
      <c r="L21" s="168"/>
      <c r="M21" s="163"/>
      <c r="N21" s="159"/>
      <c r="O21" s="168"/>
      <c r="P21" s="163"/>
      <c r="Q21" s="159"/>
      <c r="R21" s="168"/>
      <c r="S21" s="163"/>
      <c r="T21" s="159"/>
      <c r="U21" s="168"/>
    </row>
    <row r="22" spans="1:21" x14ac:dyDescent="0.25">
      <c r="A22" t="str">
        <f>Invest!B20</f>
        <v>Chambre germination</v>
      </c>
      <c r="B22" s="154">
        <f>Invest!K20</f>
        <v>0</v>
      </c>
      <c r="C22" s="154">
        <f>Invest!L20</f>
        <v>9000</v>
      </c>
      <c r="D22" s="159"/>
      <c r="E22" s="159"/>
      <c r="F22" s="168"/>
      <c r="G22" s="163"/>
      <c r="H22" s="159"/>
      <c r="I22" s="168"/>
      <c r="J22" s="163"/>
      <c r="K22" s="159"/>
      <c r="L22" s="168"/>
      <c r="M22" s="163"/>
      <c r="N22" s="159"/>
      <c r="O22" s="168"/>
      <c r="P22" s="163"/>
      <c r="Q22" s="159"/>
      <c r="R22" s="168"/>
      <c r="S22" s="163"/>
      <c r="T22" s="159"/>
      <c r="U22" s="168"/>
    </row>
    <row r="23" spans="1:21" x14ac:dyDescent="0.25">
      <c r="B23" s="154"/>
      <c r="C23" s="154"/>
      <c r="D23" s="154"/>
      <c r="E23" s="154"/>
      <c r="F23" s="169"/>
      <c r="G23" s="154"/>
      <c r="H23" s="154"/>
      <c r="I23" s="169"/>
      <c r="J23" s="154"/>
      <c r="K23" s="154"/>
      <c r="L23" s="169"/>
      <c r="M23" s="154"/>
      <c r="N23" s="154"/>
      <c r="O23" s="169"/>
      <c r="P23" s="154"/>
      <c r="Q23" s="154"/>
      <c r="R23" s="169"/>
      <c r="S23" s="154"/>
      <c r="T23" s="154"/>
      <c r="U23" s="169"/>
    </row>
    <row r="24" spans="1:21" x14ac:dyDescent="0.25">
      <c r="A24" s="87" t="str">
        <f>Invest!B22</f>
        <v>Batiments techniques</v>
      </c>
      <c r="B24" s="155">
        <f>Invest!K22</f>
        <v>0</v>
      </c>
      <c r="C24" s="155">
        <f>Invest!L22</f>
        <v>354040</v>
      </c>
      <c r="D24" s="155">
        <f>SUM(D18:D22)</f>
        <v>0</v>
      </c>
      <c r="E24" s="155">
        <f t="shared" ref="E24:U24" si="1">SUM(E18:E22)</f>
        <v>0</v>
      </c>
      <c r="F24" s="170">
        <f t="shared" si="1"/>
        <v>0</v>
      </c>
      <c r="G24" s="164">
        <f t="shared" si="1"/>
        <v>0</v>
      </c>
      <c r="H24" s="155">
        <f t="shared" si="1"/>
        <v>0</v>
      </c>
      <c r="I24" s="170">
        <f t="shared" si="1"/>
        <v>0</v>
      </c>
      <c r="J24" s="164">
        <f t="shared" si="1"/>
        <v>0</v>
      </c>
      <c r="K24" s="155">
        <f t="shared" si="1"/>
        <v>0</v>
      </c>
      <c r="L24" s="170">
        <f t="shared" si="1"/>
        <v>0</v>
      </c>
      <c r="M24" s="164">
        <f t="shared" si="1"/>
        <v>0</v>
      </c>
      <c r="N24" s="155">
        <f t="shared" si="1"/>
        <v>0</v>
      </c>
      <c r="O24" s="170">
        <f t="shared" si="1"/>
        <v>0</v>
      </c>
      <c r="P24" s="164">
        <f t="shared" si="1"/>
        <v>0</v>
      </c>
      <c r="Q24" s="155">
        <f t="shared" si="1"/>
        <v>0</v>
      </c>
      <c r="R24" s="170">
        <f t="shared" si="1"/>
        <v>0</v>
      </c>
      <c r="S24" s="164">
        <f t="shared" si="1"/>
        <v>0</v>
      </c>
      <c r="T24" s="155">
        <f t="shared" si="1"/>
        <v>0</v>
      </c>
      <c r="U24" s="170">
        <f t="shared" si="1"/>
        <v>0</v>
      </c>
    </row>
    <row r="25" spans="1:21" x14ac:dyDescent="0.25">
      <c r="B25" s="154"/>
      <c r="C25" s="154"/>
      <c r="D25" s="154"/>
      <c r="E25" s="154"/>
      <c r="F25" s="169"/>
      <c r="G25" s="154"/>
      <c r="H25" s="154"/>
      <c r="I25" s="169"/>
      <c r="J25" s="154"/>
      <c r="K25" s="154"/>
      <c r="L25" s="169"/>
      <c r="M25" s="154"/>
      <c r="N25" s="154"/>
      <c r="O25" s="169"/>
      <c r="P25" s="154"/>
      <c r="Q25" s="154"/>
      <c r="R25" s="169"/>
      <c r="S25" s="154"/>
      <c r="T25" s="154"/>
      <c r="U25" s="169"/>
    </row>
    <row r="26" spans="1:21" x14ac:dyDescent="0.25">
      <c r="A26" t="str">
        <f>Invest!B24</f>
        <v>Serres production - fourniture etmontage</v>
      </c>
      <c r="B26" s="154">
        <f>Invest!K24</f>
        <v>22800</v>
      </c>
      <c r="C26" s="154">
        <f>Invest!L24</f>
        <v>34200</v>
      </c>
      <c r="D26" s="159"/>
      <c r="E26" s="159"/>
      <c r="F26" s="168"/>
      <c r="G26" s="163"/>
      <c r="H26" s="159"/>
      <c r="I26" s="168"/>
      <c r="J26" s="163"/>
      <c r="K26" s="159"/>
      <c r="L26" s="168"/>
      <c r="M26" s="163"/>
      <c r="N26" s="159"/>
      <c r="O26" s="168"/>
      <c r="P26" s="163"/>
      <c r="Q26" s="159"/>
      <c r="R26" s="168"/>
      <c r="S26" s="163"/>
      <c r="T26" s="159"/>
      <c r="U26" s="168"/>
    </row>
    <row r="27" spans="1:21" x14ac:dyDescent="0.25">
      <c r="A27" t="str">
        <f>Invest!B25</f>
        <v>Tables de culture roulantes</v>
      </c>
      <c r="B27" s="154">
        <f>Invest!K25</f>
        <v>0</v>
      </c>
      <c r="C27" s="154">
        <f>Invest!L25</f>
        <v>22000</v>
      </c>
      <c r="D27" s="159"/>
      <c r="E27" s="159"/>
      <c r="F27" s="168"/>
      <c r="G27" s="163"/>
      <c r="H27" s="159"/>
      <c r="I27" s="168"/>
      <c r="J27" s="163"/>
      <c r="K27" s="159"/>
      <c r="L27" s="168"/>
      <c r="M27" s="163"/>
      <c r="N27" s="159"/>
      <c r="O27" s="168"/>
      <c r="P27" s="163"/>
      <c r="Q27" s="159"/>
      <c r="R27" s="168"/>
      <c r="S27" s="163"/>
      <c r="T27" s="159"/>
      <c r="U27" s="168"/>
    </row>
    <row r="28" spans="1:21" x14ac:dyDescent="0.25">
      <c r="A28" t="str">
        <f>Invest!B26</f>
        <v>Bioclimatisation</v>
      </c>
      <c r="B28" s="154">
        <f>Invest!K26</f>
        <v>0</v>
      </c>
      <c r="C28" s="154">
        <f>Invest!L26</f>
        <v>18750</v>
      </c>
      <c r="D28" s="159"/>
      <c r="E28" s="159"/>
      <c r="F28" s="168"/>
      <c r="G28" s="163"/>
      <c r="H28" s="159"/>
      <c r="I28" s="168"/>
      <c r="J28" s="163"/>
      <c r="K28" s="159"/>
      <c r="L28" s="168"/>
      <c r="M28" s="163"/>
      <c r="N28" s="159"/>
      <c r="O28" s="168"/>
      <c r="P28" s="163"/>
      <c r="Q28" s="159"/>
      <c r="R28" s="168"/>
      <c r="S28" s="163"/>
      <c r="T28" s="159"/>
      <c r="U28" s="168"/>
    </row>
    <row r="29" spans="1:21" x14ac:dyDescent="0.25">
      <c r="A29" t="str">
        <f>Invest!B27</f>
        <v>Arrosage (brumisation)</v>
      </c>
      <c r="B29" s="154">
        <f>Invest!K27</f>
        <v>0</v>
      </c>
      <c r="C29" s="154">
        <f>Invest!L27</f>
        <v>13500</v>
      </c>
      <c r="D29" s="159"/>
      <c r="E29" s="159"/>
      <c r="F29" s="168"/>
      <c r="G29" s="163"/>
      <c r="H29" s="159"/>
      <c r="I29" s="168"/>
      <c r="J29" s="163"/>
      <c r="K29" s="159"/>
      <c r="L29" s="168"/>
      <c r="M29" s="163"/>
      <c r="N29" s="159"/>
      <c r="O29" s="168"/>
      <c r="P29" s="163"/>
      <c r="Q29" s="159"/>
      <c r="R29" s="168"/>
      <c r="S29" s="163"/>
      <c r="T29" s="159"/>
      <c r="U29" s="168"/>
    </row>
    <row r="30" spans="1:21" x14ac:dyDescent="0.25">
      <c r="A30" t="str">
        <f>Invest!B28</f>
        <v xml:space="preserve">Outils de contrôle </v>
      </c>
      <c r="B30" s="154">
        <f>Invest!K28</f>
        <v>0</v>
      </c>
      <c r="C30" s="154">
        <f>Invest!L28</f>
        <v>4500</v>
      </c>
      <c r="D30" s="159"/>
      <c r="E30" s="159"/>
      <c r="F30" s="168"/>
      <c r="G30" s="163"/>
      <c r="H30" s="159"/>
      <c r="I30" s="168"/>
      <c r="J30" s="163"/>
      <c r="K30" s="159"/>
      <c r="L30" s="168"/>
      <c r="M30" s="163"/>
      <c r="N30" s="159"/>
      <c r="O30" s="168"/>
      <c r="P30" s="163"/>
      <c r="Q30" s="159"/>
      <c r="R30" s="168"/>
      <c r="S30" s="163"/>
      <c r="T30" s="159"/>
      <c r="U30" s="168"/>
    </row>
    <row r="31" spans="1:21" x14ac:dyDescent="0.25">
      <c r="A31" t="str">
        <f>Invest!B29</f>
        <v>Mobilier serres</v>
      </c>
      <c r="B31" s="154">
        <f>Invest!K29</f>
        <v>0</v>
      </c>
      <c r="C31" s="154">
        <f>Invest!L29</f>
        <v>2000</v>
      </c>
      <c r="D31" s="159"/>
      <c r="E31" s="159"/>
      <c r="F31" s="168"/>
      <c r="G31" s="163"/>
      <c r="H31" s="159"/>
      <c r="I31" s="168"/>
      <c r="J31" s="163"/>
      <c r="K31" s="159"/>
      <c r="L31" s="168"/>
      <c r="M31" s="163"/>
      <c r="N31" s="159"/>
      <c r="O31" s="168"/>
      <c r="P31" s="163"/>
      <c r="Q31" s="159"/>
      <c r="R31" s="168"/>
      <c r="S31" s="163"/>
      <c r="T31" s="159"/>
      <c r="U31" s="168"/>
    </row>
    <row r="32" spans="1:21" x14ac:dyDescent="0.25">
      <c r="A32" t="str">
        <f>Invest!B30</f>
        <v>Terrines</v>
      </c>
      <c r="B32" s="154">
        <f>Invest!K30</f>
        <v>0</v>
      </c>
      <c r="C32" s="156">
        <v>21630</v>
      </c>
      <c r="D32" s="159"/>
      <c r="E32" s="159"/>
      <c r="F32" s="168"/>
      <c r="G32" s="163"/>
      <c r="H32" s="159"/>
      <c r="I32" s="168"/>
      <c r="J32" s="163">
        <f>C32</f>
        <v>21630</v>
      </c>
      <c r="K32" s="159"/>
      <c r="L32" s="168"/>
      <c r="M32" s="163"/>
      <c r="N32" s="159"/>
      <c r="O32" s="168"/>
      <c r="P32" s="163"/>
      <c r="Q32" s="159"/>
      <c r="R32" s="168"/>
      <c r="S32" s="163"/>
      <c r="T32" s="159"/>
      <c r="U32" s="168"/>
    </row>
    <row r="33" spans="1:21" x14ac:dyDescent="0.25">
      <c r="A33" t="str">
        <f>Invest!B31</f>
        <v>Composteurs mecaniques</v>
      </c>
      <c r="B33" s="154">
        <f>Invest!K31</f>
        <v>27000</v>
      </c>
      <c r="C33" s="154">
        <f>Invest!L31</f>
        <v>0</v>
      </c>
      <c r="D33" s="159"/>
      <c r="E33" s="159"/>
      <c r="F33" s="168"/>
      <c r="G33" s="163"/>
      <c r="H33" s="159"/>
      <c r="I33" s="168"/>
      <c r="J33" s="163"/>
      <c r="K33" s="159"/>
      <c r="L33" s="168"/>
      <c r="M33" s="163"/>
      <c r="N33" s="159"/>
      <c r="O33" s="168"/>
      <c r="P33" s="163"/>
      <c r="Q33" s="159"/>
      <c r="R33" s="168"/>
      <c r="S33" s="163"/>
      <c r="T33" s="159"/>
      <c r="U33" s="168"/>
    </row>
    <row r="34" spans="1:21" x14ac:dyDescent="0.25">
      <c r="A34" t="str">
        <f>Invest!B32</f>
        <v>Chaîne semis</v>
      </c>
      <c r="B34" s="154">
        <f>Invest!K32</f>
        <v>0</v>
      </c>
      <c r="C34" s="154">
        <f>Invest!L32</f>
        <v>9000</v>
      </c>
      <c r="D34" s="159"/>
      <c r="E34" s="159"/>
      <c r="F34" s="168"/>
      <c r="G34" s="163"/>
      <c r="H34" s="159"/>
      <c r="I34" s="168"/>
      <c r="J34" s="163"/>
      <c r="K34" s="159"/>
      <c r="L34" s="168"/>
      <c r="M34" s="163"/>
      <c r="N34" s="159"/>
      <c r="O34" s="168"/>
      <c r="P34" s="163"/>
      <c r="Q34" s="159"/>
      <c r="R34" s="168"/>
      <c r="S34" s="163"/>
      <c r="T34" s="159"/>
      <c r="U34" s="168"/>
    </row>
    <row r="35" spans="1:21" x14ac:dyDescent="0.25">
      <c r="A35" t="str">
        <f>Invest!B33</f>
        <v>Chaîne lavage-egouttage/séchage</v>
      </c>
      <c r="B35" s="154">
        <f>Invest!K33</f>
        <v>12000</v>
      </c>
      <c r="C35" s="154">
        <f>Invest!L33</f>
        <v>18000</v>
      </c>
      <c r="D35" s="159"/>
      <c r="E35" s="159"/>
      <c r="F35" s="168"/>
      <c r="G35" s="163"/>
      <c r="H35" s="159"/>
      <c r="I35" s="168"/>
      <c r="J35" s="163"/>
      <c r="K35" s="159"/>
      <c r="L35" s="168"/>
      <c r="M35" s="163"/>
      <c r="N35" s="159"/>
      <c r="O35" s="168"/>
      <c r="P35" s="163"/>
      <c r="Q35" s="159"/>
      <c r="R35" s="168"/>
      <c r="S35" s="163"/>
      <c r="T35" s="159"/>
      <c r="U35" s="168"/>
    </row>
    <row r="36" spans="1:21" x14ac:dyDescent="0.25">
      <c r="A36" t="str">
        <f>Invest!B34</f>
        <v>Récup/stockage/filtration eau lavage</v>
      </c>
      <c r="B36" s="154">
        <f>Invest!K34</f>
        <v>0</v>
      </c>
      <c r="C36" s="154">
        <f>Invest!L34</f>
        <v>1200</v>
      </c>
      <c r="D36" s="159"/>
      <c r="E36" s="159"/>
      <c r="F36" s="168"/>
      <c r="G36" s="163"/>
      <c r="H36" s="159"/>
      <c r="I36" s="168"/>
      <c r="J36" s="163"/>
      <c r="K36" s="159"/>
      <c r="L36" s="168"/>
      <c r="M36" s="163"/>
      <c r="N36" s="159"/>
      <c r="O36" s="168"/>
      <c r="P36" s="163"/>
      <c r="Q36" s="159"/>
      <c r="R36" s="168"/>
      <c r="S36" s="163"/>
      <c r="T36" s="159"/>
      <c r="U36" s="168"/>
    </row>
    <row r="37" spans="1:21" x14ac:dyDescent="0.25">
      <c r="A37" t="str">
        <f>Invest!B35</f>
        <v>Unité séchage</v>
      </c>
      <c r="B37" s="154">
        <f>Invest!K35</f>
        <v>0</v>
      </c>
      <c r="C37" s="154">
        <f>Invest!L35</f>
        <v>5000</v>
      </c>
      <c r="D37" s="159"/>
      <c r="E37" s="159"/>
      <c r="F37" s="168"/>
      <c r="G37" s="163"/>
      <c r="H37" s="159"/>
      <c r="I37" s="168"/>
      <c r="J37" s="163"/>
      <c r="K37" s="159"/>
      <c r="L37" s="168"/>
      <c r="M37" s="163"/>
      <c r="N37" s="159"/>
      <c r="O37" s="168"/>
      <c r="P37" s="163"/>
      <c r="Q37" s="159"/>
      <c r="R37" s="168"/>
      <c r="S37" s="163"/>
      <c r="T37" s="159"/>
      <c r="U37" s="168"/>
    </row>
    <row r="38" spans="1:21" x14ac:dyDescent="0.25">
      <c r="A38" t="str">
        <f>Invest!B36</f>
        <v>Chambres froides</v>
      </c>
      <c r="B38" s="154">
        <f>Invest!K36</f>
        <v>0</v>
      </c>
      <c r="C38" s="154">
        <f>Invest!L36</f>
        <v>14000</v>
      </c>
      <c r="D38" s="159"/>
      <c r="E38" s="159"/>
      <c r="F38" s="168"/>
      <c r="G38" s="163"/>
      <c r="H38" s="159"/>
      <c r="I38" s="168"/>
      <c r="J38" s="163"/>
      <c r="K38" s="159"/>
      <c r="L38" s="168"/>
      <c r="M38" s="163"/>
      <c r="N38" s="159"/>
      <c r="O38" s="168"/>
      <c r="P38" s="163"/>
      <c r="Q38" s="159"/>
      <c r="R38" s="168"/>
      <c r="S38" s="163"/>
      <c r="T38" s="159"/>
      <c r="U38" s="168"/>
    </row>
    <row r="39" spans="1:21" x14ac:dyDescent="0.25">
      <c r="B39" s="154"/>
      <c r="C39" s="154"/>
      <c r="D39" s="154"/>
      <c r="E39" s="154"/>
      <c r="F39" s="169"/>
      <c r="G39" s="154"/>
      <c r="H39" s="154"/>
      <c r="I39" s="169"/>
      <c r="J39" s="154"/>
      <c r="K39" s="154"/>
      <c r="L39" s="169"/>
      <c r="M39" s="154"/>
      <c r="N39" s="154"/>
      <c r="O39" s="169"/>
      <c r="P39" s="154"/>
      <c r="Q39" s="154"/>
      <c r="R39" s="169"/>
      <c r="S39" s="154"/>
      <c r="T39" s="154"/>
      <c r="U39" s="169"/>
    </row>
    <row r="40" spans="1:21" x14ac:dyDescent="0.25">
      <c r="A40" s="87" t="str">
        <f>Invest!B38</f>
        <v>Serres et installations techniques micro-pousses</v>
      </c>
      <c r="B40" s="155">
        <f>Invest!K38</f>
        <v>61800</v>
      </c>
      <c r="C40" s="155">
        <f>Invest!L38</f>
        <v>158650</v>
      </c>
      <c r="D40" s="155">
        <f>SUM(D26:D38)</f>
        <v>0</v>
      </c>
      <c r="E40" s="155">
        <f t="shared" ref="E40:U40" si="2">SUM(E26:E38)</f>
        <v>0</v>
      </c>
      <c r="F40" s="170">
        <f t="shared" si="2"/>
        <v>0</v>
      </c>
      <c r="G40" s="164">
        <f t="shared" si="2"/>
        <v>0</v>
      </c>
      <c r="H40" s="155">
        <f t="shared" si="2"/>
        <v>0</v>
      </c>
      <c r="I40" s="170">
        <f t="shared" si="2"/>
        <v>0</v>
      </c>
      <c r="J40" s="164">
        <f t="shared" si="2"/>
        <v>21630</v>
      </c>
      <c r="K40" s="155">
        <f t="shared" si="2"/>
        <v>0</v>
      </c>
      <c r="L40" s="170">
        <f t="shared" si="2"/>
        <v>0</v>
      </c>
      <c r="M40" s="164">
        <f t="shared" si="2"/>
        <v>0</v>
      </c>
      <c r="N40" s="155">
        <f t="shared" si="2"/>
        <v>0</v>
      </c>
      <c r="O40" s="170">
        <f t="shared" si="2"/>
        <v>0</v>
      </c>
      <c r="P40" s="164">
        <f t="shared" si="2"/>
        <v>0</v>
      </c>
      <c r="Q40" s="155">
        <f t="shared" si="2"/>
        <v>0</v>
      </c>
      <c r="R40" s="170">
        <f t="shared" si="2"/>
        <v>0</v>
      </c>
      <c r="S40" s="164">
        <f t="shared" si="2"/>
        <v>0</v>
      </c>
      <c r="T40" s="155">
        <f t="shared" si="2"/>
        <v>0</v>
      </c>
      <c r="U40" s="170">
        <f t="shared" si="2"/>
        <v>0</v>
      </c>
    </row>
    <row r="41" spans="1:21" x14ac:dyDescent="0.25">
      <c r="B41" s="154"/>
      <c r="C41" s="154"/>
      <c r="D41" s="154"/>
      <c r="E41" s="154"/>
      <c r="F41" s="169"/>
      <c r="G41" s="154"/>
      <c r="H41" s="154"/>
      <c r="I41" s="169"/>
      <c r="J41" s="154"/>
      <c r="K41" s="154"/>
      <c r="L41" s="169"/>
      <c r="M41" s="154"/>
      <c r="N41" s="154"/>
      <c r="O41" s="169"/>
      <c r="P41" s="154"/>
      <c r="Q41" s="154"/>
      <c r="R41" s="169"/>
      <c r="S41" s="154"/>
      <c r="T41" s="154"/>
      <c r="U41" s="169"/>
    </row>
    <row r="42" spans="1:21" x14ac:dyDescent="0.25">
      <c r="B42" s="154"/>
      <c r="C42" s="154"/>
      <c r="D42" s="154"/>
      <c r="E42" s="154"/>
      <c r="F42" s="169"/>
      <c r="G42" s="154"/>
      <c r="H42" s="154"/>
      <c r="I42" s="169"/>
      <c r="J42" s="154"/>
      <c r="K42" s="154"/>
      <c r="L42" s="169"/>
      <c r="M42" s="154"/>
      <c r="N42" s="154"/>
      <c r="O42" s="169"/>
      <c r="P42" s="154"/>
      <c r="Q42" s="154"/>
      <c r="R42" s="169"/>
      <c r="S42" s="154"/>
      <c r="T42" s="154"/>
      <c r="U42" s="169"/>
    </row>
    <row r="43" spans="1:21" x14ac:dyDescent="0.25">
      <c r="A43" t="str">
        <f>Invest!B41</f>
        <v>Bacs culture au sol (palox)</v>
      </c>
      <c r="B43" s="154">
        <f>Invest!K41</f>
        <v>0</v>
      </c>
      <c r="C43" s="154">
        <f>Invest!L41</f>
        <v>5000</v>
      </c>
      <c r="D43" s="159"/>
      <c r="E43" s="159"/>
      <c r="F43" s="168"/>
      <c r="G43" s="163"/>
      <c r="H43" s="159"/>
      <c r="I43" s="168"/>
      <c r="J43" s="163"/>
      <c r="K43" s="159"/>
      <c r="L43" s="168"/>
      <c r="M43" s="163"/>
      <c r="N43" s="159"/>
      <c r="O43" s="168"/>
      <c r="P43" s="163">
        <f>C43</f>
        <v>5000</v>
      </c>
      <c r="Q43" s="159"/>
      <c r="R43" s="168"/>
      <c r="S43" s="163"/>
      <c r="T43" s="159"/>
      <c r="U43" s="168"/>
    </row>
    <row r="44" spans="1:21" x14ac:dyDescent="0.25">
      <c r="A44" t="str">
        <f>Invest!B42</f>
        <v>Serre pédagogique</v>
      </c>
      <c r="B44" s="154">
        <f>Invest!K42</f>
        <v>0</v>
      </c>
      <c r="C44" s="154">
        <f>Invest!L42</f>
        <v>0</v>
      </c>
      <c r="D44" s="159"/>
      <c r="E44" s="159"/>
      <c r="F44" s="168"/>
      <c r="G44" s="163"/>
      <c r="H44" s="159"/>
      <c r="I44" s="168"/>
      <c r="J44" s="163"/>
      <c r="K44" s="159"/>
      <c r="L44" s="168"/>
      <c r="M44" s="163"/>
      <c r="N44" s="159"/>
      <c r="O44" s="168"/>
      <c r="P44" s="163"/>
      <c r="Q44" s="159"/>
      <c r="R44" s="168"/>
      <c r="S44" s="163"/>
      <c r="T44" s="159"/>
      <c r="U44" s="168"/>
    </row>
    <row r="45" spans="1:21" x14ac:dyDescent="0.25">
      <c r="A45" t="str">
        <f>Invest!B43</f>
        <v>Tables de culture</v>
      </c>
      <c r="B45" s="154">
        <f>Invest!K43</f>
        <v>0</v>
      </c>
      <c r="C45" s="154">
        <f>Invest!L43</f>
        <v>0</v>
      </c>
      <c r="D45" s="159"/>
      <c r="E45" s="159"/>
      <c r="F45" s="168"/>
      <c r="G45" s="163"/>
      <c r="H45" s="159"/>
      <c r="I45" s="168"/>
      <c r="J45" s="163"/>
      <c r="K45" s="159"/>
      <c r="L45" s="168"/>
      <c r="M45" s="163"/>
      <c r="N45" s="159"/>
      <c r="O45" s="168"/>
      <c r="P45" s="163"/>
      <c r="Q45" s="159"/>
      <c r="R45" s="168"/>
      <c r="S45" s="163"/>
      <c r="T45" s="159"/>
      <c r="U45" s="168"/>
    </row>
    <row r="46" spans="1:21" x14ac:dyDescent="0.25">
      <c r="A46" t="str">
        <f>Invest!B44</f>
        <v>Terreau / Substrat</v>
      </c>
      <c r="B46" s="154">
        <f>Invest!K44</f>
        <v>0</v>
      </c>
      <c r="C46" s="154">
        <f>Invest!L44</f>
        <v>0</v>
      </c>
      <c r="D46" s="159"/>
      <c r="E46" s="159"/>
      <c r="F46" s="168"/>
      <c r="G46" s="163"/>
      <c r="H46" s="159"/>
      <c r="I46" s="168"/>
      <c r="J46" s="163"/>
      <c r="K46" s="159"/>
      <c r="L46" s="168"/>
      <c r="M46" s="163"/>
      <c r="N46" s="159"/>
      <c r="O46" s="168"/>
      <c r="P46" s="163"/>
      <c r="Q46" s="159"/>
      <c r="R46" s="168"/>
      <c r="S46" s="163"/>
      <c r="T46" s="159"/>
      <c r="U46" s="168"/>
    </row>
    <row r="47" spans="1:21" x14ac:dyDescent="0.25">
      <c r="A47" t="str">
        <f>Invest!B45</f>
        <v>Rampes d'arrosage</v>
      </c>
      <c r="B47" s="154">
        <f>Invest!K45</f>
        <v>0</v>
      </c>
      <c r="C47" s="154">
        <f>Invest!L45</f>
        <v>0</v>
      </c>
      <c r="D47" s="159"/>
      <c r="E47" s="159"/>
      <c r="F47" s="168"/>
      <c r="G47" s="163"/>
      <c r="H47" s="159"/>
      <c r="I47" s="168"/>
      <c r="J47" s="163"/>
      <c r="K47" s="159"/>
      <c r="L47" s="168"/>
      <c r="M47" s="163"/>
      <c r="N47" s="159"/>
      <c r="O47" s="168"/>
      <c r="P47" s="163"/>
      <c r="Q47" s="159"/>
      <c r="R47" s="168"/>
      <c r="S47" s="163"/>
      <c r="T47" s="159"/>
      <c r="U47" s="168"/>
    </row>
    <row r="48" spans="1:21" x14ac:dyDescent="0.25">
      <c r="A48" t="str">
        <f>Invest!B46</f>
        <v>Outillage jardin</v>
      </c>
      <c r="B48" s="154">
        <f>Invest!K46</f>
        <v>0</v>
      </c>
      <c r="C48" s="154">
        <f>Invest!L46</f>
        <v>0</v>
      </c>
      <c r="D48" s="159"/>
      <c r="E48" s="159"/>
      <c r="F48" s="168"/>
      <c r="G48" s="163"/>
      <c r="H48" s="159"/>
      <c r="I48" s="168"/>
      <c r="J48" s="163"/>
      <c r="K48" s="159"/>
      <c r="L48" s="168"/>
      <c r="M48" s="163"/>
      <c r="N48" s="159"/>
      <c r="O48" s="168"/>
      <c r="P48" s="163"/>
      <c r="Q48" s="159"/>
      <c r="R48" s="168"/>
      <c r="S48" s="163"/>
      <c r="T48" s="159"/>
      <c r="U48" s="168"/>
    </row>
    <row r="49" spans="1:21" x14ac:dyDescent="0.25">
      <c r="B49" s="154"/>
      <c r="C49" s="154"/>
      <c r="D49" s="154"/>
      <c r="E49" s="154"/>
      <c r="F49" s="169"/>
      <c r="G49" s="154"/>
      <c r="H49" s="154"/>
      <c r="I49" s="169"/>
      <c r="J49" s="154"/>
      <c r="K49" s="154"/>
      <c r="L49" s="169"/>
      <c r="M49" s="154"/>
      <c r="N49" s="154"/>
      <c r="O49" s="169"/>
      <c r="P49" s="154"/>
      <c r="Q49" s="154"/>
      <c r="R49" s="169"/>
      <c r="S49" s="154"/>
      <c r="T49" s="154"/>
      <c r="U49" s="169"/>
    </row>
    <row r="50" spans="1:21" x14ac:dyDescent="0.25">
      <c r="A50" s="87" t="str">
        <f>Invest!B48</f>
        <v>Cultures fleurs, plants et apiculture</v>
      </c>
      <c r="B50" s="155">
        <f>Invest!K48</f>
        <v>0</v>
      </c>
      <c r="C50" s="155">
        <f>Invest!L48</f>
        <v>5000</v>
      </c>
      <c r="D50" s="155">
        <f>SUM(D43:D48)</f>
        <v>0</v>
      </c>
      <c r="E50" s="155">
        <f t="shared" ref="E50:U50" si="3">SUM(E43:E48)</f>
        <v>0</v>
      </c>
      <c r="F50" s="170">
        <f t="shared" si="3"/>
        <v>0</v>
      </c>
      <c r="G50" s="164">
        <f t="shared" si="3"/>
        <v>0</v>
      </c>
      <c r="H50" s="155">
        <f t="shared" si="3"/>
        <v>0</v>
      </c>
      <c r="I50" s="170">
        <f t="shared" si="3"/>
        <v>0</v>
      </c>
      <c r="J50" s="164">
        <f t="shared" si="3"/>
        <v>0</v>
      </c>
      <c r="K50" s="155">
        <f t="shared" si="3"/>
        <v>0</v>
      </c>
      <c r="L50" s="170">
        <f t="shared" si="3"/>
        <v>0</v>
      </c>
      <c r="M50" s="164">
        <f t="shared" si="3"/>
        <v>0</v>
      </c>
      <c r="N50" s="155">
        <f t="shared" si="3"/>
        <v>0</v>
      </c>
      <c r="O50" s="170">
        <f t="shared" si="3"/>
        <v>0</v>
      </c>
      <c r="P50" s="164">
        <f t="shared" si="3"/>
        <v>5000</v>
      </c>
      <c r="Q50" s="155">
        <f t="shared" si="3"/>
        <v>0</v>
      </c>
      <c r="R50" s="170">
        <f t="shared" si="3"/>
        <v>0</v>
      </c>
      <c r="S50" s="164">
        <f t="shared" si="3"/>
        <v>0</v>
      </c>
      <c r="T50" s="155">
        <f t="shared" si="3"/>
        <v>0</v>
      </c>
      <c r="U50" s="170">
        <f t="shared" si="3"/>
        <v>0</v>
      </c>
    </row>
    <row r="51" spans="1:21" x14ac:dyDescent="0.25">
      <c r="B51" s="154"/>
      <c r="C51" s="154"/>
      <c r="D51" s="154"/>
      <c r="E51" s="154"/>
      <c r="F51" s="169"/>
      <c r="G51" s="154"/>
      <c r="H51" s="154"/>
      <c r="I51" s="169"/>
      <c r="J51" s="154"/>
      <c r="K51" s="154"/>
      <c r="L51" s="169"/>
      <c r="M51" s="154"/>
      <c r="N51" s="154"/>
      <c r="O51" s="169"/>
      <c r="P51" s="154"/>
      <c r="Q51" s="154"/>
      <c r="R51" s="169"/>
      <c r="S51" s="154"/>
      <c r="T51" s="154"/>
      <c r="U51" s="169"/>
    </row>
    <row r="52" spans="1:21" x14ac:dyDescent="0.25">
      <c r="A52" t="str">
        <f>Invest!B50</f>
        <v>Véhicule utilitaire</v>
      </c>
      <c r="B52" s="154">
        <f>Invest!K50</f>
        <v>0</v>
      </c>
      <c r="C52" s="154">
        <f>Invest!L50</f>
        <v>7000</v>
      </c>
      <c r="D52" s="159"/>
      <c r="E52" s="159"/>
      <c r="F52" s="168"/>
      <c r="G52" s="163"/>
      <c r="H52" s="159"/>
      <c r="I52" s="168"/>
      <c r="J52" s="163"/>
      <c r="K52" s="159"/>
      <c r="L52" s="168"/>
      <c r="M52" s="163"/>
      <c r="N52" s="159"/>
      <c r="O52" s="168"/>
      <c r="P52" s="163"/>
      <c r="Q52" s="159"/>
      <c r="R52" s="168"/>
      <c r="S52" s="163"/>
      <c r="T52" s="159"/>
      <c r="U52" s="168"/>
    </row>
    <row r="53" spans="1:21" x14ac:dyDescent="0.25">
      <c r="A53" t="str">
        <f>Invest!B51</f>
        <v>Vélos cargo</v>
      </c>
      <c r="B53" s="154">
        <f>Invest!K51</f>
        <v>0</v>
      </c>
      <c r="C53" s="154">
        <f>Invest!L51</f>
        <v>13500</v>
      </c>
      <c r="D53" s="159"/>
      <c r="E53" s="159"/>
      <c r="F53" s="168"/>
      <c r="G53" s="163"/>
      <c r="H53" s="159"/>
      <c r="I53" s="168"/>
      <c r="J53" s="163"/>
      <c r="K53" s="159"/>
      <c r="L53" s="168"/>
      <c r="M53" s="163"/>
      <c r="N53" s="159"/>
      <c r="O53" s="168"/>
      <c r="P53" s="163"/>
      <c r="Q53" s="159"/>
      <c r="R53" s="168"/>
      <c r="S53" s="163"/>
      <c r="T53" s="159"/>
      <c r="U53" s="168"/>
    </row>
    <row r="54" spans="1:21" x14ac:dyDescent="0.25">
      <c r="A54" t="str">
        <f>Invest!B52</f>
        <v>Matériels manutention</v>
      </c>
      <c r="B54" s="154">
        <f>Invest!K52</f>
        <v>0</v>
      </c>
      <c r="C54" s="154">
        <f>Invest!L52</f>
        <v>2000</v>
      </c>
      <c r="D54" s="159"/>
      <c r="E54" s="159"/>
      <c r="F54" s="168"/>
      <c r="G54" s="163"/>
      <c r="H54" s="159"/>
      <c r="I54" s="168"/>
      <c r="J54" s="163"/>
      <c r="K54" s="159"/>
      <c r="L54" s="168"/>
      <c r="M54" s="163"/>
      <c r="N54" s="159"/>
      <c r="O54" s="168"/>
      <c r="P54" s="163"/>
      <c r="Q54" s="159"/>
      <c r="R54" s="168"/>
      <c r="S54" s="163"/>
      <c r="T54" s="159"/>
      <c r="U54" s="168"/>
    </row>
    <row r="55" spans="1:21" x14ac:dyDescent="0.25">
      <c r="B55" s="154"/>
      <c r="C55" s="154"/>
      <c r="D55" s="154"/>
      <c r="E55" s="154"/>
      <c r="F55" s="169"/>
      <c r="G55" s="154"/>
      <c r="H55" s="154"/>
      <c r="I55" s="169"/>
      <c r="J55" s="154"/>
      <c r="K55" s="154"/>
      <c r="L55" s="169"/>
      <c r="M55" s="154"/>
      <c r="N55" s="154"/>
      <c r="O55" s="169"/>
      <c r="P55" s="154"/>
      <c r="Q55" s="154"/>
      <c r="R55" s="169"/>
      <c r="S55" s="154"/>
      <c r="T55" s="154"/>
      <c r="U55" s="169"/>
    </row>
    <row r="56" spans="1:21" x14ac:dyDescent="0.25">
      <c r="A56" s="87" t="str">
        <f>Invest!B54</f>
        <v>Matériels transport</v>
      </c>
      <c r="B56" s="155">
        <f>Invest!K54</f>
        <v>0</v>
      </c>
      <c r="C56" s="155">
        <f>Invest!L54</f>
        <v>22500</v>
      </c>
      <c r="D56" s="155">
        <f>SUM(D52:D54)</f>
        <v>0</v>
      </c>
      <c r="E56" s="155">
        <f t="shared" ref="E56:U56" si="4">SUM(E52:E54)</f>
        <v>0</v>
      </c>
      <c r="F56" s="170">
        <f t="shared" si="4"/>
        <v>0</v>
      </c>
      <c r="G56" s="164">
        <f t="shared" si="4"/>
        <v>0</v>
      </c>
      <c r="H56" s="155">
        <f t="shared" si="4"/>
        <v>0</v>
      </c>
      <c r="I56" s="170">
        <f t="shared" si="4"/>
        <v>0</v>
      </c>
      <c r="J56" s="164">
        <f t="shared" si="4"/>
        <v>0</v>
      </c>
      <c r="K56" s="155">
        <f t="shared" si="4"/>
        <v>0</v>
      </c>
      <c r="L56" s="170">
        <f t="shared" si="4"/>
        <v>0</v>
      </c>
      <c r="M56" s="164">
        <f t="shared" si="4"/>
        <v>0</v>
      </c>
      <c r="N56" s="155">
        <f t="shared" si="4"/>
        <v>0</v>
      </c>
      <c r="O56" s="170">
        <f t="shared" si="4"/>
        <v>0</v>
      </c>
      <c r="P56" s="164">
        <f t="shared" si="4"/>
        <v>0</v>
      </c>
      <c r="Q56" s="155">
        <f t="shared" si="4"/>
        <v>0</v>
      </c>
      <c r="R56" s="170">
        <f t="shared" si="4"/>
        <v>0</v>
      </c>
      <c r="S56" s="164">
        <f t="shared" si="4"/>
        <v>0</v>
      </c>
      <c r="T56" s="155">
        <f t="shared" si="4"/>
        <v>0</v>
      </c>
      <c r="U56" s="170">
        <f t="shared" si="4"/>
        <v>0</v>
      </c>
    </row>
    <row r="57" spans="1:21" x14ac:dyDescent="0.25">
      <c r="B57" s="154"/>
      <c r="C57" s="154"/>
      <c r="D57" s="154"/>
      <c r="E57" s="154"/>
      <c r="F57" s="169"/>
      <c r="G57" s="154"/>
      <c r="H57" s="154"/>
      <c r="I57" s="169"/>
      <c r="J57" s="154"/>
      <c r="K57" s="154"/>
      <c r="L57" s="169"/>
      <c r="M57" s="154"/>
      <c r="N57" s="154"/>
      <c r="O57" s="169"/>
      <c r="P57" s="154"/>
      <c r="Q57" s="154"/>
      <c r="R57" s="169"/>
      <c r="S57" s="154"/>
      <c r="T57" s="154"/>
      <c r="U57" s="169"/>
    </row>
    <row r="58" spans="1:21" x14ac:dyDescent="0.25">
      <c r="A58" t="str">
        <f>Invest!B56</f>
        <v>Mobiliers/petit equipement</v>
      </c>
      <c r="B58" s="154">
        <f>Invest!K56</f>
        <v>0</v>
      </c>
      <c r="C58" s="154">
        <f>Invest!L56</f>
        <v>4000</v>
      </c>
      <c r="D58" s="159"/>
      <c r="E58" s="159"/>
      <c r="F58" s="168"/>
      <c r="G58" s="163"/>
      <c r="H58" s="159"/>
      <c r="I58" s="168"/>
      <c r="J58" s="163"/>
      <c r="K58" s="159"/>
      <c r="L58" s="168"/>
      <c r="M58" s="163"/>
      <c r="N58" s="159"/>
      <c r="O58" s="168"/>
      <c r="P58" s="163"/>
      <c r="Q58" s="159"/>
      <c r="R58" s="168"/>
      <c r="S58" s="163"/>
      <c r="T58" s="159"/>
      <c r="U58" s="168"/>
    </row>
    <row r="59" spans="1:21" x14ac:dyDescent="0.25">
      <c r="A59" t="str">
        <f>Invest!B57</f>
        <v>Mat. Info</v>
      </c>
      <c r="B59" s="154">
        <f>Invest!K57</f>
        <v>0</v>
      </c>
      <c r="C59" s="154">
        <f>Invest!L57</f>
        <v>4000</v>
      </c>
      <c r="D59" s="159"/>
      <c r="E59" s="159"/>
      <c r="F59" s="168"/>
      <c r="G59" s="163"/>
      <c r="H59" s="159"/>
      <c r="I59" s="168"/>
      <c r="J59" s="163"/>
      <c r="K59" s="159"/>
      <c r="L59" s="168"/>
      <c r="M59" s="163"/>
      <c r="N59" s="159"/>
      <c r="O59" s="168"/>
      <c r="P59" s="163"/>
      <c r="Q59" s="159"/>
      <c r="R59" s="168"/>
      <c r="S59" s="163"/>
      <c r="T59" s="159"/>
      <c r="U59" s="168"/>
    </row>
    <row r="60" spans="1:21" x14ac:dyDescent="0.25">
      <c r="A60" t="str">
        <f>Invest!B58</f>
        <v>Software</v>
      </c>
      <c r="B60" s="154">
        <f>Invest!K58</f>
        <v>0</v>
      </c>
      <c r="C60" s="154">
        <f>Invest!L58</f>
        <v>3000</v>
      </c>
      <c r="D60" s="159"/>
      <c r="E60" s="159"/>
      <c r="F60" s="168"/>
      <c r="G60" s="163"/>
      <c r="H60" s="159"/>
      <c r="I60" s="168"/>
      <c r="J60" s="163"/>
      <c r="K60" s="159"/>
      <c r="L60" s="168"/>
      <c r="M60" s="163"/>
      <c r="N60" s="159"/>
      <c r="O60" s="168"/>
      <c r="P60" s="163"/>
      <c r="Q60" s="159"/>
      <c r="R60" s="168"/>
      <c r="S60" s="163"/>
      <c r="T60" s="159"/>
      <c r="U60" s="168"/>
    </row>
    <row r="61" spans="1:21" x14ac:dyDescent="0.25">
      <c r="B61" s="154"/>
      <c r="C61" s="154"/>
      <c r="D61" s="154"/>
      <c r="E61" s="154"/>
      <c r="F61" s="169"/>
      <c r="G61" s="154"/>
      <c r="H61" s="154"/>
      <c r="I61" s="169"/>
      <c r="J61" s="154"/>
      <c r="K61" s="154"/>
      <c r="L61" s="169"/>
      <c r="M61" s="154"/>
      <c r="N61" s="154"/>
      <c r="O61" s="169"/>
      <c r="P61" s="154"/>
      <c r="Q61" s="154"/>
      <c r="R61" s="169"/>
      <c r="S61" s="154"/>
      <c r="T61" s="154"/>
      <c r="U61" s="169"/>
    </row>
    <row r="62" spans="1:21" x14ac:dyDescent="0.25">
      <c r="A62" s="87" t="str">
        <f>Invest!B60</f>
        <v>Mobilier/Informatique</v>
      </c>
      <c r="B62" s="155">
        <f>Invest!K60</f>
        <v>0</v>
      </c>
      <c r="C62" s="155">
        <f>Invest!L60</f>
        <v>11000</v>
      </c>
      <c r="D62" s="155">
        <f>SUM(D58:D60)</f>
        <v>0</v>
      </c>
      <c r="E62" s="155">
        <f t="shared" ref="E62:U62" si="5">SUM(E58:E60)</f>
        <v>0</v>
      </c>
      <c r="F62" s="170">
        <f t="shared" si="5"/>
        <v>0</v>
      </c>
      <c r="G62" s="164">
        <f t="shared" si="5"/>
        <v>0</v>
      </c>
      <c r="H62" s="155">
        <f t="shared" si="5"/>
        <v>0</v>
      </c>
      <c r="I62" s="170">
        <f t="shared" si="5"/>
        <v>0</v>
      </c>
      <c r="J62" s="164">
        <f t="shared" si="5"/>
        <v>0</v>
      </c>
      <c r="K62" s="155">
        <f t="shared" si="5"/>
        <v>0</v>
      </c>
      <c r="L62" s="170">
        <f t="shared" si="5"/>
        <v>0</v>
      </c>
      <c r="M62" s="164">
        <f t="shared" si="5"/>
        <v>0</v>
      </c>
      <c r="N62" s="155">
        <f t="shared" si="5"/>
        <v>0</v>
      </c>
      <c r="O62" s="170">
        <f t="shared" si="5"/>
        <v>0</v>
      </c>
      <c r="P62" s="164">
        <f t="shared" si="5"/>
        <v>0</v>
      </c>
      <c r="Q62" s="155">
        <f t="shared" si="5"/>
        <v>0</v>
      </c>
      <c r="R62" s="170">
        <f t="shared" si="5"/>
        <v>0</v>
      </c>
      <c r="S62" s="164">
        <f t="shared" si="5"/>
        <v>0</v>
      </c>
      <c r="T62" s="155">
        <f t="shared" si="5"/>
        <v>0</v>
      </c>
      <c r="U62" s="170">
        <f t="shared" si="5"/>
        <v>0</v>
      </c>
    </row>
    <row r="63" spans="1:21" x14ac:dyDescent="0.25">
      <c r="B63" s="154"/>
      <c r="C63" s="154"/>
      <c r="D63" s="154"/>
      <c r="E63" s="154"/>
      <c r="F63" s="169"/>
      <c r="G63" s="154"/>
      <c r="H63" s="154"/>
      <c r="I63" s="169"/>
      <c r="J63" s="154"/>
      <c r="K63" s="154"/>
      <c r="L63" s="169"/>
      <c r="M63" s="154"/>
      <c r="N63" s="154"/>
      <c r="O63" s="169"/>
      <c r="P63" s="154"/>
      <c r="Q63" s="154"/>
      <c r="R63" s="169"/>
      <c r="S63" s="154"/>
      <c r="T63" s="154"/>
      <c r="U63" s="169"/>
    </row>
    <row r="64" spans="1:21" x14ac:dyDescent="0.25">
      <c r="A64" s="87" t="str">
        <f>Invest!B62</f>
        <v>TOTAL</v>
      </c>
      <c r="B64" s="155">
        <f>Invest!K62</f>
        <v>133015</v>
      </c>
      <c r="C64" s="155">
        <f>Invest!L62</f>
        <v>574060</v>
      </c>
      <c r="D64" s="155">
        <f>SUM(D62,D56,D50,D40,D24,D16)</f>
        <v>26000</v>
      </c>
      <c r="E64" s="155">
        <f t="shared" ref="E64:U64" si="6">SUM(E62,E56,E50,E40,E24,E16)</f>
        <v>8430</v>
      </c>
      <c r="F64" s="170">
        <f t="shared" si="6"/>
        <v>0</v>
      </c>
      <c r="G64" s="164">
        <f t="shared" si="6"/>
        <v>0</v>
      </c>
      <c r="H64" s="155">
        <f t="shared" si="6"/>
        <v>0</v>
      </c>
      <c r="I64" s="170">
        <f t="shared" si="6"/>
        <v>12285</v>
      </c>
      <c r="J64" s="164">
        <f t="shared" si="6"/>
        <v>21630</v>
      </c>
      <c r="K64" s="155">
        <f t="shared" si="6"/>
        <v>0</v>
      </c>
      <c r="L64" s="170">
        <f t="shared" si="6"/>
        <v>0</v>
      </c>
      <c r="M64" s="164">
        <f t="shared" si="6"/>
        <v>0</v>
      </c>
      <c r="N64" s="155">
        <f t="shared" si="6"/>
        <v>0</v>
      </c>
      <c r="O64" s="170">
        <f t="shared" si="6"/>
        <v>0</v>
      </c>
      <c r="P64" s="164">
        <f t="shared" si="6"/>
        <v>5000</v>
      </c>
      <c r="Q64" s="155">
        <f t="shared" si="6"/>
        <v>0</v>
      </c>
      <c r="R64" s="170">
        <f t="shared" si="6"/>
        <v>0</v>
      </c>
      <c r="S64" s="164">
        <f t="shared" si="6"/>
        <v>0</v>
      </c>
      <c r="T64" s="155">
        <f t="shared" si="6"/>
        <v>0</v>
      </c>
      <c r="U64" s="170">
        <f t="shared" si="6"/>
        <v>0</v>
      </c>
    </row>
    <row r="65" spans="1:21" x14ac:dyDescent="0.25"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spans="1:21" x14ac:dyDescent="0.25">
      <c r="A66" t="str">
        <f>Invest!B64</f>
        <v>Financements</v>
      </c>
      <c r="B66" s="154">
        <f>Invest!K64</f>
        <v>2017</v>
      </c>
      <c r="C66" s="154">
        <f>Invest!L64</f>
        <v>2018</v>
      </c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spans="1:21" x14ac:dyDescent="0.25"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spans="1:21" x14ac:dyDescent="0.25"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spans="1:21" x14ac:dyDescent="0.25">
      <c r="A69" t="str">
        <f>Invest!B67</f>
        <v>Capital</v>
      </c>
      <c r="B69" s="154">
        <f>Invest!K67</f>
        <v>100000</v>
      </c>
      <c r="C69" s="154">
        <f>Invest!L67</f>
        <v>0</v>
      </c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</row>
    <row r="70" spans="1:21" x14ac:dyDescent="0.25">
      <c r="A70" t="str">
        <f>Invest!B68</f>
        <v>Subventions publiques</v>
      </c>
      <c r="B70" s="154">
        <f>Invest!K68</f>
        <v>50000</v>
      </c>
      <c r="C70" s="154">
        <f>Invest!L68</f>
        <v>50000</v>
      </c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</row>
    <row r="71" spans="1:21" x14ac:dyDescent="0.25">
      <c r="A71" t="str">
        <f>Invest!B69</f>
        <v>Fondations privées</v>
      </c>
      <c r="B71" s="154">
        <f>Invest!K69</f>
        <v>25000</v>
      </c>
      <c r="C71" s="154">
        <f>Invest!L69</f>
        <v>60000</v>
      </c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</row>
    <row r="72" spans="1:21" x14ac:dyDescent="0.25">
      <c r="A72" t="str">
        <f>Invest!B70</f>
        <v>Titres participatifs</v>
      </c>
      <c r="B72" s="154">
        <f>Invest!K70</f>
        <v>200000</v>
      </c>
      <c r="C72" s="154">
        <f>Invest!L70</f>
        <v>0</v>
      </c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</row>
    <row r="73" spans="1:21" x14ac:dyDescent="0.25">
      <c r="A73" t="str">
        <f>Invest!B71</f>
        <v>Remboursements</v>
      </c>
      <c r="B73" s="154">
        <f>Invest!K71</f>
        <v>0</v>
      </c>
      <c r="C73" s="154">
        <f>Invest!L71</f>
        <v>0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</row>
    <row r="74" spans="1:21" x14ac:dyDescent="0.25">
      <c r="A74" t="str">
        <f>Invest!B72</f>
        <v>Prêts participatifs</v>
      </c>
      <c r="B74" s="154">
        <f>Invest!K72</f>
        <v>100000</v>
      </c>
      <c r="C74" s="154">
        <f>Invest!L72</f>
        <v>0</v>
      </c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</row>
    <row r="75" spans="1:21" x14ac:dyDescent="0.25">
      <c r="A75" t="str">
        <f>Invest!B73</f>
        <v>Remboursements</v>
      </c>
      <c r="B75" s="154">
        <f>Invest!K73</f>
        <v>0</v>
      </c>
      <c r="C75" s="154">
        <f>Invest!L73</f>
        <v>0</v>
      </c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</row>
    <row r="76" spans="1:21" x14ac:dyDescent="0.25">
      <c r="A76" t="str">
        <f>Invest!B74</f>
        <v>Emprunts bancaires</v>
      </c>
      <c r="B76" s="154">
        <f>Invest!K74</f>
        <v>0</v>
      </c>
      <c r="C76" s="154">
        <f>Invest!L74</f>
        <v>300000</v>
      </c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</row>
    <row r="77" spans="1:21" x14ac:dyDescent="0.25">
      <c r="A77" t="str">
        <f>Invest!B75</f>
        <v>Remboursements</v>
      </c>
      <c r="B77" s="154">
        <f>Invest!K75</f>
        <v>0</v>
      </c>
      <c r="C77" s="154">
        <f>Invest!L75</f>
        <v>0</v>
      </c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</row>
    <row r="78" spans="1:21" x14ac:dyDescent="0.25"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</row>
    <row r="79" spans="1:21" x14ac:dyDescent="0.25">
      <c r="A79" t="str">
        <f>Invest!B77</f>
        <v>Total financements</v>
      </c>
      <c r="B79" s="154">
        <f>Invest!K77</f>
        <v>475000</v>
      </c>
      <c r="C79" s="154">
        <f>Invest!L77</f>
        <v>410000</v>
      </c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</row>
    <row r="87" spans="1:21" ht="32.25" customHeight="1" x14ac:dyDescent="0.25">
      <c r="A87" s="174" t="s">
        <v>327</v>
      </c>
    </row>
    <row r="89" spans="1:21" x14ac:dyDescent="0.25">
      <c r="A89" s="180" t="s">
        <v>329</v>
      </c>
      <c r="B89" s="180"/>
      <c r="C89" s="180"/>
      <c r="D89" s="180"/>
      <c r="E89" s="181">
        <v>-9.9999999999999978E-2</v>
      </c>
      <c r="F89" s="181">
        <v>0.14999999999999991</v>
      </c>
      <c r="G89" s="181">
        <v>0.14999999999999991</v>
      </c>
      <c r="H89" s="181">
        <v>0.14999999999999991</v>
      </c>
      <c r="I89" s="181">
        <v>0.14999999999999991</v>
      </c>
      <c r="J89" s="180"/>
      <c r="K89" s="181">
        <v>0.14999999999999991</v>
      </c>
      <c r="L89" s="181">
        <v>0.14999999999999991</v>
      </c>
      <c r="M89" s="181">
        <v>0.14999999999999991</v>
      </c>
      <c r="N89" s="181">
        <v>0.14999999999999991</v>
      </c>
      <c r="O89" s="181">
        <v>0.14999999999999991</v>
      </c>
      <c r="P89" s="181">
        <v>-0.3</v>
      </c>
      <c r="Q89" s="181">
        <v>-9.9999999999999978E-2</v>
      </c>
      <c r="R89" s="181">
        <v>0.14999999999999991</v>
      </c>
      <c r="S89" s="181">
        <v>0.14999999999999991</v>
      </c>
      <c r="T89" s="181">
        <v>0.14999999999999991</v>
      </c>
      <c r="U89" s="181">
        <v>0.14999999999999991</v>
      </c>
    </row>
    <row r="90" spans="1:21" x14ac:dyDescent="0.25">
      <c r="A90" s="180"/>
      <c r="B90" s="180"/>
      <c r="C90" s="180"/>
      <c r="D90" s="182">
        <v>100</v>
      </c>
      <c r="E90" s="182">
        <f>D90*(1+E89)</f>
        <v>90</v>
      </c>
      <c r="F90" s="182">
        <f>E90*(1+F89)</f>
        <v>103.49999999999999</v>
      </c>
      <c r="G90" s="182">
        <f>F90*(1+G89)</f>
        <v>119.02499999999998</v>
      </c>
      <c r="H90" s="182">
        <f>G90*(1+H89)</f>
        <v>136.87874999999997</v>
      </c>
      <c r="I90" s="182">
        <f>H90*(1+I89)</f>
        <v>157.41056249999994</v>
      </c>
      <c r="J90" s="182">
        <v>100</v>
      </c>
      <c r="K90" s="182">
        <f t="shared" ref="K90:U90" si="7">J90*(1+K89)</f>
        <v>114.99999999999999</v>
      </c>
      <c r="L90" s="182">
        <f t="shared" si="7"/>
        <v>132.24999999999997</v>
      </c>
      <c r="M90" s="182">
        <f t="shared" si="7"/>
        <v>152.08749999999995</v>
      </c>
      <c r="N90" s="182">
        <f t="shared" si="7"/>
        <v>174.90062499999993</v>
      </c>
      <c r="O90" s="182">
        <f t="shared" si="7"/>
        <v>201.13571874999991</v>
      </c>
      <c r="P90" s="182">
        <f t="shared" si="7"/>
        <v>140.79500312499994</v>
      </c>
      <c r="Q90" s="182">
        <f t="shared" si="7"/>
        <v>126.71550281249995</v>
      </c>
      <c r="R90" s="182">
        <f t="shared" si="7"/>
        <v>145.72282823437493</v>
      </c>
      <c r="S90" s="182">
        <f t="shared" si="7"/>
        <v>167.58125246953117</v>
      </c>
      <c r="T90" s="182">
        <f t="shared" si="7"/>
        <v>192.71844033996084</v>
      </c>
      <c r="U90" s="182">
        <f t="shared" si="7"/>
        <v>221.62620639095493</v>
      </c>
    </row>
    <row r="91" spans="1:21" x14ac:dyDescent="0.25">
      <c r="A91" s="180" t="s">
        <v>331</v>
      </c>
      <c r="B91" s="180"/>
      <c r="C91" s="180"/>
      <c r="D91" s="181">
        <f t="shared" ref="D91:I91" si="8">D90/SUM($D$90:$I$90)</f>
        <v>0.1414798741784109</v>
      </c>
      <c r="E91" s="181">
        <f t="shared" si="8"/>
        <v>0.12733188676056983</v>
      </c>
      <c r="F91" s="181">
        <f t="shared" si="8"/>
        <v>0.14643166977465527</v>
      </c>
      <c r="G91" s="181">
        <f t="shared" si="8"/>
        <v>0.16839642024085355</v>
      </c>
      <c r="H91" s="181">
        <f t="shared" si="8"/>
        <v>0.19365588327698158</v>
      </c>
      <c r="I91" s="181">
        <f t="shared" si="8"/>
        <v>0.22270426576852878</v>
      </c>
      <c r="J91" s="181">
        <f t="shared" ref="J91:U91" si="9">J90/SUM($J$90:$U$90)</f>
        <v>5.3460695896296422E-2</v>
      </c>
      <c r="K91" s="181">
        <f t="shared" si="9"/>
        <v>6.1479800280740876E-2</v>
      </c>
      <c r="L91" s="181">
        <f t="shared" si="9"/>
        <v>7.0701770322851992E-2</v>
      </c>
      <c r="M91" s="181">
        <f t="shared" si="9"/>
        <v>8.1307035871279784E-2</v>
      </c>
      <c r="N91" s="181">
        <f t="shared" si="9"/>
        <v>9.3503091251971759E-2</v>
      </c>
      <c r="O91" s="181">
        <f t="shared" si="9"/>
        <v>0.10752855493976751</v>
      </c>
      <c r="P91" s="181">
        <f t="shared" si="9"/>
        <v>7.526998845783725E-2</v>
      </c>
      <c r="Q91" s="181">
        <f t="shared" si="9"/>
        <v>6.7742989612053536E-2</v>
      </c>
      <c r="R91" s="181">
        <f t="shared" si="9"/>
        <v>7.7904438053861561E-2</v>
      </c>
      <c r="S91" s="181">
        <f t="shared" si="9"/>
        <v>8.9590103761940793E-2</v>
      </c>
      <c r="T91" s="181">
        <f t="shared" si="9"/>
        <v>0.1030286193262319</v>
      </c>
      <c r="U91" s="181">
        <f t="shared" si="9"/>
        <v>0.11848291222516667</v>
      </c>
    </row>
    <row r="92" spans="1:21" x14ac:dyDescent="0.25">
      <c r="A92" t="str">
        <f>Expl!B43</f>
        <v>Micro pousses</v>
      </c>
      <c r="B92" s="154">
        <f>Expl!C43</f>
        <v>68900</v>
      </c>
      <c r="C92" s="154">
        <f>Expl!D43</f>
        <v>230823.56301525349</v>
      </c>
      <c r="D92" s="179">
        <f>$B$92*D91</f>
        <v>9747.9633308925113</v>
      </c>
      <c r="E92" s="179">
        <f t="shared" ref="E92:I92" si="10">$B$92*E91</f>
        <v>8773.1669978032623</v>
      </c>
      <c r="F92" s="179">
        <f t="shared" si="10"/>
        <v>10089.142047473748</v>
      </c>
      <c r="G92" s="179">
        <f t="shared" si="10"/>
        <v>11602.51335459481</v>
      </c>
      <c r="H92" s="179">
        <f t="shared" si="10"/>
        <v>13342.89035778403</v>
      </c>
      <c r="I92" s="179">
        <f t="shared" si="10"/>
        <v>15344.323911451633</v>
      </c>
      <c r="J92" s="179">
        <f>$C$92*J91</f>
        <v>12339.98830805808</v>
      </c>
      <c r="K92" s="179">
        <f t="shared" ref="K92:U92" si="11">$C$92*K91</f>
        <v>14190.98655426679</v>
      </c>
      <c r="L92" s="179">
        <f t="shared" si="11"/>
        <v>16319.634537406806</v>
      </c>
      <c r="M92" s="179">
        <f t="shared" si="11"/>
        <v>18767.579718017823</v>
      </c>
      <c r="N92" s="179">
        <f t="shared" si="11"/>
        <v>21582.716675720501</v>
      </c>
      <c r="O92" s="179">
        <f t="shared" si="11"/>
        <v>24820.124177078575</v>
      </c>
      <c r="P92" s="179">
        <f t="shared" si="11"/>
        <v>17374.086923954997</v>
      </c>
      <c r="Q92" s="179">
        <f t="shared" si="11"/>
        <v>15636.678231559501</v>
      </c>
      <c r="R92" s="179">
        <f t="shared" si="11"/>
        <v>17982.179966293425</v>
      </c>
      <c r="S92" s="179">
        <f t="shared" si="11"/>
        <v>20679.506961237439</v>
      </c>
      <c r="T92" s="179">
        <f t="shared" si="11"/>
        <v>23781.433005423052</v>
      </c>
      <c r="U92" s="179">
        <f t="shared" si="11"/>
        <v>27348.647956236506</v>
      </c>
    </row>
    <row r="93" spans="1:21" x14ac:dyDescent="0.25">
      <c r="A93" t="str">
        <f>Expl!B44</f>
        <v>Fleurs comestibles</v>
      </c>
      <c r="B93" s="154">
        <f>Expl!C44</f>
        <v>0</v>
      </c>
      <c r="C93" s="154">
        <f>Expl!D44</f>
        <v>0</v>
      </c>
    </row>
    <row r="94" spans="1:21" x14ac:dyDescent="0.25">
      <c r="A94" t="str">
        <f>Expl!B45</f>
        <v>Plants</v>
      </c>
      <c r="B94" s="154">
        <f>Expl!C45</f>
        <v>0</v>
      </c>
      <c r="C94" s="154">
        <f>Expl!D45</f>
        <v>0</v>
      </c>
    </row>
    <row r="95" spans="1:21" x14ac:dyDescent="0.25">
      <c r="A95" t="str">
        <f>Expl!B46</f>
        <v>Miel</v>
      </c>
      <c r="B95" s="154">
        <f>Expl!C46</f>
        <v>0</v>
      </c>
      <c r="C95" s="154">
        <f>Expl!D46</f>
        <v>0</v>
      </c>
    </row>
    <row r="96" spans="1:21" x14ac:dyDescent="0.25">
      <c r="B96" s="154"/>
      <c r="C96" s="154"/>
    </row>
    <row r="97" spans="1:21" x14ac:dyDescent="0.25">
      <c r="A97" s="183" t="s">
        <v>330</v>
      </c>
      <c r="B97" s="184"/>
      <c r="C97" s="184"/>
      <c r="D97" s="183"/>
      <c r="E97" s="183"/>
      <c r="F97" s="183"/>
      <c r="G97" s="183"/>
      <c r="H97" s="183"/>
      <c r="I97" s="183"/>
      <c r="J97" s="185">
        <f t="shared" ref="J97:U97" si="12">$C$103/12</f>
        <v>0</v>
      </c>
      <c r="K97" s="185">
        <f t="shared" si="12"/>
        <v>0</v>
      </c>
      <c r="L97" s="185">
        <f t="shared" si="12"/>
        <v>0</v>
      </c>
      <c r="M97" s="185">
        <f t="shared" si="12"/>
        <v>0</v>
      </c>
      <c r="N97" s="185">
        <f t="shared" si="12"/>
        <v>0</v>
      </c>
      <c r="O97" s="185">
        <f t="shared" si="12"/>
        <v>0</v>
      </c>
      <c r="P97" s="185">
        <f t="shared" si="12"/>
        <v>0</v>
      </c>
      <c r="Q97" s="185">
        <f t="shared" si="12"/>
        <v>0</v>
      </c>
      <c r="R97" s="185">
        <f t="shared" si="12"/>
        <v>0</v>
      </c>
      <c r="S97" s="185">
        <f t="shared" si="12"/>
        <v>0</v>
      </c>
      <c r="T97" s="185">
        <f t="shared" si="12"/>
        <v>0</v>
      </c>
      <c r="U97" s="185">
        <f t="shared" si="12"/>
        <v>0</v>
      </c>
    </row>
    <row r="98" spans="1:21" x14ac:dyDescent="0.25">
      <c r="A98" s="183" t="s">
        <v>332</v>
      </c>
      <c r="B98" s="184"/>
      <c r="C98" s="184"/>
      <c r="D98" s="183"/>
      <c r="E98" s="183"/>
      <c r="F98" s="183"/>
      <c r="G98" s="183"/>
      <c r="H98" s="183"/>
      <c r="I98" s="183"/>
      <c r="J98" s="186">
        <v>-0.15</v>
      </c>
      <c r="K98" s="186">
        <v>-0.1</v>
      </c>
      <c r="L98" s="186">
        <v>0.15</v>
      </c>
      <c r="M98" s="186">
        <v>0.2</v>
      </c>
      <c r="N98" s="186">
        <v>0.15</v>
      </c>
      <c r="O98" s="186">
        <v>0.1</v>
      </c>
      <c r="P98" s="186">
        <v>-0.15</v>
      </c>
      <c r="Q98" s="186">
        <v>-0.2</v>
      </c>
      <c r="R98" s="186">
        <v>0.15</v>
      </c>
      <c r="S98" s="186">
        <v>0.15</v>
      </c>
      <c r="T98" s="186">
        <v>-0.15</v>
      </c>
      <c r="U98" s="186">
        <v>-0.15</v>
      </c>
    </row>
    <row r="99" spans="1:21" x14ac:dyDescent="0.25">
      <c r="A99" s="183" t="s">
        <v>329</v>
      </c>
      <c r="B99" s="184"/>
      <c r="C99" s="184"/>
      <c r="D99" s="183"/>
      <c r="E99" s="183"/>
      <c r="F99" s="183"/>
      <c r="G99" s="183"/>
      <c r="H99" s="183"/>
      <c r="I99" s="183"/>
      <c r="J99" s="185">
        <f>(1+J98)*J97</f>
        <v>0</v>
      </c>
      <c r="K99" s="185">
        <f t="shared" ref="K99:U99" si="13">(1+K98)*K97</f>
        <v>0</v>
      </c>
      <c r="L99" s="185">
        <f t="shared" si="13"/>
        <v>0</v>
      </c>
      <c r="M99" s="185">
        <f t="shared" si="13"/>
        <v>0</v>
      </c>
      <c r="N99" s="185">
        <f t="shared" si="13"/>
        <v>0</v>
      </c>
      <c r="O99" s="185">
        <f t="shared" si="13"/>
        <v>0</v>
      </c>
      <c r="P99" s="185">
        <f t="shared" si="13"/>
        <v>0</v>
      </c>
      <c r="Q99" s="185">
        <f t="shared" si="13"/>
        <v>0</v>
      </c>
      <c r="R99" s="185">
        <f t="shared" si="13"/>
        <v>0</v>
      </c>
      <c r="S99" s="185">
        <f t="shared" si="13"/>
        <v>0</v>
      </c>
      <c r="T99" s="185">
        <f t="shared" si="13"/>
        <v>0</v>
      </c>
      <c r="U99" s="185">
        <f t="shared" si="13"/>
        <v>0</v>
      </c>
    </row>
    <row r="100" spans="1:21" x14ac:dyDescent="0.25">
      <c r="A100" s="183" t="s">
        <v>333</v>
      </c>
      <c r="B100" s="184"/>
      <c r="C100" s="184"/>
      <c r="D100" s="183"/>
      <c r="E100" s="183"/>
      <c r="F100" s="183"/>
      <c r="G100" s="183"/>
      <c r="H100" s="183"/>
      <c r="I100" s="183"/>
      <c r="J100" s="187">
        <v>100</v>
      </c>
      <c r="K100" s="187">
        <f>J100*1.15</f>
        <v>114.99999999999999</v>
      </c>
      <c r="L100" s="187">
        <f t="shared" ref="L100:U100" si="14">K100*1.15</f>
        <v>132.24999999999997</v>
      </c>
      <c r="M100" s="187">
        <f t="shared" si="14"/>
        <v>152.08749999999995</v>
      </c>
      <c r="N100" s="187">
        <f t="shared" si="14"/>
        <v>174.90062499999993</v>
      </c>
      <c r="O100" s="187">
        <f t="shared" si="14"/>
        <v>201.13571874999991</v>
      </c>
      <c r="P100" s="187">
        <f t="shared" si="14"/>
        <v>231.30607656249987</v>
      </c>
      <c r="Q100" s="187">
        <f t="shared" si="14"/>
        <v>266.00198804687483</v>
      </c>
      <c r="R100" s="187">
        <f t="shared" si="14"/>
        <v>305.90228625390603</v>
      </c>
      <c r="S100" s="187">
        <f t="shared" si="14"/>
        <v>351.78762919199193</v>
      </c>
      <c r="T100" s="187">
        <f t="shared" si="14"/>
        <v>404.55577357079068</v>
      </c>
      <c r="U100" s="187">
        <f t="shared" si="14"/>
        <v>465.23913960640925</v>
      </c>
    </row>
    <row r="101" spans="1:21" x14ac:dyDescent="0.25">
      <c r="A101" s="183"/>
      <c r="B101" s="184"/>
      <c r="C101" s="184"/>
      <c r="D101" s="183"/>
      <c r="E101" s="183"/>
      <c r="F101" s="183"/>
      <c r="G101" s="183"/>
      <c r="H101" s="183"/>
      <c r="I101" s="183"/>
      <c r="J101" s="188">
        <f>J99*(1+J100)</f>
        <v>0</v>
      </c>
      <c r="K101" s="188">
        <f t="shared" ref="K101:U101" si="15">K99*(1+K100)</f>
        <v>0</v>
      </c>
      <c r="L101" s="188">
        <f t="shared" si="15"/>
        <v>0</v>
      </c>
      <c r="M101" s="188">
        <f t="shared" si="15"/>
        <v>0</v>
      </c>
      <c r="N101" s="188">
        <f t="shared" si="15"/>
        <v>0</v>
      </c>
      <c r="O101" s="188">
        <f t="shared" si="15"/>
        <v>0</v>
      </c>
      <c r="P101" s="188">
        <f t="shared" si="15"/>
        <v>0</v>
      </c>
      <c r="Q101" s="188">
        <f t="shared" si="15"/>
        <v>0</v>
      </c>
      <c r="R101" s="188">
        <f t="shared" si="15"/>
        <v>0</v>
      </c>
      <c r="S101" s="188">
        <f t="shared" si="15"/>
        <v>0</v>
      </c>
      <c r="T101" s="188">
        <f t="shared" si="15"/>
        <v>0</v>
      </c>
      <c r="U101" s="188">
        <f t="shared" si="15"/>
        <v>0</v>
      </c>
    </row>
    <row r="102" spans="1:21" x14ac:dyDescent="0.25">
      <c r="A102" s="183"/>
      <c r="B102" s="184"/>
      <c r="C102" s="184"/>
      <c r="D102" s="183"/>
      <c r="E102" s="183"/>
      <c r="F102" s="183"/>
      <c r="G102" s="183"/>
      <c r="H102" s="183"/>
      <c r="I102" s="183"/>
      <c r="J102" s="186" t="e">
        <f>J101/SUM($J$101:$U$101)</f>
        <v>#DIV/0!</v>
      </c>
      <c r="K102" s="186" t="e">
        <f t="shared" ref="K102:U102" si="16">K101/SUM($J$101:$U$101)</f>
        <v>#DIV/0!</v>
      </c>
      <c r="L102" s="186" t="e">
        <f t="shared" si="16"/>
        <v>#DIV/0!</v>
      </c>
      <c r="M102" s="186" t="e">
        <f t="shared" si="16"/>
        <v>#DIV/0!</v>
      </c>
      <c r="N102" s="186" t="e">
        <f t="shared" si="16"/>
        <v>#DIV/0!</v>
      </c>
      <c r="O102" s="186" t="e">
        <f t="shared" si="16"/>
        <v>#DIV/0!</v>
      </c>
      <c r="P102" s="186" t="e">
        <f t="shared" si="16"/>
        <v>#DIV/0!</v>
      </c>
      <c r="Q102" s="186" t="e">
        <f t="shared" si="16"/>
        <v>#DIV/0!</v>
      </c>
      <c r="R102" s="186" t="e">
        <f t="shared" si="16"/>
        <v>#DIV/0!</v>
      </c>
      <c r="S102" s="186" t="e">
        <f t="shared" si="16"/>
        <v>#DIV/0!</v>
      </c>
      <c r="T102" s="186" t="e">
        <f t="shared" si="16"/>
        <v>#DIV/0!</v>
      </c>
      <c r="U102" s="186" t="e">
        <f t="shared" si="16"/>
        <v>#DIV/0!</v>
      </c>
    </row>
    <row r="103" spans="1:21" x14ac:dyDescent="0.25">
      <c r="A103" t="str">
        <f>Expl!B47</f>
        <v>Prestations compost</v>
      </c>
      <c r="B103" s="154">
        <f>Expl!C47</f>
        <v>0</v>
      </c>
      <c r="C103" s="154">
        <f>Expl!D47</f>
        <v>0</v>
      </c>
      <c r="J103" s="179" t="e">
        <f t="shared" ref="J103:U103" si="17">$C$103*J102</f>
        <v>#DIV/0!</v>
      </c>
      <c r="K103" s="179" t="e">
        <f t="shared" si="17"/>
        <v>#DIV/0!</v>
      </c>
      <c r="L103" s="179" t="e">
        <f t="shared" si="17"/>
        <v>#DIV/0!</v>
      </c>
      <c r="M103" s="179" t="e">
        <f t="shared" si="17"/>
        <v>#DIV/0!</v>
      </c>
      <c r="N103" s="179" t="e">
        <f t="shared" si="17"/>
        <v>#DIV/0!</v>
      </c>
      <c r="O103" s="179" t="e">
        <f t="shared" si="17"/>
        <v>#DIV/0!</v>
      </c>
      <c r="P103" s="179" t="e">
        <f t="shared" si="17"/>
        <v>#DIV/0!</v>
      </c>
      <c r="Q103" s="179" t="e">
        <f t="shared" si="17"/>
        <v>#DIV/0!</v>
      </c>
      <c r="R103" s="179" t="e">
        <f t="shared" si="17"/>
        <v>#DIV/0!</v>
      </c>
      <c r="S103" s="179" t="e">
        <f t="shared" si="17"/>
        <v>#DIV/0!</v>
      </c>
      <c r="T103" s="179" t="e">
        <f t="shared" si="17"/>
        <v>#DIV/0!</v>
      </c>
      <c r="U103" s="179" t="e">
        <f t="shared" si="17"/>
        <v>#DIV/0!</v>
      </c>
    </row>
    <row r="104" spans="1:21" x14ac:dyDescent="0.25">
      <c r="A104" t="str">
        <f>Expl!B48</f>
        <v>Prestations pédagogiques</v>
      </c>
      <c r="B104" s="154">
        <f>Expl!C48</f>
        <v>0</v>
      </c>
      <c r="C104" s="154">
        <f>Expl!D48</f>
        <v>0</v>
      </c>
    </row>
    <row r="105" spans="1:21" x14ac:dyDescent="0.25">
      <c r="B105" s="154"/>
      <c r="C105" s="154"/>
    </row>
    <row r="106" spans="1:21" x14ac:dyDescent="0.25">
      <c r="A106" s="176" t="str">
        <f>Expl!B50</f>
        <v>VENTES ET PRESTATIONS</v>
      </c>
      <c r="B106" s="177">
        <f>Expl!C50</f>
        <v>68900</v>
      </c>
      <c r="C106" s="177">
        <f>Expl!D50</f>
        <v>230823.56301525349</v>
      </c>
      <c r="D106" s="179">
        <f>SUM(D104,D103,D95,D93,D94,D92)</f>
        <v>9747.9633308925113</v>
      </c>
      <c r="E106" s="179">
        <f t="shared" ref="E106:U106" si="18">SUM(E104,E103,E95,E93,E94,E92)</f>
        <v>8773.1669978032623</v>
      </c>
      <c r="F106" s="179">
        <f t="shared" si="18"/>
        <v>10089.142047473748</v>
      </c>
      <c r="G106" s="179">
        <f t="shared" si="18"/>
        <v>11602.51335459481</v>
      </c>
      <c r="H106" s="179">
        <f t="shared" si="18"/>
        <v>13342.89035778403</v>
      </c>
      <c r="I106" s="179">
        <f t="shared" si="18"/>
        <v>15344.323911451633</v>
      </c>
      <c r="J106" s="179" t="e">
        <f t="shared" si="18"/>
        <v>#DIV/0!</v>
      </c>
      <c r="K106" s="179" t="e">
        <f t="shared" si="18"/>
        <v>#DIV/0!</v>
      </c>
      <c r="L106" s="179" t="e">
        <f t="shared" si="18"/>
        <v>#DIV/0!</v>
      </c>
      <c r="M106" s="179" t="e">
        <f t="shared" si="18"/>
        <v>#DIV/0!</v>
      </c>
      <c r="N106" s="179" t="e">
        <f t="shared" si="18"/>
        <v>#DIV/0!</v>
      </c>
      <c r="O106" s="179" t="e">
        <f t="shared" si="18"/>
        <v>#DIV/0!</v>
      </c>
      <c r="P106" s="179" t="e">
        <f t="shared" si="18"/>
        <v>#DIV/0!</v>
      </c>
      <c r="Q106" s="179" t="e">
        <f t="shared" si="18"/>
        <v>#DIV/0!</v>
      </c>
      <c r="R106" s="179" t="e">
        <f t="shared" si="18"/>
        <v>#DIV/0!</v>
      </c>
      <c r="S106" s="179" t="e">
        <f t="shared" si="18"/>
        <v>#DIV/0!</v>
      </c>
      <c r="T106" s="179" t="e">
        <f t="shared" si="18"/>
        <v>#DIV/0!</v>
      </c>
      <c r="U106" s="179" t="e">
        <f t="shared" si="18"/>
        <v>#DIV/0!</v>
      </c>
    </row>
    <row r="107" spans="1:21" x14ac:dyDescent="0.25">
      <c r="B107" s="154"/>
      <c r="C107" s="154"/>
    </row>
    <row r="108" spans="1:21" x14ac:dyDescent="0.25">
      <c r="A108" t="str">
        <f>Expl!B52</f>
        <v>Subventions d'exploitation</v>
      </c>
      <c r="B108" s="154">
        <f>Expl!C52</f>
        <v>0</v>
      </c>
      <c r="C108" s="154">
        <f>Expl!D52</f>
        <v>50000</v>
      </c>
      <c r="P108" s="179">
        <f>$C$108/6</f>
        <v>8333.3333333333339</v>
      </c>
      <c r="Q108" s="179">
        <f t="shared" ref="Q108:U108" si="19">$C$108/6</f>
        <v>8333.3333333333339</v>
      </c>
      <c r="R108" s="179">
        <f t="shared" si="19"/>
        <v>8333.3333333333339</v>
      </c>
      <c r="S108" s="179">
        <f t="shared" si="19"/>
        <v>8333.3333333333339</v>
      </c>
      <c r="T108" s="179">
        <f t="shared" si="19"/>
        <v>8333.3333333333339</v>
      </c>
      <c r="U108" s="179">
        <f t="shared" si="19"/>
        <v>8333.3333333333339</v>
      </c>
    </row>
    <row r="109" spans="1:21" x14ac:dyDescent="0.25">
      <c r="A109" t="str">
        <f>Expl!B53</f>
        <v>Aide socle IAE</v>
      </c>
      <c r="B109" s="154">
        <f>Expl!C53</f>
        <v>0</v>
      </c>
      <c r="C109" s="154">
        <f>Expl!D53</f>
        <v>20186.985000000001</v>
      </c>
      <c r="S109" s="179">
        <f>$C$109/3</f>
        <v>6728.9949999999999</v>
      </c>
      <c r="T109" s="179">
        <f t="shared" ref="T109:U109" si="20">$C$109/3</f>
        <v>6728.9949999999999</v>
      </c>
      <c r="U109" s="179">
        <f t="shared" si="20"/>
        <v>6728.9949999999999</v>
      </c>
    </row>
    <row r="110" spans="1:21" x14ac:dyDescent="0.25">
      <c r="B110" s="154"/>
      <c r="C110" s="154"/>
    </row>
    <row r="111" spans="1:21" x14ac:dyDescent="0.25">
      <c r="A111" s="176" t="str">
        <f>Expl!B55</f>
        <v>AUTRES PRODUITS D'EXPLOITATION</v>
      </c>
      <c r="B111" s="177">
        <f>Expl!C55</f>
        <v>0</v>
      </c>
      <c r="C111" s="177">
        <f>Expl!D55</f>
        <v>70186.985000000001</v>
      </c>
      <c r="D111" s="179">
        <f>SUM(D109,D108)</f>
        <v>0</v>
      </c>
      <c r="E111" s="179">
        <f t="shared" ref="E111:U111" si="21">SUM(E109,E108)</f>
        <v>0</v>
      </c>
      <c r="F111" s="179">
        <f t="shared" si="21"/>
        <v>0</v>
      </c>
      <c r="G111" s="179">
        <f t="shared" si="21"/>
        <v>0</v>
      </c>
      <c r="H111" s="179">
        <f t="shared" si="21"/>
        <v>0</v>
      </c>
      <c r="I111" s="179">
        <f t="shared" si="21"/>
        <v>0</v>
      </c>
      <c r="J111" s="179">
        <f t="shared" si="21"/>
        <v>0</v>
      </c>
      <c r="K111" s="179">
        <f t="shared" si="21"/>
        <v>0</v>
      </c>
      <c r="L111" s="179">
        <f t="shared" si="21"/>
        <v>0</v>
      </c>
      <c r="M111" s="179">
        <f t="shared" si="21"/>
        <v>0</v>
      </c>
      <c r="N111" s="179">
        <f t="shared" si="21"/>
        <v>0</v>
      </c>
      <c r="O111" s="179">
        <f t="shared" si="21"/>
        <v>0</v>
      </c>
      <c r="P111" s="179">
        <f t="shared" si="21"/>
        <v>8333.3333333333339</v>
      </c>
      <c r="Q111" s="179">
        <f t="shared" si="21"/>
        <v>8333.3333333333339</v>
      </c>
      <c r="R111" s="179">
        <f t="shared" si="21"/>
        <v>8333.3333333333339</v>
      </c>
      <c r="S111" s="179">
        <f t="shared" si="21"/>
        <v>15062.328333333335</v>
      </c>
      <c r="T111" s="179">
        <f t="shared" si="21"/>
        <v>15062.328333333335</v>
      </c>
      <c r="U111" s="179">
        <f t="shared" si="21"/>
        <v>15062.328333333335</v>
      </c>
    </row>
    <row r="112" spans="1:21" x14ac:dyDescent="0.25">
      <c r="B112" s="154"/>
      <c r="C112" s="154"/>
    </row>
    <row r="113" spans="1:21" x14ac:dyDescent="0.25">
      <c r="A113" t="str">
        <f>Expl!B57</f>
        <v>Quote part sub invest virée au résultat</v>
      </c>
      <c r="B113" s="154">
        <f>Expl!C57</f>
        <v>0</v>
      </c>
      <c r="C113" s="154">
        <f>Expl!D57</f>
        <v>7203.8690447157906</v>
      </c>
    </row>
    <row r="114" spans="1:21" x14ac:dyDescent="0.25">
      <c r="A114" t="str">
        <f>Expl!B58</f>
        <v>Autres produits exceptionnels</v>
      </c>
      <c r="B114" s="154">
        <f>Expl!C58</f>
        <v>0</v>
      </c>
      <c r="C114" s="154">
        <f>Expl!D58</f>
        <v>0</v>
      </c>
    </row>
    <row r="115" spans="1:21" x14ac:dyDescent="0.25">
      <c r="B115" s="154"/>
      <c r="C115" s="154"/>
    </row>
    <row r="116" spans="1:21" x14ac:dyDescent="0.25">
      <c r="A116" s="176" t="str">
        <f>Expl!B60</f>
        <v>TOTAL GENERAL DES PRODUITS</v>
      </c>
      <c r="B116" s="177">
        <f>Expl!C60</f>
        <v>68900</v>
      </c>
      <c r="C116" s="177">
        <f>Expl!D60</f>
        <v>308214.41705996927</v>
      </c>
      <c r="D116" s="179">
        <f>SUM(D114,D113,D111,D106)</f>
        <v>9747.9633308925113</v>
      </c>
      <c r="E116" s="179">
        <f t="shared" ref="E116:U116" si="22">SUM(E114,E113,E111,E106)</f>
        <v>8773.1669978032623</v>
      </c>
      <c r="F116" s="179">
        <f t="shared" si="22"/>
        <v>10089.142047473748</v>
      </c>
      <c r="G116" s="179">
        <f t="shared" si="22"/>
        <v>11602.51335459481</v>
      </c>
      <c r="H116" s="179">
        <f t="shared" si="22"/>
        <v>13342.89035778403</v>
      </c>
      <c r="I116" s="179">
        <f t="shared" si="22"/>
        <v>15344.323911451633</v>
      </c>
      <c r="J116" s="179" t="e">
        <f t="shared" si="22"/>
        <v>#DIV/0!</v>
      </c>
      <c r="K116" s="179" t="e">
        <f t="shared" si="22"/>
        <v>#DIV/0!</v>
      </c>
      <c r="L116" s="179" t="e">
        <f t="shared" si="22"/>
        <v>#DIV/0!</v>
      </c>
      <c r="M116" s="179" t="e">
        <f t="shared" si="22"/>
        <v>#DIV/0!</v>
      </c>
      <c r="N116" s="179" t="e">
        <f t="shared" si="22"/>
        <v>#DIV/0!</v>
      </c>
      <c r="O116" s="179" t="e">
        <f t="shared" si="22"/>
        <v>#DIV/0!</v>
      </c>
      <c r="P116" s="179" t="e">
        <f t="shared" si="22"/>
        <v>#DIV/0!</v>
      </c>
      <c r="Q116" s="179" t="e">
        <f t="shared" si="22"/>
        <v>#DIV/0!</v>
      </c>
      <c r="R116" s="179" t="e">
        <f t="shared" si="22"/>
        <v>#DIV/0!</v>
      </c>
      <c r="S116" s="179" t="e">
        <f t="shared" si="22"/>
        <v>#DIV/0!</v>
      </c>
      <c r="T116" s="179" t="e">
        <f t="shared" si="22"/>
        <v>#DIV/0!</v>
      </c>
      <c r="U116" s="179" t="e">
        <f t="shared" si="22"/>
        <v>#DIV/0!</v>
      </c>
    </row>
    <row r="117" spans="1:21" x14ac:dyDescent="0.25">
      <c r="B117" s="154"/>
      <c r="C117" s="154"/>
    </row>
    <row r="118" spans="1:21" ht="33" customHeight="1" x14ac:dyDescent="0.25">
      <c r="A118" s="173" t="s">
        <v>328</v>
      </c>
      <c r="B118" s="154"/>
      <c r="C118" s="154"/>
    </row>
    <row r="119" spans="1:21" x14ac:dyDescent="0.25">
      <c r="B119" s="154"/>
      <c r="C119" s="154"/>
    </row>
    <row r="120" spans="1:21" x14ac:dyDescent="0.25">
      <c r="B120" s="154"/>
      <c r="C120" s="154"/>
    </row>
    <row r="121" spans="1:21" x14ac:dyDescent="0.25">
      <c r="A121" t="str">
        <f>Expl!B63</f>
        <v>Micro-pousses vrac</v>
      </c>
      <c r="B121" s="154">
        <f>Expl!C63</f>
        <v>32500</v>
      </c>
      <c r="C121" s="154">
        <f>Expl!D63</f>
        <v>75000</v>
      </c>
      <c r="I121" s="179"/>
    </row>
    <row r="122" spans="1:21" x14ac:dyDescent="0.25">
      <c r="A122" t="str">
        <f>Expl!B64</f>
        <v>Graines</v>
      </c>
      <c r="B122" s="154">
        <f>Expl!C64</f>
        <v>0</v>
      </c>
      <c r="C122" s="154">
        <f>Expl!D64</f>
        <v>2611.114583333333</v>
      </c>
      <c r="D122" s="179">
        <f t="shared" ref="D122:I122" si="23">$B$122*D$92/SUM($D$92:$I$92)</f>
        <v>0</v>
      </c>
      <c r="E122" s="179">
        <f t="shared" si="23"/>
        <v>0</v>
      </c>
      <c r="F122" s="179">
        <f t="shared" si="23"/>
        <v>0</v>
      </c>
      <c r="G122" s="179">
        <f t="shared" si="23"/>
        <v>0</v>
      </c>
      <c r="H122" s="179">
        <f t="shared" si="23"/>
        <v>0</v>
      </c>
      <c r="I122" s="179">
        <f t="shared" si="23"/>
        <v>0</v>
      </c>
      <c r="J122" s="179">
        <f t="shared" ref="J122:U122" si="24">$C$122*J$92/SUM($J$92:$U$92)</f>
        <v>139.59200268996807</v>
      </c>
      <c r="K122" s="179">
        <f t="shared" si="24"/>
        <v>160.53080309346325</v>
      </c>
      <c r="L122" s="179">
        <f t="shared" si="24"/>
        <v>184.61042355748273</v>
      </c>
      <c r="M122" s="179">
        <f t="shared" si="24"/>
        <v>212.3019870911051</v>
      </c>
      <c r="N122" s="179">
        <f t="shared" si="24"/>
        <v>244.14728515477088</v>
      </c>
      <c r="O122" s="179">
        <f t="shared" si="24"/>
        <v>280.76937792798651</v>
      </c>
      <c r="P122" s="179">
        <f t="shared" si="24"/>
        <v>196.53856454959052</v>
      </c>
      <c r="Q122" s="179">
        <f t="shared" si="24"/>
        <v>176.88470809463149</v>
      </c>
      <c r="R122" s="179">
        <f t="shared" si="24"/>
        <v>203.41741430882621</v>
      </c>
      <c r="S122" s="179">
        <f t="shared" si="24"/>
        <v>233.93002645515014</v>
      </c>
      <c r="T122" s="179">
        <f t="shared" si="24"/>
        <v>269.01953042342262</v>
      </c>
      <c r="U122" s="179">
        <f t="shared" si="24"/>
        <v>309.37245998693595</v>
      </c>
    </row>
    <row r="123" spans="1:21" x14ac:dyDescent="0.25">
      <c r="A123" t="str">
        <f>Expl!B65</f>
        <v>Substrat</v>
      </c>
      <c r="B123" s="154">
        <f>Expl!C65</f>
        <v>0</v>
      </c>
      <c r="C123" s="154">
        <f>Expl!D65</f>
        <v>1140</v>
      </c>
      <c r="D123" s="179">
        <f t="shared" ref="D123:I123" si="25">$B$123*D$92/SUM($D$92:$I$92)</f>
        <v>0</v>
      </c>
      <c r="E123" s="179">
        <f t="shared" si="25"/>
        <v>0</v>
      </c>
      <c r="F123" s="179">
        <f t="shared" si="25"/>
        <v>0</v>
      </c>
      <c r="G123" s="179">
        <f t="shared" si="25"/>
        <v>0</v>
      </c>
      <c r="H123" s="179">
        <f t="shared" si="25"/>
        <v>0</v>
      </c>
      <c r="I123" s="179">
        <f t="shared" si="25"/>
        <v>0</v>
      </c>
      <c r="J123" s="179">
        <f t="shared" ref="J123:U123" si="26">$C$123*J$92/SUM($J$92:$U$92)</f>
        <v>60.945193321777928</v>
      </c>
      <c r="K123" s="179">
        <f t="shared" si="26"/>
        <v>70.086972320044609</v>
      </c>
      <c r="L123" s="179">
        <f t="shared" si="26"/>
        <v>80.600018168051278</v>
      </c>
      <c r="M123" s="179">
        <f t="shared" si="26"/>
        <v>92.690020893258961</v>
      </c>
      <c r="N123" s="179">
        <f t="shared" si="26"/>
        <v>106.59352402724782</v>
      </c>
      <c r="O123" s="179">
        <f t="shared" si="26"/>
        <v>122.58255263133499</v>
      </c>
      <c r="P123" s="179">
        <f t="shared" si="26"/>
        <v>85.807786841934472</v>
      </c>
      <c r="Q123" s="179">
        <f t="shared" si="26"/>
        <v>77.227008157741039</v>
      </c>
      <c r="R123" s="179">
        <f t="shared" si="26"/>
        <v>88.811059381402188</v>
      </c>
      <c r="S123" s="179">
        <f t="shared" si="26"/>
        <v>102.13271828861252</v>
      </c>
      <c r="T123" s="179">
        <f t="shared" si="26"/>
        <v>117.45262603190439</v>
      </c>
      <c r="U123" s="179">
        <f t="shared" si="26"/>
        <v>135.07051993669</v>
      </c>
    </row>
    <row r="124" spans="1:21" x14ac:dyDescent="0.25">
      <c r="A124" t="str">
        <f>Expl!B66</f>
        <v>Consommables pour fleurs et plants</v>
      </c>
      <c r="B124" s="154">
        <f>Expl!C66</f>
        <v>0</v>
      </c>
      <c r="C124" s="154">
        <f>Expl!D66</f>
        <v>0</v>
      </c>
      <c r="D124" s="179">
        <f t="shared" ref="D124:I124" si="27">$B$124*D$92/SUM($D$92:$I$92)</f>
        <v>0</v>
      </c>
      <c r="E124" s="179">
        <f t="shared" si="27"/>
        <v>0</v>
      </c>
      <c r="F124" s="179">
        <f t="shared" si="27"/>
        <v>0</v>
      </c>
      <c r="G124" s="179">
        <f t="shared" si="27"/>
        <v>0</v>
      </c>
      <c r="H124" s="179">
        <f t="shared" si="27"/>
        <v>0</v>
      </c>
      <c r="I124" s="179">
        <f t="shared" si="27"/>
        <v>0</v>
      </c>
      <c r="J124" s="179">
        <f t="shared" ref="J124:U124" si="28">$C$124*J$92/SUM($J$92:$U$92)</f>
        <v>0</v>
      </c>
      <c r="K124" s="179">
        <f t="shared" si="28"/>
        <v>0</v>
      </c>
      <c r="L124" s="179">
        <f t="shared" si="28"/>
        <v>0</v>
      </c>
      <c r="M124" s="179">
        <f t="shared" si="28"/>
        <v>0</v>
      </c>
      <c r="N124" s="179">
        <f t="shared" si="28"/>
        <v>0</v>
      </c>
      <c r="O124" s="179">
        <f t="shared" si="28"/>
        <v>0</v>
      </c>
      <c r="P124" s="179">
        <f t="shared" si="28"/>
        <v>0</v>
      </c>
      <c r="Q124" s="179">
        <f t="shared" si="28"/>
        <v>0</v>
      </c>
      <c r="R124" s="179">
        <f t="shared" si="28"/>
        <v>0</v>
      </c>
      <c r="S124" s="179">
        <f t="shared" si="28"/>
        <v>0</v>
      </c>
      <c r="T124" s="179">
        <f t="shared" si="28"/>
        <v>0</v>
      </c>
      <c r="U124" s="179">
        <f t="shared" si="28"/>
        <v>0</v>
      </c>
    </row>
    <row r="125" spans="1:21" x14ac:dyDescent="0.25">
      <c r="A125" t="str">
        <f>Expl!B67</f>
        <v xml:space="preserve">Emballages et conditionnement </v>
      </c>
      <c r="B125" s="154">
        <f>Expl!C67</f>
        <v>5850</v>
      </c>
      <c r="C125" s="154">
        <f>Expl!D67</f>
        <v>19912.5</v>
      </c>
      <c r="D125" s="179">
        <f t="shared" ref="D125:I125" si="29">$B$125*D$92/SUM($D$92:$I$92)</f>
        <v>827.65726394370381</v>
      </c>
      <c r="E125" s="179">
        <f t="shared" si="29"/>
        <v>744.89153754933363</v>
      </c>
      <c r="F125" s="179">
        <f t="shared" si="29"/>
        <v>856.6252681817333</v>
      </c>
      <c r="G125" s="179">
        <f t="shared" si="29"/>
        <v>985.11905840899328</v>
      </c>
      <c r="H125" s="179">
        <f t="shared" si="29"/>
        <v>1132.8869171703423</v>
      </c>
      <c r="I125" s="179">
        <f t="shared" si="29"/>
        <v>1302.8199547458935</v>
      </c>
      <c r="J125" s="179">
        <f t="shared" ref="J125:U125" si="30">$C$125*J$92/SUM($J$92:$U$92)</f>
        <v>1064.5361070350025</v>
      </c>
      <c r="K125" s="179">
        <f t="shared" si="30"/>
        <v>1224.2165230902528</v>
      </c>
      <c r="L125" s="179">
        <f t="shared" si="30"/>
        <v>1407.8490015537905</v>
      </c>
      <c r="M125" s="179">
        <f t="shared" si="30"/>
        <v>1619.0263517868589</v>
      </c>
      <c r="N125" s="179">
        <f t="shared" si="30"/>
        <v>1861.880304554888</v>
      </c>
      <c r="O125" s="179">
        <f t="shared" si="30"/>
        <v>2141.1623502381212</v>
      </c>
      <c r="P125" s="179">
        <f t="shared" si="30"/>
        <v>1498.8136451666842</v>
      </c>
      <c r="Q125" s="179">
        <f t="shared" si="30"/>
        <v>1348.9322806500161</v>
      </c>
      <c r="R125" s="179">
        <f t="shared" si="30"/>
        <v>1551.2721227475186</v>
      </c>
      <c r="S125" s="179">
        <f t="shared" si="30"/>
        <v>1783.9629411596463</v>
      </c>
      <c r="T125" s="179">
        <f t="shared" si="30"/>
        <v>2051.5573823335931</v>
      </c>
      <c r="U125" s="179">
        <f t="shared" si="30"/>
        <v>2359.2909896836313</v>
      </c>
    </row>
    <row r="126" spans="1:21" x14ac:dyDescent="0.25">
      <c r="B126" s="154"/>
      <c r="C126" s="154"/>
    </row>
    <row r="127" spans="1:21" x14ac:dyDescent="0.25">
      <c r="A127" s="175" t="str">
        <f>Expl!B69</f>
        <v>TOTAL ACHATS</v>
      </c>
      <c r="B127" s="178">
        <f>Expl!C69</f>
        <v>38350</v>
      </c>
      <c r="C127" s="178">
        <f>Expl!D69</f>
        <v>98663.614583333328</v>
      </c>
    </row>
    <row r="128" spans="1:21" x14ac:dyDescent="0.25">
      <c r="B128" s="154"/>
      <c r="C128" s="154"/>
    </row>
    <row r="129" spans="1:3" x14ac:dyDescent="0.25">
      <c r="A129" t="str">
        <f>Expl!B71</f>
        <v>Loyer variable</v>
      </c>
      <c r="B129" s="154">
        <f>Expl!C71</f>
        <v>0</v>
      </c>
      <c r="C129" s="154">
        <f>Expl!D71</f>
        <v>13582.235630152536</v>
      </c>
    </row>
    <row r="130" spans="1:3" x14ac:dyDescent="0.25">
      <c r="A130" t="str">
        <f>Expl!B74</f>
        <v>Entretien/ petit equipements</v>
      </c>
      <c r="B130" s="154">
        <f>Expl!C74</f>
        <v>1500</v>
      </c>
      <c r="C130" s="154">
        <f>Expl!D74</f>
        <v>3000</v>
      </c>
    </row>
    <row r="131" spans="1:3" x14ac:dyDescent="0.25">
      <c r="A131" t="str">
        <f>Expl!B75</f>
        <v>Energies (électricité, eau,..)</v>
      </c>
      <c r="B131" s="154">
        <f>Expl!C75</f>
        <v>0</v>
      </c>
      <c r="C131" s="154">
        <f>Expl!D75</f>
        <v>475</v>
      </c>
    </row>
    <row r="132" spans="1:3" x14ac:dyDescent="0.25">
      <c r="A132" t="str">
        <f>Expl!B76</f>
        <v>Autres achats et charges externes</v>
      </c>
      <c r="B132" s="154">
        <f>Expl!C76</f>
        <v>26910.575000000001</v>
      </c>
      <c r="C132" s="154">
        <f>Expl!D76</f>
        <v>49665.90098014324</v>
      </c>
    </row>
    <row r="133" spans="1:3" x14ac:dyDescent="0.25">
      <c r="B133" s="154"/>
      <c r="C133" s="154"/>
    </row>
    <row r="134" spans="1:3" x14ac:dyDescent="0.25">
      <c r="A134" s="175" t="str">
        <f>Expl!B78</f>
        <v>TOTAL SERVICES EXTERIEURS</v>
      </c>
      <c r="B134" s="178">
        <f>Expl!C78</f>
        <v>28410.575000000001</v>
      </c>
      <c r="C134" s="178">
        <f>Expl!D78</f>
        <v>69185.490055524569</v>
      </c>
    </row>
    <row r="135" spans="1:3" x14ac:dyDescent="0.25">
      <c r="B135" s="154"/>
      <c r="C135" s="154"/>
    </row>
    <row r="136" spans="1:3" x14ac:dyDescent="0.25">
      <c r="A136" t="str">
        <f>Expl!B80</f>
        <v>CFE</v>
      </c>
      <c r="B136" s="154">
        <f>Expl!C80</f>
        <v>0</v>
      </c>
      <c r="C136" s="154">
        <f>Expl!D80</f>
        <v>0</v>
      </c>
    </row>
    <row r="137" spans="1:3" x14ac:dyDescent="0.25">
      <c r="A137" t="str">
        <f>Expl!B81</f>
        <v>CVAE</v>
      </c>
      <c r="B137" s="154">
        <f>Expl!C81</f>
        <v>0</v>
      </c>
      <c r="C137" s="154">
        <f>Expl!D81</f>
        <v>0</v>
      </c>
    </row>
    <row r="138" spans="1:3" x14ac:dyDescent="0.25">
      <c r="B138" s="154"/>
      <c r="C138" s="154"/>
    </row>
    <row r="139" spans="1:3" x14ac:dyDescent="0.25">
      <c r="A139" s="175" t="str">
        <f>Expl!B83</f>
        <v>TOTAL IMPÔTS ET TAXES</v>
      </c>
      <c r="B139" s="178">
        <f>Expl!C83</f>
        <v>0</v>
      </c>
      <c r="C139" s="178">
        <f>Expl!D83</f>
        <v>0</v>
      </c>
    </row>
    <row r="140" spans="1:3" x14ac:dyDescent="0.25">
      <c r="B140" s="154"/>
      <c r="C140" s="154"/>
    </row>
    <row r="141" spans="1:3" x14ac:dyDescent="0.25">
      <c r="A141" t="str">
        <f>Expl!B85</f>
        <v>Salaires gestion projet</v>
      </c>
      <c r="B141" s="154">
        <f>Expl!C85</f>
        <v>12000</v>
      </c>
      <c r="C141" s="154">
        <f>Expl!D85</f>
        <v>36000</v>
      </c>
    </row>
    <row r="142" spans="1:3" x14ac:dyDescent="0.25">
      <c r="A142" t="str">
        <f>Expl!B86</f>
        <v>Salaires personnel permanent</v>
      </c>
      <c r="B142" s="154">
        <f>Expl!C86</f>
        <v>7200</v>
      </c>
      <c r="C142" s="154">
        <f>Expl!D86</f>
        <v>79200</v>
      </c>
    </row>
    <row r="143" spans="1:3" x14ac:dyDescent="0.25">
      <c r="A143" t="str">
        <f>Expl!B87</f>
        <v>Salaires salariés parcours</v>
      </c>
      <c r="B143" s="154">
        <f>Expl!C87</f>
        <v>0</v>
      </c>
      <c r="C143" s="154">
        <f>Expl!D87</f>
        <v>35824.28571428571</v>
      </c>
    </row>
    <row r="144" spans="1:3" x14ac:dyDescent="0.25">
      <c r="A144" t="str">
        <f>Expl!B88</f>
        <v>Charges sociales</v>
      </c>
      <c r="B144" s="154">
        <f>Expl!C88</f>
        <v>5760</v>
      </c>
      <c r="C144" s="154">
        <f>Expl!D88</f>
        <v>58778.665714285708</v>
      </c>
    </row>
    <row r="145" spans="1:3" x14ac:dyDescent="0.25">
      <c r="B145" s="154"/>
      <c r="C145" s="154"/>
    </row>
    <row r="146" spans="1:3" x14ac:dyDescent="0.25">
      <c r="A146" s="175" t="str">
        <f>Expl!B90</f>
        <v>TOTAL DES CHARGES DE PERSONNEL</v>
      </c>
      <c r="B146" s="178">
        <f>Expl!C90</f>
        <v>12960</v>
      </c>
      <c r="C146" s="178">
        <f>Expl!D90</f>
        <v>173802.95142857142</v>
      </c>
    </row>
    <row r="147" spans="1:3" x14ac:dyDescent="0.25">
      <c r="B147" s="154"/>
      <c r="C147" s="154"/>
    </row>
    <row r="148" spans="1:3" x14ac:dyDescent="0.25">
      <c r="A148" t="str">
        <f>Expl!B96</f>
        <v>Intérêts des emprunts</v>
      </c>
      <c r="B148" s="154">
        <f>Expl!C96</f>
        <v>2833.3333333333335</v>
      </c>
      <c r="C148" s="154">
        <f>Expl!D96</f>
        <v>23487.037717962186</v>
      </c>
    </row>
    <row r="149" spans="1:3" x14ac:dyDescent="0.25">
      <c r="A149" t="str">
        <f>Expl!B97</f>
        <v>Agios</v>
      </c>
      <c r="B149" s="154">
        <f>Expl!C97</f>
        <v>0</v>
      </c>
      <c r="C149" s="154">
        <f>Expl!D97</f>
        <v>405.86476496848735</v>
      </c>
    </row>
    <row r="150" spans="1:3" x14ac:dyDescent="0.25">
      <c r="B150" s="154"/>
      <c r="C150" s="154"/>
    </row>
    <row r="151" spans="1:3" x14ac:dyDescent="0.25">
      <c r="A151" s="175" t="str">
        <f>Expl!B99</f>
        <v>TOTAL CHARGES FINANCIERES</v>
      </c>
      <c r="B151" s="178">
        <f>Expl!C99</f>
        <v>2833.3333333333335</v>
      </c>
      <c r="C151" s="178">
        <f>Expl!D99</f>
        <v>23892.902482930673</v>
      </c>
    </row>
    <row r="152" spans="1:3" x14ac:dyDescent="0.25">
      <c r="B152" s="154"/>
      <c r="C152" s="154"/>
    </row>
    <row r="153" spans="1:3" x14ac:dyDescent="0.25">
      <c r="A153" s="175" t="str">
        <f>Expl!B101</f>
        <v>TOTAL GENERAL DES CHARGES</v>
      </c>
      <c r="B153" s="178">
        <f>Expl!C101</f>
        <v>82553.908333333326</v>
      </c>
      <c r="C153" s="178">
        <f>Expl!D101</f>
        <v>397784.43368617655</v>
      </c>
    </row>
  </sheetData>
  <pageMargins left="0.7" right="0.7" top="0.75" bottom="0.75" header="0.3" footer="0.3"/>
  <pageSetup paperSize="9"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10"/>
  <sheetViews>
    <sheetView showGridLines="0" workbookViewId="0">
      <pane xSplit="10" ySplit="5" topLeftCell="L59" activePane="bottomRight" state="frozen"/>
      <selection pane="topRight" activeCell="K1" sqref="K1"/>
      <selection pane="bottomLeft" activeCell="A6" sqref="A6"/>
      <selection pane="bottomRight" activeCell="B65" sqref="B64:T84"/>
    </sheetView>
  </sheetViews>
  <sheetFormatPr baseColWidth="10" defaultRowHeight="15.75" x14ac:dyDescent="0.25"/>
  <cols>
    <col min="1" max="1" width="2" customWidth="1"/>
    <col min="2" max="2" width="27.625" style="20" customWidth="1"/>
    <col min="3" max="3" width="7.125" customWidth="1"/>
    <col min="4" max="5" width="8.125" customWidth="1"/>
    <col min="6" max="6" width="10.125" style="100" customWidth="1"/>
    <col min="7" max="7" width="8.875" customWidth="1"/>
    <col min="8" max="9" width="8" customWidth="1"/>
    <col min="10" max="10" width="1.375" customWidth="1"/>
    <col min="11" max="20" width="8" customWidth="1"/>
  </cols>
  <sheetData>
    <row r="1" spans="2:20" ht="16.5" thickBot="1" x14ac:dyDescent="0.3"/>
    <row r="2" spans="2:20" x14ac:dyDescent="0.25">
      <c r="B2" s="229" t="s">
        <v>32</v>
      </c>
      <c r="C2" s="231" t="s">
        <v>50</v>
      </c>
      <c r="D2" s="211" t="s">
        <v>23</v>
      </c>
      <c r="E2" s="211" t="s">
        <v>20</v>
      </c>
      <c r="F2" s="221" t="s">
        <v>124</v>
      </c>
      <c r="G2" s="211" t="s">
        <v>21</v>
      </c>
      <c r="H2" s="211" t="s">
        <v>78</v>
      </c>
      <c r="I2" s="221" t="s">
        <v>162</v>
      </c>
      <c r="K2" s="211">
        <f>Expl!C2</f>
        <v>2017</v>
      </c>
      <c r="L2" s="211">
        <f>Expl!D2</f>
        <v>2018</v>
      </c>
      <c r="M2" s="211">
        <f>Expl!E2</f>
        <v>2019</v>
      </c>
      <c r="N2" s="211">
        <f>Expl!F2</f>
        <v>2020</v>
      </c>
      <c r="O2" s="211">
        <f>Expl!G2</f>
        <v>2021</v>
      </c>
      <c r="P2" s="211">
        <f>Expl!H2</f>
        <v>2022</v>
      </c>
      <c r="Q2" s="211">
        <f>Expl!I2</f>
        <v>2023</v>
      </c>
      <c r="R2" s="211">
        <f>Expl!J2</f>
        <v>2024</v>
      </c>
      <c r="S2" s="211">
        <f>Expl!K2</f>
        <v>2025</v>
      </c>
      <c r="T2" s="211">
        <f>Expl!L2</f>
        <v>2026</v>
      </c>
    </row>
    <row r="3" spans="2:20" ht="16.5" thickBot="1" x14ac:dyDescent="0.3">
      <c r="B3" s="230"/>
      <c r="C3" s="232"/>
      <c r="D3" s="212"/>
      <c r="E3" s="212"/>
      <c r="F3" s="222"/>
      <c r="G3" s="212"/>
      <c r="H3" s="212"/>
      <c r="I3" s="222"/>
      <c r="K3" s="212"/>
      <c r="L3" s="212"/>
      <c r="M3" s="212"/>
      <c r="N3" s="212"/>
      <c r="O3" s="212"/>
      <c r="P3" s="212"/>
      <c r="Q3" s="212"/>
      <c r="R3" s="212"/>
      <c r="S3" s="212"/>
      <c r="T3" s="212"/>
    </row>
    <row r="4" spans="2:20" ht="9" customHeight="1" thickBot="1" x14ac:dyDescent="0.3"/>
    <row r="5" spans="2:20" ht="9" customHeight="1" x14ac:dyDescent="0.25">
      <c r="B5" s="21"/>
      <c r="C5" s="14"/>
      <c r="D5" s="14"/>
      <c r="E5" s="14"/>
      <c r="F5" s="101"/>
      <c r="G5" s="14"/>
      <c r="H5" s="14"/>
      <c r="I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2:20" x14ac:dyDescent="0.25">
      <c r="B6" s="84" t="s">
        <v>174</v>
      </c>
      <c r="C6" s="85"/>
      <c r="D6" s="85">
        <v>1</v>
      </c>
      <c r="E6" s="149">
        <v>21200</v>
      </c>
      <c r="F6" s="102" t="s">
        <v>195</v>
      </c>
      <c r="G6" s="149">
        <f t="shared" ref="G6:G12" si="0">E6*D6</f>
        <v>21200</v>
      </c>
      <c r="H6" s="85">
        <v>20</v>
      </c>
      <c r="I6" s="85">
        <f>G6/H6</f>
        <v>1060</v>
      </c>
      <c r="J6" s="86"/>
      <c r="K6" s="85">
        <f>$G6</f>
        <v>21200</v>
      </c>
      <c r="L6" s="85"/>
      <c r="M6" s="85"/>
      <c r="N6" s="85">
        <f>IF($H6=3,$G6,0)</f>
        <v>0</v>
      </c>
      <c r="O6" s="85">
        <f>IF($H6=4,$G6,0)</f>
        <v>0</v>
      </c>
      <c r="P6" s="85">
        <f>IF($H6=5,$G6,0)</f>
        <v>0</v>
      </c>
      <c r="Q6" s="85">
        <f>IF($H6=3,$G6,0)</f>
        <v>0</v>
      </c>
      <c r="R6" s="85">
        <f>IF($H6=7,$G6,0)</f>
        <v>0</v>
      </c>
      <c r="S6" s="85">
        <f>IF($H6=4,$G6,0)</f>
        <v>0</v>
      </c>
      <c r="T6" s="85">
        <f>P6+Q6</f>
        <v>0</v>
      </c>
    </row>
    <row r="7" spans="2:20" x14ac:dyDescent="0.25">
      <c r="B7" s="84" t="s">
        <v>196</v>
      </c>
      <c r="C7" s="85"/>
      <c r="D7" s="85">
        <v>1</v>
      </c>
      <c r="E7" s="85">
        <v>8000</v>
      </c>
      <c r="F7" s="102" t="s">
        <v>125</v>
      </c>
      <c r="G7" s="85">
        <f t="shared" si="0"/>
        <v>8000</v>
      </c>
      <c r="H7" s="85">
        <v>20</v>
      </c>
      <c r="I7" s="85">
        <f t="shared" ref="I7:I12" si="1">G7/H7</f>
        <v>400</v>
      </c>
      <c r="J7" s="86"/>
      <c r="K7" s="85">
        <f>$G7*60%</f>
        <v>4800</v>
      </c>
      <c r="L7" s="85">
        <f>+G7-K7</f>
        <v>3200</v>
      </c>
      <c r="M7" s="85"/>
      <c r="N7" s="85"/>
      <c r="O7" s="85"/>
      <c r="P7" s="85"/>
      <c r="Q7" s="85"/>
      <c r="R7" s="85"/>
      <c r="S7" s="85"/>
      <c r="T7" s="85"/>
    </row>
    <row r="8" spans="2:20" x14ac:dyDescent="0.25">
      <c r="B8" s="84" t="s">
        <v>218</v>
      </c>
      <c r="C8" s="85"/>
      <c r="D8" s="85">
        <v>1</v>
      </c>
      <c r="E8" s="149">
        <v>28100</v>
      </c>
      <c r="F8" s="102" t="s">
        <v>125</v>
      </c>
      <c r="G8" s="149">
        <f>E8*D8</f>
        <v>28100</v>
      </c>
      <c r="H8" s="85">
        <v>20</v>
      </c>
      <c r="I8" s="85">
        <f t="shared" si="1"/>
        <v>1405</v>
      </c>
      <c r="J8" s="86"/>
      <c r="K8" s="85">
        <f>G8*30%</f>
        <v>8430</v>
      </c>
      <c r="L8" s="85">
        <f>+G8-K8</f>
        <v>19670</v>
      </c>
      <c r="M8" s="85">
        <f>IF($H8=2,$G8,0)</f>
        <v>0</v>
      </c>
      <c r="N8" s="85">
        <f>IF($H8=3,$G8,0)</f>
        <v>0</v>
      </c>
      <c r="O8" s="85">
        <f>IF($H8=4,$G8,0)</f>
        <v>0</v>
      </c>
      <c r="P8" s="85">
        <f>IF($H8=5,$G8,0)</f>
        <v>0</v>
      </c>
      <c r="Q8" s="85">
        <f>IF($H8=3,$G8,0)</f>
        <v>0</v>
      </c>
      <c r="R8" s="85">
        <f>IF($H8=7,$G8,0)</f>
        <v>0</v>
      </c>
      <c r="S8" s="85">
        <f>IF($H8=4,$G8,0)</f>
        <v>0</v>
      </c>
      <c r="T8" s="85">
        <f>P8+Q8</f>
        <v>0</v>
      </c>
    </row>
    <row r="9" spans="2:20" x14ac:dyDescent="0.25">
      <c r="B9" s="84" t="s">
        <v>43</v>
      </c>
      <c r="C9" s="85"/>
      <c r="D9" s="85">
        <v>1</v>
      </c>
      <c r="E9" s="149">
        <v>4500</v>
      </c>
      <c r="F9" s="102" t="s">
        <v>210</v>
      </c>
      <c r="G9" s="149">
        <f>E9*D9</f>
        <v>4500</v>
      </c>
      <c r="H9" s="85">
        <v>20</v>
      </c>
      <c r="I9" s="85">
        <f t="shared" si="1"/>
        <v>225</v>
      </c>
      <c r="J9" s="86"/>
      <c r="K9" s="85">
        <f>G9</f>
        <v>4500</v>
      </c>
      <c r="L9" s="85"/>
      <c r="M9" s="85"/>
      <c r="N9" s="85"/>
      <c r="O9" s="85"/>
      <c r="P9" s="85"/>
      <c r="Q9" s="85"/>
      <c r="R9" s="85"/>
      <c r="S9" s="85"/>
      <c r="T9" s="85"/>
    </row>
    <row r="10" spans="2:20" x14ac:dyDescent="0.25">
      <c r="B10" s="84" t="s">
        <v>169</v>
      </c>
      <c r="C10" s="85"/>
      <c r="D10" s="85">
        <v>1</v>
      </c>
      <c r="E10" s="85"/>
      <c r="F10" s="102" t="s">
        <v>211</v>
      </c>
      <c r="G10" s="85">
        <f t="shared" si="0"/>
        <v>0</v>
      </c>
      <c r="H10" s="85"/>
      <c r="I10" s="85"/>
      <c r="J10" s="86"/>
      <c r="K10" s="85">
        <f>G10</f>
        <v>0</v>
      </c>
      <c r="L10" s="85"/>
      <c r="M10" s="85"/>
      <c r="N10" s="85"/>
      <c r="O10" s="85"/>
      <c r="P10" s="85"/>
      <c r="Q10" s="85"/>
      <c r="R10" s="85"/>
      <c r="S10" s="85"/>
      <c r="T10" s="85"/>
    </row>
    <row r="11" spans="2:20" x14ac:dyDescent="0.25">
      <c r="B11" s="84" t="s">
        <v>222</v>
      </c>
      <c r="C11" s="85" t="s">
        <v>224</v>
      </c>
      <c r="D11" s="85">
        <v>91</v>
      </c>
      <c r="E11" s="85">
        <v>135</v>
      </c>
      <c r="F11" s="102" t="s">
        <v>125</v>
      </c>
      <c r="G11" s="85">
        <f>E11*D11</f>
        <v>12285</v>
      </c>
      <c r="H11" s="85">
        <v>10</v>
      </c>
      <c r="I11" s="85">
        <f>G11/H11</f>
        <v>1228.5</v>
      </c>
      <c r="J11" s="86"/>
      <c r="K11" s="85">
        <f>+G11</f>
        <v>12285</v>
      </c>
      <c r="L11" s="85"/>
      <c r="M11" s="85">
        <f>G11-K11-L11</f>
        <v>0</v>
      </c>
      <c r="N11" s="85">
        <f>IF($H11=3,$G11,0)</f>
        <v>0</v>
      </c>
      <c r="O11" s="85">
        <f>IF($H11=4,$G11,0)</f>
        <v>0</v>
      </c>
      <c r="P11" s="85">
        <f>IF($H11=5,$G11,0)</f>
        <v>0</v>
      </c>
      <c r="Q11" s="85">
        <f>IF($H11=3,$G11,0)</f>
        <v>0</v>
      </c>
      <c r="R11" s="85">
        <f>IF($H11=7,$G11,0)</f>
        <v>0</v>
      </c>
      <c r="S11" s="85">
        <f>IF($H11=4,$G11,0)</f>
        <v>0</v>
      </c>
      <c r="T11" s="85">
        <f>P11+Q11</f>
        <v>0</v>
      </c>
    </row>
    <row r="12" spans="2:20" x14ac:dyDescent="0.25">
      <c r="B12" s="84" t="s">
        <v>168</v>
      </c>
      <c r="C12" s="85" t="s">
        <v>51</v>
      </c>
      <c r="D12" s="85">
        <v>640</v>
      </c>
      <c r="E12" s="85">
        <v>31.25</v>
      </c>
      <c r="F12" s="102" t="s">
        <v>125</v>
      </c>
      <c r="G12" s="149">
        <f t="shared" si="0"/>
        <v>20000</v>
      </c>
      <c r="H12" s="85">
        <v>12</v>
      </c>
      <c r="I12" s="85">
        <f t="shared" si="1"/>
        <v>1666.6666666666667</v>
      </c>
      <c r="J12" s="86"/>
      <c r="K12" s="85">
        <f>+G12</f>
        <v>20000</v>
      </c>
      <c r="L12" s="85"/>
      <c r="M12" s="85"/>
      <c r="N12" s="85"/>
      <c r="O12" s="85"/>
      <c r="P12" s="85"/>
      <c r="Q12" s="85"/>
      <c r="R12" s="85"/>
      <c r="S12" s="85"/>
      <c r="T12" s="85"/>
    </row>
    <row r="13" spans="2:20" ht="9" customHeight="1" x14ac:dyDescent="0.25">
      <c r="B13" s="22"/>
      <c r="C13" s="4"/>
      <c r="D13" s="4"/>
      <c r="E13" s="4"/>
      <c r="F13" s="103"/>
      <c r="G13" s="4"/>
      <c r="H13" s="4"/>
      <c r="I13" s="4"/>
      <c r="K13" s="85"/>
      <c r="L13" s="4"/>
      <c r="M13" s="4"/>
      <c r="N13" s="4"/>
      <c r="O13" s="4"/>
      <c r="P13" s="4"/>
      <c r="Q13" s="4"/>
      <c r="R13" s="4"/>
      <c r="S13" s="4"/>
      <c r="T13" s="4"/>
    </row>
    <row r="14" spans="2:20" x14ac:dyDescent="0.25">
      <c r="B14" s="87" t="s">
        <v>204</v>
      </c>
      <c r="C14" s="88"/>
      <c r="D14" s="88"/>
      <c r="E14" s="88"/>
      <c r="F14" s="104"/>
      <c r="G14" s="88">
        <f>SUM(G6:G12)</f>
        <v>94085</v>
      </c>
      <c r="H14" s="88"/>
      <c r="I14" s="88">
        <f>SUM(I6:I10)</f>
        <v>3090</v>
      </c>
      <c r="K14" s="88">
        <f>SUM(K6:K13)</f>
        <v>71215</v>
      </c>
      <c r="L14" s="88">
        <f>SUM(L6:L13)</f>
        <v>22870</v>
      </c>
      <c r="M14" s="88">
        <f>SUM(M6:M13)</f>
        <v>0</v>
      </c>
      <c r="N14" s="88">
        <f t="shared" ref="N14:T14" si="2">SUM(N6:N10)</f>
        <v>0</v>
      </c>
      <c r="O14" s="88">
        <f t="shared" si="2"/>
        <v>0</v>
      </c>
      <c r="P14" s="88">
        <f t="shared" si="2"/>
        <v>0</v>
      </c>
      <c r="Q14" s="88">
        <f t="shared" si="2"/>
        <v>0</v>
      </c>
      <c r="R14" s="88">
        <f t="shared" si="2"/>
        <v>0</v>
      </c>
      <c r="S14" s="88">
        <f t="shared" si="2"/>
        <v>0</v>
      </c>
      <c r="T14" s="88">
        <f t="shared" si="2"/>
        <v>0</v>
      </c>
    </row>
    <row r="15" spans="2:20" ht="9" customHeight="1" x14ac:dyDescent="0.25">
      <c r="B15" s="22"/>
      <c r="C15" s="7"/>
      <c r="D15" s="7"/>
      <c r="E15" s="7"/>
      <c r="F15" s="103"/>
      <c r="G15" s="7"/>
      <c r="H15" s="7"/>
      <c r="I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x14ac:dyDescent="0.25">
      <c r="B16" s="84" t="s">
        <v>219</v>
      </c>
      <c r="C16" s="85" t="s">
        <v>51</v>
      </c>
      <c r="D16" s="85">
        <v>263</v>
      </c>
      <c r="E16" s="85">
        <v>1120</v>
      </c>
      <c r="F16" s="102" t="s">
        <v>125</v>
      </c>
      <c r="G16" s="149">
        <f>E16*D16</f>
        <v>294560</v>
      </c>
      <c r="H16" s="85">
        <v>20</v>
      </c>
      <c r="I16" s="85">
        <f>G16/H16</f>
        <v>14728</v>
      </c>
      <c r="J16" s="86"/>
      <c r="K16" s="85"/>
      <c r="L16" s="85">
        <f>G16</f>
        <v>294560</v>
      </c>
      <c r="M16" s="85">
        <f>IF($H16=2,$G16,0)</f>
        <v>0</v>
      </c>
      <c r="N16" s="85">
        <f>IF($H16=3,$G16,0)</f>
        <v>0</v>
      </c>
      <c r="O16" s="85">
        <f>IF($H16=4,$G16,0)</f>
        <v>0</v>
      </c>
      <c r="P16" s="85">
        <f>IF($H16=5,$G16,0)</f>
        <v>0</v>
      </c>
      <c r="Q16" s="85">
        <f>IF($H16=3,$G16,0)</f>
        <v>0</v>
      </c>
      <c r="R16" s="85">
        <f>IF($H16=7,$G16,0)</f>
        <v>0</v>
      </c>
      <c r="S16" s="85">
        <f>IF($H16=4,$G16,0)</f>
        <v>0</v>
      </c>
      <c r="T16" s="85">
        <f>P16+Q16</f>
        <v>0</v>
      </c>
    </row>
    <row r="17" spans="2:20" x14ac:dyDescent="0.25">
      <c r="B17" s="84" t="s">
        <v>220</v>
      </c>
      <c r="C17" s="85" t="s">
        <v>51</v>
      </c>
      <c r="D17" s="85">
        <v>47</v>
      </c>
      <c r="E17" s="85">
        <v>250</v>
      </c>
      <c r="F17" s="102" t="s">
        <v>125</v>
      </c>
      <c r="G17" s="85">
        <f>E17*D17</f>
        <v>11750</v>
      </c>
      <c r="H17" s="85">
        <v>20</v>
      </c>
      <c r="I17" s="85">
        <f>G17/H17</f>
        <v>587.5</v>
      </c>
      <c r="J17" s="86"/>
      <c r="K17" s="85"/>
      <c r="L17" s="85">
        <f>G17</f>
        <v>11750</v>
      </c>
      <c r="M17" s="85">
        <f>IF($H17=2,$G17,0)</f>
        <v>0</v>
      </c>
      <c r="N17" s="85">
        <f>IF($H17=3,$G17,0)</f>
        <v>0</v>
      </c>
      <c r="O17" s="85">
        <f>IF($H17=4,$G17,0)</f>
        <v>0</v>
      </c>
      <c r="P17" s="85">
        <f>IF($H17=5,$G17,0)</f>
        <v>0</v>
      </c>
      <c r="Q17" s="85">
        <f>IF($H17=3,$G17,0)</f>
        <v>0</v>
      </c>
      <c r="R17" s="85">
        <f>IF($H17=7,$G17,0)</f>
        <v>0</v>
      </c>
      <c r="S17" s="85">
        <f>IF($H17=4,$G17,0)</f>
        <v>0</v>
      </c>
      <c r="T17" s="85">
        <f>P17+Q17</f>
        <v>0</v>
      </c>
    </row>
    <row r="18" spans="2:20" x14ac:dyDescent="0.25">
      <c r="B18" s="84" t="s">
        <v>221</v>
      </c>
      <c r="C18" s="85" t="s">
        <v>51</v>
      </c>
      <c r="D18" s="85">
        <v>57</v>
      </c>
      <c r="E18" s="85">
        <v>390</v>
      </c>
      <c r="F18" s="102" t="s">
        <v>125</v>
      </c>
      <c r="G18" s="85">
        <f>E18*D18</f>
        <v>22230</v>
      </c>
      <c r="H18" s="85">
        <v>20</v>
      </c>
      <c r="I18" s="85">
        <f t="shared" ref="I18:I19" si="3">G18/H18</f>
        <v>1111.5</v>
      </c>
      <c r="J18" s="86"/>
      <c r="K18" s="85"/>
      <c r="L18" s="85">
        <f>G18</f>
        <v>22230</v>
      </c>
      <c r="M18" s="85"/>
      <c r="N18" s="85"/>
      <c r="O18" s="85"/>
      <c r="P18" s="85"/>
      <c r="Q18" s="85"/>
      <c r="R18" s="85"/>
      <c r="S18" s="85"/>
      <c r="T18" s="85"/>
    </row>
    <row r="19" spans="2:20" x14ac:dyDescent="0.25">
      <c r="B19" s="84" t="s">
        <v>173</v>
      </c>
      <c r="C19" s="85" t="s">
        <v>51</v>
      </c>
      <c r="D19" s="85">
        <v>30</v>
      </c>
      <c r="E19" s="85">
        <v>550</v>
      </c>
      <c r="F19" s="102" t="s">
        <v>125</v>
      </c>
      <c r="G19" s="85">
        <f>E19*D19</f>
        <v>16500</v>
      </c>
      <c r="H19" s="85">
        <v>20</v>
      </c>
      <c r="I19" s="85">
        <f t="shared" si="3"/>
        <v>825</v>
      </c>
      <c r="J19" s="86"/>
      <c r="K19" s="85"/>
      <c r="L19" s="85">
        <f>G19</f>
        <v>16500</v>
      </c>
      <c r="M19" s="85"/>
      <c r="N19" s="85"/>
      <c r="O19" s="85"/>
      <c r="P19" s="85"/>
      <c r="Q19" s="85"/>
      <c r="R19" s="85"/>
      <c r="S19" s="85"/>
      <c r="T19" s="85"/>
    </row>
    <row r="20" spans="2:20" x14ac:dyDescent="0.25">
      <c r="B20" s="84" t="s">
        <v>167</v>
      </c>
      <c r="C20" s="85" t="s">
        <v>51</v>
      </c>
      <c r="D20" s="85">
        <v>18</v>
      </c>
      <c r="E20" s="85">
        <v>500</v>
      </c>
      <c r="F20" s="102" t="s">
        <v>125</v>
      </c>
      <c r="G20" s="85">
        <f>E20*D20</f>
        <v>9000</v>
      </c>
      <c r="H20" s="85">
        <v>12</v>
      </c>
      <c r="I20" s="85">
        <f>G20/H20</f>
        <v>750</v>
      </c>
      <c r="J20" s="86"/>
      <c r="K20" s="85"/>
      <c r="L20" s="85">
        <f>G20</f>
        <v>9000</v>
      </c>
      <c r="M20" s="85">
        <f>IF($H20=2,$G20,0)</f>
        <v>0</v>
      </c>
      <c r="N20" s="85">
        <f>IF($H20=3,$G20,0)</f>
        <v>0</v>
      </c>
      <c r="O20" s="85">
        <f>IF($H20=4,$G20,0)</f>
        <v>0</v>
      </c>
      <c r="P20" s="85">
        <f>IF($H20=5,$G20,0)</f>
        <v>0</v>
      </c>
      <c r="Q20" s="85">
        <f>IF($H20=3,$G20,0)</f>
        <v>0</v>
      </c>
      <c r="R20" s="85">
        <f>IF($H20=7,$G20,0)</f>
        <v>0</v>
      </c>
      <c r="S20" s="85">
        <f>IF($H20=4,$G20,0)</f>
        <v>0</v>
      </c>
      <c r="T20" s="85">
        <f>P20+Q20</f>
        <v>0</v>
      </c>
    </row>
    <row r="21" spans="2:20" ht="9" customHeight="1" x14ac:dyDescent="0.25">
      <c r="B21" s="22"/>
      <c r="C21" s="4"/>
      <c r="D21" s="4"/>
      <c r="E21" s="4"/>
      <c r="F21" s="103"/>
      <c r="G21" s="4"/>
      <c r="H21" s="4"/>
      <c r="I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2:20" x14ac:dyDescent="0.25">
      <c r="B22" s="87" t="s">
        <v>58</v>
      </c>
      <c r="C22" s="88"/>
      <c r="D22" s="88"/>
      <c r="E22" s="88"/>
      <c r="F22" s="104"/>
      <c r="G22" s="88">
        <f>SUM(G16:G21)</f>
        <v>354040</v>
      </c>
      <c r="H22" s="88"/>
      <c r="I22" s="88">
        <f>SUM(I16:I20)</f>
        <v>18002</v>
      </c>
      <c r="K22" s="88">
        <f t="shared" ref="K22:T22" si="4">SUM(K16:K20)</f>
        <v>0</v>
      </c>
      <c r="L22" s="88">
        <f t="shared" si="4"/>
        <v>354040</v>
      </c>
      <c r="M22" s="88">
        <f t="shared" si="4"/>
        <v>0</v>
      </c>
      <c r="N22" s="88">
        <f t="shared" si="4"/>
        <v>0</v>
      </c>
      <c r="O22" s="88">
        <f t="shared" si="4"/>
        <v>0</v>
      </c>
      <c r="P22" s="88">
        <f t="shared" si="4"/>
        <v>0</v>
      </c>
      <c r="Q22" s="88">
        <f t="shared" si="4"/>
        <v>0</v>
      </c>
      <c r="R22" s="88">
        <f t="shared" si="4"/>
        <v>0</v>
      </c>
      <c r="S22" s="88">
        <f t="shared" si="4"/>
        <v>0</v>
      </c>
      <c r="T22" s="88">
        <f t="shared" si="4"/>
        <v>0</v>
      </c>
    </row>
    <row r="23" spans="2:20" ht="9" customHeight="1" x14ac:dyDescent="0.25">
      <c r="B23" s="22"/>
      <c r="C23" s="4"/>
      <c r="D23" s="4"/>
      <c r="E23" s="4"/>
      <c r="F23" s="103"/>
      <c r="G23" s="4"/>
      <c r="H23" s="4"/>
      <c r="I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2:20" x14ac:dyDescent="0.25">
      <c r="B24" s="84" t="s">
        <v>223</v>
      </c>
      <c r="C24" s="85" t="s">
        <v>51</v>
      </c>
      <c r="D24" s="85">
        <v>1500</v>
      </c>
      <c r="E24" s="85">
        <v>38</v>
      </c>
      <c r="F24" s="102" t="s">
        <v>304</v>
      </c>
      <c r="G24" s="85">
        <f t="shared" ref="G24:G36" si="5">E24*D24</f>
        <v>57000</v>
      </c>
      <c r="H24" s="85">
        <v>10</v>
      </c>
      <c r="I24" s="85">
        <f t="shared" ref="I24:I36" si="6">G24/H24</f>
        <v>5700</v>
      </c>
      <c r="J24" s="86"/>
      <c r="K24" s="85">
        <f>+G24*40%</f>
        <v>22800</v>
      </c>
      <c r="L24" s="85">
        <f>+G24-K24</f>
        <v>34200</v>
      </c>
      <c r="M24" s="85"/>
      <c r="N24" s="85"/>
      <c r="O24" s="85"/>
      <c r="P24" s="85"/>
      <c r="Q24" s="85"/>
      <c r="R24" s="85"/>
      <c r="S24" s="85"/>
      <c r="T24" s="85"/>
    </row>
    <row r="25" spans="2:20" x14ac:dyDescent="0.25">
      <c r="B25" s="84" t="s">
        <v>227</v>
      </c>
      <c r="C25" s="85" t="s">
        <v>51</v>
      </c>
      <c r="D25" s="85">
        <v>1100</v>
      </c>
      <c r="E25" s="85">
        <v>40</v>
      </c>
      <c r="F25" s="102" t="s">
        <v>226</v>
      </c>
      <c r="G25" s="85">
        <f t="shared" si="5"/>
        <v>44000</v>
      </c>
      <c r="H25" s="85">
        <v>10</v>
      </c>
      <c r="I25" s="85">
        <f t="shared" si="6"/>
        <v>4400</v>
      </c>
      <c r="J25" s="86"/>
      <c r="K25" s="85"/>
      <c r="L25" s="85">
        <f t="shared" ref="L25:L30" si="7">+G25/2</f>
        <v>22000</v>
      </c>
      <c r="M25" s="85">
        <f t="shared" ref="M25:M30" si="8">+G25-L25</f>
        <v>22000</v>
      </c>
      <c r="N25" s="85"/>
      <c r="O25" s="85">
        <f>IF($H25=4,$G25,0)</f>
        <v>0</v>
      </c>
      <c r="P25" s="85">
        <f>IF($H25=5,$G25,0)</f>
        <v>0</v>
      </c>
      <c r="Q25" s="85">
        <f>IF($H25=3,$G25,0)</f>
        <v>0</v>
      </c>
      <c r="R25" s="85">
        <f>IF($H25=7,$G25,0)</f>
        <v>0</v>
      </c>
      <c r="S25" s="85">
        <f>IF($H25=4,$G25,0)</f>
        <v>0</v>
      </c>
      <c r="T25" s="85"/>
    </row>
    <row r="26" spans="2:20" x14ac:dyDescent="0.25">
      <c r="B26" s="84" t="s">
        <v>163</v>
      </c>
      <c r="C26" s="85" t="s">
        <v>54</v>
      </c>
      <c r="D26" s="85">
        <v>1500</v>
      </c>
      <c r="E26" s="85">
        <v>25</v>
      </c>
      <c r="F26" s="102" t="s">
        <v>164</v>
      </c>
      <c r="G26" s="85">
        <f t="shared" si="5"/>
        <v>37500</v>
      </c>
      <c r="H26" s="85">
        <v>10</v>
      </c>
      <c r="I26" s="85">
        <f t="shared" si="6"/>
        <v>3750</v>
      </c>
      <c r="J26" s="86"/>
      <c r="K26" s="85"/>
      <c r="L26" s="85">
        <f t="shared" si="7"/>
        <v>18750</v>
      </c>
      <c r="M26" s="85">
        <f t="shared" si="8"/>
        <v>18750</v>
      </c>
      <c r="N26" s="85"/>
      <c r="O26" s="85"/>
      <c r="P26" s="85"/>
      <c r="Q26" s="85"/>
      <c r="R26" s="85"/>
      <c r="S26" s="85"/>
      <c r="T26" s="85"/>
    </row>
    <row r="27" spans="2:20" x14ac:dyDescent="0.25">
      <c r="B27" s="84" t="s">
        <v>165</v>
      </c>
      <c r="C27" s="85" t="s">
        <v>157</v>
      </c>
      <c r="D27" s="85">
        <v>3</v>
      </c>
      <c r="E27" s="85">
        <v>9000</v>
      </c>
      <c r="F27" s="102" t="s">
        <v>256</v>
      </c>
      <c r="G27" s="85">
        <f t="shared" si="5"/>
        <v>27000</v>
      </c>
      <c r="H27" s="85">
        <v>10</v>
      </c>
      <c r="I27" s="85">
        <f t="shared" si="6"/>
        <v>2700</v>
      </c>
      <c r="J27" s="86"/>
      <c r="K27" s="85"/>
      <c r="L27" s="85">
        <f t="shared" si="7"/>
        <v>13500</v>
      </c>
      <c r="M27" s="85">
        <f t="shared" si="8"/>
        <v>13500</v>
      </c>
      <c r="N27" s="85"/>
      <c r="O27" s="85"/>
      <c r="P27" s="85"/>
      <c r="Q27" s="85"/>
      <c r="R27" s="85"/>
      <c r="S27" s="85"/>
      <c r="T27" s="85"/>
    </row>
    <row r="28" spans="2:20" x14ac:dyDescent="0.25">
      <c r="B28" s="84" t="s">
        <v>47</v>
      </c>
      <c r="C28" s="85" t="s">
        <v>157</v>
      </c>
      <c r="D28" s="85">
        <v>3</v>
      </c>
      <c r="E28" s="85">
        <v>3000</v>
      </c>
      <c r="F28" s="102" t="s">
        <v>158</v>
      </c>
      <c r="G28" s="85">
        <f t="shared" si="5"/>
        <v>9000</v>
      </c>
      <c r="H28" s="85">
        <v>5</v>
      </c>
      <c r="I28" s="85">
        <f t="shared" si="6"/>
        <v>1800</v>
      </c>
      <c r="J28" s="86"/>
      <c r="K28" s="85"/>
      <c r="L28" s="85">
        <f t="shared" si="7"/>
        <v>4500</v>
      </c>
      <c r="M28" s="85">
        <f t="shared" si="8"/>
        <v>4500</v>
      </c>
      <c r="N28" s="85"/>
      <c r="O28" s="85">
        <f>IF($H28=4,$G28,0)</f>
        <v>0</v>
      </c>
      <c r="P28" s="85">
        <v>3000</v>
      </c>
      <c r="Q28" s="85">
        <f>IF($H28=3,$G28,0)</f>
        <v>0</v>
      </c>
      <c r="R28" s="85">
        <f>IF($H28=7,$G28,0)</f>
        <v>0</v>
      </c>
      <c r="S28" s="85">
        <f>IF($H28=4,$G28,0)</f>
        <v>0</v>
      </c>
      <c r="T28" s="85">
        <f>P28+Q28</f>
        <v>3000</v>
      </c>
    </row>
    <row r="29" spans="2:20" x14ac:dyDescent="0.25">
      <c r="B29" s="84" t="s">
        <v>45</v>
      </c>
      <c r="C29" s="85" t="s">
        <v>52</v>
      </c>
      <c r="D29" s="85">
        <v>8</v>
      </c>
      <c r="E29" s="85">
        <v>500</v>
      </c>
      <c r="F29" s="102"/>
      <c r="G29" s="85">
        <f t="shared" si="5"/>
        <v>4000</v>
      </c>
      <c r="H29" s="85">
        <v>10</v>
      </c>
      <c r="I29" s="85">
        <f t="shared" si="6"/>
        <v>400</v>
      </c>
      <c r="J29" s="86"/>
      <c r="K29" s="85"/>
      <c r="L29" s="85">
        <f t="shared" si="7"/>
        <v>2000</v>
      </c>
      <c r="M29" s="85">
        <f t="shared" si="8"/>
        <v>2000</v>
      </c>
      <c r="N29" s="85"/>
      <c r="O29" s="85">
        <f>IF($H29=4,$G29,0)</f>
        <v>0</v>
      </c>
      <c r="P29" s="85">
        <f>IF($H29=5,$G29,0)</f>
        <v>0</v>
      </c>
      <c r="Q29" s="85">
        <f>IF($H29=3,$G29,0)</f>
        <v>0</v>
      </c>
      <c r="R29" s="85">
        <f>IF($H29=7,$G29,0)</f>
        <v>0</v>
      </c>
      <c r="S29" s="85">
        <f>IF($H29=4,$G29,0)</f>
        <v>0</v>
      </c>
      <c r="T29" s="85">
        <f>P29+Q29</f>
        <v>0</v>
      </c>
    </row>
    <row r="30" spans="2:20" x14ac:dyDescent="0.25">
      <c r="B30" s="84" t="s">
        <v>46</v>
      </c>
      <c r="C30" s="85" t="s">
        <v>53</v>
      </c>
      <c r="D30" s="85">
        <f>D25/0.15</f>
        <v>7333.3333333333339</v>
      </c>
      <c r="E30" s="93">
        <v>4.5</v>
      </c>
      <c r="F30" s="102" t="s">
        <v>212</v>
      </c>
      <c r="G30" s="85">
        <f t="shared" si="5"/>
        <v>33000</v>
      </c>
      <c r="H30" s="85">
        <v>5</v>
      </c>
      <c r="I30" s="85">
        <f t="shared" si="6"/>
        <v>6600</v>
      </c>
      <c r="J30" s="86"/>
      <c r="K30" s="85"/>
      <c r="L30" s="85">
        <f t="shared" si="7"/>
        <v>16500</v>
      </c>
      <c r="M30" s="85">
        <f t="shared" si="8"/>
        <v>16500</v>
      </c>
      <c r="N30" s="85">
        <f t="shared" ref="N30:N36" si="9">IF($H30=3,$G30,0)</f>
        <v>0</v>
      </c>
      <c r="O30" s="85">
        <f>IF($H30=4,$G30,0)</f>
        <v>0</v>
      </c>
      <c r="P30" s="85">
        <v>4000</v>
      </c>
      <c r="Q30" s="85">
        <f>IF($H30=3,$G30,0)</f>
        <v>0</v>
      </c>
      <c r="R30" s="85">
        <f>IF($H30=7,$G30,0)</f>
        <v>0</v>
      </c>
      <c r="S30" s="85">
        <f>IF($H30=4,$G30,0)</f>
        <v>0</v>
      </c>
      <c r="T30" s="85">
        <f>P30+Q30</f>
        <v>4000</v>
      </c>
    </row>
    <row r="31" spans="2:20" x14ac:dyDescent="0.25">
      <c r="B31" s="84" t="s">
        <v>213</v>
      </c>
      <c r="C31" s="85"/>
      <c r="D31" s="85">
        <v>2</v>
      </c>
      <c r="E31" s="85">
        <v>27000</v>
      </c>
      <c r="F31" s="102" t="s">
        <v>305</v>
      </c>
      <c r="G31" s="85">
        <f t="shared" si="5"/>
        <v>54000</v>
      </c>
      <c r="H31" s="85">
        <v>10</v>
      </c>
      <c r="I31" s="85">
        <f t="shared" si="6"/>
        <v>5400</v>
      </c>
      <c r="J31" s="86"/>
      <c r="K31" s="85">
        <f>+E31</f>
        <v>27000</v>
      </c>
      <c r="L31" s="85"/>
      <c r="M31" s="85">
        <f>+G31-L31-K31</f>
        <v>27000</v>
      </c>
      <c r="N31" s="85"/>
      <c r="O31" s="85"/>
      <c r="P31" s="85"/>
      <c r="Q31" s="85"/>
      <c r="R31" s="85"/>
      <c r="S31" s="85"/>
      <c r="T31" s="85"/>
    </row>
    <row r="32" spans="2:20" x14ac:dyDescent="0.25">
      <c r="B32" s="84" t="s">
        <v>166</v>
      </c>
      <c r="C32" s="85"/>
      <c r="D32" s="85">
        <v>1</v>
      </c>
      <c r="E32" s="85">
        <v>9000</v>
      </c>
      <c r="F32" s="102" t="s">
        <v>216</v>
      </c>
      <c r="G32" s="85">
        <f t="shared" si="5"/>
        <v>9000</v>
      </c>
      <c r="H32" s="85">
        <v>5</v>
      </c>
      <c r="I32" s="85">
        <f t="shared" si="6"/>
        <v>1800</v>
      </c>
      <c r="J32" s="86"/>
      <c r="K32" s="85"/>
      <c r="L32" s="85">
        <f>+G32</f>
        <v>9000</v>
      </c>
      <c r="M32" s="85">
        <f>$G32/$G$11*M$11</f>
        <v>0</v>
      </c>
      <c r="N32" s="85">
        <f t="shared" si="9"/>
        <v>0</v>
      </c>
      <c r="O32" s="85">
        <f>IF($H32=4,$G32,0)</f>
        <v>0</v>
      </c>
      <c r="P32" s="85">
        <v>3000</v>
      </c>
      <c r="Q32" s="85">
        <f>IF($H32=3,$G32,0)</f>
        <v>0</v>
      </c>
      <c r="R32" s="85">
        <f>IF($H32=7,$G32,0)</f>
        <v>0</v>
      </c>
      <c r="S32" s="85">
        <f>IF($H32=4,$G32,0)</f>
        <v>0</v>
      </c>
      <c r="T32" s="85">
        <f>P32+Q32</f>
        <v>3000</v>
      </c>
    </row>
    <row r="33" spans="2:20" x14ac:dyDescent="0.25">
      <c r="B33" s="84" t="s">
        <v>285</v>
      </c>
      <c r="C33" s="85"/>
      <c r="D33" s="85">
        <v>1</v>
      </c>
      <c r="E33" s="85">
        <v>30000</v>
      </c>
      <c r="F33" s="102" t="s">
        <v>171</v>
      </c>
      <c r="G33" s="85">
        <f t="shared" si="5"/>
        <v>30000</v>
      </c>
      <c r="H33" s="85">
        <v>5</v>
      </c>
      <c r="I33" s="85">
        <f t="shared" si="6"/>
        <v>6000</v>
      </c>
      <c r="J33" s="86"/>
      <c r="K33" s="85">
        <f>+G33*40%</f>
        <v>12000</v>
      </c>
      <c r="L33" s="85">
        <f>+G33-K33</f>
        <v>18000</v>
      </c>
      <c r="M33" s="85">
        <f>$G33/$G$11*M$11</f>
        <v>0</v>
      </c>
      <c r="N33" s="85">
        <f t="shared" si="9"/>
        <v>0</v>
      </c>
      <c r="O33" s="85">
        <f>IF($H33=4,$G33,0)</f>
        <v>0</v>
      </c>
      <c r="P33" s="85"/>
      <c r="Q33" s="85">
        <f>IF($H33=3,$G33,0)</f>
        <v>0</v>
      </c>
      <c r="R33" s="85">
        <f>IF($H33=7,$G33,0)</f>
        <v>0</v>
      </c>
      <c r="S33" s="85">
        <f>IF($H33=4,$G33,0)</f>
        <v>0</v>
      </c>
      <c r="T33" s="85">
        <f>P33+Q33</f>
        <v>0</v>
      </c>
    </row>
    <row r="34" spans="2:20" x14ac:dyDescent="0.25">
      <c r="B34" s="84" t="s">
        <v>225</v>
      </c>
      <c r="C34" s="85" t="s">
        <v>54</v>
      </c>
      <c r="D34" s="85">
        <v>6</v>
      </c>
      <c r="E34" s="85">
        <v>200</v>
      </c>
      <c r="F34" s="102" t="s">
        <v>125</v>
      </c>
      <c r="G34" s="85">
        <f>E34*D34</f>
        <v>1200</v>
      </c>
      <c r="H34" s="85">
        <v>10</v>
      </c>
      <c r="I34" s="85">
        <f>G34/H34</f>
        <v>120</v>
      </c>
      <c r="J34" s="86"/>
      <c r="K34" s="85"/>
      <c r="L34" s="85">
        <f>G34</f>
        <v>1200</v>
      </c>
      <c r="M34" s="85">
        <f>IF($H34=2,$G34,0)</f>
        <v>0</v>
      </c>
      <c r="N34" s="85">
        <f>IF($H34=3,$G34,0)</f>
        <v>0</v>
      </c>
      <c r="O34" s="85">
        <f>IF($H34=4,$G34,0)</f>
        <v>0</v>
      </c>
      <c r="P34" s="85">
        <f>IF($H34=5,$G34,0)</f>
        <v>0</v>
      </c>
      <c r="Q34" s="85">
        <f>IF($H34=3,$G34,0)</f>
        <v>0</v>
      </c>
      <c r="R34" s="85">
        <f>IF($H34=7,$G34,0)</f>
        <v>0</v>
      </c>
      <c r="S34" s="85">
        <f>IF($H34=4,$G34,0)</f>
        <v>0</v>
      </c>
      <c r="T34" s="85">
        <f>P34+Q34</f>
        <v>0</v>
      </c>
    </row>
    <row r="35" spans="2:20" x14ac:dyDescent="0.25">
      <c r="B35" s="84" t="s">
        <v>172</v>
      </c>
      <c r="C35" s="85"/>
      <c r="D35" s="85">
        <v>1</v>
      </c>
      <c r="E35" s="85">
        <v>5000</v>
      </c>
      <c r="F35" s="102"/>
      <c r="G35" s="85">
        <f t="shared" si="5"/>
        <v>5000</v>
      </c>
      <c r="H35" s="85">
        <v>10</v>
      </c>
      <c r="I35" s="85">
        <f t="shared" si="6"/>
        <v>500</v>
      </c>
      <c r="J35" s="86"/>
      <c r="K35" s="85"/>
      <c r="L35" s="85">
        <f>G35</f>
        <v>5000</v>
      </c>
      <c r="M35" s="85"/>
      <c r="N35" s="85"/>
      <c r="O35" s="85">
        <f>IF($H35=4,$G35,0)</f>
        <v>0</v>
      </c>
      <c r="P35" s="85">
        <f>IF($H35=5,$G35,0)</f>
        <v>0</v>
      </c>
      <c r="Q35" s="85">
        <f>IF($H35=3,$G35,0)</f>
        <v>0</v>
      </c>
      <c r="R35" s="85">
        <f>IF($H35=7,$G35,0)</f>
        <v>0</v>
      </c>
      <c r="S35" s="85">
        <f>IF($H35=4,$G35,0)</f>
        <v>0</v>
      </c>
      <c r="T35" s="85">
        <f>P35+Q35</f>
        <v>0</v>
      </c>
    </row>
    <row r="36" spans="2:20" x14ac:dyDescent="0.25">
      <c r="B36" s="84" t="s">
        <v>170</v>
      </c>
      <c r="C36" s="85"/>
      <c r="D36" s="85">
        <v>2</v>
      </c>
      <c r="E36" s="85">
        <v>7000</v>
      </c>
      <c r="F36" s="102" t="s">
        <v>159</v>
      </c>
      <c r="G36" s="85">
        <f t="shared" si="5"/>
        <v>14000</v>
      </c>
      <c r="H36" s="85">
        <v>10</v>
      </c>
      <c r="I36" s="85">
        <f t="shared" si="6"/>
        <v>1400</v>
      </c>
      <c r="J36" s="86"/>
      <c r="K36" s="85"/>
      <c r="L36" s="85">
        <f>G36</f>
        <v>14000</v>
      </c>
      <c r="M36" s="85">
        <f>+G36-L36</f>
        <v>0</v>
      </c>
      <c r="N36" s="85">
        <f t="shared" si="9"/>
        <v>0</v>
      </c>
      <c r="O36" s="85">
        <f>IF($H36=4,$G36,0)</f>
        <v>0</v>
      </c>
      <c r="P36" s="85">
        <f>IF($H36=5,$G36,0)</f>
        <v>0</v>
      </c>
      <c r="Q36" s="85">
        <f>IF($H36=3,$G36,0)</f>
        <v>0</v>
      </c>
      <c r="R36" s="85">
        <f>IF($H36=7,$G36,0)</f>
        <v>0</v>
      </c>
      <c r="S36" s="85">
        <f>IF($H36=4,$G36,0)</f>
        <v>0</v>
      </c>
      <c r="T36" s="85">
        <f>P36+Q36</f>
        <v>0</v>
      </c>
    </row>
    <row r="37" spans="2:20" ht="9" customHeight="1" x14ac:dyDescent="0.25">
      <c r="B37" s="22"/>
      <c r="C37" s="4"/>
      <c r="D37" s="4"/>
      <c r="E37" s="4"/>
      <c r="F37" s="103"/>
      <c r="G37" s="4"/>
      <c r="H37" s="4"/>
      <c r="I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0" x14ac:dyDescent="0.25">
      <c r="B38" s="87" t="s">
        <v>202</v>
      </c>
      <c r="C38" s="88"/>
      <c r="D38" s="88"/>
      <c r="E38" s="88"/>
      <c r="F38" s="104"/>
      <c r="G38" s="88">
        <f>SUM(G24:G36)</f>
        <v>324700</v>
      </c>
      <c r="H38" s="88"/>
      <c r="I38" s="88">
        <f>SUM(I24:I36)</f>
        <v>40570</v>
      </c>
      <c r="K38" s="88">
        <f t="shared" ref="K38:T38" si="10">SUM(K24:K36)</f>
        <v>61800</v>
      </c>
      <c r="L38" s="88">
        <f t="shared" si="10"/>
        <v>158650</v>
      </c>
      <c r="M38" s="88">
        <f t="shared" si="10"/>
        <v>104250</v>
      </c>
      <c r="N38" s="88">
        <f t="shared" si="10"/>
        <v>0</v>
      </c>
      <c r="O38" s="88">
        <f t="shared" si="10"/>
        <v>0</v>
      </c>
      <c r="P38" s="88">
        <f t="shared" si="10"/>
        <v>10000</v>
      </c>
      <c r="Q38" s="88">
        <f t="shared" si="10"/>
        <v>0</v>
      </c>
      <c r="R38" s="88">
        <f t="shared" si="10"/>
        <v>0</v>
      </c>
      <c r="S38" s="88">
        <f t="shared" si="10"/>
        <v>0</v>
      </c>
      <c r="T38" s="88">
        <f t="shared" si="10"/>
        <v>10000</v>
      </c>
    </row>
    <row r="39" spans="2:20" ht="9" customHeight="1" x14ac:dyDescent="0.25">
      <c r="B39" s="23"/>
      <c r="C39" s="9"/>
      <c r="D39" s="9"/>
      <c r="E39" s="9"/>
      <c r="F39" s="105"/>
      <c r="G39" s="9"/>
      <c r="H39" s="9"/>
      <c r="I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2:20" ht="9" customHeight="1" x14ac:dyDescent="0.25">
      <c r="B40" s="23"/>
      <c r="C40" s="9"/>
      <c r="D40" s="9"/>
      <c r="E40" s="9"/>
      <c r="F40" s="105"/>
      <c r="G40" s="9"/>
      <c r="H40" s="9"/>
      <c r="I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2:20" x14ac:dyDescent="0.25">
      <c r="B41" s="84" t="s">
        <v>80</v>
      </c>
      <c r="C41" s="85" t="s">
        <v>79</v>
      </c>
      <c r="D41" s="85">
        <v>200</v>
      </c>
      <c r="E41" s="85">
        <v>25</v>
      </c>
      <c r="F41" s="102" t="s">
        <v>127</v>
      </c>
      <c r="G41" s="85">
        <f>E41*D41*C$48</f>
        <v>5000</v>
      </c>
      <c r="H41" s="85">
        <v>5</v>
      </c>
      <c r="I41" s="85">
        <f t="shared" ref="I41:I46" si="11">G41/H41</f>
        <v>1000</v>
      </c>
      <c r="J41" s="86"/>
      <c r="K41" s="85"/>
      <c r="L41" s="85">
        <f>G41</f>
        <v>5000</v>
      </c>
      <c r="M41" s="85">
        <f>IF($H41=2,$G41,0)</f>
        <v>0</v>
      </c>
      <c r="N41" s="85">
        <f t="shared" ref="N41:N46" si="12">IF($H41=3,$G41,0)</f>
        <v>0</v>
      </c>
      <c r="O41" s="85">
        <f t="shared" ref="O41:O46" si="13">IF($H41=4,$G41,0)</f>
        <v>0</v>
      </c>
      <c r="P41" s="85">
        <f t="shared" ref="P41:P46" si="14">IF($H41=5,$G41,0)</f>
        <v>5000</v>
      </c>
      <c r="Q41" s="85">
        <f t="shared" ref="Q41:Q46" si="15">IF($H41=3,$G41,0)</f>
        <v>0</v>
      </c>
      <c r="R41" s="85">
        <f t="shared" ref="R41:R46" si="16">IF($H41=7,$G41,0)</f>
        <v>0</v>
      </c>
      <c r="S41" s="85">
        <f t="shared" ref="S41:S46" si="17">IF($H41=4,$G41,0)</f>
        <v>0</v>
      </c>
      <c r="T41" s="85">
        <f t="shared" ref="T41:T46" si="18">P41+Q41</f>
        <v>5000</v>
      </c>
    </row>
    <row r="42" spans="2:20" x14ac:dyDescent="0.25">
      <c r="B42" s="84" t="s">
        <v>194</v>
      </c>
      <c r="C42" s="85" t="s">
        <v>51</v>
      </c>
      <c r="D42" s="85">
        <v>50</v>
      </c>
      <c r="E42" s="85">
        <v>1500</v>
      </c>
      <c r="F42" s="102" t="s">
        <v>125</v>
      </c>
      <c r="G42" s="149">
        <f>E42*D42</f>
        <v>75000</v>
      </c>
      <c r="H42" s="85">
        <v>20</v>
      </c>
      <c r="I42" s="85">
        <f>G42/H42</f>
        <v>3750</v>
      </c>
      <c r="J42" s="86"/>
      <c r="K42" s="85"/>
      <c r="L42" s="85"/>
      <c r="M42" s="85">
        <f>+G42</f>
        <v>75000</v>
      </c>
      <c r="N42" s="85">
        <f t="shared" si="12"/>
        <v>0</v>
      </c>
      <c r="O42" s="85">
        <f t="shared" si="13"/>
        <v>0</v>
      </c>
      <c r="P42" s="85">
        <f t="shared" si="14"/>
        <v>0</v>
      </c>
      <c r="Q42" s="85">
        <f t="shared" si="15"/>
        <v>0</v>
      </c>
      <c r="R42" s="85">
        <f t="shared" si="16"/>
        <v>0</v>
      </c>
      <c r="S42" s="85">
        <f t="shared" si="17"/>
        <v>0</v>
      </c>
      <c r="T42" s="85">
        <f>P42+Q42</f>
        <v>0</v>
      </c>
    </row>
    <row r="43" spans="2:20" x14ac:dyDescent="0.25">
      <c r="B43" s="84" t="s">
        <v>44</v>
      </c>
      <c r="C43" s="85" t="s">
        <v>51</v>
      </c>
      <c r="D43" s="85">
        <v>20</v>
      </c>
      <c r="E43" s="85">
        <v>70</v>
      </c>
      <c r="F43" s="102" t="s">
        <v>126</v>
      </c>
      <c r="G43" s="85">
        <f>E43*D43</f>
        <v>1400</v>
      </c>
      <c r="H43" s="85">
        <v>10</v>
      </c>
      <c r="I43" s="85">
        <f t="shared" si="11"/>
        <v>140</v>
      </c>
      <c r="J43" s="86"/>
      <c r="K43" s="85"/>
      <c r="L43" s="85"/>
      <c r="M43" s="85">
        <f>+G43</f>
        <v>1400</v>
      </c>
      <c r="N43" s="85">
        <f t="shared" si="12"/>
        <v>0</v>
      </c>
      <c r="O43" s="85">
        <f t="shared" si="13"/>
        <v>0</v>
      </c>
      <c r="P43" s="85">
        <f t="shared" si="14"/>
        <v>0</v>
      </c>
      <c r="Q43" s="85">
        <f t="shared" si="15"/>
        <v>0</v>
      </c>
      <c r="R43" s="85">
        <f t="shared" si="16"/>
        <v>0</v>
      </c>
      <c r="S43" s="85">
        <f t="shared" si="17"/>
        <v>0</v>
      </c>
      <c r="T43" s="85">
        <f t="shared" si="18"/>
        <v>0</v>
      </c>
    </row>
    <row r="44" spans="2:20" x14ac:dyDescent="0.25">
      <c r="B44" s="84" t="s">
        <v>114</v>
      </c>
      <c r="C44" s="85" t="s">
        <v>54</v>
      </c>
      <c r="D44" s="85">
        <f>D41*1.2</f>
        <v>240</v>
      </c>
      <c r="E44" s="85">
        <v>40</v>
      </c>
      <c r="F44" s="102" t="s">
        <v>215</v>
      </c>
      <c r="G44" s="85">
        <f>E44*D44*C$48</f>
        <v>9600</v>
      </c>
      <c r="H44" s="85">
        <v>5</v>
      </c>
      <c r="I44" s="85">
        <f t="shared" si="11"/>
        <v>1920</v>
      </c>
      <c r="J44" s="86"/>
      <c r="K44" s="85"/>
      <c r="L44" s="85"/>
      <c r="M44" s="85">
        <f>+G44</f>
        <v>9600</v>
      </c>
      <c r="N44" s="85">
        <f t="shared" si="12"/>
        <v>0</v>
      </c>
      <c r="O44" s="85">
        <f t="shared" si="13"/>
        <v>0</v>
      </c>
      <c r="P44" s="85">
        <f t="shared" si="14"/>
        <v>9600</v>
      </c>
      <c r="Q44" s="85">
        <f t="shared" si="15"/>
        <v>0</v>
      </c>
      <c r="R44" s="85">
        <f t="shared" si="16"/>
        <v>0</v>
      </c>
      <c r="S44" s="85">
        <f t="shared" si="17"/>
        <v>0</v>
      </c>
      <c r="T44" s="85">
        <f t="shared" si="18"/>
        <v>9600</v>
      </c>
    </row>
    <row r="45" spans="2:20" x14ac:dyDescent="0.25">
      <c r="B45" s="84" t="s">
        <v>156</v>
      </c>
      <c r="C45" s="85"/>
      <c r="D45" s="85">
        <v>3500</v>
      </c>
      <c r="E45" s="85">
        <v>1</v>
      </c>
      <c r="F45" s="102" t="s">
        <v>158</v>
      </c>
      <c r="G45" s="85">
        <f>E45*D45*C$48</f>
        <v>3500</v>
      </c>
      <c r="H45" s="85">
        <v>10</v>
      </c>
      <c r="I45" s="85">
        <f t="shared" si="11"/>
        <v>350</v>
      </c>
      <c r="J45" s="86"/>
      <c r="K45" s="85"/>
      <c r="L45" s="85"/>
      <c r="M45" s="85">
        <f>+G45</f>
        <v>3500</v>
      </c>
      <c r="N45" s="85">
        <f t="shared" si="12"/>
        <v>0</v>
      </c>
      <c r="O45" s="85">
        <f t="shared" si="13"/>
        <v>0</v>
      </c>
      <c r="P45" s="85">
        <f t="shared" si="14"/>
        <v>0</v>
      </c>
      <c r="Q45" s="85">
        <f t="shared" si="15"/>
        <v>0</v>
      </c>
      <c r="R45" s="85">
        <f t="shared" si="16"/>
        <v>0</v>
      </c>
      <c r="S45" s="85">
        <f t="shared" si="17"/>
        <v>0</v>
      </c>
      <c r="T45" s="85">
        <f t="shared" si="18"/>
        <v>0</v>
      </c>
    </row>
    <row r="46" spans="2:20" x14ac:dyDescent="0.25">
      <c r="B46" s="84" t="s">
        <v>60</v>
      </c>
      <c r="C46" s="85"/>
      <c r="D46" s="85">
        <v>1</v>
      </c>
      <c r="E46" s="85">
        <v>2500</v>
      </c>
      <c r="F46" s="102" t="s">
        <v>214</v>
      </c>
      <c r="G46" s="85">
        <f>E46*D46*C$48</f>
        <v>2500</v>
      </c>
      <c r="H46" s="85">
        <v>5</v>
      </c>
      <c r="I46" s="85">
        <f t="shared" si="11"/>
        <v>500</v>
      </c>
      <c r="J46" s="86"/>
      <c r="K46" s="85"/>
      <c r="L46" s="85"/>
      <c r="M46" s="85">
        <f>+G46</f>
        <v>2500</v>
      </c>
      <c r="N46" s="85">
        <f t="shared" si="12"/>
        <v>0</v>
      </c>
      <c r="O46" s="85">
        <f t="shared" si="13"/>
        <v>0</v>
      </c>
      <c r="P46" s="85">
        <f t="shared" si="14"/>
        <v>2500</v>
      </c>
      <c r="Q46" s="85">
        <f t="shared" si="15"/>
        <v>0</v>
      </c>
      <c r="R46" s="85">
        <f t="shared" si="16"/>
        <v>0</v>
      </c>
      <c r="S46" s="85">
        <f t="shared" si="17"/>
        <v>0</v>
      </c>
      <c r="T46" s="85">
        <f t="shared" si="18"/>
        <v>2500</v>
      </c>
    </row>
    <row r="47" spans="2:20" ht="9" customHeight="1" x14ac:dyDescent="0.25">
      <c r="B47" s="22"/>
      <c r="C47" s="4"/>
      <c r="D47" s="4"/>
      <c r="E47" s="4"/>
      <c r="F47" s="103"/>
      <c r="G47" s="4"/>
      <c r="H47" s="4"/>
      <c r="I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2:20" x14ac:dyDescent="0.25">
      <c r="B48" s="87" t="s">
        <v>115</v>
      </c>
      <c r="C48" s="88">
        <v>1</v>
      </c>
      <c r="D48" s="88"/>
      <c r="E48" s="88"/>
      <c r="F48" s="104"/>
      <c r="G48" s="88">
        <f>SUM(G41:G46)</f>
        <v>97000</v>
      </c>
      <c r="H48" s="88"/>
      <c r="I48" s="88">
        <f>SUM(I41:I46)</f>
        <v>7660</v>
      </c>
      <c r="K48" s="88">
        <f t="shared" ref="K48:T48" si="19">SUM(K41:K46)</f>
        <v>0</v>
      </c>
      <c r="L48" s="88">
        <f t="shared" si="19"/>
        <v>5000</v>
      </c>
      <c r="M48" s="88">
        <f t="shared" si="19"/>
        <v>92000</v>
      </c>
      <c r="N48" s="88">
        <f t="shared" si="19"/>
        <v>0</v>
      </c>
      <c r="O48" s="88">
        <f t="shared" si="19"/>
        <v>0</v>
      </c>
      <c r="P48" s="88">
        <f t="shared" si="19"/>
        <v>17100</v>
      </c>
      <c r="Q48" s="88">
        <f t="shared" si="19"/>
        <v>0</v>
      </c>
      <c r="R48" s="88">
        <f t="shared" si="19"/>
        <v>0</v>
      </c>
      <c r="S48" s="88">
        <f t="shared" si="19"/>
        <v>0</v>
      </c>
      <c r="T48" s="88">
        <f t="shared" si="19"/>
        <v>17100</v>
      </c>
    </row>
    <row r="49" spans="2:20" ht="9" customHeight="1" x14ac:dyDescent="0.25">
      <c r="B49" s="22"/>
      <c r="C49" s="7"/>
      <c r="D49" s="7"/>
      <c r="E49" s="7"/>
      <c r="F49" s="103"/>
      <c r="G49" s="7"/>
      <c r="H49" s="7"/>
      <c r="I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2:20" x14ac:dyDescent="0.25">
      <c r="B50" s="84" t="s">
        <v>48</v>
      </c>
      <c r="C50" s="85" t="s">
        <v>56</v>
      </c>
      <c r="D50" s="85">
        <v>1</v>
      </c>
      <c r="E50" s="85">
        <v>7000</v>
      </c>
      <c r="F50" s="102" t="s">
        <v>127</v>
      </c>
      <c r="G50" s="85">
        <f>E50*D50</f>
        <v>7000</v>
      </c>
      <c r="H50" s="85">
        <v>5</v>
      </c>
      <c r="I50" s="85">
        <f>G50/H50</f>
        <v>1400</v>
      </c>
      <c r="J50" s="86"/>
      <c r="K50" s="85"/>
      <c r="L50" s="85">
        <f>+G50</f>
        <v>7000</v>
      </c>
      <c r="M50" s="85">
        <f>IF($H50=2,$G50,0)</f>
        <v>0</v>
      </c>
      <c r="N50" s="85">
        <f>IF($H50=3,$G50,0)</f>
        <v>0</v>
      </c>
      <c r="O50" s="85">
        <f>IF($H50=4,$G50,0)</f>
        <v>0</v>
      </c>
      <c r="P50" s="85">
        <f>IF($H50=5,$G50,0)</f>
        <v>7000</v>
      </c>
      <c r="Q50" s="85">
        <f>IF($H50=3,$G50,0)</f>
        <v>0</v>
      </c>
      <c r="R50" s="85">
        <f>IF($H50=7,$G50,0)</f>
        <v>0</v>
      </c>
      <c r="S50" s="85">
        <f>IF($H50=4,$G50,0)</f>
        <v>0</v>
      </c>
      <c r="T50" s="85">
        <f>IF($H50=9,$G50,0)</f>
        <v>0</v>
      </c>
    </row>
    <row r="51" spans="2:20" x14ac:dyDescent="0.25">
      <c r="B51" s="84" t="s">
        <v>49</v>
      </c>
      <c r="C51" s="85" t="s">
        <v>55</v>
      </c>
      <c r="D51" s="85">
        <v>6</v>
      </c>
      <c r="E51" s="85">
        <v>4500</v>
      </c>
      <c r="F51" s="102" t="s">
        <v>128</v>
      </c>
      <c r="G51" s="85">
        <f>E51*D51</f>
        <v>27000</v>
      </c>
      <c r="H51" s="85">
        <v>3</v>
      </c>
      <c r="I51" s="85">
        <f>G51/H51</f>
        <v>9000</v>
      </c>
      <c r="J51" s="86"/>
      <c r="K51" s="85"/>
      <c r="L51" s="85">
        <f>G51/2</f>
        <v>13500</v>
      </c>
      <c r="M51" s="85">
        <f>G51/2</f>
        <v>13500</v>
      </c>
      <c r="N51" s="85"/>
      <c r="O51" s="85">
        <f>L51</f>
        <v>13500</v>
      </c>
      <c r="P51" s="85">
        <f>IF($H51=5,$G51,0)</f>
        <v>0</v>
      </c>
      <c r="Q51" s="85">
        <f>M51</f>
        <v>13500</v>
      </c>
      <c r="R51" s="85">
        <f>IF($H51=7,$G51,0)</f>
        <v>0</v>
      </c>
      <c r="S51" s="85">
        <f>IF($H51=4,$G51,0)</f>
        <v>0</v>
      </c>
      <c r="T51" s="85">
        <f>IF($H51=9,$G51,0)</f>
        <v>0</v>
      </c>
    </row>
    <row r="52" spans="2:20" x14ac:dyDescent="0.25">
      <c r="B52" s="84" t="s">
        <v>117</v>
      </c>
      <c r="C52" s="85"/>
      <c r="D52" s="85">
        <v>4</v>
      </c>
      <c r="E52" s="85">
        <v>1000</v>
      </c>
      <c r="F52" s="102"/>
      <c r="G52" s="85">
        <f>E52*D52</f>
        <v>4000</v>
      </c>
      <c r="H52" s="85">
        <v>3</v>
      </c>
      <c r="I52" s="85">
        <f>G52/H52</f>
        <v>1333.3333333333333</v>
      </c>
      <c r="J52" s="86"/>
      <c r="K52" s="85"/>
      <c r="L52" s="85">
        <f>G52/2</f>
        <v>2000</v>
      </c>
      <c r="M52" s="85">
        <f>G52/2</f>
        <v>2000</v>
      </c>
      <c r="N52" s="85"/>
      <c r="O52" s="85">
        <f>L52</f>
        <v>2000</v>
      </c>
      <c r="P52" s="85">
        <f>IF($H52=5,$G52,0)</f>
        <v>0</v>
      </c>
      <c r="Q52" s="85">
        <f>M52</f>
        <v>2000</v>
      </c>
      <c r="R52" s="85">
        <f>IF($H52=7,$G52,0)</f>
        <v>0</v>
      </c>
      <c r="S52" s="85">
        <f>IF($H52=4,$G52,0)</f>
        <v>0</v>
      </c>
      <c r="T52" s="85">
        <f>IF($H52=9,$G52,0)</f>
        <v>0</v>
      </c>
    </row>
    <row r="53" spans="2:20" ht="9" customHeight="1" x14ac:dyDescent="0.25">
      <c r="B53" s="22"/>
      <c r="C53" s="4"/>
      <c r="D53" s="4"/>
      <c r="E53" s="4"/>
      <c r="F53" s="103"/>
      <c r="G53" s="4"/>
      <c r="H53" s="4"/>
      <c r="I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2:20" x14ac:dyDescent="0.25">
      <c r="B54" s="87" t="s">
        <v>116</v>
      </c>
      <c r="C54" s="88"/>
      <c r="D54" s="88"/>
      <c r="E54" s="88"/>
      <c r="F54" s="104"/>
      <c r="G54" s="88">
        <f>SUM(G50:G53)</f>
        <v>38000</v>
      </c>
      <c r="H54" s="88"/>
      <c r="I54" s="88">
        <f>SUM(I50:I53)</f>
        <v>11733.333333333334</v>
      </c>
      <c r="K54" s="88">
        <f t="shared" ref="K54:S54" si="20">SUM(K50:K53)</f>
        <v>0</v>
      </c>
      <c r="L54" s="88">
        <f t="shared" si="20"/>
        <v>22500</v>
      </c>
      <c r="M54" s="88">
        <f t="shared" si="20"/>
        <v>15500</v>
      </c>
      <c r="N54" s="88">
        <f t="shared" si="20"/>
        <v>0</v>
      </c>
      <c r="O54" s="88">
        <f t="shared" si="20"/>
        <v>15500</v>
      </c>
      <c r="P54" s="88">
        <f t="shared" si="20"/>
        <v>7000</v>
      </c>
      <c r="Q54" s="88">
        <f t="shared" si="20"/>
        <v>15500</v>
      </c>
      <c r="R54" s="88">
        <f t="shared" si="20"/>
        <v>0</v>
      </c>
      <c r="S54" s="88">
        <f t="shared" si="20"/>
        <v>0</v>
      </c>
      <c r="T54" s="88">
        <f>SUM(T40:T53)</f>
        <v>34200</v>
      </c>
    </row>
    <row r="55" spans="2:20" ht="9" customHeight="1" x14ac:dyDescent="0.25">
      <c r="B55" s="23"/>
      <c r="C55" s="9"/>
      <c r="D55" s="9"/>
      <c r="E55" s="9"/>
      <c r="F55" s="105"/>
      <c r="G55" s="9"/>
      <c r="H55" s="9"/>
      <c r="I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2:20" x14ac:dyDescent="0.25">
      <c r="B56" s="84" t="s">
        <v>122</v>
      </c>
      <c r="C56" s="85"/>
      <c r="D56" s="85">
        <v>4</v>
      </c>
      <c r="E56" s="85">
        <v>1000</v>
      </c>
      <c r="F56" s="102"/>
      <c r="G56" s="85">
        <f>E56*D56</f>
        <v>4000</v>
      </c>
      <c r="H56" s="85">
        <v>10</v>
      </c>
      <c r="I56" s="85">
        <f>G56/H56</f>
        <v>400</v>
      </c>
      <c r="J56" s="86"/>
      <c r="K56" s="85"/>
      <c r="L56" s="85">
        <f>G56</f>
        <v>4000</v>
      </c>
      <c r="M56" s="85">
        <f>IF($H56=2,$G56,0)</f>
        <v>0</v>
      </c>
      <c r="N56" s="85">
        <f>IF($H56=3,$G56,0)</f>
        <v>0</v>
      </c>
      <c r="O56" s="85">
        <f>IF($H56=4,$G56,0)</f>
        <v>0</v>
      </c>
      <c r="P56" s="85">
        <f>IF($H56=5,$G56,0)</f>
        <v>0</v>
      </c>
      <c r="Q56" s="85">
        <f>IF($H56=3,$G56,0)</f>
        <v>0</v>
      </c>
      <c r="R56" s="85">
        <f>IF($H56=7,$G56,0)</f>
        <v>0</v>
      </c>
      <c r="S56" s="85">
        <f>IF($H56=4,$G56,0)</f>
        <v>0</v>
      </c>
      <c r="T56" s="85">
        <f>P56+Q56</f>
        <v>0</v>
      </c>
    </row>
    <row r="57" spans="2:20" x14ac:dyDescent="0.25">
      <c r="B57" s="84" t="s">
        <v>28</v>
      </c>
      <c r="C57" s="85" t="s">
        <v>57</v>
      </c>
      <c r="D57" s="85">
        <v>4</v>
      </c>
      <c r="E57" s="85">
        <v>1000</v>
      </c>
      <c r="F57" s="102"/>
      <c r="G57" s="85">
        <f>E57*D57</f>
        <v>4000</v>
      </c>
      <c r="H57" s="85">
        <v>3</v>
      </c>
      <c r="I57" s="85">
        <f>G57/H57</f>
        <v>1333.3333333333333</v>
      </c>
      <c r="J57" s="86"/>
      <c r="K57" s="85"/>
      <c r="L57" s="85">
        <f>G57</f>
        <v>4000</v>
      </c>
      <c r="M57" s="85">
        <f>IF($H57=2,$G57,0)</f>
        <v>0</v>
      </c>
      <c r="N57" s="85">
        <f>IF($H57=3,$G57,0)</f>
        <v>4000</v>
      </c>
      <c r="O57" s="85">
        <f>IF($H57=4,$G57,0)</f>
        <v>0</v>
      </c>
      <c r="P57" s="85">
        <f>IF($H57=5,$G57,0)</f>
        <v>0</v>
      </c>
      <c r="Q57" s="85">
        <f>IF($H57=3,$G57,0)</f>
        <v>4000</v>
      </c>
      <c r="R57" s="85">
        <f>IF($H57=7,$G57,0)</f>
        <v>0</v>
      </c>
      <c r="S57" s="85">
        <f>IF($H57=4,$G57,0)</f>
        <v>0</v>
      </c>
      <c r="T57" s="85">
        <f>P57+Q57</f>
        <v>4000</v>
      </c>
    </row>
    <row r="58" spans="2:20" x14ac:dyDescent="0.25">
      <c r="B58" s="84" t="s">
        <v>29</v>
      </c>
      <c r="C58" s="85"/>
      <c r="D58" s="85">
        <v>1</v>
      </c>
      <c r="E58" s="85">
        <v>3000</v>
      </c>
      <c r="F58" s="102"/>
      <c r="G58" s="85">
        <f>E58*D58</f>
        <v>3000</v>
      </c>
      <c r="H58" s="85">
        <v>3</v>
      </c>
      <c r="I58" s="85">
        <f>G58/H58</f>
        <v>1000</v>
      </c>
      <c r="J58" s="86"/>
      <c r="K58" s="85"/>
      <c r="L58" s="85">
        <f>G58</f>
        <v>3000</v>
      </c>
      <c r="M58" s="85">
        <f>IF($H58=2,$G58,0)</f>
        <v>0</v>
      </c>
      <c r="N58" s="85">
        <f>IF($H58=3,$G58,0)</f>
        <v>3000</v>
      </c>
      <c r="O58" s="85">
        <f>IF($H58=4,$G58,0)</f>
        <v>0</v>
      </c>
      <c r="P58" s="85">
        <f>IF($H58=5,$G58,0)</f>
        <v>0</v>
      </c>
      <c r="Q58" s="85">
        <f>IF($H58=3,$G58,0)</f>
        <v>3000</v>
      </c>
      <c r="R58" s="85">
        <f>IF($H58=7,$G58,0)</f>
        <v>0</v>
      </c>
      <c r="S58" s="85">
        <f>IF($H58=4,$G58,0)</f>
        <v>0</v>
      </c>
      <c r="T58" s="85">
        <f>P58+Q58</f>
        <v>3000</v>
      </c>
    </row>
    <row r="59" spans="2:20" ht="9" customHeight="1" x14ac:dyDescent="0.25">
      <c r="B59" s="22"/>
      <c r="C59" s="4"/>
      <c r="D59" s="4"/>
      <c r="E59" s="4"/>
      <c r="F59" s="103"/>
      <c r="G59" s="4"/>
      <c r="H59" s="4"/>
      <c r="I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2:20" x14ac:dyDescent="0.25">
      <c r="B60" s="87" t="s">
        <v>121</v>
      </c>
      <c r="C60" s="88"/>
      <c r="D60" s="88"/>
      <c r="E60" s="88"/>
      <c r="F60" s="104"/>
      <c r="G60" s="88">
        <f>SUM(G55:G59)</f>
        <v>11000</v>
      </c>
      <c r="H60" s="88"/>
      <c r="I60" s="88">
        <f>SUM(I55:I59)</f>
        <v>2733.333333333333</v>
      </c>
      <c r="K60" s="88">
        <f t="shared" ref="K60:T60" si="21">SUM(K55:K59)</f>
        <v>0</v>
      </c>
      <c r="L60" s="88">
        <f t="shared" si="21"/>
        <v>11000</v>
      </c>
      <c r="M60" s="88">
        <f t="shared" si="21"/>
        <v>0</v>
      </c>
      <c r="N60" s="88">
        <f t="shared" si="21"/>
        <v>7000</v>
      </c>
      <c r="O60" s="88">
        <f t="shared" si="21"/>
        <v>0</v>
      </c>
      <c r="P60" s="88">
        <f t="shared" si="21"/>
        <v>0</v>
      </c>
      <c r="Q60" s="88">
        <f t="shared" si="21"/>
        <v>7000</v>
      </c>
      <c r="R60" s="88">
        <f t="shared" si="21"/>
        <v>0</v>
      </c>
      <c r="S60" s="88">
        <f t="shared" si="21"/>
        <v>0</v>
      </c>
      <c r="T60" s="88">
        <f t="shared" si="21"/>
        <v>7000</v>
      </c>
    </row>
    <row r="61" spans="2:20" ht="9" customHeight="1" x14ac:dyDescent="0.25">
      <c r="B61" s="23"/>
      <c r="C61" s="9"/>
      <c r="D61" s="9"/>
      <c r="E61" s="9"/>
      <c r="F61" s="105"/>
      <c r="G61" s="9"/>
      <c r="H61" s="9"/>
      <c r="I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2:20" x14ac:dyDescent="0.25">
      <c r="B62" s="87" t="s">
        <v>24</v>
      </c>
      <c r="C62" s="88"/>
      <c r="D62" s="88"/>
      <c r="E62" s="88"/>
      <c r="F62" s="104"/>
      <c r="G62" s="88">
        <f>G14+G38+G48+G22+G60+G54</f>
        <v>918825</v>
      </c>
      <c r="H62" s="88"/>
      <c r="I62" s="88">
        <f>I14+I38+I48+I22+I60+I54</f>
        <v>83788.666666666657</v>
      </c>
      <c r="K62" s="88">
        <f t="shared" ref="K62:T62" si="22">K14+K38+K48+K22+K60+K54</f>
        <v>133015</v>
      </c>
      <c r="L62" s="88">
        <f t="shared" si="22"/>
        <v>574060</v>
      </c>
      <c r="M62" s="88">
        <f t="shared" si="22"/>
        <v>211750</v>
      </c>
      <c r="N62" s="88">
        <f t="shared" si="22"/>
        <v>7000</v>
      </c>
      <c r="O62" s="88">
        <f t="shared" si="22"/>
        <v>15500</v>
      </c>
      <c r="P62" s="88">
        <f t="shared" si="22"/>
        <v>34100</v>
      </c>
      <c r="Q62" s="88">
        <f t="shared" si="22"/>
        <v>22500</v>
      </c>
      <c r="R62" s="88">
        <f t="shared" si="22"/>
        <v>0</v>
      </c>
      <c r="S62" s="88">
        <f t="shared" si="22"/>
        <v>0</v>
      </c>
      <c r="T62" s="88">
        <f t="shared" si="22"/>
        <v>68300</v>
      </c>
    </row>
    <row r="63" spans="2:20" ht="16.5" thickBot="1" x14ac:dyDescent="0.3">
      <c r="G63" s="150">
        <f>+G6+G8+G9+G12+G16+G42</f>
        <v>443360</v>
      </c>
    </row>
    <row r="64" spans="2:20" x14ac:dyDescent="0.25">
      <c r="B64" s="38" t="s">
        <v>81</v>
      </c>
      <c r="C64" s="39"/>
      <c r="D64" s="39"/>
      <c r="E64" s="39"/>
      <c r="F64" s="106"/>
      <c r="G64" s="40"/>
      <c r="H64" s="39" t="s">
        <v>85</v>
      </c>
      <c r="I64" s="40" t="s">
        <v>86</v>
      </c>
      <c r="K64" s="211">
        <f t="shared" ref="K64:T64" si="23">K2</f>
        <v>2017</v>
      </c>
      <c r="L64" s="211">
        <f t="shared" si="23"/>
        <v>2018</v>
      </c>
      <c r="M64" s="211">
        <f t="shared" si="23"/>
        <v>2019</v>
      </c>
      <c r="N64" s="211">
        <f t="shared" si="23"/>
        <v>2020</v>
      </c>
      <c r="O64" s="211">
        <f t="shared" si="23"/>
        <v>2021</v>
      </c>
      <c r="P64" s="211">
        <f t="shared" si="23"/>
        <v>2022</v>
      </c>
      <c r="Q64" s="211">
        <f t="shared" si="23"/>
        <v>2023</v>
      </c>
      <c r="R64" s="211">
        <f t="shared" si="23"/>
        <v>2024</v>
      </c>
      <c r="S64" s="211">
        <f t="shared" si="23"/>
        <v>2025</v>
      </c>
      <c r="T64" s="211">
        <f t="shared" si="23"/>
        <v>2026</v>
      </c>
    </row>
    <row r="65" spans="2:20" ht="16.5" thickBot="1" x14ac:dyDescent="0.3">
      <c r="B65" s="41"/>
      <c r="C65" s="42"/>
      <c r="D65" s="42"/>
      <c r="E65" s="42"/>
      <c r="F65" s="107"/>
      <c r="G65" s="43"/>
      <c r="H65" s="42"/>
      <c r="I65" s="43"/>
      <c r="K65" s="212"/>
      <c r="L65" s="212"/>
      <c r="M65" s="212"/>
      <c r="N65" s="212"/>
      <c r="O65" s="212"/>
      <c r="P65" s="212"/>
      <c r="Q65" s="212"/>
      <c r="R65" s="212"/>
      <c r="S65" s="212"/>
      <c r="T65" s="212"/>
    </row>
    <row r="67" spans="2:20" x14ac:dyDescent="0.25">
      <c r="B67" s="84" t="s">
        <v>84</v>
      </c>
      <c r="C67" s="85">
        <f>G67/G$77</f>
        <v>0.17875896587938239</v>
      </c>
      <c r="D67" s="85"/>
      <c r="E67" s="85"/>
      <c r="F67" s="102"/>
      <c r="G67" s="85">
        <f>SUM(K67:N67)</f>
        <v>200000</v>
      </c>
      <c r="H67" s="85"/>
      <c r="I67" s="85"/>
      <c r="J67" s="86"/>
      <c r="K67" s="85">
        <v>100000</v>
      </c>
      <c r="L67" s="85"/>
      <c r="M67" s="85">
        <v>100000</v>
      </c>
      <c r="N67" s="85"/>
      <c r="O67" s="85"/>
      <c r="P67" s="85"/>
      <c r="Q67" s="85"/>
      <c r="R67" s="85"/>
      <c r="S67" s="85"/>
      <c r="T67" s="85"/>
    </row>
    <row r="68" spans="2:20" x14ac:dyDescent="0.25">
      <c r="B68" s="84" t="s">
        <v>82</v>
      </c>
      <c r="C68" s="85">
        <f>G68/G$77</f>
        <v>0.10278640538064487</v>
      </c>
      <c r="D68" s="85"/>
      <c r="E68" s="85"/>
      <c r="F68" s="102"/>
      <c r="G68" s="85">
        <f>SUM(K68:N68)</f>
        <v>115000</v>
      </c>
      <c r="H68" s="85"/>
      <c r="I68" s="85"/>
      <c r="J68" s="86"/>
      <c r="K68" s="85">
        <v>50000</v>
      </c>
      <c r="L68" s="85">
        <v>50000</v>
      </c>
      <c r="M68" s="85">
        <v>15000</v>
      </c>
      <c r="N68" s="85"/>
      <c r="O68" s="85"/>
      <c r="P68" s="85"/>
      <c r="Q68" s="85"/>
      <c r="R68" s="85"/>
      <c r="S68" s="85"/>
      <c r="T68" s="85"/>
    </row>
    <row r="69" spans="2:20" x14ac:dyDescent="0.25">
      <c r="B69" s="84" t="s">
        <v>119</v>
      </c>
      <c r="C69" s="85">
        <f>G69/G$77</f>
        <v>0.12066230196858312</v>
      </c>
      <c r="D69" s="85"/>
      <c r="E69" s="85"/>
      <c r="F69" s="102"/>
      <c r="G69" s="85">
        <f>SUM(K69:N69)</f>
        <v>135000</v>
      </c>
      <c r="H69" s="85"/>
      <c r="I69" s="85"/>
      <c r="J69" s="86"/>
      <c r="K69" s="85">
        <v>25000</v>
      </c>
      <c r="L69" s="85">
        <v>60000</v>
      </c>
      <c r="M69" s="85">
        <v>50000</v>
      </c>
      <c r="N69" s="85"/>
      <c r="O69" s="85"/>
      <c r="P69" s="85"/>
      <c r="Q69" s="85"/>
      <c r="R69" s="85"/>
      <c r="S69" s="85"/>
      <c r="T69" s="85"/>
    </row>
    <row r="70" spans="2:20" x14ac:dyDescent="0.25">
      <c r="B70" s="84" t="s">
        <v>309</v>
      </c>
      <c r="C70" s="85">
        <f>G70/G$77</f>
        <v>0.17875896587938239</v>
      </c>
      <c r="D70" s="85"/>
      <c r="E70" s="85"/>
      <c r="F70" s="102"/>
      <c r="G70" s="85">
        <f>SUM(K70:N70)</f>
        <v>200000</v>
      </c>
      <c r="H70" s="85">
        <v>5</v>
      </c>
      <c r="I70" s="135">
        <v>7.0000000000000007E-2</v>
      </c>
      <c r="J70" s="86"/>
      <c r="K70" s="85">
        <v>200000</v>
      </c>
      <c r="L70" s="85"/>
      <c r="M70" s="85"/>
      <c r="N70" s="85"/>
      <c r="O70" s="85"/>
      <c r="P70" s="85"/>
      <c r="Q70" s="85"/>
      <c r="R70" s="85"/>
      <c r="S70" s="85"/>
      <c r="T70" s="85"/>
    </row>
    <row r="71" spans="2:20" x14ac:dyDescent="0.25">
      <c r="B71" s="54" t="s">
        <v>123</v>
      </c>
      <c r="C71" s="44"/>
      <c r="D71" s="2"/>
      <c r="E71" s="2"/>
      <c r="F71" s="108"/>
      <c r="G71" s="2"/>
      <c r="H71" s="2"/>
      <c r="I71" s="44"/>
      <c r="K71" s="54"/>
      <c r="L71" s="54"/>
      <c r="M71" s="54"/>
      <c r="N71" s="54"/>
      <c r="O71" s="54"/>
      <c r="P71" s="54"/>
      <c r="Q71" s="54">
        <f>-G70</f>
        <v>-200000</v>
      </c>
      <c r="R71" s="54"/>
      <c r="S71" s="54"/>
      <c r="T71" s="54"/>
    </row>
    <row r="72" spans="2:20" x14ac:dyDescent="0.25">
      <c r="B72" s="84" t="s">
        <v>310</v>
      </c>
      <c r="C72" s="85">
        <f>G72/G$77</f>
        <v>8.9379482939691196E-2</v>
      </c>
      <c r="D72" s="85"/>
      <c r="E72" s="85"/>
      <c r="F72" s="102"/>
      <c r="G72" s="85">
        <f>SUM(K72:N72)</f>
        <v>100000</v>
      </c>
      <c r="H72" s="85">
        <v>5</v>
      </c>
      <c r="I72" s="135">
        <v>0.03</v>
      </c>
      <c r="J72" s="86"/>
      <c r="K72" s="85">
        <v>100000</v>
      </c>
      <c r="L72" s="85"/>
      <c r="M72" s="85"/>
      <c r="N72" s="85"/>
      <c r="O72" s="85"/>
      <c r="P72" s="85"/>
      <c r="Q72" s="85"/>
      <c r="R72" s="85"/>
      <c r="S72" s="85"/>
      <c r="T72" s="85"/>
    </row>
    <row r="73" spans="2:20" x14ac:dyDescent="0.25">
      <c r="B73" s="54" t="s">
        <v>123</v>
      </c>
      <c r="C73" s="44"/>
      <c r="D73" s="2"/>
      <c r="E73" s="2"/>
      <c r="F73" s="108"/>
      <c r="G73" s="2"/>
      <c r="H73" s="2"/>
      <c r="I73" s="44"/>
      <c r="K73" s="54"/>
      <c r="L73" s="54"/>
      <c r="M73" s="54"/>
      <c r="N73" s="54">
        <f>-SUM($K72:M72)/$H72</f>
        <v>-20000</v>
      </c>
      <c r="O73" s="54">
        <f>-SUM($K72:N72)/$H72</f>
        <v>-20000</v>
      </c>
      <c r="P73" s="54">
        <f>-SUM($K72:O72)/$H72</f>
        <v>-20000</v>
      </c>
      <c r="Q73" s="54">
        <f>-SUM($K72:P72)/$H72</f>
        <v>-20000</v>
      </c>
      <c r="R73" s="54">
        <f>-SUM($K72:Q72)/$H72</f>
        <v>-20000</v>
      </c>
      <c r="S73" s="54"/>
      <c r="T73" s="54"/>
    </row>
    <row r="74" spans="2:20" x14ac:dyDescent="0.25">
      <c r="B74" s="84" t="s">
        <v>311</v>
      </c>
      <c r="C74" s="85">
        <f>G74/G$77</f>
        <v>0.32965387795231604</v>
      </c>
      <c r="D74" s="85"/>
      <c r="E74" s="85"/>
      <c r="F74" s="102"/>
      <c r="G74" s="85">
        <f>+G62+G98-SUM(G67:G72)</f>
        <v>368825</v>
      </c>
      <c r="H74" s="85">
        <v>7</v>
      </c>
      <c r="I74" s="135">
        <v>0.02</v>
      </c>
      <c r="J74" s="86"/>
      <c r="K74" s="85"/>
      <c r="L74" s="85">
        <v>300000</v>
      </c>
      <c r="M74" s="85">
        <f>G74-SUM(K74:L74)</f>
        <v>68825</v>
      </c>
      <c r="N74" s="85"/>
      <c r="O74" s="85"/>
      <c r="P74" s="85">
        <f>P62*50%</f>
        <v>17050</v>
      </c>
      <c r="Q74" s="85"/>
      <c r="R74" s="85"/>
      <c r="S74" s="85"/>
      <c r="T74" s="85"/>
    </row>
    <row r="75" spans="2:20" x14ac:dyDescent="0.25">
      <c r="B75" s="54" t="s">
        <v>123</v>
      </c>
      <c r="C75" s="44"/>
      <c r="D75" s="2"/>
      <c r="E75" s="2"/>
      <c r="F75" s="108"/>
      <c r="G75" s="2"/>
      <c r="H75" s="2"/>
      <c r="I75" s="44"/>
      <c r="K75" s="54"/>
      <c r="L75" s="54">
        <f>-$K74/$H74</f>
        <v>0</v>
      </c>
      <c r="M75" s="54">
        <f>-SUM($K74:L74)/$H74</f>
        <v>-42857.142857142855</v>
      </c>
      <c r="N75" s="54">
        <f>-SUM($K74:M74)/$H74</f>
        <v>-52689.285714285717</v>
      </c>
      <c r="O75" s="54">
        <f>-SUM($K74:N74)/$H74</f>
        <v>-52689.285714285717</v>
      </c>
      <c r="P75" s="54">
        <f>-SUM($K74:O74)/$H74</f>
        <v>-52689.285714285717</v>
      </c>
      <c r="Q75" s="54">
        <f>-SUM($K74:P74)/$H74</f>
        <v>-55125</v>
      </c>
      <c r="R75" s="54">
        <f>-SUM($K74:Q74)/$H74</f>
        <v>-55125</v>
      </c>
      <c r="S75" s="54">
        <f>-SUM($L74:R74)/$H74</f>
        <v>-55125</v>
      </c>
      <c r="T75" s="54">
        <f>-SUM($L74:S74)/$H74</f>
        <v>-55125</v>
      </c>
    </row>
    <row r="76" spans="2:20" x14ac:dyDescent="0.25">
      <c r="B76" s="22"/>
      <c r="C76" s="4"/>
      <c r="D76" s="4"/>
      <c r="E76" s="4"/>
      <c r="F76" s="103"/>
      <c r="G76" s="4"/>
      <c r="H76" s="4"/>
      <c r="I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2:20" x14ac:dyDescent="0.25">
      <c r="B77" s="87" t="s">
        <v>87</v>
      </c>
      <c r="C77" s="88"/>
      <c r="D77" s="88"/>
      <c r="E77" s="88"/>
      <c r="F77" s="104"/>
      <c r="G77" s="88">
        <f>SUM(G67:G74)</f>
        <v>1118825</v>
      </c>
      <c r="H77" s="88"/>
      <c r="I77" s="88">
        <f>SUM(I67:I74)</f>
        <v>0.12000000000000001</v>
      </c>
      <c r="K77" s="88">
        <f>SUM(K67:K74)</f>
        <v>475000</v>
      </c>
      <c r="L77" s="88">
        <f t="shared" ref="L77:T77" si="24">SUM(L67:L74)</f>
        <v>410000</v>
      </c>
      <c r="M77" s="88">
        <f t="shared" si="24"/>
        <v>233825</v>
      </c>
      <c r="N77" s="88">
        <f t="shared" si="24"/>
        <v>-20000</v>
      </c>
      <c r="O77" s="88">
        <f t="shared" si="24"/>
        <v>-20000</v>
      </c>
      <c r="P77" s="88">
        <f t="shared" si="24"/>
        <v>-2950</v>
      </c>
      <c r="Q77" s="88">
        <f t="shared" si="24"/>
        <v>-220000</v>
      </c>
      <c r="R77" s="88">
        <f t="shared" si="24"/>
        <v>-20000</v>
      </c>
      <c r="S77" s="88">
        <f t="shared" si="24"/>
        <v>0</v>
      </c>
      <c r="T77" s="88">
        <f t="shared" si="24"/>
        <v>0</v>
      </c>
    </row>
    <row r="79" spans="2:20" x14ac:dyDescent="0.25">
      <c r="K79" s="2">
        <f>SUM($K70:K71)*$I70*2/12</f>
        <v>2333.3333333333335</v>
      </c>
      <c r="L79" s="2">
        <f>SUM($K70:L71)*$I70</f>
        <v>14000.000000000002</v>
      </c>
      <c r="M79" s="2">
        <f>SUM($K70:M71)*$I70</f>
        <v>14000.000000000002</v>
      </c>
      <c r="N79" s="2">
        <f>SUM($K70:N71)*$I70</f>
        <v>14000.000000000002</v>
      </c>
      <c r="O79" s="2">
        <f>SUM($K70:O71)*$I70</f>
        <v>14000.000000000002</v>
      </c>
      <c r="P79" s="2">
        <f>SUM($K70:P71)*$I70</f>
        <v>14000.000000000002</v>
      </c>
      <c r="Q79" s="2">
        <f>SUM($K70:Q71)*$I70</f>
        <v>0</v>
      </c>
      <c r="R79" s="2">
        <f>SUM($K70:R71)*$I70</f>
        <v>0</v>
      </c>
      <c r="S79" s="2">
        <f>SUM($K70:S71)*$I70</f>
        <v>0</v>
      </c>
      <c r="T79" s="2">
        <f>SUM($K70:T71)*$I70</f>
        <v>0</v>
      </c>
    </row>
    <row r="80" spans="2:20" x14ac:dyDescent="0.25">
      <c r="K80" s="2">
        <f>SUM($K72:K73)*$I72*2/12</f>
        <v>500</v>
      </c>
      <c r="L80" s="2">
        <f>SUM($K72:L73)*$I72</f>
        <v>3000</v>
      </c>
      <c r="M80" s="2">
        <f>SUM($K72:M73)*$I72</f>
        <v>3000</v>
      </c>
      <c r="N80" s="2">
        <f>SUM($K72:N73)*$I72</f>
        <v>2400</v>
      </c>
      <c r="O80" s="2">
        <f>SUM($K72:O73)*$I72</f>
        <v>1800</v>
      </c>
      <c r="P80" s="2">
        <f>SUM($K72:P73)*$I72</f>
        <v>1200</v>
      </c>
      <c r="Q80" s="2">
        <f>SUM($K72:Q73)*$I72</f>
        <v>600</v>
      </c>
      <c r="R80" s="2">
        <f>SUM($K72:R73)*$I72</f>
        <v>0</v>
      </c>
      <c r="S80" s="2">
        <f>SUM($K72:S73)*$I72</f>
        <v>0</v>
      </c>
      <c r="T80" s="2">
        <f>SUM($K72:T73)*$I72</f>
        <v>0</v>
      </c>
    </row>
    <row r="81" spans="2:20" x14ac:dyDescent="0.25">
      <c r="K81" s="2">
        <f>SUM($K74:K75)*$I74</f>
        <v>0</v>
      </c>
      <c r="L81" s="2">
        <f>SUM($K74:L75)*$I74</f>
        <v>6000</v>
      </c>
      <c r="M81" s="2">
        <f>SUM($K74:M75)*$I74</f>
        <v>6519.3571428571431</v>
      </c>
      <c r="N81" s="2">
        <f>SUM($K74:N75)*$I74</f>
        <v>5465.5714285714284</v>
      </c>
      <c r="O81" s="2">
        <f>SUM($K74:O75)*$I74</f>
        <v>4411.7857142857147</v>
      </c>
      <c r="P81" s="2">
        <f>SUM($K74:P75)*$I74</f>
        <v>3699</v>
      </c>
      <c r="Q81" s="2">
        <f>SUM($K74:Q75)*$I74</f>
        <v>2596.5</v>
      </c>
      <c r="R81" s="2">
        <f>SUM($K74:R75)*$I74</f>
        <v>1494</v>
      </c>
      <c r="S81" s="2">
        <f>SUM($K74:S75)*$I74</f>
        <v>391.5</v>
      </c>
      <c r="T81" s="2">
        <f>SUM($K74:T75)*$I74</f>
        <v>-711</v>
      </c>
    </row>
    <row r="82" spans="2:20" x14ac:dyDescent="0.25">
      <c r="I82" s="44">
        <v>0.03</v>
      </c>
      <c r="K82" s="2">
        <f>SF!C24*$I82/2</f>
        <v>0</v>
      </c>
      <c r="L82" s="2">
        <f>SF!D24*$I82</f>
        <v>487.03771796218484</v>
      </c>
      <c r="M82" s="2">
        <f>SF!E24*$I82</f>
        <v>529.68429840442707</v>
      </c>
      <c r="N82" s="2">
        <f>SF!F24*$I82</f>
        <v>347.8011580666373</v>
      </c>
      <c r="O82" s="2">
        <f>SF!G24*$I82</f>
        <v>293.0936230801488</v>
      </c>
      <c r="P82" s="2">
        <f>SF!H24*$I82</f>
        <v>369.01394380492985</v>
      </c>
      <c r="Q82" s="2">
        <f>SF!I24*$I82</f>
        <v>65.117199356913332</v>
      </c>
      <c r="R82" s="2">
        <f>SF!J24*$I82</f>
        <v>66.082486012861835</v>
      </c>
      <c r="S82" s="2">
        <f>SF!K24*$I82</f>
        <v>67.047772668810325</v>
      </c>
      <c r="T82" s="2">
        <f>SF!L24*$I82</f>
        <v>68.013059324758828</v>
      </c>
    </row>
    <row r="84" spans="2:20" x14ac:dyDescent="0.25">
      <c r="K84" s="5">
        <f>SUM(K79:K83)</f>
        <v>2833.3333333333335</v>
      </c>
      <c r="L84" s="5">
        <f t="shared" ref="L84:T84" si="25">SUM(L79:L83)</f>
        <v>23487.037717962186</v>
      </c>
      <c r="M84" s="5">
        <f t="shared" si="25"/>
        <v>24049.041441261572</v>
      </c>
      <c r="N84" s="5">
        <f t="shared" si="25"/>
        <v>22213.372586638066</v>
      </c>
      <c r="O84" s="5">
        <f t="shared" si="25"/>
        <v>20504.879337365866</v>
      </c>
      <c r="P84" s="5">
        <f t="shared" si="25"/>
        <v>19268.01394380493</v>
      </c>
      <c r="Q84" s="5">
        <f t="shared" si="25"/>
        <v>3261.6171993569133</v>
      </c>
      <c r="R84" s="5">
        <f t="shared" si="25"/>
        <v>1560.0824860128619</v>
      </c>
      <c r="S84" s="5">
        <f t="shared" si="25"/>
        <v>458.54777266881035</v>
      </c>
      <c r="T84" s="5">
        <f t="shared" si="25"/>
        <v>-642.98694067524116</v>
      </c>
    </row>
    <row r="87" spans="2:20" ht="16.5" thickBot="1" x14ac:dyDescent="0.3"/>
    <row r="88" spans="2:20" ht="16.5" thickBot="1" x14ac:dyDescent="0.3">
      <c r="B88" s="223" t="s">
        <v>203</v>
      </c>
      <c r="C88" s="224"/>
      <c r="D88" s="224"/>
      <c r="E88" s="224"/>
      <c r="F88" s="224"/>
      <c r="G88" s="225"/>
      <c r="K88" s="137">
        <v>2017</v>
      </c>
      <c r="L88" s="137">
        <v>2018</v>
      </c>
      <c r="M88" s="137">
        <v>2019</v>
      </c>
    </row>
    <row r="89" spans="2:20" ht="16.5" thickBot="1" x14ac:dyDescent="0.3"/>
    <row r="90" spans="2:20" x14ac:dyDescent="0.25">
      <c r="B90" s="142" t="str">
        <f>B14</f>
        <v>Honoraires et aménagement site</v>
      </c>
      <c r="C90" s="143"/>
      <c r="D90" s="143"/>
      <c r="E90" s="144"/>
      <c r="G90" s="96">
        <f>G14</f>
        <v>94085</v>
      </c>
      <c r="K90" s="96">
        <f>K14</f>
        <v>71215</v>
      </c>
      <c r="L90" s="96">
        <f>L14</f>
        <v>22870</v>
      </c>
      <c r="M90" s="96">
        <f>M14</f>
        <v>0</v>
      </c>
    </row>
    <row r="91" spans="2:20" x14ac:dyDescent="0.25">
      <c r="B91" s="226" t="str">
        <f>B22</f>
        <v>Batiments techniques</v>
      </c>
      <c r="C91" s="227"/>
      <c r="D91" s="227"/>
      <c r="E91" s="228"/>
      <c r="G91" s="96">
        <f>G22</f>
        <v>354040</v>
      </c>
      <c r="K91" s="96">
        <f>K22</f>
        <v>0</v>
      </c>
      <c r="L91" s="96">
        <f>L22</f>
        <v>354040</v>
      </c>
      <c r="M91" s="96">
        <f>M22</f>
        <v>0</v>
      </c>
    </row>
    <row r="92" spans="2:20" x14ac:dyDescent="0.25">
      <c r="B92" s="226" t="str">
        <f>B38</f>
        <v>Serres et installations techniques micro-pousses</v>
      </c>
      <c r="C92" s="227"/>
      <c r="D92" s="227"/>
      <c r="E92" s="228"/>
      <c r="G92" s="96">
        <f>G38</f>
        <v>324700</v>
      </c>
      <c r="K92" s="96">
        <f>K38</f>
        <v>61800</v>
      </c>
      <c r="L92" s="96">
        <f>L38</f>
        <v>158650</v>
      </c>
      <c r="M92" s="96">
        <f>M38</f>
        <v>104250</v>
      </c>
    </row>
    <row r="93" spans="2:20" x14ac:dyDescent="0.25">
      <c r="B93" s="226" t="str">
        <f>B48</f>
        <v>Cultures fleurs, plants et apiculture</v>
      </c>
      <c r="C93" s="227"/>
      <c r="D93" s="227"/>
      <c r="E93" s="228"/>
      <c r="G93" s="96">
        <f>G48</f>
        <v>97000</v>
      </c>
      <c r="K93" s="96">
        <f>K48</f>
        <v>0</v>
      </c>
      <c r="L93" s="96">
        <f>L48</f>
        <v>5000</v>
      </c>
      <c r="M93" s="96">
        <f>M48</f>
        <v>92000</v>
      </c>
    </row>
    <row r="94" spans="2:20" x14ac:dyDescent="0.25">
      <c r="B94" s="226" t="str">
        <f>B54</f>
        <v>Matériels transport</v>
      </c>
      <c r="C94" s="227"/>
      <c r="D94" s="227"/>
      <c r="E94" s="228"/>
      <c r="G94" s="96">
        <f>G54</f>
        <v>38000</v>
      </c>
      <c r="K94" s="96">
        <f>K54</f>
        <v>0</v>
      </c>
      <c r="L94" s="96">
        <f>L54</f>
        <v>22500</v>
      </c>
      <c r="M94" s="96">
        <f>M54</f>
        <v>15500</v>
      </c>
    </row>
    <row r="95" spans="2:20" ht="16.5" thickBot="1" x14ac:dyDescent="0.3">
      <c r="B95" s="239" t="str">
        <f>B60</f>
        <v>Mobilier/Informatique</v>
      </c>
      <c r="C95" s="240"/>
      <c r="D95" s="240"/>
      <c r="E95" s="241"/>
      <c r="G95" s="96">
        <f>G60</f>
        <v>11000</v>
      </c>
      <c r="K95" s="96">
        <f>K60</f>
        <v>0</v>
      </c>
      <c r="L95" s="96">
        <f>L60</f>
        <v>11000</v>
      </c>
      <c r="M95" s="96">
        <f>M60</f>
        <v>0</v>
      </c>
    </row>
    <row r="96" spans="2:20" ht="16.5" thickBot="1" x14ac:dyDescent="0.3"/>
    <row r="97" spans="2:13" ht="19.5" customHeight="1" thickBot="1" x14ac:dyDescent="0.3">
      <c r="B97" s="233" t="s">
        <v>99</v>
      </c>
      <c r="C97" s="234"/>
      <c r="D97" s="234"/>
      <c r="E97" s="235"/>
      <c r="G97" s="96">
        <f>SUM(G89:G96)</f>
        <v>918825</v>
      </c>
      <c r="K97" s="96">
        <f>SUM(K89:K96)</f>
        <v>133015</v>
      </c>
      <c r="L97" s="96">
        <f>SUM(L89:L96)</f>
        <v>574060</v>
      </c>
      <c r="M97" s="96">
        <f>SUM(M89:M96)</f>
        <v>211750</v>
      </c>
    </row>
    <row r="98" spans="2:13" ht="19.5" customHeight="1" thickBot="1" x14ac:dyDescent="0.3">
      <c r="B98" s="233" t="s">
        <v>207</v>
      </c>
      <c r="C98" s="234"/>
      <c r="D98" s="234"/>
      <c r="E98" s="235"/>
      <c r="G98" s="96">
        <f>SUM(K98:M98)</f>
        <v>200000</v>
      </c>
      <c r="K98" s="96">
        <v>70000</v>
      </c>
      <c r="L98" s="96">
        <v>130000</v>
      </c>
      <c r="M98" s="96"/>
    </row>
    <row r="99" spans="2:13" ht="19.5" customHeight="1" thickBot="1" x14ac:dyDescent="0.3">
      <c r="B99" s="242" t="s">
        <v>302</v>
      </c>
      <c r="C99" s="243"/>
      <c r="D99" s="243"/>
      <c r="E99" s="244"/>
      <c r="G99" s="136">
        <f>SUM(G97:G98)</f>
        <v>1118825</v>
      </c>
      <c r="K99" s="136">
        <f t="shared" ref="K99:M99" si="26">SUM(K97:K98)</f>
        <v>203015</v>
      </c>
      <c r="L99" s="136">
        <f t="shared" si="26"/>
        <v>704060</v>
      </c>
      <c r="M99" s="136">
        <f t="shared" si="26"/>
        <v>211750</v>
      </c>
    </row>
    <row r="100" spans="2:13" ht="16.5" thickBot="1" x14ac:dyDescent="0.3"/>
    <row r="101" spans="2:13" ht="16.5" thickBot="1" x14ac:dyDescent="0.3">
      <c r="B101" s="236" t="s">
        <v>208</v>
      </c>
      <c r="C101" s="237"/>
      <c r="D101" s="237"/>
      <c r="E101" s="237"/>
      <c r="F101" s="237"/>
      <c r="G101" s="238"/>
      <c r="K101" s="138">
        <v>2017</v>
      </c>
      <c r="L101" s="138">
        <v>2018</v>
      </c>
      <c r="M101" s="138">
        <v>2019</v>
      </c>
    </row>
    <row r="102" spans="2:13" ht="16.5" thickBot="1" x14ac:dyDescent="0.3"/>
    <row r="103" spans="2:13" ht="16.5" thickBot="1" x14ac:dyDescent="0.3">
      <c r="B103" s="245" t="str">
        <f>B67</f>
        <v>Capital</v>
      </c>
      <c r="C103" s="234"/>
      <c r="D103" s="234"/>
      <c r="E103" s="234"/>
      <c r="F103" s="235"/>
      <c r="G103" s="99">
        <f>G67</f>
        <v>200000</v>
      </c>
      <c r="K103" s="96">
        <f t="shared" ref="K103:M105" si="27">K67</f>
        <v>100000</v>
      </c>
      <c r="L103" s="96">
        <f t="shared" si="27"/>
        <v>0</v>
      </c>
      <c r="M103" s="96">
        <f t="shared" si="27"/>
        <v>100000</v>
      </c>
    </row>
    <row r="104" spans="2:13" ht="16.5" thickBot="1" x14ac:dyDescent="0.3">
      <c r="B104" s="245" t="str">
        <f>B68</f>
        <v>Subventions publiques</v>
      </c>
      <c r="C104" s="234" t="s">
        <v>312</v>
      </c>
      <c r="D104" s="234"/>
      <c r="E104" s="234"/>
      <c r="F104" s="235"/>
      <c r="G104" s="99">
        <f>G68</f>
        <v>115000</v>
      </c>
      <c r="K104" s="96">
        <f t="shared" si="27"/>
        <v>50000</v>
      </c>
      <c r="L104" s="96">
        <f t="shared" si="27"/>
        <v>50000</v>
      </c>
      <c r="M104" s="96">
        <f t="shared" si="27"/>
        <v>15000</v>
      </c>
    </row>
    <row r="105" spans="2:13" ht="16.5" thickBot="1" x14ac:dyDescent="0.3">
      <c r="B105" s="245" t="str">
        <f>B69</f>
        <v>Fondations privées</v>
      </c>
      <c r="C105" s="234" t="s">
        <v>205</v>
      </c>
      <c r="D105" s="234"/>
      <c r="E105" s="234"/>
      <c r="F105" s="235"/>
      <c r="G105" s="96">
        <f>G69</f>
        <v>135000</v>
      </c>
      <c r="K105" s="96">
        <f t="shared" si="27"/>
        <v>25000</v>
      </c>
      <c r="L105" s="96">
        <f t="shared" si="27"/>
        <v>60000</v>
      </c>
      <c r="M105" s="96">
        <f t="shared" si="27"/>
        <v>50000</v>
      </c>
    </row>
    <row r="106" spans="2:13" ht="16.5" thickBot="1" x14ac:dyDescent="0.3">
      <c r="B106" s="245" t="s">
        <v>309</v>
      </c>
      <c r="C106" s="234"/>
      <c r="D106" s="234"/>
      <c r="E106" s="234"/>
      <c r="F106" s="235"/>
      <c r="G106" s="96">
        <f>+G70</f>
        <v>200000</v>
      </c>
      <c r="K106" s="96">
        <f t="shared" ref="K106:M106" si="28">+K70</f>
        <v>200000</v>
      </c>
      <c r="L106" s="96">
        <f t="shared" si="28"/>
        <v>0</v>
      </c>
      <c r="M106" s="96">
        <f t="shared" si="28"/>
        <v>0</v>
      </c>
    </row>
    <row r="107" spans="2:13" ht="16.5" thickBot="1" x14ac:dyDescent="0.3">
      <c r="B107" s="245" t="str">
        <f>B72</f>
        <v>Prêts participatifs</v>
      </c>
      <c r="C107" s="234" t="s">
        <v>303</v>
      </c>
      <c r="D107" s="234"/>
      <c r="E107" s="234"/>
      <c r="F107" s="235"/>
      <c r="G107" s="96">
        <f>G72</f>
        <v>100000</v>
      </c>
      <c r="K107" s="96">
        <f t="shared" ref="K107:M107" si="29">K72</f>
        <v>100000</v>
      </c>
      <c r="L107" s="96">
        <f t="shared" si="29"/>
        <v>0</v>
      </c>
      <c r="M107" s="96">
        <f t="shared" si="29"/>
        <v>0</v>
      </c>
    </row>
    <row r="108" spans="2:13" ht="16.5" thickBot="1" x14ac:dyDescent="0.3">
      <c r="B108" s="245" t="str">
        <f>B74</f>
        <v>Emprunts bancaires</v>
      </c>
      <c r="C108" s="234" t="s">
        <v>206</v>
      </c>
      <c r="D108" s="234"/>
      <c r="E108" s="234"/>
      <c r="F108" s="235"/>
      <c r="G108" s="96">
        <f>G97+G98-SUM(G103:G107)</f>
        <v>368825</v>
      </c>
      <c r="K108" s="96"/>
      <c r="L108" s="96">
        <f>+L74</f>
        <v>300000</v>
      </c>
      <c r="M108" s="96">
        <f>+M74</f>
        <v>68825</v>
      </c>
    </row>
    <row r="109" spans="2:13" ht="16.5" thickBot="1" x14ac:dyDescent="0.3"/>
    <row r="110" spans="2:13" ht="20.25" customHeight="1" thickBot="1" x14ac:dyDescent="0.3">
      <c r="B110" s="139" t="s">
        <v>87</v>
      </c>
      <c r="C110" s="140"/>
      <c r="D110" s="140"/>
      <c r="E110" s="141"/>
      <c r="G110" s="88">
        <f>SUM(G102:G109)</f>
        <v>1118825</v>
      </c>
      <c r="K110" s="88">
        <f>SUM(K102:K109)</f>
        <v>475000</v>
      </c>
      <c r="L110" s="88">
        <f>SUM(L102:L109)</f>
        <v>410000</v>
      </c>
      <c r="M110" s="88">
        <f>SUM(M102:M109)</f>
        <v>233825</v>
      </c>
    </row>
  </sheetData>
  <mergeCells count="44">
    <mergeCell ref="B108:F108"/>
    <mergeCell ref="B103:F103"/>
    <mergeCell ref="B104:F104"/>
    <mergeCell ref="B105:F105"/>
    <mergeCell ref="B106:F106"/>
    <mergeCell ref="B107:F107"/>
    <mergeCell ref="B98:E98"/>
    <mergeCell ref="B101:G101"/>
    <mergeCell ref="B94:E94"/>
    <mergeCell ref="B95:E95"/>
    <mergeCell ref="B97:E97"/>
    <mergeCell ref="B99:E99"/>
    <mergeCell ref="B88:G88"/>
    <mergeCell ref="B92:E92"/>
    <mergeCell ref="B93:E93"/>
    <mergeCell ref="B91:E91"/>
    <mergeCell ref="B2:B3"/>
    <mergeCell ref="D2:D3"/>
    <mergeCell ref="C2:C3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P2:P3"/>
    <mergeCell ref="H2:H3"/>
    <mergeCell ref="I2:I3"/>
    <mergeCell ref="K64:K65"/>
    <mergeCell ref="G2:G3"/>
    <mergeCell ref="E2:E3"/>
    <mergeCell ref="F2:F3"/>
    <mergeCell ref="Q64:Q65"/>
    <mergeCell ref="R64:R65"/>
    <mergeCell ref="S64:S65"/>
    <mergeCell ref="T64:T65"/>
    <mergeCell ref="L64:L65"/>
    <mergeCell ref="M64:M65"/>
    <mergeCell ref="N64:N65"/>
    <mergeCell ref="O64:O65"/>
    <mergeCell ref="P64:P65"/>
  </mergeCells>
  <phoneticPr fontId="1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horizontalDpi="360" verticalDpi="360" r:id="rId1"/>
  <headerFooter>
    <oddHeader>&amp;L&amp;"Calibri,Normal"&amp;K000000LE PAYSAN URBAIN PLAN INVESTISSEMENTS_x000D_</oddHeader>
  </headerFooter>
  <extLst>
    <ext xmlns:mx="http://schemas.microsoft.com/office/mac/excel/2008/main" uri="{64002731-A6B0-56B0-2670-7721B7C09600}">
      <mx:PLV Mode="0" OnePage="0" WScale="74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opLeftCell="B10" workbookViewId="0">
      <selection activeCell="B7" sqref="B7:J15"/>
    </sheetView>
  </sheetViews>
  <sheetFormatPr baseColWidth="10" defaultRowHeight="15.75" x14ac:dyDescent="0.25"/>
  <cols>
    <col min="2" max="2" width="32.375" customWidth="1"/>
    <col min="3" max="3" width="14.625" customWidth="1"/>
    <col min="4" max="10" width="13" customWidth="1"/>
  </cols>
  <sheetData>
    <row r="2" spans="2:10" ht="16.5" thickBot="1" x14ac:dyDescent="0.3"/>
    <row r="3" spans="2:10" s="70" customFormat="1" thickBot="1" x14ac:dyDescent="0.3">
      <c r="B3" s="213" t="s">
        <v>257</v>
      </c>
      <c r="C3" s="246" t="s">
        <v>278</v>
      </c>
      <c r="D3" s="246" t="s">
        <v>258</v>
      </c>
      <c r="E3" s="246" t="s">
        <v>259</v>
      </c>
      <c r="F3" s="246" t="s">
        <v>276</v>
      </c>
      <c r="G3" s="246" t="s">
        <v>307</v>
      </c>
      <c r="H3" s="246" t="s">
        <v>279</v>
      </c>
      <c r="I3" s="246" t="s">
        <v>280</v>
      </c>
      <c r="J3" s="246" t="s">
        <v>281</v>
      </c>
    </row>
    <row r="4" spans="2:10" s="70" customFormat="1" thickBot="1" x14ac:dyDescent="0.3">
      <c r="B4" s="214"/>
      <c r="C4" s="247"/>
      <c r="D4" s="247"/>
      <c r="E4" s="247"/>
      <c r="F4" s="247"/>
      <c r="G4" s="247"/>
      <c r="H4" s="247"/>
      <c r="I4" s="247"/>
      <c r="J4" s="247"/>
    </row>
    <row r="5" spans="2:10" s="70" customFormat="1" thickBot="1" x14ac:dyDescent="0.3"/>
    <row r="6" spans="2:10" s="70" customFormat="1" ht="15" x14ac:dyDescent="0.25">
      <c r="B6" s="10"/>
      <c r="C6" s="14"/>
      <c r="D6" s="14"/>
      <c r="E6" s="14"/>
      <c r="F6" s="14"/>
      <c r="G6" s="14"/>
      <c r="H6" s="14"/>
      <c r="I6" s="14"/>
      <c r="J6" s="14"/>
    </row>
    <row r="7" spans="2:10" s="70" customFormat="1" ht="15" x14ac:dyDescent="0.25">
      <c r="B7" s="110" t="s">
        <v>217</v>
      </c>
      <c r="C7" s="2" t="s">
        <v>260</v>
      </c>
      <c r="D7" s="53">
        <f>(2.9/1.055)/0.04</f>
        <v>68.720379146919427</v>
      </c>
      <c r="E7" s="111" t="s">
        <v>261</v>
      </c>
      <c r="F7" s="112">
        <f>(0.18+0.05)/0.04</f>
        <v>5.7499999999999991</v>
      </c>
      <c r="G7" s="111">
        <v>60</v>
      </c>
      <c r="H7" s="111">
        <v>80</v>
      </c>
      <c r="I7" s="111">
        <v>90</v>
      </c>
      <c r="J7" s="111">
        <v>100</v>
      </c>
    </row>
    <row r="8" spans="2:10" s="70" customFormat="1" ht="15" x14ac:dyDescent="0.25">
      <c r="B8" s="110" t="s">
        <v>282</v>
      </c>
      <c r="C8" s="2" t="s">
        <v>260</v>
      </c>
      <c r="D8" s="53">
        <f>(2.1)/0.04</f>
        <v>52.5</v>
      </c>
      <c r="E8" s="111" t="s">
        <v>261</v>
      </c>
      <c r="F8" s="112">
        <f>(0.18+0.05)/0.04</f>
        <v>5.7499999999999991</v>
      </c>
      <c r="G8" s="111">
        <v>12</v>
      </c>
      <c r="H8" s="111">
        <v>20</v>
      </c>
      <c r="I8" s="111">
        <v>25</v>
      </c>
      <c r="J8" s="111">
        <v>30</v>
      </c>
    </row>
    <row r="9" spans="2:10" s="70" customFormat="1" ht="15" x14ac:dyDescent="0.25">
      <c r="B9" s="110" t="s">
        <v>262</v>
      </c>
      <c r="C9" s="2" t="s">
        <v>277</v>
      </c>
      <c r="D9" s="53">
        <f>(2)/0.04</f>
        <v>50</v>
      </c>
      <c r="E9" s="111" t="s">
        <v>261</v>
      </c>
      <c r="F9" s="112">
        <f>(0.18+0.05+0.2/8)/0.04</f>
        <v>6.375</v>
      </c>
      <c r="G9" s="111">
        <v>40</v>
      </c>
      <c r="H9" s="111">
        <v>60</v>
      </c>
      <c r="I9" s="111">
        <v>80</v>
      </c>
      <c r="J9" s="111">
        <v>90</v>
      </c>
    </row>
    <row r="10" spans="2:10" s="70" customFormat="1" ht="15" x14ac:dyDescent="0.25">
      <c r="B10" s="110" t="s">
        <v>263</v>
      </c>
      <c r="C10" s="2" t="s">
        <v>277</v>
      </c>
      <c r="D10" s="53">
        <f>(2.1)/0.04</f>
        <v>52.5</v>
      </c>
      <c r="E10" s="111" t="s">
        <v>261</v>
      </c>
      <c r="F10" s="112">
        <f>(0.18+0.05+0.2/8)/0.04</f>
        <v>6.375</v>
      </c>
      <c r="G10" s="111">
        <v>10</v>
      </c>
      <c r="H10" s="111">
        <v>30</v>
      </c>
      <c r="I10" s="111">
        <v>40</v>
      </c>
      <c r="J10" s="111">
        <v>50</v>
      </c>
    </row>
    <row r="11" spans="2:10" s="70" customFormat="1" ht="30" x14ac:dyDescent="0.25">
      <c r="B11" s="110" t="s">
        <v>264</v>
      </c>
      <c r="C11" s="2" t="s">
        <v>265</v>
      </c>
      <c r="D11" s="53">
        <f>(2.2)/0.05</f>
        <v>44</v>
      </c>
      <c r="E11" s="111" t="s">
        <v>266</v>
      </c>
      <c r="F11" s="112">
        <f>(0.2+0.05+0.2/6)/0.055</f>
        <v>5.1515151515151514</v>
      </c>
      <c r="G11" s="111">
        <v>4</v>
      </c>
      <c r="H11" s="111">
        <v>5</v>
      </c>
      <c r="I11" s="111">
        <v>6</v>
      </c>
      <c r="J11" s="111">
        <v>7</v>
      </c>
    </row>
    <row r="12" spans="2:10" s="70" customFormat="1" ht="30" x14ac:dyDescent="0.25">
      <c r="B12" s="110" t="s">
        <v>267</v>
      </c>
      <c r="C12" s="2" t="s">
        <v>268</v>
      </c>
      <c r="D12" s="53">
        <f>10/0.25</f>
        <v>40</v>
      </c>
      <c r="E12" s="111" t="s">
        <v>266</v>
      </c>
      <c r="F12" s="112">
        <f>(0.2+0.05+0.2/6)/0.055</f>
        <v>5.1515151515151514</v>
      </c>
      <c r="G12" s="111">
        <v>1</v>
      </c>
      <c r="H12" s="111">
        <v>2</v>
      </c>
      <c r="I12" s="111">
        <v>3</v>
      </c>
      <c r="J12" s="111">
        <v>3</v>
      </c>
    </row>
    <row r="13" spans="2:10" s="70" customFormat="1" ht="15" x14ac:dyDescent="0.25">
      <c r="B13" s="110" t="s">
        <v>269</v>
      </c>
      <c r="C13" s="2" t="s">
        <v>268</v>
      </c>
      <c r="D13" s="53">
        <f>12/0.25</f>
        <v>48</v>
      </c>
      <c r="E13" s="111" t="s">
        <v>270</v>
      </c>
      <c r="F13" s="112">
        <f>0.07/0.25</f>
        <v>0.28000000000000003</v>
      </c>
      <c r="G13" s="111">
        <v>6</v>
      </c>
      <c r="H13" s="111">
        <v>9</v>
      </c>
      <c r="I13" s="111">
        <v>12</v>
      </c>
      <c r="J13" s="111">
        <v>15</v>
      </c>
    </row>
    <row r="14" spans="2:10" s="70" customFormat="1" ht="15" x14ac:dyDescent="0.25">
      <c r="B14" s="110" t="s">
        <v>271</v>
      </c>
      <c r="C14" s="2" t="s">
        <v>268</v>
      </c>
      <c r="D14" s="53">
        <f>12/0.25</f>
        <v>48</v>
      </c>
      <c r="E14" s="111" t="s">
        <v>270</v>
      </c>
      <c r="F14" s="112">
        <f>0.07/0.25</f>
        <v>0.28000000000000003</v>
      </c>
      <c r="G14" s="111">
        <v>12</v>
      </c>
      <c r="H14" s="111">
        <v>18</v>
      </c>
      <c r="I14" s="111">
        <v>24</v>
      </c>
      <c r="J14" s="111">
        <v>30</v>
      </c>
    </row>
    <row r="15" spans="2:10" s="70" customFormat="1" ht="15" x14ac:dyDescent="0.25">
      <c r="B15" s="110" t="s">
        <v>286</v>
      </c>
      <c r="C15" s="2" t="s">
        <v>260</v>
      </c>
      <c r="D15" s="53">
        <f>(2.9/1.055)/0.04</f>
        <v>68.720379146919427</v>
      </c>
      <c r="E15" s="111" t="s">
        <v>272</v>
      </c>
      <c r="F15" s="112">
        <f>(0.18+0.05)/0.04</f>
        <v>5.7499999999999991</v>
      </c>
      <c r="G15" s="111"/>
      <c r="H15" s="111">
        <v>6</v>
      </c>
      <c r="I15" s="111">
        <v>10</v>
      </c>
      <c r="J15" s="111">
        <v>14</v>
      </c>
    </row>
    <row r="16" spans="2:10" s="70" customFormat="1" thickBot="1" x14ac:dyDescent="0.3"/>
    <row r="17" spans="2:6" s="70" customFormat="1" thickBot="1" x14ac:dyDescent="0.3">
      <c r="B17" s="114" t="s">
        <v>287</v>
      </c>
      <c r="C17" s="113">
        <f>Expl!D2</f>
        <v>2018</v>
      </c>
      <c r="D17" s="113">
        <f>Expl!E2</f>
        <v>2019</v>
      </c>
      <c r="E17" s="113">
        <f>Expl!F2</f>
        <v>2020</v>
      </c>
      <c r="F17" s="113">
        <f>Expl!G2</f>
        <v>2021</v>
      </c>
    </row>
    <row r="18" spans="2:6" s="70" customFormat="1" ht="15" x14ac:dyDescent="0.25">
      <c r="B18" s="117" t="str">
        <f t="shared" ref="B18:B26" si="0">B7</f>
        <v>Circuits courts</v>
      </c>
      <c r="C18" s="116">
        <f>G7*15*40*0.04</f>
        <v>1440</v>
      </c>
      <c r="D18" s="85">
        <f>H7*15*40*0.04</f>
        <v>1920</v>
      </c>
      <c r="E18" s="85">
        <f>I7*15*40*0.04</f>
        <v>2160</v>
      </c>
      <c r="F18" s="85">
        <f>J7*15*40*0.04</f>
        <v>2400</v>
      </c>
    </row>
    <row r="19" spans="2:6" s="70" customFormat="1" ht="15" x14ac:dyDescent="0.25">
      <c r="B19" s="117" t="str">
        <f t="shared" si="0"/>
        <v>Epiceries inFépenFantes</v>
      </c>
      <c r="C19" s="116">
        <f t="shared" ref="C19:F21" si="1">G8*30*40*0.04</f>
        <v>576</v>
      </c>
      <c r="D19" s="85">
        <f t="shared" si="1"/>
        <v>960</v>
      </c>
      <c r="E19" s="85">
        <f t="shared" si="1"/>
        <v>1200</v>
      </c>
      <c r="F19" s="85">
        <f t="shared" si="1"/>
        <v>1440</v>
      </c>
    </row>
    <row r="20" spans="2:6" s="70" customFormat="1" ht="15" x14ac:dyDescent="0.25">
      <c r="B20" s="117" t="str">
        <f t="shared" si="0"/>
        <v>GMS</v>
      </c>
      <c r="C20" s="116">
        <f t="shared" si="1"/>
        <v>1920</v>
      </c>
      <c r="D20" s="85">
        <f t="shared" si="1"/>
        <v>2880</v>
      </c>
      <c r="E20" s="85">
        <f t="shared" si="1"/>
        <v>3840</v>
      </c>
      <c r="F20" s="85">
        <f t="shared" si="1"/>
        <v>4320</v>
      </c>
    </row>
    <row r="21" spans="2:6" s="70" customFormat="1" ht="15" x14ac:dyDescent="0.25">
      <c r="B21" s="117" t="str">
        <f t="shared" si="0"/>
        <v>GMS Bio</v>
      </c>
      <c r="C21" s="116">
        <f t="shared" si="1"/>
        <v>480</v>
      </c>
      <c r="D21" s="85">
        <f t="shared" si="1"/>
        <v>1440</v>
      </c>
      <c r="E21" s="85">
        <f t="shared" si="1"/>
        <v>1920</v>
      </c>
      <c r="F21" s="85">
        <f t="shared" si="1"/>
        <v>2400</v>
      </c>
    </row>
    <row r="22" spans="2:6" s="70" customFormat="1" ht="15" x14ac:dyDescent="0.25">
      <c r="B22" s="117" t="str">
        <f t="shared" si="0"/>
        <v>Grossistes restauration commerciale</v>
      </c>
      <c r="C22" s="116">
        <f>G11*100*40*0.055</f>
        <v>880</v>
      </c>
      <c r="D22" s="85">
        <f>H11*100*40*0.055</f>
        <v>1100</v>
      </c>
      <c r="E22" s="85">
        <f>I11*100*40*0.055</f>
        <v>1320</v>
      </c>
      <c r="F22" s="85">
        <f>J11*100*40*0.055</f>
        <v>1540</v>
      </c>
    </row>
    <row r="23" spans="2:6" s="70" customFormat="1" ht="15" x14ac:dyDescent="0.25">
      <c r="B23" s="117" t="str">
        <f t="shared" si="0"/>
        <v>Groupe restauration collective</v>
      </c>
      <c r="C23" s="116">
        <f>G12*10*40</f>
        <v>400</v>
      </c>
      <c r="D23" s="85">
        <f>H12*10*40</f>
        <v>800</v>
      </c>
      <c r="E23" s="85">
        <f>I12*10*40</f>
        <v>1200</v>
      </c>
      <c r="F23" s="85">
        <f>J12*10*40</f>
        <v>1200</v>
      </c>
    </row>
    <row r="24" spans="2:6" s="70" customFormat="1" ht="15" x14ac:dyDescent="0.25">
      <c r="B24" s="117" t="str">
        <f t="shared" si="0"/>
        <v>Traiteurs</v>
      </c>
      <c r="C24" s="116">
        <f>G13*4*40</f>
        <v>960</v>
      </c>
      <c r="D24" s="85">
        <f>H13*4*40</f>
        <v>1440</v>
      </c>
      <c r="E24" s="85">
        <f>I13*4*40</f>
        <v>1920</v>
      </c>
      <c r="F24" s="85">
        <f>J13*4*40</f>
        <v>2400</v>
      </c>
    </row>
    <row r="25" spans="2:6" s="70" customFormat="1" ht="15" x14ac:dyDescent="0.25">
      <c r="B25" s="117" t="str">
        <f t="shared" si="0"/>
        <v>Primeurs vrac</v>
      </c>
      <c r="C25" s="116">
        <f>G14*2*40</f>
        <v>960</v>
      </c>
      <c r="D25" s="85">
        <f>H14*2*40</f>
        <v>1440</v>
      </c>
      <c r="E25" s="85">
        <f>I14*2*40</f>
        <v>1920</v>
      </c>
      <c r="F25" s="85">
        <f>J14*2*40</f>
        <v>2400</v>
      </c>
    </row>
    <row r="26" spans="2:6" s="70" customFormat="1" ht="15" x14ac:dyDescent="0.25">
      <c r="B26" s="117" t="str">
        <f t="shared" si="0"/>
        <v>Marchés plein vent / vente directe</v>
      </c>
      <c r="C26" s="116">
        <f>G15*50*20*0.04</f>
        <v>0</v>
      </c>
      <c r="D26" s="85">
        <f>H15*50*20*0.04</f>
        <v>240</v>
      </c>
      <c r="E26" s="85">
        <f>I15*50*20*0.04</f>
        <v>400</v>
      </c>
      <c r="F26" s="85">
        <f>J15*50*20*0.04</f>
        <v>560</v>
      </c>
    </row>
    <row r="27" spans="2:6" s="70" customFormat="1" thickBot="1" x14ac:dyDescent="0.3">
      <c r="B27" s="118"/>
      <c r="C27" s="120"/>
      <c r="D27" s="121"/>
      <c r="E27" s="121"/>
      <c r="F27" s="121"/>
    </row>
    <row r="28" spans="2:6" s="70" customFormat="1" thickBot="1" x14ac:dyDescent="0.3">
      <c r="B28" s="119" t="s">
        <v>273</v>
      </c>
      <c r="C28" s="122">
        <f>SUM(C18:C27)</f>
        <v>7616</v>
      </c>
      <c r="D28" s="122">
        <f t="shared" ref="D28:F28" si="2">SUM(D18:D27)</f>
        <v>12220</v>
      </c>
      <c r="E28" s="122">
        <f t="shared" si="2"/>
        <v>15880</v>
      </c>
      <c r="F28" s="122">
        <f t="shared" si="2"/>
        <v>18660</v>
      </c>
    </row>
    <row r="29" spans="2:6" ht="16.5" thickBot="1" x14ac:dyDescent="0.3"/>
    <row r="30" spans="2:6" s="70" customFormat="1" thickBot="1" x14ac:dyDescent="0.3">
      <c r="B30" s="119" t="s">
        <v>274</v>
      </c>
      <c r="C30" s="122">
        <f>($D7*C18+$D8*C19+$D9*C20+$D10*C21+$D11*C22+$D12*C23+$D13*C24+$D14*C25+$D15*C26)</f>
        <v>397277.34597156395</v>
      </c>
      <c r="D30" s="123">
        <f>($D7*D18+$D8*D19+$D9*D20+$D10*D21+$D11*D22+$D12*D23+$D13*D24+$D14*D25+$D15*D26)</f>
        <v>637076.01895734598</v>
      </c>
      <c r="E30" s="123">
        <f>($D7*E18+$D8*E19+$D9*E20+$D10*E21+$D11*E22+$D12*E23+$D13*E24+$D14*E25+$D15*E26)</f>
        <v>822124.1706161137</v>
      </c>
      <c r="F30" s="124">
        <f>($D7*F18+$D8*F19+$D9*F20+$D10*F21+$D11*F22+$D12*F23+$D13*F24+$D14*F25+$D15*F26)</f>
        <v>967172.32227488153</v>
      </c>
    </row>
    <row r="31" spans="2:6" ht="16.5" thickBot="1" x14ac:dyDescent="0.3"/>
    <row r="32" spans="2:6" s="70" customFormat="1" thickBot="1" x14ac:dyDescent="0.3">
      <c r="B32" s="119" t="s">
        <v>275</v>
      </c>
      <c r="C32" s="125">
        <f>C30/C28</f>
        <v>52.163517065594007</v>
      </c>
      <c r="D32" s="126">
        <f>D30/D28</f>
        <v>52.133880438408021</v>
      </c>
      <c r="E32" s="126">
        <f>E30/E28</f>
        <v>51.771043489679705</v>
      </c>
      <c r="F32" s="127">
        <f>F30/F28</f>
        <v>51.831314162641029</v>
      </c>
    </row>
    <row r="33" spans="2:6" ht="16.5" thickBot="1" x14ac:dyDescent="0.3"/>
    <row r="34" spans="2:6" s="70" customFormat="1" thickBot="1" x14ac:dyDescent="0.3">
      <c r="B34" s="119" t="s">
        <v>283</v>
      </c>
      <c r="C34" s="125">
        <f>($F11*C22+$F12*C23+$F13*C24+$F14*C25+$F15*C26+$F7*C18+$F8*C19+$F9*C20+$F10*C21)/C28</f>
        <v>4.4673764960529665</v>
      </c>
      <c r="D34" s="126">
        <f>($F11*D22+$F12*D23+$F13*D24+$F14*D25+$F15*D26+$F7*D18+$F8*D19+$F9*D20+$F10*D21)/D28</f>
        <v>4.5887298517085746</v>
      </c>
      <c r="E34" s="126">
        <f>($F11*E22+$F12*E23+$F13*E24+$F14*E25+$F15*E26+$F7*E18+$F8*E19+$F9*E20+$F10*E21)/E28</f>
        <v>4.5590061827341426</v>
      </c>
      <c r="F34" s="127">
        <f>($F11*F22+$F12*F23+$F13*F24+$F14*F25+$F15*F26+$F7*F18+$F8*F19+$F9*F20+$F10*F21)/F28</f>
        <v>4.4801260190327721</v>
      </c>
    </row>
    <row r="35" spans="2:6" x14ac:dyDescent="0.25">
      <c r="F35" s="70"/>
    </row>
    <row r="36" spans="2:6" x14ac:dyDescent="0.25">
      <c r="F36" s="70"/>
    </row>
    <row r="37" spans="2:6" x14ac:dyDescent="0.25">
      <c r="F37" s="70"/>
    </row>
    <row r="38" spans="2:6" x14ac:dyDescent="0.25">
      <c r="F38" s="70"/>
    </row>
    <row r="39" spans="2:6" x14ac:dyDescent="0.25">
      <c r="F39" s="70"/>
    </row>
  </sheetData>
  <mergeCells count="9">
    <mergeCell ref="J3:J4"/>
    <mergeCell ref="H3:H4"/>
    <mergeCell ref="G3:G4"/>
    <mergeCell ref="F3:F4"/>
    <mergeCell ref="B3:B4"/>
    <mergeCell ref="C3:C4"/>
    <mergeCell ref="D3:D4"/>
    <mergeCell ref="E3:E4"/>
    <mergeCell ref="I3:I4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>
      <selection activeCell="A38" sqref="A38:XFD38"/>
    </sheetView>
  </sheetViews>
  <sheetFormatPr baseColWidth="10" defaultColWidth="10.625" defaultRowHeight="15" x14ac:dyDescent="0.25"/>
  <cols>
    <col min="1" max="1" width="10.625" style="25"/>
    <col min="2" max="2" width="31.375" style="25" customWidth="1"/>
    <col min="3" max="12" width="8" style="25" customWidth="1"/>
    <col min="13" max="16384" width="10.625" style="25"/>
  </cols>
  <sheetData>
    <row r="1" spans="1:22" x14ac:dyDescent="0.25">
      <c r="A1" s="24"/>
      <c r="B1" s="26" t="s">
        <v>30</v>
      </c>
    </row>
    <row r="2" spans="1:22" ht="15.75" thickBot="1" x14ac:dyDescent="0.3">
      <c r="A2" s="24"/>
      <c r="B2" s="26"/>
    </row>
    <row r="3" spans="1:22" ht="16.5" customHeight="1" thickBot="1" x14ac:dyDescent="0.3">
      <c r="A3" s="24"/>
      <c r="B3" s="250" t="s">
        <v>39</v>
      </c>
      <c r="C3" s="211">
        <v>2017</v>
      </c>
      <c r="D3" s="211">
        <v>2018</v>
      </c>
      <c r="E3" s="211">
        <v>2019</v>
      </c>
      <c r="F3" s="248">
        <v>2020</v>
      </c>
      <c r="G3" s="248">
        <v>2021</v>
      </c>
      <c r="H3" s="248">
        <v>2022</v>
      </c>
      <c r="I3" s="248">
        <v>2023</v>
      </c>
      <c r="J3" s="248">
        <v>2024</v>
      </c>
      <c r="K3" s="248">
        <v>2025</v>
      </c>
      <c r="L3" s="248">
        <v>2026</v>
      </c>
    </row>
    <row r="4" spans="1:22" ht="22.35" customHeight="1" thickBot="1" x14ac:dyDescent="0.3">
      <c r="A4" s="24"/>
      <c r="B4" s="251"/>
      <c r="C4" s="252"/>
      <c r="D4" s="252"/>
      <c r="E4" s="252"/>
      <c r="F4" s="249"/>
      <c r="G4" s="249"/>
      <c r="H4" s="249"/>
      <c r="I4" s="249"/>
      <c r="J4" s="249"/>
      <c r="K4" s="249"/>
      <c r="L4" s="249"/>
    </row>
    <row r="5" spans="1:22" s="37" customFormat="1" ht="8.1" customHeight="1" x14ac:dyDescent="0.25">
      <c r="B5" s="47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22" x14ac:dyDescent="0.25">
      <c r="B6" s="72" t="s">
        <v>32</v>
      </c>
      <c r="C6" s="80">
        <f>Invest!K62</f>
        <v>133015</v>
      </c>
      <c r="D6" s="80">
        <f>Invest!L62</f>
        <v>574060</v>
      </c>
      <c r="E6" s="80">
        <f>Invest!M62</f>
        <v>211750</v>
      </c>
      <c r="F6" s="80">
        <f>Invest!N62</f>
        <v>7000</v>
      </c>
      <c r="G6" s="80">
        <f>Invest!O62</f>
        <v>15500</v>
      </c>
      <c r="H6" s="80">
        <f>Invest!P62</f>
        <v>34100</v>
      </c>
      <c r="I6" s="80">
        <f>Invest!Q62</f>
        <v>22500</v>
      </c>
      <c r="J6" s="80">
        <f>Invest!R62</f>
        <v>0</v>
      </c>
      <c r="K6" s="80">
        <f>Invest!S62</f>
        <v>0</v>
      </c>
      <c r="L6" s="80">
        <f>Invest!T62</f>
        <v>68300</v>
      </c>
    </row>
    <row r="7" spans="1:22" x14ac:dyDescent="0.25">
      <c r="B7" s="73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22" x14ac:dyDescent="0.25">
      <c r="B8" s="72" t="s">
        <v>313</v>
      </c>
      <c r="C8" s="80">
        <f>-Invest!K71</f>
        <v>0</v>
      </c>
      <c r="D8" s="80">
        <f>-Invest!L71</f>
        <v>0</v>
      </c>
      <c r="E8" s="80">
        <f>-Invest!M71</f>
        <v>0</v>
      </c>
      <c r="F8" s="80">
        <f>-Invest!N71</f>
        <v>0</v>
      </c>
      <c r="G8" s="80">
        <f>-Invest!O71</f>
        <v>0</v>
      </c>
      <c r="H8" s="80">
        <f>-Invest!P71</f>
        <v>0</v>
      </c>
      <c r="I8" s="80">
        <f>-Invest!Q71</f>
        <v>200000</v>
      </c>
      <c r="J8" s="80">
        <f>-Invest!R71</f>
        <v>0</v>
      </c>
      <c r="K8" s="80">
        <f>-Invest!S71</f>
        <v>0</v>
      </c>
      <c r="L8" s="80">
        <f>-Invest!T71</f>
        <v>0</v>
      </c>
    </row>
    <row r="9" spans="1:22" x14ac:dyDescent="0.25">
      <c r="B9" s="72" t="s">
        <v>314</v>
      </c>
      <c r="C9" s="80">
        <f>-Invest!K73</f>
        <v>0</v>
      </c>
      <c r="D9" s="80">
        <f>-Invest!L73</f>
        <v>0</v>
      </c>
      <c r="E9" s="80">
        <f>-Invest!M73</f>
        <v>0</v>
      </c>
      <c r="F9" s="80">
        <f>-Invest!N73</f>
        <v>20000</v>
      </c>
      <c r="G9" s="80">
        <f>-Invest!O73</f>
        <v>20000</v>
      </c>
      <c r="H9" s="80">
        <f>-Invest!P73</f>
        <v>20000</v>
      </c>
      <c r="I9" s="80">
        <f>-Invest!Q73</f>
        <v>20000</v>
      </c>
      <c r="J9" s="80">
        <f>-Invest!R73</f>
        <v>20000</v>
      </c>
      <c r="K9" s="80">
        <f>-Invest!S73</f>
        <v>0</v>
      </c>
      <c r="L9" s="80">
        <f>-Invest!T73</f>
        <v>0</v>
      </c>
    </row>
    <row r="10" spans="1:22" x14ac:dyDescent="0.25">
      <c r="B10" s="72" t="s">
        <v>88</v>
      </c>
      <c r="C10" s="80">
        <f>-Invest!K75</f>
        <v>0</v>
      </c>
      <c r="D10" s="80">
        <f>-Invest!L75</f>
        <v>0</v>
      </c>
      <c r="E10" s="80">
        <f>-Invest!M75</f>
        <v>42857.142857142855</v>
      </c>
      <c r="F10" s="80">
        <f>-Invest!N75</f>
        <v>52689.285714285717</v>
      </c>
      <c r="G10" s="80">
        <f>-Invest!O75</f>
        <v>52689.285714285717</v>
      </c>
      <c r="H10" s="80">
        <f>-Invest!P75</f>
        <v>52689.285714285717</v>
      </c>
      <c r="I10" s="80">
        <f>-Invest!Q75</f>
        <v>55125</v>
      </c>
      <c r="J10" s="80">
        <f>-Invest!R75</f>
        <v>55125</v>
      </c>
      <c r="K10" s="80">
        <f>-Invest!S75</f>
        <v>55125</v>
      </c>
      <c r="L10" s="80">
        <f>-Invest!T75</f>
        <v>55125</v>
      </c>
    </row>
    <row r="11" spans="1:22" x14ac:dyDescent="0.25">
      <c r="B11" s="72" t="s">
        <v>40</v>
      </c>
      <c r="C11" s="80">
        <f>Expl!C109</f>
        <v>6057.458333333333</v>
      </c>
      <c r="D11" s="80">
        <f>Expl!D109-C11</f>
        <v>14235.779915091036</v>
      </c>
      <c r="E11" s="80">
        <f>Expl!E109-SUM($C11:D11)</f>
        <v>22070.179100184465</v>
      </c>
      <c r="F11" s="80">
        <f>Expl!F109-SUM($C11:E11)</f>
        <v>14491.71491944322</v>
      </c>
      <c r="G11" s="80">
        <f>Expl!G109-SUM($C11:F11)</f>
        <v>12212.234295006201</v>
      </c>
      <c r="H11" s="80">
        <f>Expl!H109-SUM($C11:G11)</f>
        <v>15375.580991872077</v>
      </c>
      <c r="I11" s="80">
        <f>Expl!I109-SUM($C11:H11)</f>
        <v>2713.2166398713889</v>
      </c>
      <c r="J11" s="80">
        <f>Expl!J109-SUM($C11:I11)</f>
        <v>2753.4369172025763</v>
      </c>
      <c r="K11" s="80">
        <f>Expl!K109-SUM($C11:J11)</f>
        <v>2793.6571945337637</v>
      </c>
      <c r="L11" s="80">
        <f>Expl!L109-SUM($C11:K11)</f>
        <v>2833.8774718649511</v>
      </c>
    </row>
    <row r="12" spans="1:22" x14ac:dyDescent="0.25">
      <c r="B12" s="72" t="s">
        <v>92</v>
      </c>
      <c r="C12" s="80">
        <f>IF(Expl!C107&lt;0,-Expl!C107,0)</f>
        <v>13653.908333333326</v>
      </c>
      <c r="D12" s="80">
        <f>IF(Expl!D107&lt;0,-Expl!D107,0)</f>
        <v>64534.410535106494</v>
      </c>
      <c r="E12" s="80">
        <f>IF(Expl!E107&lt;0,-Expl!E107,0)</f>
        <v>55591.865921117373</v>
      </c>
      <c r="F12" s="80">
        <f>IF(Expl!F107&lt;0,-Expl!F107,0)</f>
        <v>9527.4360015506463</v>
      </c>
      <c r="G12" s="80">
        <f>IF(Expl!G107&lt;0,-Expl!G107,0)</f>
        <v>0</v>
      </c>
      <c r="H12" s="80">
        <f>IF(Expl!H107&lt;0,-Expl!H107,0)</f>
        <v>0</v>
      </c>
      <c r="I12" s="80">
        <f>IF(Expl!I107&lt;0,-Expl!I107,0)</f>
        <v>0</v>
      </c>
      <c r="J12" s="80">
        <f>IF(Expl!J107&lt;0,-Expl!J107,0)</f>
        <v>0</v>
      </c>
      <c r="K12" s="80">
        <f>IF(Expl!K107&lt;0,-Expl!K107,0)</f>
        <v>0</v>
      </c>
      <c r="L12" s="80">
        <f>IF(Expl!L107&lt;0,-Expl!L107,0)</f>
        <v>0</v>
      </c>
    </row>
    <row r="13" spans="1:22" x14ac:dyDescent="0.25">
      <c r="B13" s="74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22" customFormat="1" ht="16.5" thickBot="1" x14ac:dyDescent="0.3">
      <c r="B14" s="78" t="s">
        <v>31</v>
      </c>
      <c r="C14" s="82">
        <f t="shared" ref="C14:L14" si="0">SUM(C6:C13)</f>
        <v>152726.36666666667</v>
      </c>
      <c r="D14" s="82">
        <f t="shared" si="0"/>
        <v>652830.19045019755</v>
      </c>
      <c r="E14" s="82">
        <f t="shared" si="0"/>
        <v>332269.18787844467</v>
      </c>
      <c r="F14" s="82">
        <f t="shared" si="0"/>
        <v>103708.43663527956</v>
      </c>
      <c r="G14" s="82">
        <f t="shared" si="0"/>
        <v>100401.52000929191</v>
      </c>
      <c r="H14" s="82">
        <f t="shared" si="0"/>
        <v>122164.86670615779</v>
      </c>
      <c r="I14" s="82">
        <f t="shared" si="0"/>
        <v>300338.21663987136</v>
      </c>
      <c r="J14" s="82">
        <f t="shared" si="0"/>
        <v>77878.436917202576</v>
      </c>
      <c r="K14" s="82">
        <f t="shared" si="0"/>
        <v>57918.657194533764</v>
      </c>
      <c r="L14" s="82">
        <f t="shared" si="0"/>
        <v>126258.87747186495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x14ac:dyDescent="0.25">
      <c r="B15" s="76"/>
      <c r="C15" s="49"/>
      <c r="D15" s="49" t="s">
        <v>30</v>
      </c>
      <c r="E15" s="49"/>
      <c r="F15" s="49"/>
      <c r="G15" s="49"/>
      <c r="H15" s="49"/>
      <c r="I15" s="49"/>
      <c r="J15" s="49"/>
      <c r="K15" s="49"/>
      <c r="L15" s="49"/>
    </row>
    <row r="16" spans="1:22" ht="15.75" thickBot="1" x14ac:dyDescent="0.3">
      <c r="B16" s="76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22" s="37" customFormat="1" ht="8.1" customHeight="1" x14ac:dyDescent="0.25">
      <c r="B17" s="47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2:22" x14ac:dyDescent="0.25">
      <c r="B18" s="72" t="s">
        <v>89</v>
      </c>
      <c r="C18" s="80">
        <f>Invest!K67</f>
        <v>100000</v>
      </c>
      <c r="D18" s="80">
        <f>Invest!L67</f>
        <v>0</v>
      </c>
      <c r="E18" s="80">
        <f>Invest!M67</f>
        <v>100000</v>
      </c>
      <c r="F18" s="80">
        <f>Invest!N67</f>
        <v>0</v>
      </c>
      <c r="G18" s="80">
        <f>Invest!O67</f>
        <v>0</v>
      </c>
      <c r="H18" s="80">
        <f>Invest!P67</f>
        <v>0</v>
      </c>
      <c r="I18" s="80">
        <f>Invest!Q67</f>
        <v>0</v>
      </c>
      <c r="J18" s="80">
        <f>Invest!R67</f>
        <v>0</v>
      </c>
      <c r="K18" s="80">
        <f>Invest!S67</f>
        <v>0</v>
      </c>
      <c r="L18" s="80">
        <f>Invest!T67</f>
        <v>0</v>
      </c>
    </row>
    <row r="19" spans="2:22" x14ac:dyDescent="0.25">
      <c r="B19" s="72" t="s">
        <v>82</v>
      </c>
      <c r="C19" s="80">
        <f>Invest!K68</f>
        <v>50000</v>
      </c>
      <c r="D19" s="80">
        <f>Invest!L68</f>
        <v>50000</v>
      </c>
      <c r="E19" s="80">
        <f>Invest!M68</f>
        <v>15000</v>
      </c>
      <c r="F19" s="80">
        <f>Invest!N68</f>
        <v>0</v>
      </c>
      <c r="G19" s="80">
        <f>Invest!O68</f>
        <v>0</v>
      </c>
      <c r="H19" s="80">
        <f>Invest!P68</f>
        <v>0</v>
      </c>
      <c r="I19" s="80">
        <f>Invest!Q68</f>
        <v>0</v>
      </c>
      <c r="J19" s="80">
        <f>Invest!R68</f>
        <v>0</v>
      </c>
      <c r="K19" s="80">
        <f>Invest!S68</f>
        <v>0</v>
      </c>
      <c r="L19" s="80">
        <f>Invest!T68</f>
        <v>0</v>
      </c>
    </row>
    <row r="20" spans="2:22" x14ac:dyDescent="0.25">
      <c r="B20" s="72" t="s">
        <v>83</v>
      </c>
      <c r="C20" s="80">
        <f>Invest!K69</f>
        <v>25000</v>
      </c>
      <c r="D20" s="80">
        <f>Invest!L69</f>
        <v>60000</v>
      </c>
      <c r="E20" s="80">
        <f>Invest!M69</f>
        <v>50000</v>
      </c>
      <c r="F20" s="80">
        <f>Invest!N69</f>
        <v>0</v>
      </c>
      <c r="G20" s="80">
        <f>Invest!O69</f>
        <v>0</v>
      </c>
      <c r="H20" s="80">
        <f>Invest!P69</f>
        <v>0</v>
      </c>
      <c r="I20" s="80">
        <f>Invest!Q69</f>
        <v>0</v>
      </c>
      <c r="J20" s="80">
        <f>Invest!R69</f>
        <v>0</v>
      </c>
      <c r="K20" s="80">
        <f>Invest!S69</f>
        <v>0</v>
      </c>
      <c r="L20" s="80">
        <f>Invest!T69</f>
        <v>0</v>
      </c>
    </row>
    <row r="21" spans="2:22" x14ac:dyDescent="0.25">
      <c r="B21" s="72" t="s">
        <v>309</v>
      </c>
      <c r="C21" s="80">
        <f>Invest!K70</f>
        <v>200000</v>
      </c>
      <c r="D21" s="80">
        <f>Invest!L70</f>
        <v>0</v>
      </c>
      <c r="E21" s="80">
        <f>Invest!M70</f>
        <v>0</v>
      </c>
      <c r="F21" s="80">
        <f>Invest!N70</f>
        <v>0</v>
      </c>
      <c r="G21" s="80">
        <f>Invest!O70</f>
        <v>0</v>
      </c>
      <c r="H21" s="80">
        <f>Invest!P70</f>
        <v>0</v>
      </c>
      <c r="I21" s="80">
        <f>Invest!Q70</f>
        <v>0</v>
      </c>
      <c r="J21" s="80">
        <f>Invest!R70</f>
        <v>0</v>
      </c>
      <c r="K21" s="80">
        <f>Invest!S70</f>
        <v>0</v>
      </c>
      <c r="L21" s="80">
        <f>Invest!T70</f>
        <v>0</v>
      </c>
    </row>
    <row r="22" spans="2:22" x14ac:dyDescent="0.25">
      <c r="B22" s="72" t="s">
        <v>310</v>
      </c>
      <c r="C22" s="80">
        <f>Invest!K72</f>
        <v>100000</v>
      </c>
      <c r="D22" s="80">
        <f>Invest!L72</f>
        <v>0</v>
      </c>
      <c r="E22" s="80">
        <f>Invest!M72</f>
        <v>0</v>
      </c>
      <c r="F22" s="80">
        <f>Invest!N72</f>
        <v>0</v>
      </c>
      <c r="G22" s="80">
        <f>Invest!O72</f>
        <v>0</v>
      </c>
      <c r="H22" s="80">
        <f>Invest!P72</f>
        <v>0</v>
      </c>
      <c r="I22" s="80">
        <f>Invest!Q72</f>
        <v>0</v>
      </c>
      <c r="J22" s="80">
        <f>Invest!R72</f>
        <v>0</v>
      </c>
      <c r="K22" s="80">
        <f>Invest!S72</f>
        <v>0</v>
      </c>
      <c r="L22" s="80">
        <f>Invest!T72</f>
        <v>0</v>
      </c>
    </row>
    <row r="23" spans="2:22" x14ac:dyDescent="0.25">
      <c r="B23" s="72" t="s">
        <v>90</v>
      </c>
      <c r="C23" s="80">
        <f>Invest!K74</f>
        <v>0</v>
      </c>
      <c r="D23" s="80">
        <f>Invest!L74</f>
        <v>300000</v>
      </c>
      <c r="E23" s="80">
        <f>Invest!M74</f>
        <v>68825</v>
      </c>
      <c r="F23" s="80">
        <f>Invest!N74</f>
        <v>0</v>
      </c>
      <c r="G23" s="80">
        <f>Invest!O74</f>
        <v>0</v>
      </c>
      <c r="H23" s="80">
        <f>Invest!P74</f>
        <v>17050</v>
      </c>
      <c r="I23" s="80">
        <f>Invest!Q74</f>
        <v>0</v>
      </c>
      <c r="J23" s="80">
        <f>Invest!R74</f>
        <v>0</v>
      </c>
      <c r="K23" s="80">
        <f>Invest!S74</f>
        <v>0</v>
      </c>
      <c r="L23" s="80">
        <f>Invest!T74</f>
        <v>0</v>
      </c>
    </row>
    <row r="24" spans="2:22" x14ac:dyDescent="0.25">
      <c r="B24" s="72" t="s">
        <v>91</v>
      </c>
      <c r="C24" s="80"/>
      <c r="D24" s="80">
        <f>+(C11+D11)*0.8</f>
        <v>16234.590598739494</v>
      </c>
      <c r="E24" s="80">
        <f>+E11*0.8</f>
        <v>17656.143280147571</v>
      </c>
      <c r="F24" s="80">
        <f t="shared" ref="F24:L24" si="1">+F11*0.8</f>
        <v>11593.371935554576</v>
      </c>
      <c r="G24" s="80">
        <f t="shared" si="1"/>
        <v>9769.7874360049609</v>
      </c>
      <c r="H24" s="80">
        <f t="shared" si="1"/>
        <v>12300.464793497662</v>
      </c>
      <c r="I24" s="80">
        <f t="shared" si="1"/>
        <v>2170.5733118971111</v>
      </c>
      <c r="J24" s="80">
        <f t="shared" si="1"/>
        <v>2202.7495337620612</v>
      </c>
      <c r="K24" s="80">
        <f t="shared" si="1"/>
        <v>2234.9257556270109</v>
      </c>
      <c r="L24" s="80">
        <f t="shared" si="1"/>
        <v>2267.101977491961</v>
      </c>
    </row>
    <row r="25" spans="2:22" x14ac:dyDescent="0.25">
      <c r="B25" s="72" t="s">
        <v>93</v>
      </c>
      <c r="C25" s="80">
        <f>IF(Expl!C107&gt;0,Expl!C107,0)</f>
        <v>0</v>
      </c>
      <c r="D25" s="80">
        <f>IF(Expl!D107&gt;0,Expl!D107,0)</f>
        <v>0</v>
      </c>
      <c r="E25" s="80">
        <f>IF(Expl!E107&gt;0,Expl!E107,0)</f>
        <v>0</v>
      </c>
      <c r="F25" s="80">
        <f>IF(Expl!F107&gt;0,Expl!F107,0)</f>
        <v>0</v>
      </c>
      <c r="G25" s="80">
        <f>IF(Expl!G107&gt;0,Expl!G107,0)</f>
        <v>31196.092863625956</v>
      </c>
      <c r="H25" s="80">
        <f>IF(Expl!H107&gt;0,Expl!H107,0)</f>
        <v>91631.855167475645</v>
      </c>
      <c r="I25" s="80">
        <f>IF(Expl!I107&gt;0,Expl!I107,0)</f>
        <v>134042.44706443569</v>
      </c>
      <c r="J25" s="80">
        <f>IF(Expl!J107&gt;0,Expl!J107,0)</f>
        <v>157369.39861738135</v>
      </c>
      <c r="K25" s="80">
        <f>IF(Expl!K107&gt;0,Expl!K107,0)</f>
        <v>180006.33061289636</v>
      </c>
      <c r="L25" s="80">
        <f>IF(Expl!L107&gt;0,Expl!L107,0)</f>
        <v>202196.04401288356</v>
      </c>
    </row>
    <row r="26" spans="2:22" x14ac:dyDescent="0.25">
      <c r="B26" s="74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2:22" customFormat="1" ht="16.5" thickBot="1" x14ac:dyDescent="0.3">
      <c r="B27" s="78" t="s">
        <v>41</v>
      </c>
      <c r="C27" s="82">
        <f t="shared" ref="C27:L27" si="2">SUM(C18:C25)</f>
        <v>475000</v>
      </c>
      <c r="D27" s="82">
        <f t="shared" si="2"/>
        <v>426234.59059873951</v>
      </c>
      <c r="E27" s="82">
        <f t="shared" si="2"/>
        <v>251481.14328014757</v>
      </c>
      <c r="F27" s="82">
        <f t="shared" si="2"/>
        <v>11593.371935554576</v>
      </c>
      <c r="G27" s="82">
        <f t="shared" si="2"/>
        <v>40965.880299630917</v>
      </c>
      <c r="H27" s="82">
        <f t="shared" si="2"/>
        <v>120982.31996097331</v>
      </c>
      <c r="I27" s="82">
        <f t="shared" si="2"/>
        <v>136213.0203763328</v>
      </c>
      <c r="J27" s="82">
        <f t="shared" si="2"/>
        <v>159572.1481511434</v>
      </c>
      <c r="K27" s="82">
        <f t="shared" si="2"/>
        <v>182241.25636852338</v>
      </c>
      <c r="L27" s="82">
        <f t="shared" si="2"/>
        <v>204463.14599037552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2:22" x14ac:dyDescent="0.25">
      <c r="B28" s="77"/>
      <c r="C28" s="50"/>
      <c r="D28" s="50"/>
      <c r="E28" s="51"/>
      <c r="F28" s="51"/>
      <c r="G28" s="51"/>
      <c r="H28" s="51"/>
      <c r="I28" s="51"/>
      <c r="J28" s="51"/>
      <c r="K28" s="51"/>
      <c r="L28" s="51"/>
    </row>
    <row r="29" spans="2:22" customFormat="1" ht="15.75" x14ac:dyDescent="0.25">
      <c r="B29" s="75" t="s">
        <v>42</v>
      </c>
      <c r="C29" s="48">
        <f>C27-C14</f>
        <v>322273.6333333333</v>
      </c>
      <c r="D29" s="48">
        <f t="shared" ref="D29:L29" si="3">C29+D27-D14</f>
        <v>95678.033481875202</v>
      </c>
      <c r="E29" s="48">
        <f t="shared" si="3"/>
        <v>14889.988883578102</v>
      </c>
      <c r="F29" s="48">
        <f t="shared" si="3"/>
        <v>-77225.075816146884</v>
      </c>
      <c r="G29" s="48">
        <f t="shared" si="3"/>
        <v>-136660.71552580787</v>
      </c>
      <c r="H29" s="48">
        <f t="shared" si="3"/>
        <v>-137843.26227099233</v>
      </c>
      <c r="I29" s="48">
        <f t="shared" si="3"/>
        <v>-301968.45853453089</v>
      </c>
      <c r="J29" s="48">
        <f t="shared" si="3"/>
        <v>-220274.74730059007</v>
      </c>
      <c r="K29" s="48">
        <f t="shared" si="3"/>
        <v>-95952.148126600456</v>
      </c>
      <c r="L29" s="48">
        <f t="shared" si="3"/>
        <v>-17747.87960808989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2:22" x14ac:dyDescent="0.25">
      <c r="B30" s="27"/>
      <c r="C30" s="28"/>
      <c r="D30" s="28"/>
      <c r="E30" s="29"/>
      <c r="F30" s="29"/>
      <c r="G30" s="29"/>
      <c r="H30" s="29"/>
      <c r="I30" s="29"/>
      <c r="J30" s="29"/>
      <c r="K30" s="29"/>
      <c r="L30" s="29"/>
    </row>
    <row r="31" spans="2:22" x14ac:dyDescent="0.25">
      <c r="B31" s="30"/>
      <c r="C31" s="31"/>
      <c r="D31" s="31"/>
    </row>
    <row r="32" spans="2:22" x14ac:dyDescent="0.25">
      <c r="B32" s="30"/>
      <c r="C32" s="31"/>
      <c r="D32" s="31"/>
    </row>
    <row r="33" spans="2:4" x14ac:dyDescent="0.25">
      <c r="B33" s="32"/>
      <c r="C33" s="31"/>
      <c r="D33" s="31"/>
    </row>
    <row r="34" spans="2:4" x14ac:dyDescent="0.25">
      <c r="B34" s="30"/>
      <c r="C34" s="31"/>
      <c r="D34" s="31"/>
    </row>
    <row r="35" spans="2:4" x14ac:dyDescent="0.25">
      <c r="B35" s="30"/>
      <c r="C35" s="31"/>
      <c r="D35" s="31"/>
    </row>
    <row r="36" spans="2:4" x14ac:dyDescent="0.25">
      <c r="B36" s="30"/>
      <c r="C36" s="31"/>
      <c r="D36" s="31"/>
    </row>
    <row r="37" spans="2:4" x14ac:dyDescent="0.25">
      <c r="B37" s="30"/>
      <c r="C37" s="31"/>
      <c r="D37" s="31"/>
    </row>
    <row r="38" spans="2:4" x14ac:dyDescent="0.25">
      <c r="B38" s="30"/>
      <c r="C38" s="31"/>
      <c r="D38" s="31"/>
    </row>
    <row r="39" spans="2:4" x14ac:dyDescent="0.25">
      <c r="B39" s="32"/>
      <c r="C39" s="31"/>
      <c r="D39" s="31"/>
    </row>
    <row r="40" spans="2:4" x14ac:dyDescent="0.25">
      <c r="B40" s="30"/>
      <c r="C40" s="31"/>
      <c r="D40" s="31"/>
    </row>
    <row r="41" spans="2:4" x14ac:dyDescent="0.25">
      <c r="B41" s="30"/>
      <c r="C41" s="31"/>
      <c r="D41" s="31"/>
    </row>
    <row r="42" spans="2:4" x14ac:dyDescent="0.25">
      <c r="B42" s="30"/>
      <c r="C42" s="31"/>
      <c r="D42" s="31"/>
    </row>
    <row r="43" spans="2:4" x14ac:dyDescent="0.25">
      <c r="B43" s="30"/>
      <c r="C43" s="31"/>
      <c r="D43" s="31"/>
    </row>
    <row r="44" spans="2:4" x14ac:dyDescent="0.25">
      <c r="B44" s="30"/>
      <c r="C44" s="31"/>
      <c r="D44" s="31"/>
    </row>
    <row r="45" spans="2:4" x14ac:dyDescent="0.25">
      <c r="B45" s="32"/>
      <c r="C45" s="31"/>
      <c r="D45" s="31"/>
    </row>
    <row r="46" spans="2:4" x14ac:dyDescent="0.25">
      <c r="B46" s="32"/>
      <c r="C46" s="31"/>
      <c r="D46" s="31"/>
    </row>
    <row r="47" spans="2:4" x14ac:dyDescent="0.25">
      <c r="B47" s="32"/>
      <c r="C47" s="31"/>
      <c r="D47" s="31"/>
    </row>
    <row r="48" spans="2:4" x14ac:dyDescent="0.25">
      <c r="B48" s="32"/>
      <c r="C48" s="31"/>
      <c r="D48" s="31"/>
    </row>
    <row r="49" spans="2:4" x14ac:dyDescent="0.25">
      <c r="B49" s="32"/>
      <c r="C49" s="31"/>
      <c r="D49" s="31"/>
    </row>
    <row r="50" spans="2:4" x14ac:dyDescent="0.25">
      <c r="B50" s="32"/>
      <c r="C50" s="31"/>
      <c r="D50" s="31"/>
    </row>
    <row r="51" spans="2:4" x14ac:dyDescent="0.25">
      <c r="B51" s="32"/>
      <c r="C51" s="31"/>
      <c r="D51" s="31"/>
    </row>
    <row r="52" spans="2:4" x14ac:dyDescent="0.25">
      <c r="B52" s="30"/>
      <c r="C52" s="31"/>
      <c r="D52" s="31"/>
    </row>
    <row r="53" spans="2:4" x14ac:dyDescent="0.25">
      <c r="B53" s="30"/>
      <c r="C53" s="31"/>
      <c r="D53" s="31"/>
    </row>
    <row r="54" spans="2:4" x14ac:dyDescent="0.25">
      <c r="B54" s="30"/>
      <c r="C54" s="31"/>
      <c r="D54" s="31"/>
    </row>
    <row r="55" spans="2:4" x14ac:dyDescent="0.25">
      <c r="B55" s="30"/>
      <c r="C55" s="31"/>
      <c r="D55" s="31"/>
    </row>
    <row r="56" spans="2:4" x14ac:dyDescent="0.25">
      <c r="B56" s="30"/>
      <c r="C56" s="31"/>
      <c r="D56" s="31"/>
    </row>
    <row r="57" spans="2:4" x14ac:dyDescent="0.25">
      <c r="B57" s="32"/>
      <c r="C57" s="31"/>
      <c r="D57" s="31"/>
    </row>
    <row r="58" spans="2:4" x14ac:dyDescent="0.25">
      <c r="B58" s="32"/>
      <c r="C58" s="33"/>
      <c r="D58" s="33"/>
    </row>
    <row r="59" spans="2:4" x14ac:dyDescent="0.25">
      <c r="B59" s="32"/>
      <c r="C59" s="33"/>
      <c r="D59" s="33"/>
    </row>
    <row r="60" spans="2:4" x14ac:dyDescent="0.25">
      <c r="B60" s="32"/>
      <c r="C60" s="33"/>
      <c r="D60" s="33"/>
    </row>
    <row r="61" spans="2:4" x14ac:dyDescent="0.25">
      <c r="B61" s="32"/>
      <c r="C61" s="33"/>
      <c r="D61" s="33"/>
    </row>
    <row r="62" spans="2:4" x14ac:dyDescent="0.25">
      <c r="B62" s="32"/>
      <c r="C62" s="33"/>
      <c r="D62" s="33"/>
    </row>
    <row r="63" spans="2:4" x14ac:dyDescent="0.25">
      <c r="B63" s="32"/>
      <c r="C63" s="34"/>
      <c r="D63" s="34"/>
    </row>
    <row r="64" spans="2:4" x14ac:dyDescent="0.25">
      <c r="B64" s="32"/>
      <c r="C64" s="31"/>
      <c r="D64" s="31"/>
    </row>
    <row r="65" spans="2:4" x14ac:dyDescent="0.25">
      <c r="B65" s="32"/>
      <c r="C65" s="31"/>
      <c r="D65" s="31"/>
    </row>
    <row r="66" spans="2:4" x14ac:dyDescent="0.25">
      <c r="B66" s="35"/>
      <c r="C66" s="36"/>
      <c r="D66" s="36"/>
    </row>
  </sheetData>
  <mergeCells count="11">
    <mergeCell ref="L3:L4"/>
    <mergeCell ref="G3:G4"/>
    <mergeCell ref="H3:H4"/>
    <mergeCell ref="I3:I4"/>
    <mergeCell ref="J3:J4"/>
    <mergeCell ref="K3:K4"/>
    <mergeCell ref="F3:F4"/>
    <mergeCell ref="B3:B4"/>
    <mergeCell ref="C3:C4"/>
    <mergeCell ref="D3:D4"/>
    <mergeCell ref="E3:E4"/>
  </mergeCells>
  <phoneticPr fontId="13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 r:id="rId1"/>
  <headerFooter>
    <oddHeader>&amp;L&amp;"Calibri,Normal"&amp;K000000LE PAYSAN URBAIN BP Charonne &amp;R&amp;"Calibri,Normal"&amp;K000000&amp;D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opLeftCell="B10" workbookViewId="0">
      <selection activeCell="I41" sqref="I41"/>
    </sheetView>
  </sheetViews>
  <sheetFormatPr baseColWidth="10" defaultRowHeight="15.75" x14ac:dyDescent="0.25"/>
  <cols>
    <col min="1" max="1" width="3.5" customWidth="1"/>
    <col min="2" max="2" width="22.625" customWidth="1"/>
  </cols>
  <sheetData>
    <row r="1" spans="2:12" ht="16.5" thickBot="1" x14ac:dyDescent="0.3"/>
    <row r="2" spans="2:12" ht="16.350000000000001" customHeight="1" thickBot="1" x14ac:dyDescent="0.3">
      <c r="B2" s="46" t="s">
        <v>95</v>
      </c>
      <c r="C2" s="45">
        <v>2017</v>
      </c>
      <c r="D2" s="45">
        <v>2018</v>
      </c>
      <c r="E2" s="45">
        <v>2019</v>
      </c>
      <c r="F2" s="45">
        <v>2020</v>
      </c>
      <c r="G2" s="45">
        <v>2021</v>
      </c>
      <c r="H2" s="45">
        <v>2022</v>
      </c>
      <c r="I2" s="45">
        <v>2023</v>
      </c>
      <c r="J2" s="45">
        <v>2024</v>
      </c>
      <c r="K2" s="45">
        <v>2025</v>
      </c>
      <c r="L2" s="45">
        <v>2026</v>
      </c>
    </row>
    <row r="3" spans="2:12" x14ac:dyDescent="0.25">
      <c r="B3" s="1" t="s">
        <v>107</v>
      </c>
      <c r="C3" s="53">
        <f>Expl!C25+Expl!C26+Expl!C27</f>
        <v>0.75</v>
      </c>
      <c r="D3" s="53">
        <f>Expl!D25+Expl!D26+Expl!D27</f>
        <v>3</v>
      </c>
      <c r="E3" s="53">
        <f>Expl!E25+Expl!E26+Expl!E27</f>
        <v>6</v>
      </c>
      <c r="F3" s="53">
        <f>Expl!F25+Expl!F26+Expl!F27</f>
        <v>6.5</v>
      </c>
      <c r="G3" s="53">
        <f>Expl!G25+Expl!G26+Expl!G27</f>
        <v>7</v>
      </c>
      <c r="H3" s="53">
        <f>Expl!H25+Expl!H26+Expl!H27</f>
        <v>7.5</v>
      </c>
      <c r="I3" s="53">
        <f>Expl!I25+Expl!I26+Expl!I27</f>
        <v>7.5</v>
      </c>
      <c r="J3" s="53">
        <f>Expl!J25+Expl!J26+Expl!J27</f>
        <v>7.5</v>
      </c>
      <c r="K3" s="53">
        <f>Expl!K25+Expl!K26+Expl!K27</f>
        <v>7.5</v>
      </c>
      <c r="L3" s="53">
        <f>Expl!L25+Expl!L26+Expl!L27</f>
        <v>7.5</v>
      </c>
    </row>
    <row r="4" spans="2:12" x14ac:dyDescent="0.25">
      <c r="B4" s="1" t="s">
        <v>108</v>
      </c>
      <c r="C4" s="53">
        <f>Expl!C28</f>
        <v>0</v>
      </c>
      <c r="D4" s="53">
        <f>Expl!D28</f>
        <v>1.9902380952380951</v>
      </c>
      <c r="E4" s="53">
        <f>Expl!E28</f>
        <v>6.6950000000000003</v>
      </c>
      <c r="F4" s="53">
        <f>Expl!F28</f>
        <v>9.4179901960784314</v>
      </c>
      <c r="G4" s="53">
        <f>Expl!G28</f>
        <v>12.377590408712505</v>
      </c>
      <c r="H4" s="53">
        <f>Expl!H28</f>
        <v>16.4969137366596</v>
      </c>
      <c r="I4" s="53">
        <f>Expl!I28</f>
        <v>16.614148558308365</v>
      </c>
      <c r="J4" s="53">
        <f>Expl!J28</f>
        <v>16.707814431263653</v>
      </c>
      <c r="K4" s="53">
        <f>Expl!K28</f>
        <v>16.79287093530678</v>
      </c>
      <c r="L4" s="53">
        <f>Expl!L28</f>
        <v>16.869571622077022</v>
      </c>
    </row>
    <row r="5" spans="2:12" x14ac:dyDescent="0.25">
      <c r="B5" s="1" t="s">
        <v>109</v>
      </c>
      <c r="C5" s="53">
        <f>8/12</f>
        <v>0.66666666666666663</v>
      </c>
      <c r="D5" s="53">
        <f>8*2/12</f>
        <v>1.3333333333333333</v>
      </c>
      <c r="E5" s="53">
        <f>8*2.5/12</f>
        <v>1.6666666666666667</v>
      </c>
      <c r="F5" s="53">
        <f>8*3/12</f>
        <v>2</v>
      </c>
      <c r="G5" s="53">
        <f t="shared" ref="G5:L5" si="0">8*3/12</f>
        <v>2</v>
      </c>
      <c r="H5" s="53">
        <f t="shared" si="0"/>
        <v>2</v>
      </c>
      <c r="I5" s="53">
        <f t="shared" si="0"/>
        <v>2</v>
      </c>
      <c r="J5" s="53">
        <f t="shared" si="0"/>
        <v>2</v>
      </c>
      <c r="K5" s="53">
        <f t="shared" si="0"/>
        <v>2</v>
      </c>
      <c r="L5" s="53">
        <f t="shared" si="0"/>
        <v>2</v>
      </c>
    </row>
    <row r="6" spans="2:12" x14ac:dyDescent="0.25"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2" x14ac:dyDescent="0.25">
      <c r="B7" s="1" t="s">
        <v>96</v>
      </c>
      <c r="C7" s="2">
        <f>SUM(C3:C6)</f>
        <v>1.4166666666666665</v>
      </c>
      <c r="D7" s="2">
        <f t="shared" ref="D7:L7" si="1">SUM(D3:D6)</f>
        <v>6.3235714285714284</v>
      </c>
      <c r="E7" s="2">
        <f t="shared" si="1"/>
        <v>14.361666666666666</v>
      </c>
      <c r="F7" s="2">
        <f t="shared" si="1"/>
        <v>17.917990196078431</v>
      </c>
      <c r="G7" s="2">
        <f t="shared" si="1"/>
        <v>21.377590408712507</v>
      </c>
      <c r="H7" s="2">
        <f t="shared" si="1"/>
        <v>25.9969137366596</v>
      </c>
      <c r="I7" s="2">
        <f t="shared" si="1"/>
        <v>26.114148558308365</v>
      </c>
      <c r="J7" s="2">
        <f t="shared" si="1"/>
        <v>26.207814431263653</v>
      </c>
      <c r="K7" s="2">
        <f t="shared" si="1"/>
        <v>26.29287093530678</v>
      </c>
      <c r="L7" s="2">
        <f t="shared" si="1"/>
        <v>26.369571622077022</v>
      </c>
    </row>
    <row r="29" spans="2:12" ht="16.5" thickBot="1" x14ac:dyDescent="0.3"/>
    <row r="30" spans="2:12" ht="33" customHeight="1" thickBot="1" x14ac:dyDescent="0.3">
      <c r="B30" s="46" t="s">
        <v>97</v>
      </c>
      <c r="C30" s="45">
        <v>2017</v>
      </c>
      <c r="D30" s="45">
        <v>2018</v>
      </c>
      <c r="E30" s="45">
        <v>2019</v>
      </c>
      <c r="F30" s="45">
        <v>2020</v>
      </c>
      <c r="G30" s="45">
        <v>2021</v>
      </c>
      <c r="H30" s="45">
        <v>2022</v>
      </c>
      <c r="I30" s="45">
        <v>2023</v>
      </c>
      <c r="J30" s="45">
        <v>2024</v>
      </c>
      <c r="K30" s="45">
        <v>2025</v>
      </c>
      <c r="L30" s="45">
        <v>2026</v>
      </c>
    </row>
    <row r="31" spans="2:12" x14ac:dyDescent="0.25">
      <c r="B31" s="1" t="str">
        <f>Expl!B43</f>
        <v>Micro pousses</v>
      </c>
      <c r="C31" s="2">
        <f>Expl!C43</f>
        <v>68900</v>
      </c>
      <c r="D31" s="2">
        <f>Expl!D43</f>
        <v>230823.56301525349</v>
      </c>
      <c r="E31" s="2">
        <f>Expl!E43</f>
        <v>461384.84187991096</v>
      </c>
      <c r="F31" s="2">
        <f>Expl!F43</f>
        <v>585271.64665082912</v>
      </c>
      <c r="G31" s="2">
        <f>Expl!G43</f>
        <v>720766.25474568619</v>
      </c>
      <c r="H31" s="2">
        <f>Expl!H43</f>
        <v>892242.05749683792</v>
      </c>
      <c r="I31" s="2">
        <f>Expl!I43</f>
        <v>919690.96714466414</v>
      </c>
      <c r="J31" s="2">
        <f>Expl!J43</f>
        <v>947597.35861995409</v>
      </c>
      <c r="K31" s="2">
        <f>Expl!K43</f>
        <v>975961.23192270775</v>
      </c>
      <c r="L31" s="2">
        <f>Expl!L43</f>
        <v>1004782.5870529253</v>
      </c>
    </row>
    <row r="32" spans="2:12" x14ac:dyDescent="0.25">
      <c r="B32" s="1" t="str">
        <f>Expl!B44</f>
        <v>Fleurs comestibles</v>
      </c>
      <c r="C32" s="2">
        <f>Expl!C44</f>
        <v>0</v>
      </c>
      <c r="D32" s="2">
        <f>Expl!D44</f>
        <v>0</v>
      </c>
      <c r="E32" s="2">
        <f>Expl!E44</f>
        <v>0</v>
      </c>
      <c r="F32" s="2">
        <f>Expl!F44</f>
        <v>0</v>
      </c>
      <c r="G32" s="2">
        <f>Expl!G44</f>
        <v>0</v>
      </c>
      <c r="H32" s="2">
        <f>Expl!H44</f>
        <v>0</v>
      </c>
      <c r="I32" s="2">
        <f>Expl!I44</f>
        <v>0</v>
      </c>
      <c r="J32" s="2">
        <f>Expl!J44</f>
        <v>0</v>
      </c>
      <c r="K32" s="2">
        <f>Expl!K44</f>
        <v>0</v>
      </c>
      <c r="L32" s="2">
        <f>Expl!L44</f>
        <v>0</v>
      </c>
    </row>
    <row r="33" spans="2:12" x14ac:dyDescent="0.25">
      <c r="B33" s="1" t="str">
        <f>Expl!B45</f>
        <v>Plants</v>
      </c>
      <c r="C33" s="2">
        <f>Expl!C45</f>
        <v>0</v>
      </c>
      <c r="D33" s="2">
        <f>Expl!D45</f>
        <v>0</v>
      </c>
      <c r="E33" s="2">
        <f>Expl!E45</f>
        <v>2000</v>
      </c>
      <c r="F33" s="2">
        <f>Expl!F45</f>
        <v>2800</v>
      </c>
      <c r="G33" s="2">
        <f>Expl!G45</f>
        <v>3200</v>
      </c>
      <c r="H33" s="2">
        <f>Expl!H45</f>
        <v>3600</v>
      </c>
      <c r="I33" s="2">
        <f>Expl!I45</f>
        <v>4000</v>
      </c>
      <c r="J33" s="2">
        <f>Expl!J45</f>
        <v>4000</v>
      </c>
      <c r="K33" s="2">
        <f>Expl!K45</f>
        <v>4000</v>
      </c>
      <c r="L33" s="2">
        <f>Expl!L45</f>
        <v>4000</v>
      </c>
    </row>
    <row r="34" spans="2:12" x14ac:dyDescent="0.25">
      <c r="B34" s="1" t="str">
        <f>Expl!B46</f>
        <v>Miel</v>
      </c>
      <c r="C34" s="2">
        <f>Expl!C46</f>
        <v>0</v>
      </c>
      <c r="D34" s="2">
        <f>Expl!D46</f>
        <v>0</v>
      </c>
      <c r="E34" s="2">
        <f>Expl!E46</f>
        <v>0</v>
      </c>
      <c r="F34" s="2">
        <f>Expl!F46</f>
        <v>0</v>
      </c>
      <c r="G34" s="2">
        <f>Expl!G46</f>
        <v>0</v>
      </c>
      <c r="H34" s="2">
        <f>Expl!H46</f>
        <v>0</v>
      </c>
      <c r="I34" s="2">
        <f>Expl!I46</f>
        <v>0</v>
      </c>
      <c r="J34" s="2">
        <f>Expl!J46</f>
        <v>0</v>
      </c>
      <c r="K34" s="2">
        <f>Expl!K46</f>
        <v>0</v>
      </c>
      <c r="L34" s="2">
        <f>Expl!L46</f>
        <v>0</v>
      </c>
    </row>
    <row r="35" spans="2:12" x14ac:dyDescent="0.25">
      <c r="B35" s="1" t="str">
        <f>Expl!B47</f>
        <v>Prestations compost</v>
      </c>
      <c r="C35" s="2">
        <f>Expl!C47</f>
        <v>0</v>
      </c>
      <c r="D35" s="2">
        <f>Expl!D47</f>
        <v>0</v>
      </c>
      <c r="E35" s="2">
        <f>Expl!E47</f>
        <v>0</v>
      </c>
      <c r="F35" s="2">
        <f>Expl!F47</f>
        <v>0</v>
      </c>
      <c r="G35" s="2">
        <f>Expl!G47</f>
        <v>0</v>
      </c>
      <c r="H35" s="2">
        <f>Expl!H47</f>
        <v>0</v>
      </c>
      <c r="I35" s="2">
        <f>Expl!I47</f>
        <v>0</v>
      </c>
      <c r="J35" s="2">
        <f>Expl!J47</f>
        <v>0</v>
      </c>
      <c r="K35" s="2">
        <f>Expl!K47</f>
        <v>0</v>
      </c>
      <c r="L35" s="2">
        <f>Expl!L47</f>
        <v>0</v>
      </c>
    </row>
    <row r="36" spans="2:12" x14ac:dyDescent="0.25">
      <c r="B36" s="1" t="str">
        <f>Expl!B48</f>
        <v>Prestations pédagogiques</v>
      </c>
      <c r="C36" s="2">
        <f>Expl!C48</f>
        <v>0</v>
      </c>
      <c r="D36" s="2">
        <f>Expl!D48</f>
        <v>0</v>
      </c>
      <c r="E36" s="2">
        <f>Expl!E48</f>
        <v>12000</v>
      </c>
      <c r="F36" s="2">
        <f>Expl!F48</f>
        <v>36000</v>
      </c>
      <c r="G36" s="2">
        <f>Expl!G48</f>
        <v>38000</v>
      </c>
      <c r="H36" s="2">
        <f>Expl!H48</f>
        <v>40000</v>
      </c>
      <c r="I36" s="2">
        <f>Expl!I48</f>
        <v>42000</v>
      </c>
      <c r="J36" s="2">
        <f>Expl!J48</f>
        <v>44000</v>
      </c>
      <c r="K36" s="2">
        <f>Expl!K48</f>
        <v>46000</v>
      </c>
      <c r="L36" s="2">
        <f>Expl!L48</f>
        <v>48000</v>
      </c>
    </row>
    <row r="37" spans="2:12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2:12" x14ac:dyDescent="0.25">
      <c r="B38" s="1" t="s">
        <v>21</v>
      </c>
      <c r="C38" s="2">
        <f t="shared" ref="C38:L38" si="2">SUM(C31:C37)</f>
        <v>68900</v>
      </c>
      <c r="D38" s="2">
        <f t="shared" si="2"/>
        <v>230823.56301525349</v>
      </c>
      <c r="E38" s="2">
        <f t="shared" si="2"/>
        <v>475384.84187991096</v>
      </c>
      <c r="F38" s="2">
        <f t="shared" si="2"/>
        <v>624071.64665082912</v>
      </c>
      <c r="G38" s="2">
        <f t="shared" si="2"/>
        <v>761966.25474568619</v>
      </c>
      <c r="H38" s="2">
        <f t="shared" si="2"/>
        <v>935842.05749683792</v>
      </c>
      <c r="I38" s="2">
        <f t="shared" si="2"/>
        <v>965690.96714466414</v>
      </c>
      <c r="J38" s="2">
        <f t="shared" si="2"/>
        <v>995597.35861995409</v>
      </c>
      <c r="K38" s="2">
        <f t="shared" si="2"/>
        <v>1025961.2319227078</v>
      </c>
      <c r="L38" s="2">
        <f t="shared" si="2"/>
        <v>1056782.5870529253</v>
      </c>
    </row>
  </sheetData>
  <phoneticPr fontId="13" type="noConversion"/>
  <printOptions horizontalCentered="1" verticalCentered="1"/>
  <pageMargins left="0.75000000000000011" right="0.75000000000000011" top="1" bottom="1" header="0.5" footer="0.5"/>
  <pageSetup paperSize="9" scale="3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view="pageBreakPreview" zoomScale="60" workbookViewId="0">
      <selection activeCell="K51" sqref="K51"/>
    </sheetView>
  </sheetViews>
  <sheetFormatPr baseColWidth="10" defaultRowHeight="15.75" x14ac:dyDescent="0.25"/>
  <cols>
    <col min="1" max="1" width="13.125" customWidth="1"/>
    <col min="2" max="2" width="31.5" customWidth="1"/>
    <col min="3" max="5" width="8.125" customWidth="1"/>
    <col min="6" max="6" width="8.5" customWidth="1"/>
    <col min="7" max="14" width="8.125" customWidth="1"/>
  </cols>
  <sheetData>
    <row r="1" spans="1:8" ht="16.5" thickBot="1" x14ac:dyDescent="0.3"/>
    <row r="2" spans="1:8" ht="18" customHeight="1" x14ac:dyDescent="0.25">
      <c r="A2" s="263" t="s">
        <v>138</v>
      </c>
      <c r="B2" s="264"/>
      <c r="C2" s="248">
        <v>2017</v>
      </c>
      <c r="D2" s="248">
        <v>2018</v>
      </c>
      <c r="E2" s="248">
        <v>2019</v>
      </c>
      <c r="F2" s="248">
        <v>2020</v>
      </c>
      <c r="G2" s="248">
        <v>2021</v>
      </c>
      <c r="H2" s="248">
        <v>2022</v>
      </c>
    </row>
    <row r="3" spans="1:8" ht="16.5" thickBot="1" x14ac:dyDescent="0.3">
      <c r="A3" s="265"/>
      <c r="B3" s="266"/>
      <c r="C3" s="259"/>
      <c r="D3" s="259"/>
      <c r="E3" s="259"/>
      <c r="F3" s="259"/>
      <c r="G3" s="259"/>
      <c r="H3" s="259"/>
    </row>
    <row r="4" spans="1:8" ht="16.5" thickBot="1" x14ac:dyDescent="0.3">
      <c r="C4" s="66"/>
      <c r="D4" s="64"/>
      <c r="E4" s="64"/>
      <c r="F4" s="64"/>
      <c r="G4" s="64"/>
      <c r="H4" s="65"/>
    </row>
    <row r="5" spans="1:8" ht="15" customHeight="1" thickBot="1" x14ac:dyDescent="0.3">
      <c r="A5" s="260" t="s">
        <v>129</v>
      </c>
      <c r="B5" s="130" t="s">
        <v>136</v>
      </c>
      <c r="C5" s="131"/>
      <c r="D5" s="132"/>
      <c r="E5" s="132"/>
      <c r="F5" s="132"/>
      <c r="G5" s="132"/>
      <c r="H5" s="133"/>
    </row>
    <row r="6" spans="1:8" ht="15" customHeight="1" thickBot="1" x14ac:dyDescent="0.3">
      <c r="A6" s="261"/>
      <c r="B6" s="62" t="s">
        <v>58</v>
      </c>
      <c r="C6" s="66"/>
      <c r="D6" s="131"/>
      <c r="E6" s="64"/>
      <c r="F6" s="64"/>
      <c r="G6" s="64"/>
      <c r="H6" s="65"/>
    </row>
    <row r="7" spans="1:8" ht="15" customHeight="1" thickBot="1" x14ac:dyDescent="0.3">
      <c r="A7" s="261"/>
      <c r="B7" s="62" t="s">
        <v>120</v>
      </c>
      <c r="C7" s="66"/>
      <c r="D7" s="64"/>
      <c r="E7" s="131"/>
      <c r="F7" s="64"/>
      <c r="G7" s="64"/>
      <c r="H7" s="65"/>
    </row>
    <row r="8" spans="1:8" ht="15" customHeight="1" thickBot="1" x14ac:dyDescent="0.3">
      <c r="A8" s="261"/>
      <c r="B8" s="62" t="s">
        <v>130</v>
      </c>
      <c r="C8" s="131"/>
      <c r="D8" s="131"/>
      <c r="E8" s="131"/>
      <c r="F8" s="64"/>
      <c r="G8" s="64"/>
      <c r="H8" s="65"/>
    </row>
    <row r="9" spans="1:8" ht="15" customHeight="1" thickBot="1" x14ac:dyDescent="0.3">
      <c r="A9" s="261"/>
      <c r="B9" s="62" t="s">
        <v>133</v>
      </c>
      <c r="C9" s="66"/>
      <c r="D9" s="64"/>
      <c r="E9" s="131"/>
      <c r="F9" s="64"/>
      <c r="G9" s="64"/>
      <c r="H9" s="65"/>
    </row>
    <row r="10" spans="1:8" ht="16.350000000000001" customHeight="1" thickBot="1" x14ac:dyDescent="0.3">
      <c r="A10" s="262"/>
      <c r="B10" s="63" t="s">
        <v>59</v>
      </c>
      <c r="C10" s="67"/>
      <c r="D10" s="68"/>
      <c r="E10" s="60"/>
      <c r="F10" s="68"/>
      <c r="G10" s="68"/>
      <c r="H10" s="94"/>
    </row>
    <row r="11" spans="1:8" ht="16.5" thickBot="1" x14ac:dyDescent="0.3">
      <c r="C11" s="66"/>
      <c r="D11" s="64"/>
      <c r="E11" s="64"/>
      <c r="F11" s="64"/>
      <c r="G11" s="64"/>
      <c r="H11" s="65"/>
    </row>
    <row r="12" spans="1:8" ht="16.5" thickBot="1" x14ac:dyDescent="0.3">
      <c r="A12" s="256" t="s">
        <v>131</v>
      </c>
      <c r="B12" s="61" t="s">
        <v>132</v>
      </c>
      <c r="C12" s="134"/>
      <c r="D12" s="56"/>
      <c r="E12" s="57"/>
      <c r="F12" s="55"/>
      <c r="G12" s="59"/>
      <c r="H12" s="59"/>
    </row>
    <row r="13" spans="1:8" ht="16.5" thickBot="1" x14ac:dyDescent="0.3">
      <c r="A13" s="261"/>
      <c r="B13" s="62" t="s">
        <v>137</v>
      </c>
      <c r="C13" s="66"/>
      <c r="D13" s="64"/>
      <c r="E13" s="57"/>
      <c r="F13" s="55"/>
      <c r="G13" s="58"/>
      <c r="H13" s="59"/>
    </row>
    <row r="14" spans="1:8" ht="16.5" thickBot="1" x14ac:dyDescent="0.3">
      <c r="A14" s="261"/>
      <c r="B14" s="62" t="s">
        <v>134</v>
      </c>
      <c r="C14" s="66"/>
      <c r="D14" s="64"/>
      <c r="E14" s="64"/>
      <c r="F14" s="58"/>
      <c r="G14" s="59"/>
      <c r="H14" s="59"/>
    </row>
    <row r="15" spans="1:8" ht="16.5" thickBot="1" x14ac:dyDescent="0.3">
      <c r="A15" s="262"/>
      <c r="B15" s="63" t="s">
        <v>197</v>
      </c>
      <c r="C15" s="67"/>
      <c r="D15" s="68"/>
      <c r="E15" s="55"/>
      <c r="F15" s="58"/>
      <c r="G15" s="59"/>
      <c r="H15" s="59"/>
    </row>
    <row r="16" spans="1:8" ht="16.5" thickBot="1" x14ac:dyDescent="0.3">
      <c r="C16" s="66"/>
      <c r="D16" s="64"/>
      <c r="E16" s="64"/>
      <c r="F16" s="64"/>
      <c r="G16" s="64"/>
      <c r="H16" s="65"/>
    </row>
    <row r="17" spans="1:14" ht="16.5" thickBot="1" x14ac:dyDescent="0.3">
      <c r="A17" s="256" t="s">
        <v>198</v>
      </c>
      <c r="B17" s="61" t="s">
        <v>217</v>
      </c>
      <c r="C17" s="66"/>
      <c r="D17" s="56"/>
      <c r="E17" s="57"/>
      <c r="F17" s="55"/>
      <c r="G17" s="58"/>
      <c r="H17" s="59"/>
    </row>
    <row r="18" spans="1:14" ht="16.5" thickBot="1" x14ac:dyDescent="0.3">
      <c r="A18" s="261"/>
      <c r="B18" s="62"/>
      <c r="C18" s="66"/>
      <c r="D18" s="64"/>
      <c r="E18" s="57"/>
      <c r="F18" s="55"/>
      <c r="G18" s="58"/>
      <c r="H18" s="59"/>
    </row>
    <row r="19" spans="1:14" ht="16.5" thickBot="1" x14ac:dyDescent="0.3">
      <c r="A19" s="261"/>
      <c r="B19" s="62"/>
      <c r="C19" s="66"/>
      <c r="D19" s="64"/>
      <c r="E19" s="55"/>
      <c r="F19" s="58"/>
      <c r="G19" s="59"/>
      <c r="H19" s="59"/>
    </row>
    <row r="20" spans="1:14" ht="16.5" thickBot="1" x14ac:dyDescent="0.3">
      <c r="A20" s="257"/>
      <c r="B20" s="63"/>
      <c r="C20" s="67"/>
      <c r="D20" s="68"/>
      <c r="E20" s="58"/>
      <c r="F20" s="59"/>
      <c r="G20" s="59"/>
      <c r="H20" s="59"/>
    </row>
    <row r="22" spans="1:14" ht="16.5" thickBot="1" x14ac:dyDescent="0.3"/>
    <row r="23" spans="1:14" ht="18" customHeight="1" x14ac:dyDescent="0.25">
      <c r="B23" s="256" t="s">
        <v>161</v>
      </c>
      <c r="C23" s="248" t="s">
        <v>139</v>
      </c>
      <c r="D23" s="248" t="s">
        <v>140</v>
      </c>
      <c r="E23" s="248" t="s">
        <v>141</v>
      </c>
      <c r="F23" s="248" t="s">
        <v>142</v>
      </c>
      <c r="G23" s="248" t="s">
        <v>143</v>
      </c>
      <c r="H23" s="248" t="s">
        <v>144</v>
      </c>
      <c r="I23" s="248" t="s">
        <v>145</v>
      </c>
      <c r="J23" s="248" t="s">
        <v>146</v>
      </c>
      <c r="K23" s="248" t="s">
        <v>147</v>
      </c>
      <c r="L23" s="248" t="s">
        <v>148</v>
      </c>
      <c r="M23" s="248" t="s">
        <v>149</v>
      </c>
      <c r="N23" s="248" t="s">
        <v>150</v>
      </c>
    </row>
    <row r="24" spans="1:14" ht="16.350000000000001" customHeight="1" thickBot="1" x14ac:dyDescent="0.3">
      <c r="B24" s="257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</row>
    <row r="25" spans="1:14" ht="16.5" thickBot="1" x14ac:dyDescent="0.3"/>
    <row r="26" spans="1:14" ht="17.100000000000001" customHeight="1" thickBot="1" x14ac:dyDescent="0.3">
      <c r="B26" s="61" t="s">
        <v>132</v>
      </c>
      <c r="C26" s="57"/>
      <c r="D26" s="57"/>
      <c r="E26" s="58"/>
      <c r="F26" s="58"/>
      <c r="G26" s="59"/>
      <c r="H26" s="59"/>
      <c r="I26" s="59"/>
      <c r="J26" s="59"/>
      <c r="K26" s="59"/>
      <c r="L26" s="59"/>
      <c r="M26" s="58"/>
      <c r="N26" s="57"/>
    </row>
    <row r="27" spans="1:14" ht="16.5" thickBot="1" x14ac:dyDescent="0.3">
      <c r="B27" s="62" t="s">
        <v>137</v>
      </c>
      <c r="C27" s="66"/>
      <c r="D27" s="64"/>
      <c r="E27" s="58"/>
      <c r="F27" s="59"/>
      <c r="G27" s="59"/>
      <c r="H27" s="59"/>
      <c r="I27" s="59"/>
      <c r="J27" s="58"/>
      <c r="K27" s="58"/>
      <c r="L27" s="64"/>
      <c r="M27" s="64"/>
      <c r="N27" s="65"/>
    </row>
    <row r="28" spans="1:14" ht="16.5" thickBot="1" x14ac:dyDescent="0.3">
      <c r="B28" s="62" t="s">
        <v>134</v>
      </c>
      <c r="C28" s="66"/>
      <c r="D28" s="58"/>
      <c r="E28" s="59"/>
      <c r="F28" s="59"/>
      <c r="G28" s="59"/>
      <c r="H28" s="58"/>
      <c r="I28" s="58"/>
      <c r="J28" s="58"/>
      <c r="K28" s="58"/>
      <c r="L28" s="58"/>
      <c r="M28" s="58"/>
      <c r="N28" s="65"/>
    </row>
    <row r="29" spans="1:14" ht="16.5" thickBot="1" x14ac:dyDescent="0.3">
      <c r="B29" s="62" t="s">
        <v>135</v>
      </c>
      <c r="C29" s="66"/>
      <c r="D29" s="64"/>
      <c r="E29" s="64"/>
      <c r="F29" s="64"/>
      <c r="G29" s="64"/>
      <c r="H29" s="64"/>
      <c r="I29" s="64"/>
      <c r="J29" s="64"/>
      <c r="K29" s="59"/>
      <c r="L29" s="59"/>
      <c r="M29" s="64"/>
      <c r="N29" s="65"/>
    </row>
    <row r="30" spans="1:14" ht="16.5" thickBot="1" x14ac:dyDescent="0.3">
      <c r="B30" s="63" t="s">
        <v>160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45" spans="2:14" ht="16.5" thickBot="1" x14ac:dyDescent="0.3"/>
    <row r="46" spans="2:14" ht="18" customHeight="1" thickBot="1" x14ac:dyDescent="0.3">
      <c r="B46" s="256"/>
      <c r="C46" s="253">
        <v>2017</v>
      </c>
      <c r="D46" s="254"/>
      <c r="E46" s="254"/>
      <c r="F46" s="255"/>
      <c r="G46" s="253">
        <v>2018</v>
      </c>
      <c r="H46" s="254"/>
      <c r="I46" s="254"/>
      <c r="J46" s="255"/>
      <c r="K46" s="253">
        <v>2019</v>
      </c>
      <c r="L46" s="254"/>
      <c r="M46" s="254"/>
      <c r="N46" s="255"/>
    </row>
    <row r="47" spans="2:14" ht="16.350000000000001" customHeight="1" thickBot="1" x14ac:dyDescent="0.3">
      <c r="B47" s="257"/>
      <c r="C47" s="115" t="s">
        <v>288</v>
      </c>
      <c r="D47" s="115" t="s">
        <v>289</v>
      </c>
      <c r="E47" s="115" t="s">
        <v>290</v>
      </c>
      <c r="F47" s="115" t="s">
        <v>291</v>
      </c>
      <c r="G47" s="115" t="s">
        <v>288</v>
      </c>
      <c r="H47" s="115" t="s">
        <v>289</v>
      </c>
      <c r="I47" s="115" t="s">
        <v>290</v>
      </c>
      <c r="J47" s="115" t="s">
        <v>291</v>
      </c>
      <c r="K47" s="115" t="s">
        <v>288</v>
      </c>
      <c r="L47" s="115" t="s">
        <v>289</v>
      </c>
      <c r="M47" s="115" t="s">
        <v>290</v>
      </c>
      <c r="N47" s="115" t="s">
        <v>291</v>
      </c>
    </row>
    <row r="50" spans="2:14" x14ac:dyDescent="0.25">
      <c r="B50" s="128"/>
      <c r="C50" s="128"/>
      <c r="D50" s="128"/>
      <c r="E50" s="128"/>
      <c r="F50" s="128"/>
      <c r="G50" s="128"/>
      <c r="H50" s="128"/>
    </row>
    <row r="51" spans="2:14" ht="42.75" customHeight="1" x14ac:dyDescent="0.25">
      <c r="B51" s="129" t="s">
        <v>293</v>
      </c>
      <c r="C51" s="128"/>
      <c r="D51" s="129" t="s">
        <v>292</v>
      </c>
      <c r="E51" s="128"/>
      <c r="F51" s="129" t="s">
        <v>294</v>
      </c>
      <c r="G51" s="128"/>
      <c r="H51" s="128"/>
    </row>
    <row r="52" spans="2:14" ht="42.75" customHeight="1" x14ac:dyDescent="0.25">
      <c r="B52" s="129" t="s">
        <v>295</v>
      </c>
      <c r="C52" s="129" t="s">
        <v>296</v>
      </c>
      <c r="D52" s="129" t="s">
        <v>297</v>
      </c>
      <c r="E52" s="128"/>
      <c r="F52" s="129"/>
      <c r="G52" s="128"/>
      <c r="H52" s="128"/>
    </row>
    <row r="53" spans="2:14" ht="84.75" customHeight="1" x14ac:dyDescent="0.25">
      <c r="B53" s="129" t="s">
        <v>298</v>
      </c>
      <c r="C53" s="129"/>
      <c r="D53" s="129"/>
      <c r="E53" s="129" t="s">
        <v>299</v>
      </c>
      <c r="F53" s="129" t="s">
        <v>300</v>
      </c>
      <c r="G53" s="129" t="s">
        <v>301</v>
      </c>
      <c r="H53" s="129"/>
      <c r="I53" s="129"/>
      <c r="J53" s="129"/>
      <c r="K53" s="129"/>
      <c r="L53" s="129"/>
      <c r="M53" s="129"/>
      <c r="N53" s="129"/>
    </row>
    <row r="54" spans="2:14" x14ac:dyDescent="0.25"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2:14" x14ac:dyDescent="0.25"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2:14" x14ac:dyDescent="0.25"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2:14" x14ac:dyDescent="0.25"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2:14" x14ac:dyDescent="0.25"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</sheetData>
  <mergeCells count="27">
    <mergeCell ref="L23:L24"/>
    <mergeCell ref="E2:E3"/>
    <mergeCell ref="A5:A10"/>
    <mergeCell ref="F2:F3"/>
    <mergeCell ref="G2:G3"/>
    <mergeCell ref="H2:H3"/>
    <mergeCell ref="A17:A20"/>
    <mergeCell ref="A12:A15"/>
    <mergeCell ref="A2:B3"/>
    <mergeCell ref="C2:C3"/>
    <mergeCell ref="D2:D3"/>
    <mergeCell ref="C46:F46"/>
    <mergeCell ref="G46:J46"/>
    <mergeCell ref="K46:N46"/>
    <mergeCell ref="B46:B47"/>
    <mergeCell ref="B23:B24"/>
    <mergeCell ref="C23:C24"/>
    <mergeCell ref="D23:D24"/>
    <mergeCell ref="E23:E24"/>
    <mergeCell ref="F23:F24"/>
    <mergeCell ref="G23:G24"/>
    <mergeCell ref="M23:M24"/>
    <mergeCell ref="N23:N24"/>
    <mergeCell ref="H23:H24"/>
    <mergeCell ref="I23:I24"/>
    <mergeCell ref="J23:J24"/>
    <mergeCell ref="K23:K24"/>
  </mergeCells>
  <pageMargins left="0.75" right="0.75" top="1" bottom="1" header="0.5" footer="0.5"/>
  <pageSetup paperSize="9" scale="46" orientation="portrait" horizontalDpi="360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topLeftCell="A33" workbookViewId="0">
      <selection activeCell="I29" sqref="I29"/>
    </sheetView>
  </sheetViews>
  <sheetFormatPr baseColWidth="10" defaultRowHeight="15.75" x14ac:dyDescent="0.25"/>
  <cols>
    <col min="2" max="2" width="24.5" customWidth="1"/>
    <col min="3" max="3" width="2.375" customWidth="1"/>
    <col min="4" max="4" width="37.5" customWidth="1"/>
    <col min="6" max="6" width="10.125" customWidth="1"/>
    <col min="7" max="9" width="11.875" customWidth="1"/>
  </cols>
  <sheetData>
    <row r="2" spans="2:9" x14ac:dyDescent="0.25">
      <c r="D2" t="s">
        <v>359</v>
      </c>
      <c r="F2" t="s">
        <v>360</v>
      </c>
      <c r="G2">
        <v>1.5</v>
      </c>
    </row>
    <row r="3" spans="2:9" x14ac:dyDescent="0.25">
      <c r="D3" t="s">
        <v>361</v>
      </c>
      <c r="F3" t="s">
        <v>362</v>
      </c>
      <c r="G3">
        <v>0.15</v>
      </c>
    </row>
    <row r="4" spans="2:9" x14ac:dyDescent="0.25">
      <c r="D4" t="s">
        <v>389</v>
      </c>
      <c r="F4" t="s">
        <v>362</v>
      </c>
      <c r="G4" s="198">
        <f>+Graines!I17/1000</f>
        <v>0.23291666666666666</v>
      </c>
    </row>
    <row r="5" spans="2:9" x14ac:dyDescent="0.25">
      <c r="D5" t="s">
        <v>452</v>
      </c>
      <c r="G5">
        <v>16.649999999999999</v>
      </c>
    </row>
    <row r="6" spans="2:9" x14ac:dyDescent="0.25">
      <c r="D6" t="s">
        <v>453</v>
      </c>
      <c r="G6">
        <v>6.2</v>
      </c>
    </row>
    <row r="7" spans="2:9" ht="16.5" thickBot="1" x14ac:dyDescent="0.3"/>
    <row r="8" spans="2:9" ht="63.75" thickBot="1" x14ac:dyDescent="0.3">
      <c r="B8" s="196" t="s">
        <v>341</v>
      </c>
      <c r="D8" s="190" t="s">
        <v>345</v>
      </c>
      <c r="F8" s="190" t="s">
        <v>347</v>
      </c>
      <c r="G8" s="190" t="s">
        <v>348</v>
      </c>
      <c r="H8" s="190" t="s">
        <v>349</v>
      </c>
      <c r="I8" s="190" t="s">
        <v>350</v>
      </c>
    </row>
    <row r="9" spans="2:9" ht="16.5" thickBot="1" x14ac:dyDescent="0.3"/>
    <row r="10" spans="2:9" ht="63.75" thickBot="1" x14ac:dyDescent="0.3">
      <c r="B10" s="189" t="s">
        <v>343</v>
      </c>
      <c r="D10" s="189" t="s">
        <v>351</v>
      </c>
      <c r="F10" s="189" t="s">
        <v>353</v>
      </c>
      <c r="G10" s="189">
        <v>700</v>
      </c>
      <c r="H10" s="191">
        <f>G2/G3</f>
        <v>10</v>
      </c>
      <c r="I10" s="192">
        <f>IF(G10&gt;0,H10/G10*60,0)</f>
        <v>0.8571428571428571</v>
      </c>
    </row>
    <row r="11" spans="2:9" ht="48" thickBot="1" x14ac:dyDescent="0.3">
      <c r="B11" s="189" t="s">
        <v>344</v>
      </c>
      <c r="D11" s="189" t="s">
        <v>352</v>
      </c>
      <c r="F11" s="189" t="s">
        <v>353</v>
      </c>
      <c r="G11" s="189">
        <v>700</v>
      </c>
      <c r="H11" s="191">
        <f>H10</f>
        <v>10</v>
      </c>
      <c r="I11" s="192">
        <f t="shared" ref="I11:I23" si="0">IF(G11&gt;0,H11/G11*60,0)</f>
        <v>0.8571428571428571</v>
      </c>
    </row>
    <row r="12" spans="2:9" ht="48" thickBot="1" x14ac:dyDescent="0.3">
      <c r="B12" s="189" t="s">
        <v>342</v>
      </c>
      <c r="D12" s="189" t="s">
        <v>355</v>
      </c>
      <c r="F12" s="189" t="s">
        <v>353</v>
      </c>
      <c r="G12" s="189">
        <v>500</v>
      </c>
      <c r="H12" s="191">
        <f>H11</f>
        <v>10</v>
      </c>
      <c r="I12" s="192">
        <f t="shared" si="0"/>
        <v>1.2</v>
      </c>
    </row>
    <row r="13" spans="2:9" ht="48" thickBot="1" x14ac:dyDescent="0.3">
      <c r="B13" s="189" t="s">
        <v>334</v>
      </c>
      <c r="D13" s="189" t="s">
        <v>357</v>
      </c>
      <c r="F13" s="189" t="s">
        <v>354</v>
      </c>
      <c r="G13" s="189">
        <v>90</v>
      </c>
      <c r="H13" s="191">
        <f>1/G3</f>
        <v>6.666666666666667</v>
      </c>
      <c r="I13" s="192">
        <f t="shared" si="0"/>
        <v>4.4444444444444446</v>
      </c>
    </row>
    <row r="14" spans="2:9" ht="32.25" thickBot="1" x14ac:dyDescent="0.3">
      <c r="B14" s="189" t="s">
        <v>335</v>
      </c>
      <c r="D14" s="189" t="s">
        <v>358</v>
      </c>
      <c r="F14" s="189" t="s">
        <v>354</v>
      </c>
      <c r="G14" s="189">
        <v>300</v>
      </c>
      <c r="H14" s="191">
        <f>H13</f>
        <v>6.666666666666667</v>
      </c>
      <c r="I14" s="192">
        <f t="shared" si="0"/>
        <v>1.3333333333333335</v>
      </c>
    </row>
    <row r="15" spans="2:9" ht="32.25" thickBot="1" x14ac:dyDescent="0.3">
      <c r="B15" s="189" t="s">
        <v>336</v>
      </c>
      <c r="D15" s="189" t="s">
        <v>363</v>
      </c>
      <c r="F15" s="189" t="s">
        <v>354</v>
      </c>
      <c r="G15" s="189">
        <v>150</v>
      </c>
      <c r="H15" s="191">
        <f>H14</f>
        <v>6.666666666666667</v>
      </c>
      <c r="I15" s="192">
        <f t="shared" si="0"/>
        <v>2.666666666666667</v>
      </c>
    </row>
    <row r="16" spans="2:9" ht="32.25" thickBot="1" x14ac:dyDescent="0.3">
      <c r="B16" s="189" t="s">
        <v>337</v>
      </c>
      <c r="D16" s="189" t="s">
        <v>364</v>
      </c>
      <c r="F16" s="189" t="s">
        <v>354</v>
      </c>
      <c r="G16" s="189">
        <v>300</v>
      </c>
      <c r="H16" s="191">
        <f>H15</f>
        <v>6.666666666666667</v>
      </c>
      <c r="I16" s="192">
        <f t="shared" si="0"/>
        <v>1.3333333333333335</v>
      </c>
    </row>
    <row r="17" spans="2:9" ht="32.25" thickBot="1" x14ac:dyDescent="0.3">
      <c r="B17" s="189" t="s">
        <v>339</v>
      </c>
      <c r="D17" s="189" t="s">
        <v>365</v>
      </c>
      <c r="F17" s="189" t="s">
        <v>354</v>
      </c>
      <c r="G17" s="189">
        <v>100</v>
      </c>
      <c r="H17" s="191">
        <f>H16</f>
        <v>6.666666666666667</v>
      </c>
      <c r="I17" s="192">
        <f t="shared" si="0"/>
        <v>4</v>
      </c>
    </row>
    <row r="18" spans="2:9" ht="48" thickBot="1" x14ac:dyDescent="0.3">
      <c r="B18" s="189" t="s">
        <v>338</v>
      </c>
      <c r="D18" s="189" t="s">
        <v>366</v>
      </c>
      <c r="F18" s="189" t="s">
        <v>354</v>
      </c>
      <c r="G18" s="189">
        <v>60</v>
      </c>
      <c r="H18" s="191">
        <f>H16</f>
        <v>6.666666666666667</v>
      </c>
      <c r="I18" s="192">
        <f t="shared" si="0"/>
        <v>6.666666666666667</v>
      </c>
    </row>
    <row r="19" spans="2:9" ht="32.25" thickBot="1" x14ac:dyDescent="0.3">
      <c r="B19" s="189" t="s">
        <v>346</v>
      </c>
      <c r="D19" s="189" t="s">
        <v>367</v>
      </c>
      <c r="F19" s="189" t="s">
        <v>354</v>
      </c>
      <c r="G19" s="189">
        <v>400</v>
      </c>
      <c r="H19" s="191">
        <f>H18</f>
        <v>6.666666666666667</v>
      </c>
      <c r="I19" s="192">
        <f t="shared" si="0"/>
        <v>1</v>
      </c>
    </row>
    <row r="20" spans="2:9" ht="32.25" thickBot="1" x14ac:dyDescent="0.3">
      <c r="B20" s="189" t="s">
        <v>356</v>
      </c>
      <c r="D20" s="189" t="s">
        <v>436</v>
      </c>
      <c r="F20" s="189" t="s">
        <v>354</v>
      </c>
      <c r="G20" s="189"/>
      <c r="H20" s="191">
        <f>H19</f>
        <v>6.666666666666667</v>
      </c>
      <c r="I20" s="192">
        <f t="shared" si="0"/>
        <v>0</v>
      </c>
    </row>
    <row r="21" spans="2:9" ht="63.75" thickBot="1" x14ac:dyDescent="0.3">
      <c r="B21" s="189" t="s">
        <v>368</v>
      </c>
      <c r="D21" s="189" t="s">
        <v>369</v>
      </c>
      <c r="F21" s="189" t="s">
        <v>370</v>
      </c>
      <c r="G21" s="189">
        <v>3</v>
      </c>
      <c r="H21" s="189">
        <f>1/20</f>
        <v>0.05</v>
      </c>
      <c r="I21" s="192">
        <f t="shared" si="0"/>
        <v>1</v>
      </c>
    </row>
    <row r="22" spans="2:9" ht="32.25" thickBot="1" x14ac:dyDescent="0.3">
      <c r="B22" s="189" t="s">
        <v>340</v>
      </c>
      <c r="D22" s="189" t="s">
        <v>372</v>
      </c>
      <c r="F22" s="189" t="s">
        <v>371</v>
      </c>
      <c r="G22" s="189">
        <v>100</v>
      </c>
      <c r="H22" s="189">
        <v>0.25</v>
      </c>
      <c r="I22" s="192">
        <f t="shared" si="0"/>
        <v>0.15</v>
      </c>
    </row>
    <row r="23" spans="2:9" ht="32.25" thickBot="1" x14ac:dyDescent="0.3">
      <c r="B23" s="189" t="s">
        <v>437</v>
      </c>
      <c r="D23" s="189" t="s">
        <v>436</v>
      </c>
      <c r="F23" s="189" t="s">
        <v>371</v>
      </c>
      <c r="G23" s="189">
        <v>20</v>
      </c>
      <c r="H23" s="189">
        <v>0.25</v>
      </c>
      <c r="I23" s="192">
        <f t="shared" si="0"/>
        <v>0.75</v>
      </c>
    </row>
    <row r="24" spans="2:9" ht="16.5" thickBot="1" x14ac:dyDescent="0.3"/>
    <row r="25" spans="2:9" ht="16.5" thickBot="1" x14ac:dyDescent="0.3">
      <c r="B25" s="189" t="s">
        <v>382</v>
      </c>
      <c r="D25" s="189"/>
      <c r="F25" s="189"/>
      <c r="G25" s="189"/>
      <c r="H25" s="189"/>
      <c r="I25" s="192">
        <f>SUM(I10:I23)</f>
        <v>26.258730158730163</v>
      </c>
    </row>
    <row r="26" spans="2:9" ht="16.5" thickBot="1" x14ac:dyDescent="0.3"/>
    <row r="27" spans="2:9" ht="32.25" thickBot="1" x14ac:dyDescent="0.3">
      <c r="B27" s="189" t="s">
        <v>383</v>
      </c>
      <c r="D27" s="189" t="s">
        <v>384</v>
      </c>
      <c r="F27" s="189"/>
      <c r="G27" s="189"/>
      <c r="H27" s="193">
        <v>0.3</v>
      </c>
      <c r="I27" s="192">
        <f>I25*H27</f>
        <v>7.8776190476190484</v>
      </c>
    </row>
    <row r="28" spans="2:9" ht="16.5" thickBot="1" x14ac:dyDescent="0.3"/>
    <row r="29" spans="2:9" ht="16.5" thickBot="1" x14ac:dyDescent="0.3">
      <c r="B29" s="189" t="s">
        <v>385</v>
      </c>
      <c r="D29" s="189"/>
      <c r="F29" s="189"/>
      <c r="G29" s="189"/>
      <c r="H29" s="193"/>
      <c r="I29" s="192">
        <f>I25+I27</f>
        <v>34.136349206349209</v>
      </c>
    </row>
    <row r="31" spans="2:9" ht="16.5" thickBot="1" x14ac:dyDescent="0.3"/>
    <row r="32" spans="2:9" ht="63.75" thickBot="1" x14ac:dyDescent="0.3">
      <c r="B32" s="196" t="s">
        <v>400</v>
      </c>
      <c r="D32" s="190" t="s">
        <v>345</v>
      </c>
      <c r="F32" s="190" t="s">
        <v>347</v>
      </c>
      <c r="G32" s="190" t="s">
        <v>348</v>
      </c>
      <c r="H32" s="190" t="s">
        <v>349</v>
      </c>
      <c r="I32" s="190" t="s">
        <v>350</v>
      </c>
    </row>
    <row r="33" spans="2:9" ht="16.5" thickBot="1" x14ac:dyDescent="0.3"/>
    <row r="34" spans="2:9" ht="32.25" thickBot="1" x14ac:dyDescent="0.3">
      <c r="B34" s="189" t="s">
        <v>390</v>
      </c>
      <c r="D34" s="189" t="s">
        <v>391</v>
      </c>
      <c r="E34" s="195">
        <v>0.2</v>
      </c>
      <c r="F34" s="189" t="s">
        <v>392</v>
      </c>
      <c r="G34" s="189">
        <v>40</v>
      </c>
      <c r="H34" s="189">
        <v>4</v>
      </c>
      <c r="I34" s="192">
        <f t="shared" ref="I34:I36" si="1">IF(G34&gt;0,H34/G34*60,0)</f>
        <v>6</v>
      </c>
    </row>
    <row r="35" spans="2:9" ht="32.25" thickBot="1" x14ac:dyDescent="0.3">
      <c r="B35" s="189" t="s">
        <v>395</v>
      </c>
      <c r="D35" s="189" t="s">
        <v>399</v>
      </c>
      <c r="E35" s="195">
        <v>0.4</v>
      </c>
      <c r="F35" s="189" t="s">
        <v>393</v>
      </c>
      <c r="G35" s="189">
        <v>80</v>
      </c>
      <c r="H35" s="189">
        <v>20</v>
      </c>
      <c r="I35" s="192">
        <f t="shared" si="1"/>
        <v>15</v>
      </c>
    </row>
    <row r="36" spans="2:9" ht="32.25" thickBot="1" x14ac:dyDescent="0.3">
      <c r="B36" s="189" t="s">
        <v>396</v>
      </c>
      <c r="D36" s="189" t="s">
        <v>399</v>
      </c>
      <c r="E36" s="195">
        <f>1-SUM(E34:E35)</f>
        <v>0.39999999999999991</v>
      </c>
      <c r="F36" s="189" t="s">
        <v>394</v>
      </c>
      <c r="G36" s="189">
        <v>100</v>
      </c>
      <c r="H36" s="189">
        <v>28.5</v>
      </c>
      <c r="I36" s="192">
        <f t="shared" si="1"/>
        <v>17.099999999999998</v>
      </c>
    </row>
    <row r="37" spans="2:9" ht="16.5" thickBot="1" x14ac:dyDescent="0.3">
      <c r="B37" s="189" t="s">
        <v>397</v>
      </c>
      <c r="D37" s="189"/>
      <c r="F37" s="189"/>
      <c r="G37" s="189"/>
      <c r="H37" s="189"/>
      <c r="I37" s="192">
        <f>+G34*E34+I35*E35+I36*E36</f>
        <v>20.839999999999996</v>
      </c>
    </row>
    <row r="38" spans="2:9" ht="16.5" thickBot="1" x14ac:dyDescent="0.3"/>
    <row r="39" spans="2:9" ht="32.25" thickBot="1" x14ac:dyDescent="0.3">
      <c r="B39" s="189" t="s">
        <v>383</v>
      </c>
      <c r="D39" s="189" t="s">
        <v>384</v>
      </c>
      <c r="F39" s="189"/>
      <c r="G39" s="189"/>
      <c r="H39" s="193">
        <v>0.25</v>
      </c>
      <c r="I39" s="192">
        <f>I37*H39</f>
        <v>5.2099999999999991</v>
      </c>
    </row>
    <row r="40" spans="2:9" ht="16.5" thickBot="1" x14ac:dyDescent="0.3"/>
    <row r="41" spans="2:9" ht="16.5" thickBot="1" x14ac:dyDescent="0.3">
      <c r="B41" s="189" t="s">
        <v>398</v>
      </c>
      <c r="D41" s="189"/>
      <c r="F41" s="189"/>
      <c r="G41" s="189"/>
      <c r="H41" s="193"/>
      <c r="I41" s="192">
        <f>I37+I39</f>
        <v>26.049999999999997</v>
      </c>
    </row>
    <row r="43" spans="2:9" ht="16.5" thickBot="1" x14ac:dyDescent="0.3"/>
    <row r="44" spans="2:9" ht="63.75" thickBot="1" x14ac:dyDescent="0.3">
      <c r="B44" s="196" t="s">
        <v>401</v>
      </c>
      <c r="D44" s="190" t="s">
        <v>345</v>
      </c>
      <c r="F44" s="190" t="s">
        <v>347</v>
      </c>
      <c r="G44" s="190" t="s">
        <v>348</v>
      </c>
      <c r="H44" s="190" t="s">
        <v>420</v>
      </c>
      <c r="I44" s="190" t="s">
        <v>350</v>
      </c>
    </row>
    <row r="45" spans="2:9" ht="16.5" thickBot="1" x14ac:dyDescent="0.3"/>
    <row r="46" spans="2:9" ht="16.5" thickBot="1" x14ac:dyDescent="0.3">
      <c r="B46" s="189" t="s">
        <v>402</v>
      </c>
      <c r="D46" s="189" t="s">
        <v>411</v>
      </c>
      <c r="E46" s="195"/>
      <c r="F46" s="189" t="s">
        <v>406</v>
      </c>
      <c r="G46" s="189">
        <v>20</v>
      </c>
      <c r="H46" s="189">
        <v>2</v>
      </c>
      <c r="I46" s="192">
        <f>60/(G46*H46)</f>
        <v>1.5</v>
      </c>
    </row>
    <row r="47" spans="2:9" ht="32.25" thickBot="1" x14ac:dyDescent="0.3">
      <c r="B47" s="189" t="s">
        <v>403</v>
      </c>
      <c r="D47" s="189" t="s">
        <v>410</v>
      </c>
      <c r="E47" s="195">
        <v>0.4</v>
      </c>
      <c r="F47" s="189" t="s">
        <v>406</v>
      </c>
      <c r="G47" s="189">
        <v>10</v>
      </c>
      <c r="H47" s="189">
        <v>2</v>
      </c>
      <c r="I47" s="192">
        <f t="shared" ref="I47:I49" si="2">60/(G47*H47)</f>
        <v>3</v>
      </c>
    </row>
    <row r="48" spans="2:9" ht="32.25" thickBot="1" x14ac:dyDescent="0.3">
      <c r="B48" s="189" t="s">
        <v>404</v>
      </c>
      <c r="D48" s="189" t="s">
        <v>409</v>
      </c>
      <c r="E48" s="195">
        <v>0.3</v>
      </c>
      <c r="F48" s="189" t="s">
        <v>407</v>
      </c>
      <c r="G48" s="189">
        <v>0.33</v>
      </c>
      <c r="H48" s="189">
        <v>6</v>
      </c>
      <c r="I48" s="192">
        <f t="shared" si="2"/>
        <v>30.303030303030305</v>
      </c>
    </row>
    <row r="49" spans="2:9" ht="16.5" thickBot="1" x14ac:dyDescent="0.3">
      <c r="B49" s="189" t="s">
        <v>405</v>
      </c>
      <c r="D49" s="189" t="s">
        <v>419</v>
      </c>
      <c r="E49" s="195">
        <f>1-SUM(E47:E48)</f>
        <v>0.30000000000000004</v>
      </c>
      <c r="F49" s="189" t="s">
        <v>407</v>
      </c>
      <c r="G49" s="189">
        <v>0.33</v>
      </c>
      <c r="H49" s="189">
        <v>30</v>
      </c>
      <c r="I49" s="192">
        <f t="shared" si="2"/>
        <v>6.0606060606060606</v>
      </c>
    </row>
    <row r="50" spans="2:9" ht="16.5" thickBot="1" x14ac:dyDescent="0.3">
      <c r="B50" s="189" t="s">
        <v>397</v>
      </c>
      <c r="D50" s="189"/>
      <c r="F50" s="189"/>
      <c r="G50" s="189"/>
      <c r="H50" s="189"/>
      <c r="I50" s="192">
        <f>+I46+G47*E47+I48*E48+I49*E49</f>
        <v>16.40909090909091</v>
      </c>
    </row>
    <row r="51" spans="2:9" ht="16.5" thickBot="1" x14ac:dyDescent="0.3"/>
    <row r="52" spans="2:9" ht="32.25" thickBot="1" x14ac:dyDescent="0.3">
      <c r="B52" s="189" t="s">
        <v>383</v>
      </c>
      <c r="D52" s="189" t="s">
        <v>384</v>
      </c>
      <c r="F52" s="189"/>
      <c r="G52" s="189"/>
      <c r="H52" s="193">
        <v>0.25</v>
      </c>
      <c r="I52" s="192">
        <f>I50*H52</f>
        <v>4.1022727272727275</v>
      </c>
    </row>
    <row r="53" spans="2:9" ht="16.5" thickBot="1" x14ac:dyDescent="0.3"/>
    <row r="54" spans="2:9" ht="16.5" thickBot="1" x14ac:dyDescent="0.3">
      <c r="B54" s="189" t="s">
        <v>408</v>
      </c>
      <c r="D54" s="189"/>
      <c r="F54" s="189"/>
      <c r="G54" s="189"/>
      <c r="H54" s="193"/>
      <c r="I54" s="192">
        <f>I50+I52</f>
        <v>20.511363636363637</v>
      </c>
    </row>
  </sheetData>
  <phoneticPr fontId="13" type="noConversion"/>
  <pageMargins left="0.75000000000000011" right="0.75000000000000011" top="1" bottom="1" header="0.5" footer="0.5"/>
  <pageSetup paperSize="9" scale="61" fitToHeight="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abSelected="1" workbookViewId="0">
      <selection activeCell="H15" sqref="H15"/>
    </sheetView>
  </sheetViews>
  <sheetFormatPr baseColWidth="10" defaultRowHeight="15.75" x14ac:dyDescent="0.25"/>
  <cols>
    <col min="1" max="1" width="29.5" customWidth="1"/>
    <col min="2" max="2" width="6.5" customWidth="1"/>
    <col min="3" max="14" width="8.125" customWidth="1"/>
    <col min="15" max="15" width="2.625" customWidth="1"/>
    <col min="16" max="16" width="8.125" customWidth="1"/>
  </cols>
  <sheetData>
    <row r="2" spans="1:16" ht="16.5" thickBot="1" x14ac:dyDescent="0.3"/>
    <row r="3" spans="1:16" ht="16.5" thickBot="1" x14ac:dyDescent="0.3">
      <c r="A3" s="196" t="s">
        <v>387</v>
      </c>
      <c r="B3" s="196"/>
      <c r="C3" s="190" t="s">
        <v>324</v>
      </c>
      <c r="D3" s="190" t="s">
        <v>140</v>
      </c>
      <c r="E3" s="190" t="s">
        <v>141</v>
      </c>
      <c r="F3" s="190" t="s">
        <v>142</v>
      </c>
      <c r="G3" s="190" t="s">
        <v>143</v>
      </c>
      <c r="H3" s="190" t="s">
        <v>144</v>
      </c>
      <c r="I3" s="190" t="s">
        <v>145</v>
      </c>
      <c r="J3" s="190" t="s">
        <v>146</v>
      </c>
      <c r="K3" s="190" t="s">
        <v>147</v>
      </c>
      <c r="L3" s="190" t="s">
        <v>321</v>
      </c>
      <c r="M3" s="190" t="s">
        <v>149</v>
      </c>
      <c r="N3" s="190" t="s">
        <v>150</v>
      </c>
      <c r="O3" s="100"/>
      <c r="P3" s="190" t="s">
        <v>21</v>
      </c>
    </row>
    <row r="4" spans="1:16" ht="16.5" thickBot="1" x14ac:dyDescent="0.3"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6.5" thickBot="1" x14ac:dyDescent="0.3">
      <c r="A5" s="189" t="s">
        <v>377</v>
      </c>
      <c r="B5" s="189"/>
      <c r="C5" s="189">
        <v>31</v>
      </c>
      <c r="D5" s="189">
        <v>28</v>
      </c>
      <c r="E5" s="189">
        <v>31</v>
      </c>
      <c r="F5" s="189">
        <v>30</v>
      </c>
      <c r="G5" s="189">
        <v>31</v>
      </c>
      <c r="H5" s="189">
        <v>30</v>
      </c>
      <c r="I5" s="189">
        <v>31</v>
      </c>
      <c r="J5" s="189">
        <v>31</v>
      </c>
      <c r="K5" s="189">
        <v>30</v>
      </c>
      <c r="L5" s="189">
        <v>31</v>
      </c>
      <c r="M5" s="189">
        <v>30</v>
      </c>
      <c r="N5" s="189">
        <v>31</v>
      </c>
      <c r="P5" s="189"/>
    </row>
    <row r="6" spans="1:16" ht="16.5" thickBot="1" x14ac:dyDescent="0.3"/>
    <row r="7" spans="1:16" ht="16.5" thickBot="1" x14ac:dyDescent="0.3">
      <c r="A7" s="189" t="s">
        <v>378</v>
      </c>
      <c r="B7" s="189"/>
      <c r="C7" s="189">
        <v>900</v>
      </c>
      <c r="D7" s="189">
        <v>900</v>
      </c>
      <c r="E7" s="189">
        <v>900</v>
      </c>
      <c r="F7" s="189">
        <v>700</v>
      </c>
      <c r="G7" s="189">
        <v>500</v>
      </c>
      <c r="H7" s="189">
        <v>400</v>
      </c>
      <c r="I7" s="189">
        <v>300</v>
      </c>
      <c r="J7" s="189">
        <v>200</v>
      </c>
      <c r="K7" s="189">
        <v>400</v>
      </c>
      <c r="L7" s="189">
        <v>900</v>
      </c>
      <c r="M7" s="189">
        <v>900</v>
      </c>
      <c r="N7" s="189">
        <v>900</v>
      </c>
      <c r="P7" s="189">
        <f>SUM(C7:O7)/12</f>
        <v>658.33333333333337</v>
      </c>
    </row>
    <row r="8" spans="1:16" ht="16.5" thickBot="1" x14ac:dyDescent="0.3"/>
    <row r="9" spans="1:16" ht="16.5" thickBot="1" x14ac:dyDescent="0.3">
      <c r="A9" s="189" t="s">
        <v>373</v>
      </c>
      <c r="B9" s="189"/>
      <c r="C9" s="189">
        <v>20</v>
      </c>
      <c r="D9" s="189">
        <v>20</v>
      </c>
      <c r="E9" s="189">
        <v>16</v>
      </c>
      <c r="F9" s="189">
        <v>12</v>
      </c>
      <c r="G9" s="189">
        <v>8</v>
      </c>
      <c r="H9" s="189">
        <v>6</v>
      </c>
      <c r="I9" s="189">
        <v>6</v>
      </c>
      <c r="J9" s="189">
        <v>6</v>
      </c>
      <c r="K9" s="189">
        <v>7</v>
      </c>
      <c r="L9" s="189">
        <v>13</v>
      </c>
      <c r="M9" s="189">
        <v>18</v>
      </c>
      <c r="N9" s="189">
        <v>20</v>
      </c>
      <c r="P9" s="189">
        <f>SUM(C9:O9)/12</f>
        <v>12.666666666666666</v>
      </c>
    </row>
    <row r="10" spans="1:16" ht="16.5" thickBot="1" x14ac:dyDescent="0.3"/>
    <row r="11" spans="1:16" ht="16.5" thickBot="1" x14ac:dyDescent="0.3">
      <c r="A11" s="189" t="s">
        <v>376</v>
      </c>
      <c r="B11" s="189"/>
      <c r="C11" s="189">
        <v>6</v>
      </c>
      <c r="D11" s="189">
        <v>6</v>
      </c>
      <c r="E11" s="189">
        <v>6</v>
      </c>
      <c r="F11" s="189">
        <v>6</v>
      </c>
      <c r="G11" s="189">
        <v>6</v>
      </c>
      <c r="H11" s="189">
        <v>6</v>
      </c>
      <c r="I11" s="189">
        <v>6</v>
      </c>
      <c r="J11" s="189">
        <v>6</v>
      </c>
      <c r="K11" s="189">
        <v>6</v>
      </c>
      <c r="L11" s="189">
        <v>6</v>
      </c>
      <c r="M11" s="189">
        <v>6</v>
      </c>
      <c r="N11" s="189">
        <v>6</v>
      </c>
      <c r="P11" s="189">
        <f>N11</f>
        <v>6</v>
      </c>
    </row>
    <row r="12" spans="1:16" ht="16.5" thickBot="1" x14ac:dyDescent="0.3"/>
    <row r="13" spans="1:16" ht="16.5" thickBot="1" x14ac:dyDescent="0.3">
      <c r="A13" s="189" t="s">
        <v>412</v>
      </c>
      <c r="B13" s="189"/>
      <c r="C13" s="208">
        <f>+C7*C11*C5/C9</f>
        <v>8370</v>
      </c>
      <c r="D13" s="208">
        <f t="shared" ref="D13:N13" si="0">+D7*D11*D5/D9</f>
        <v>7560</v>
      </c>
      <c r="E13" s="208">
        <f t="shared" si="0"/>
        <v>10462.5</v>
      </c>
      <c r="F13" s="208">
        <f t="shared" si="0"/>
        <v>10500</v>
      </c>
      <c r="G13" s="208">
        <f t="shared" si="0"/>
        <v>11625</v>
      </c>
      <c r="H13" s="208">
        <f t="shared" si="0"/>
        <v>12000</v>
      </c>
      <c r="I13" s="208">
        <f t="shared" si="0"/>
        <v>9300</v>
      </c>
      <c r="J13" s="208">
        <f t="shared" si="0"/>
        <v>6200</v>
      </c>
      <c r="K13" s="208">
        <f t="shared" si="0"/>
        <v>10285.714285714286</v>
      </c>
      <c r="L13" s="208">
        <f t="shared" si="0"/>
        <v>12876.923076923076</v>
      </c>
      <c r="M13" s="208">
        <f t="shared" si="0"/>
        <v>9000</v>
      </c>
      <c r="N13" s="208">
        <f t="shared" si="0"/>
        <v>8370</v>
      </c>
      <c r="P13" s="208">
        <f>SUM(C13:O13)/12</f>
        <v>9712.5114468864467</v>
      </c>
    </row>
    <row r="14" spans="1:16" ht="16.5" thickBot="1" x14ac:dyDescent="0.3"/>
    <row r="15" spans="1:16" ht="16.5" thickBot="1" x14ac:dyDescent="0.3">
      <c r="A15" s="189" t="s">
        <v>374</v>
      </c>
      <c r="B15" s="189"/>
      <c r="C15" s="191">
        <v>0.14000000000000001</v>
      </c>
      <c r="D15" s="191">
        <v>0.15</v>
      </c>
      <c r="E15" s="191">
        <v>0.15</v>
      </c>
      <c r="F15" s="191">
        <v>0.16</v>
      </c>
      <c r="G15" s="191">
        <v>0.17</v>
      </c>
      <c r="H15" s="191">
        <v>0.17</v>
      </c>
      <c r="I15" s="191">
        <v>0.18</v>
      </c>
      <c r="J15" s="191">
        <v>0.18</v>
      </c>
      <c r="K15" s="191">
        <v>0.17</v>
      </c>
      <c r="L15" s="191">
        <v>0.17</v>
      </c>
      <c r="M15" s="191">
        <v>0.15</v>
      </c>
      <c r="N15" s="191">
        <v>0.15</v>
      </c>
      <c r="P15" s="189">
        <f>SUM(C15:O15)/12</f>
        <v>0.16166666666666665</v>
      </c>
    </row>
    <row r="16" spans="1:16" ht="16.5" thickBot="1" x14ac:dyDescent="0.3"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P16" s="194"/>
    </row>
    <row r="17" spans="1:16" ht="16.5" thickBot="1" x14ac:dyDescent="0.3">
      <c r="A17" s="189" t="s">
        <v>375</v>
      </c>
      <c r="B17" s="189"/>
      <c r="C17" s="208">
        <f>C15*C11*C7*C5/C9</f>
        <v>1171.8000000000002</v>
      </c>
      <c r="D17" s="208">
        <f t="shared" ref="D17:N17" si="1">D15*D11*D7*D5/D9</f>
        <v>1133.9999999999998</v>
      </c>
      <c r="E17" s="208">
        <f t="shared" si="1"/>
        <v>1569.3749999999998</v>
      </c>
      <c r="F17" s="208">
        <f t="shared" si="1"/>
        <v>1680</v>
      </c>
      <c r="G17" s="208">
        <f t="shared" si="1"/>
        <v>1976.25</v>
      </c>
      <c r="H17" s="208">
        <f t="shared" si="1"/>
        <v>2040</v>
      </c>
      <c r="I17" s="208">
        <f t="shared" si="1"/>
        <v>1674</v>
      </c>
      <c r="J17" s="208">
        <f t="shared" si="1"/>
        <v>1116</v>
      </c>
      <c r="K17" s="208">
        <f t="shared" si="1"/>
        <v>1748.5714285714287</v>
      </c>
      <c r="L17" s="208">
        <f t="shared" si="1"/>
        <v>2189.0769230769229</v>
      </c>
      <c r="M17" s="208">
        <f t="shared" si="1"/>
        <v>1349.9999999999998</v>
      </c>
      <c r="N17" s="208">
        <f t="shared" si="1"/>
        <v>1255.4999999999998</v>
      </c>
      <c r="P17" s="208">
        <f>SUM(C17:O17)</f>
        <v>18904.573351648352</v>
      </c>
    </row>
    <row r="18" spans="1:16" x14ac:dyDescent="0.25"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P18" s="194"/>
    </row>
    <row r="19" spans="1:16" ht="16.5" thickBot="1" x14ac:dyDescent="0.3"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P19" s="194"/>
    </row>
    <row r="20" spans="1:16" ht="16.5" thickBot="1" x14ac:dyDescent="0.3">
      <c r="A20" s="189" t="s">
        <v>381</v>
      </c>
      <c r="B20" s="189"/>
      <c r="C20" s="192">
        <f>C17*MOD!$I$29/420</f>
        <v>95.240414285714309</v>
      </c>
      <c r="D20" s="192">
        <f>D17*MOD!$I$29/420</f>
        <v>92.16814285714284</v>
      </c>
      <c r="E20" s="192">
        <f>E17*MOD!$I$29/420</f>
        <v>127.5541262755102</v>
      </c>
      <c r="F20" s="192">
        <f>F17*MOD!$I$29/420</f>
        <v>136.54539682539684</v>
      </c>
      <c r="G20" s="192">
        <f>G17*MOD!$I$29/420</f>
        <v>160.62371456916102</v>
      </c>
      <c r="H20" s="192">
        <f>H17*MOD!$I$29/420</f>
        <v>165.80512471655331</v>
      </c>
      <c r="I20" s="192">
        <f>I17*MOD!$I$29/420</f>
        <v>136.05773469387756</v>
      </c>
      <c r="J20" s="192">
        <f>J17*MOD!$I$29/420</f>
        <v>90.705156462585038</v>
      </c>
      <c r="K20" s="192">
        <f>K17*MOD!$I$29/420</f>
        <v>142.11867832847426</v>
      </c>
      <c r="L20" s="192">
        <f>L17*MOD!$I$29/420</f>
        <v>177.92165306122448</v>
      </c>
      <c r="M20" s="192">
        <f>M17*MOD!$I$29/420</f>
        <v>109.72397959183674</v>
      </c>
      <c r="N20" s="192">
        <f>N17*MOD!$I$29/420</f>
        <v>102.04330102040815</v>
      </c>
      <c r="P20" s="192"/>
    </row>
    <row r="21" spans="1:16" ht="16.5" thickBot="1" x14ac:dyDescent="0.3"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P21" s="194"/>
    </row>
    <row r="22" spans="1:16" ht="16.5" thickBot="1" x14ac:dyDescent="0.3">
      <c r="A22" s="189" t="s">
        <v>379</v>
      </c>
      <c r="B22" s="189"/>
      <c r="C22" s="192">
        <f>5*C5/7</f>
        <v>22.142857142857142</v>
      </c>
      <c r="D22" s="192">
        <f t="shared" ref="D22:M22" si="2">5*D5/7</f>
        <v>20</v>
      </c>
      <c r="E22" s="192">
        <f t="shared" si="2"/>
        <v>22.142857142857142</v>
      </c>
      <c r="F22" s="192">
        <f t="shared" si="2"/>
        <v>21.428571428571427</v>
      </c>
      <c r="G22" s="192">
        <f>5*G5/7-2</f>
        <v>20.142857142857142</v>
      </c>
      <c r="H22" s="192">
        <f t="shared" si="2"/>
        <v>21.428571428571427</v>
      </c>
      <c r="I22" s="192">
        <f t="shared" si="2"/>
        <v>22.142857142857142</v>
      </c>
      <c r="J22" s="192">
        <f t="shared" si="2"/>
        <v>22.142857142857142</v>
      </c>
      <c r="K22" s="192">
        <f t="shared" si="2"/>
        <v>21.428571428571427</v>
      </c>
      <c r="L22" s="192">
        <f t="shared" si="2"/>
        <v>22.142857142857142</v>
      </c>
      <c r="M22" s="192">
        <f t="shared" si="2"/>
        <v>21.428571428571427</v>
      </c>
      <c r="N22" s="192">
        <f>5*N5/7-2</f>
        <v>20.142857142857142</v>
      </c>
      <c r="P22" s="192"/>
    </row>
    <row r="23" spans="1:16" ht="16.5" thickBot="1" x14ac:dyDescent="0.3"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P23" s="194"/>
    </row>
    <row r="24" spans="1:16" ht="16.5" thickBot="1" x14ac:dyDescent="0.3">
      <c r="A24" s="189" t="s">
        <v>413</v>
      </c>
      <c r="B24" s="189"/>
      <c r="C24" s="208">
        <f>+C13/C22</f>
        <v>378</v>
      </c>
      <c r="D24" s="208">
        <f t="shared" ref="D24:N24" si="3">+D13/D22</f>
        <v>378</v>
      </c>
      <c r="E24" s="208">
        <f t="shared" si="3"/>
        <v>472.5</v>
      </c>
      <c r="F24" s="208">
        <f t="shared" si="3"/>
        <v>490.00000000000006</v>
      </c>
      <c r="G24" s="208">
        <f t="shared" si="3"/>
        <v>577.12765957446811</v>
      </c>
      <c r="H24" s="208">
        <f t="shared" si="3"/>
        <v>560</v>
      </c>
      <c r="I24" s="208">
        <f t="shared" si="3"/>
        <v>420</v>
      </c>
      <c r="J24" s="208">
        <f t="shared" si="3"/>
        <v>280</v>
      </c>
      <c r="K24" s="208">
        <f t="shared" si="3"/>
        <v>480.00000000000006</v>
      </c>
      <c r="L24" s="208">
        <f t="shared" si="3"/>
        <v>581.53846153846155</v>
      </c>
      <c r="M24" s="208">
        <f t="shared" si="3"/>
        <v>420.00000000000006</v>
      </c>
      <c r="N24" s="208">
        <f t="shared" si="3"/>
        <v>415.53191489361706</v>
      </c>
      <c r="P24" s="208"/>
    </row>
    <row r="25" spans="1:16" ht="16.5" thickBot="1" x14ac:dyDescent="0.3"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P25" s="194"/>
    </row>
    <row r="26" spans="1:16" ht="16.5" thickBot="1" x14ac:dyDescent="0.3">
      <c r="A26" s="189" t="s">
        <v>380</v>
      </c>
      <c r="B26" s="189"/>
      <c r="C26" s="192">
        <f>C20/C22</f>
        <v>4.3011800000000013</v>
      </c>
      <c r="D26" s="192">
        <f t="shared" ref="D26:N26" si="4">D20/D22</f>
        <v>4.6084071428571418</v>
      </c>
      <c r="E26" s="192">
        <f t="shared" si="4"/>
        <v>5.7605089285714284</v>
      </c>
      <c r="F26" s="192">
        <f t="shared" si="4"/>
        <v>6.3721185185185192</v>
      </c>
      <c r="G26" s="192">
        <f t="shared" si="4"/>
        <v>7.9742269644264336</v>
      </c>
      <c r="H26" s="192">
        <f t="shared" si="4"/>
        <v>7.7375724867724882</v>
      </c>
      <c r="I26" s="192">
        <f t="shared" si="4"/>
        <v>6.1445428571428575</v>
      </c>
      <c r="J26" s="192">
        <f t="shared" si="4"/>
        <v>4.0963619047619053</v>
      </c>
      <c r="K26" s="192">
        <f t="shared" si="4"/>
        <v>6.6322049886621324</v>
      </c>
      <c r="L26" s="192">
        <f t="shared" si="4"/>
        <v>8.0351714285714273</v>
      </c>
      <c r="M26" s="192">
        <f t="shared" si="4"/>
        <v>5.1204523809523819</v>
      </c>
      <c r="N26" s="192">
        <f t="shared" si="4"/>
        <v>5.0659794832826739</v>
      </c>
      <c r="P26" s="192"/>
    </row>
    <row r="27" spans="1:16" ht="16.5" thickBot="1" x14ac:dyDescent="0.3"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P27" s="194"/>
    </row>
    <row r="28" spans="1:16" ht="32.25" thickBot="1" x14ac:dyDescent="0.3">
      <c r="A28" s="189" t="s">
        <v>386</v>
      </c>
      <c r="B28" s="193">
        <v>0.25</v>
      </c>
      <c r="C28" s="192">
        <f>C26*(1+$B28)</f>
        <v>5.3764750000000019</v>
      </c>
      <c r="D28" s="192">
        <f t="shared" ref="D28:N28" si="5">D26*(1+$B28)</f>
        <v>5.7605089285714275</v>
      </c>
      <c r="E28" s="192">
        <f t="shared" si="5"/>
        <v>7.2006361607142857</v>
      </c>
      <c r="F28" s="192">
        <f t="shared" si="5"/>
        <v>7.965148148148149</v>
      </c>
      <c r="G28" s="192">
        <f t="shared" si="5"/>
        <v>9.9677837055330425</v>
      </c>
      <c r="H28" s="192">
        <f t="shared" si="5"/>
        <v>9.6719656084656105</v>
      </c>
      <c r="I28" s="192">
        <f t="shared" si="5"/>
        <v>7.6806785714285724</v>
      </c>
      <c r="J28" s="192">
        <f t="shared" si="5"/>
        <v>5.1204523809523819</v>
      </c>
      <c r="K28" s="192">
        <f t="shared" si="5"/>
        <v>8.2902562358276661</v>
      </c>
      <c r="L28" s="192">
        <f t="shared" si="5"/>
        <v>10.043964285714285</v>
      </c>
      <c r="M28" s="192">
        <f t="shared" si="5"/>
        <v>6.4005654761904776</v>
      </c>
      <c r="N28" s="192">
        <f t="shared" si="5"/>
        <v>6.3324743541033426</v>
      </c>
      <c r="O28" s="195"/>
      <c r="P28" s="197">
        <f t="shared" ref="P28:P31" si="6">SUM(C28:O28)/12</f>
        <v>7.4842424046374356</v>
      </c>
    </row>
    <row r="29" spans="1:16" ht="16.5" thickBot="1" x14ac:dyDescent="0.3"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P29" s="194"/>
    </row>
    <row r="30" spans="1:16" ht="16.5" thickBot="1" x14ac:dyDescent="0.3">
      <c r="A30" s="189" t="s">
        <v>486</v>
      </c>
      <c r="B30" s="189"/>
      <c r="C30" s="192">
        <v>5</v>
      </c>
      <c r="D30" s="192">
        <f>C30</f>
        <v>5</v>
      </c>
      <c r="E30" s="192">
        <f t="shared" ref="E30:N30" si="7">D30</f>
        <v>5</v>
      </c>
      <c r="F30" s="192">
        <f t="shared" si="7"/>
        <v>5</v>
      </c>
      <c r="G30" s="192">
        <f t="shared" si="7"/>
        <v>5</v>
      </c>
      <c r="H30" s="192">
        <f t="shared" si="7"/>
        <v>5</v>
      </c>
      <c r="I30" s="192">
        <f t="shared" si="7"/>
        <v>5</v>
      </c>
      <c r="J30" s="192">
        <f t="shared" si="7"/>
        <v>5</v>
      </c>
      <c r="K30" s="192">
        <f t="shared" si="7"/>
        <v>5</v>
      </c>
      <c r="L30" s="192">
        <f t="shared" si="7"/>
        <v>5</v>
      </c>
      <c r="M30" s="192">
        <f t="shared" si="7"/>
        <v>5</v>
      </c>
      <c r="N30" s="192">
        <f t="shared" si="7"/>
        <v>5</v>
      </c>
      <c r="P30" s="197">
        <f t="shared" si="6"/>
        <v>5</v>
      </c>
    </row>
    <row r="31" spans="1:16" ht="16.5" thickBot="1" x14ac:dyDescent="0.3">
      <c r="A31" s="189" t="s">
        <v>418</v>
      </c>
      <c r="B31" s="189"/>
      <c r="C31" s="192">
        <f t="shared" ref="C31:N31" si="8">IF(C28&gt;C30,C28-C30,0)</f>
        <v>0.37647500000000189</v>
      </c>
      <c r="D31" s="192">
        <f t="shared" si="8"/>
        <v>0.76050892857142749</v>
      </c>
      <c r="E31" s="192">
        <f t="shared" si="8"/>
        <v>2.2006361607142857</v>
      </c>
      <c r="F31" s="192">
        <f t="shared" si="8"/>
        <v>2.965148148148149</v>
      </c>
      <c r="G31" s="192">
        <f t="shared" si="8"/>
        <v>4.9677837055330425</v>
      </c>
      <c r="H31" s="192">
        <f t="shared" si="8"/>
        <v>4.6719656084656105</v>
      </c>
      <c r="I31" s="192">
        <f t="shared" si="8"/>
        <v>2.6806785714285724</v>
      </c>
      <c r="J31" s="192">
        <f t="shared" si="8"/>
        <v>0.12045238095238187</v>
      </c>
      <c r="K31" s="192">
        <f t="shared" si="8"/>
        <v>3.2902562358276661</v>
      </c>
      <c r="L31" s="192">
        <f t="shared" si="8"/>
        <v>5.043964285714285</v>
      </c>
      <c r="M31" s="192">
        <f t="shared" si="8"/>
        <v>1.4005654761904776</v>
      </c>
      <c r="N31" s="192">
        <f t="shared" si="8"/>
        <v>1.3324743541033426</v>
      </c>
      <c r="P31" s="197">
        <f t="shared" si="6"/>
        <v>2.484242404637437</v>
      </c>
    </row>
    <row r="32" spans="1:16" ht="16.5" thickBot="1" x14ac:dyDescent="0.3"/>
    <row r="33" spans="1:16" ht="16.5" thickBot="1" x14ac:dyDescent="0.3">
      <c r="A33" s="196" t="s">
        <v>388</v>
      </c>
      <c r="B33" s="196"/>
      <c r="C33" s="190" t="s">
        <v>324</v>
      </c>
      <c r="D33" s="190" t="s">
        <v>140</v>
      </c>
      <c r="E33" s="190" t="s">
        <v>141</v>
      </c>
      <c r="F33" s="190" t="s">
        <v>142</v>
      </c>
      <c r="G33" s="190" t="s">
        <v>143</v>
      </c>
      <c r="H33" s="190" t="s">
        <v>144</v>
      </c>
      <c r="I33" s="190" t="s">
        <v>145</v>
      </c>
      <c r="J33" s="190" t="s">
        <v>146</v>
      </c>
      <c r="K33" s="190" t="s">
        <v>147</v>
      </c>
      <c r="L33" s="190" t="s">
        <v>321</v>
      </c>
      <c r="M33" s="190" t="s">
        <v>149</v>
      </c>
      <c r="N33" s="190" t="s">
        <v>150</v>
      </c>
      <c r="O33" s="100"/>
      <c r="P33" s="190" t="s">
        <v>21</v>
      </c>
    </row>
    <row r="34" spans="1:16" ht="16.5" thickBot="1" x14ac:dyDescent="0.3"/>
    <row r="35" spans="1:16" ht="16.5" thickBot="1" x14ac:dyDescent="0.3">
      <c r="A35" s="189" t="s">
        <v>416</v>
      </c>
      <c r="B35" s="204">
        <v>0.8</v>
      </c>
      <c r="C35" s="208">
        <f t="shared" ref="C35:N35" si="9">+C17*$B35</f>
        <v>937.44000000000017</v>
      </c>
      <c r="D35" s="208">
        <f t="shared" si="9"/>
        <v>907.19999999999982</v>
      </c>
      <c r="E35" s="208">
        <f t="shared" si="9"/>
        <v>1255.5</v>
      </c>
      <c r="F35" s="208">
        <f t="shared" si="9"/>
        <v>1344</v>
      </c>
      <c r="G35" s="208">
        <f t="shared" si="9"/>
        <v>1581</v>
      </c>
      <c r="H35" s="208">
        <f t="shared" si="9"/>
        <v>1632</v>
      </c>
      <c r="I35" s="208">
        <f t="shared" si="9"/>
        <v>1339.2</v>
      </c>
      <c r="J35" s="208">
        <f t="shared" si="9"/>
        <v>892.80000000000007</v>
      </c>
      <c r="K35" s="208">
        <f t="shared" si="9"/>
        <v>1398.8571428571431</v>
      </c>
      <c r="L35" s="208">
        <f t="shared" si="9"/>
        <v>1751.2615384615383</v>
      </c>
      <c r="M35" s="208">
        <f t="shared" si="9"/>
        <v>1079.9999999999998</v>
      </c>
      <c r="N35" s="208">
        <f t="shared" si="9"/>
        <v>1004.3999999999999</v>
      </c>
      <c r="P35" s="208"/>
    </row>
    <row r="36" spans="1:16" ht="16.5" thickBot="1" x14ac:dyDescent="0.3"/>
    <row r="37" spans="1:16" ht="16.5" thickBot="1" x14ac:dyDescent="0.3">
      <c r="A37" s="189" t="s">
        <v>414</v>
      </c>
      <c r="B37" s="193"/>
      <c r="C37" s="192">
        <f>+C35*MOD!$I$41/420</f>
        <v>58.143600000000006</v>
      </c>
      <c r="D37" s="192">
        <f>+D35*MOD!$I$41/420</f>
        <v>56.267999999999986</v>
      </c>
      <c r="E37" s="192">
        <f>+E35*MOD!$I$41/420</f>
        <v>77.870892857142849</v>
      </c>
      <c r="F37" s="192">
        <f>+F35*MOD!$I$41/420</f>
        <v>83.36</v>
      </c>
      <c r="G37" s="192">
        <f>+G35*MOD!$I$41/420</f>
        <v>98.059642857142848</v>
      </c>
      <c r="H37" s="192">
        <f>+H35*MOD!$I$41/420</f>
        <v>101.22285714285714</v>
      </c>
      <c r="I37" s="192">
        <f>+I35*MOD!$I$41/420</f>
        <v>83.062285714285707</v>
      </c>
      <c r="J37" s="192">
        <f>+J35*MOD!$I$41/420</f>
        <v>55.374857142857138</v>
      </c>
      <c r="K37" s="192">
        <f>+K35*MOD!$I$41/420</f>
        <v>86.762448979591852</v>
      </c>
      <c r="L37" s="192">
        <f>+L35*MOD!$I$41/420</f>
        <v>108.61991208791206</v>
      </c>
      <c r="M37" s="192">
        <f>+M35*MOD!$I$41/420</f>
        <v>66.985714285714266</v>
      </c>
      <c r="N37" s="192">
        <f>+N35*MOD!$I$41/420</f>
        <v>62.296714285714273</v>
      </c>
      <c r="P37" s="192"/>
    </row>
    <row r="38" spans="1:16" ht="16.5" thickBot="1" x14ac:dyDescent="0.3"/>
    <row r="39" spans="1:16" ht="16.5" thickBot="1" x14ac:dyDescent="0.3">
      <c r="A39" s="189" t="s">
        <v>415</v>
      </c>
      <c r="B39" s="193"/>
      <c r="C39" s="192">
        <f>+C35*MOD!$I$54/420</f>
        <v>45.781363636363643</v>
      </c>
      <c r="D39" s="192">
        <f>+D35*MOD!$I$54/420</f>
        <v>44.304545454545448</v>
      </c>
      <c r="E39" s="192">
        <f>+E35*MOD!$I$54/420</f>
        <v>61.314326298701296</v>
      </c>
      <c r="F39" s="192">
        <f>+F35*MOD!$I$54/420</f>
        <v>65.63636363636364</v>
      </c>
      <c r="G39" s="192">
        <f>+G35*MOD!$I$54/420</f>
        <v>77.210633116883116</v>
      </c>
      <c r="H39" s="192">
        <f>+H35*MOD!$I$54/420</f>
        <v>79.701298701298711</v>
      </c>
      <c r="I39" s="192">
        <f>+I35*MOD!$I$54/420</f>
        <v>65.401948051948054</v>
      </c>
      <c r="J39" s="192">
        <f>+J35*MOD!$I$54/420</f>
        <v>43.601298701298703</v>
      </c>
      <c r="K39" s="192">
        <f>+K35*MOD!$I$54/420</f>
        <v>68.315398886827467</v>
      </c>
      <c r="L39" s="192">
        <f>+L35*MOD!$I$54/420</f>
        <v>85.525624375624361</v>
      </c>
      <c r="M39" s="192">
        <f>+M35*MOD!$I$54/420</f>
        <v>52.743506493506487</v>
      </c>
      <c r="N39" s="192">
        <f>+N35*MOD!$I$54/420</f>
        <v>49.05146103896103</v>
      </c>
      <c r="P39" s="192"/>
    </row>
    <row r="40" spans="1:16" ht="16.5" thickBot="1" x14ac:dyDescent="0.3"/>
    <row r="41" spans="1:16" ht="16.5" thickBot="1" x14ac:dyDescent="0.3">
      <c r="A41" s="189" t="s">
        <v>417</v>
      </c>
      <c r="B41" s="193"/>
      <c r="C41" s="192">
        <f>+C37+C39</f>
        <v>103.92496363636366</v>
      </c>
      <c r="D41" s="192">
        <f t="shared" ref="D41:N41" si="10">+D37+D39</f>
        <v>100.57254545454543</v>
      </c>
      <c r="E41" s="192">
        <f t="shared" si="10"/>
        <v>139.18521915584415</v>
      </c>
      <c r="F41" s="192">
        <f t="shared" si="10"/>
        <v>148.99636363636364</v>
      </c>
      <c r="G41" s="192">
        <f t="shared" si="10"/>
        <v>175.27027597402596</v>
      </c>
      <c r="H41" s="192">
        <f t="shared" si="10"/>
        <v>180.92415584415585</v>
      </c>
      <c r="I41" s="192">
        <f t="shared" si="10"/>
        <v>148.46423376623375</v>
      </c>
      <c r="J41" s="192">
        <f t="shared" si="10"/>
        <v>98.976155844155841</v>
      </c>
      <c r="K41" s="192">
        <f t="shared" si="10"/>
        <v>155.07784786641932</v>
      </c>
      <c r="L41" s="192">
        <f t="shared" si="10"/>
        <v>194.14553646353642</v>
      </c>
      <c r="M41" s="192">
        <f t="shared" si="10"/>
        <v>119.72922077922075</v>
      </c>
      <c r="N41" s="192">
        <f t="shared" si="10"/>
        <v>111.34817532467531</v>
      </c>
      <c r="P41" s="192"/>
    </row>
    <row r="42" spans="1:16" ht="16.5" thickBot="1" x14ac:dyDescent="0.3"/>
    <row r="43" spans="1:16" ht="16.5" thickBot="1" x14ac:dyDescent="0.3">
      <c r="A43" s="189" t="s">
        <v>380</v>
      </c>
      <c r="B43" s="189"/>
      <c r="C43" s="192">
        <f t="shared" ref="C43:N43" si="11">+C41/C22</f>
        <v>4.6933854545454556</v>
      </c>
      <c r="D43" s="192">
        <f t="shared" si="11"/>
        <v>5.0286272727272721</v>
      </c>
      <c r="E43" s="192">
        <f t="shared" si="11"/>
        <v>6.2857840909090905</v>
      </c>
      <c r="F43" s="192">
        <f t="shared" si="11"/>
        <v>6.9531636363636373</v>
      </c>
      <c r="G43" s="192">
        <f t="shared" si="11"/>
        <v>8.7013612185686657</v>
      </c>
      <c r="H43" s="192">
        <f t="shared" si="11"/>
        <v>8.4431272727272741</v>
      </c>
      <c r="I43" s="192">
        <f t="shared" si="11"/>
        <v>6.704836363636363</v>
      </c>
      <c r="J43" s="192">
        <f t="shared" si="11"/>
        <v>4.4698909090909087</v>
      </c>
      <c r="K43" s="192">
        <f t="shared" si="11"/>
        <v>7.2369662337662355</v>
      </c>
      <c r="L43" s="192">
        <f t="shared" si="11"/>
        <v>8.7678629370629348</v>
      </c>
      <c r="M43" s="192">
        <f t="shared" si="11"/>
        <v>5.5873636363636354</v>
      </c>
      <c r="N43" s="192">
        <f t="shared" si="11"/>
        <v>5.5279235976789165</v>
      </c>
      <c r="P43" s="192"/>
    </row>
    <row r="44" spans="1:16" ht="16.5" thickBot="1" x14ac:dyDescent="0.3"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P44" s="194"/>
    </row>
    <row r="45" spans="1:16" ht="32.25" thickBot="1" x14ac:dyDescent="0.3">
      <c r="A45" s="189" t="s">
        <v>386</v>
      </c>
      <c r="B45" s="193">
        <v>0.25</v>
      </c>
      <c r="C45" s="192">
        <f>C43*(1+$B45)</f>
        <v>5.8667318181818198</v>
      </c>
      <c r="D45" s="192">
        <f t="shared" ref="D45:N45" si="12">D43*(1+$B45)</f>
        <v>6.2857840909090896</v>
      </c>
      <c r="E45" s="192">
        <f t="shared" si="12"/>
        <v>7.8572301136363629</v>
      </c>
      <c r="F45" s="192">
        <f t="shared" si="12"/>
        <v>8.6914545454545475</v>
      </c>
      <c r="G45" s="192">
        <f t="shared" si="12"/>
        <v>10.876701523210832</v>
      </c>
      <c r="H45" s="192">
        <f t="shared" si="12"/>
        <v>10.553909090909093</v>
      </c>
      <c r="I45" s="192">
        <f t="shared" si="12"/>
        <v>8.381045454545454</v>
      </c>
      <c r="J45" s="192">
        <f t="shared" si="12"/>
        <v>5.5873636363636354</v>
      </c>
      <c r="K45" s="192">
        <f t="shared" si="12"/>
        <v>9.0462077922077953</v>
      </c>
      <c r="L45" s="192">
        <f t="shared" si="12"/>
        <v>10.959828671328669</v>
      </c>
      <c r="M45" s="192">
        <f t="shared" si="12"/>
        <v>6.9842045454545438</v>
      </c>
      <c r="N45" s="192">
        <f t="shared" si="12"/>
        <v>6.9099044970986458</v>
      </c>
      <c r="O45" s="195"/>
      <c r="P45" s="197">
        <f t="shared" ref="P45" si="13">SUM(C45:O45)/12</f>
        <v>8.1666971482750412</v>
      </c>
    </row>
    <row r="46" spans="1:16" ht="16.5" thickBot="1" x14ac:dyDescent="0.3"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P46" s="194"/>
    </row>
    <row r="47" spans="1:16" ht="16.5" thickBot="1" x14ac:dyDescent="0.3">
      <c r="A47" s="189" t="s">
        <v>486</v>
      </c>
      <c r="B47" s="189"/>
      <c r="C47" s="192">
        <v>5</v>
      </c>
      <c r="D47" s="192">
        <f>C47</f>
        <v>5</v>
      </c>
      <c r="E47" s="192">
        <f t="shared" ref="E47" si="14">D47</f>
        <v>5</v>
      </c>
      <c r="F47" s="192">
        <f t="shared" ref="F47" si="15">E47</f>
        <v>5</v>
      </c>
      <c r="G47" s="192">
        <f t="shared" ref="G47" si="16">F47</f>
        <v>5</v>
      </c>
      <c r="H47" s="192">
        <f t="shared" ref="H47" si="17">G47</f>
        <v>5</v>
      </c>
      <c r="I47" s="192">
        <f t="shared" ref="I47" si="18">H47</f>
        <v>5</v>
      </c>
      <c r="J47" s="192">
        <f t="shared" ref="J47" si="19">I47</f>
        <v>5</v>
      </c>
      <c r="K47" s="192">
        <f t="shared" ref="K47" si="20">J47</f>
        <v>5</v>
      </c>
      <c r="L47" s="192">
        <f t="shared" ref="L47" si="21">K47</f>
        <v>5</v>
      </c>
      <c r="M47" s="192">
        <f t="shared" ref="M47" si="22">L47</f>
        <v>5</v>
      </c>
      <c r="N47" s="192">
        <f t="shared" ref="N47" si="23">M47</f>
        <v>5</v>
      </c>
      <c r="P47" s="197">
        <f t="shared" ref="P47:P48" si="24">SUM(C47:O47)/12</f>
        <v>5</v>
      </c>
    </row>
    <row r="48" spans="1:16" ht="16.5" thickBot="1" x14ac:dyDescent="0.3">
      <c r="A48" s="189" t="s">
        <v>418</v>
      </c>
      <c r="B48" s="189"/>
      <c r="C48" s="192">
        <f t="shared" ref="C48:N48" si="25">IF(C45&gt;C47,C45-C47,0)</f>
        <v>0.86673181818181977</v>
      </c>
      <c r="D48" s="192">
        <f t="shared" si="25"/>
        <v>1.2857840909090896</v>
      </c>
      <c r="E48" s="192">
        <f t="shared" si="25"/>
        <v>2.8572301136363629</v>
      </c>
      <c r="F48" s="192">
        <f t="shared" si="25"/>
        <v>3.6914545454545475</v>
      </c>
      <c r="G48" s="192">
        <f t="shared" si="25"/>
        <v>5.8767015232108317</v>
      </c>
      <c r="H48" s="192">
        <f t="shared" si="25"/>
        <v>5.5539090909090927</v>
      </c>
      <c r="I48" s="192">
        <f t="shared" si="25"/>
        <v>3.381045454545454</v>
      </c>
      <c r="J48" s="192">
        <f t="shared" si="25"/>
        <v>0.58736363636363542</v>
      </c>
      <c r="K48" s="192">
        <f t="shared" si="25"/>
        <v>4.0462077922077953</v>
      </c>
      <c r="L48" s="192">
        <f t="shared" si="25"/>
        <v>5.959828671328669</v>
      </c>
      <c r="M48" s="192">
        <f t="shared" si="25"/>
        <v>1.9842045454545438</v>
      </c>
      <c r="N48" s="192">
        <f t="shared" si="25"/>
        <v>1.9099044970986458</v>
      </c>
      <c r="P48" s="197">
        <f t="shared" si="24"/>
        <v>3.1666971482750408</v>
      </c>
    </row>
  </sheetData>
  <pageMargins left="0.74803149606299213" right="0.74803149606299213" top="0.98425196850393704" bottom="0.98425196850393704" header="0.51181102362204722" footer="0.51181102362204722"/>
  <pageSetup paperSize="9" scale="84" fitToHeight="3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7"/>
  <sheetViews>
    <sheetView workbookViewId="0">
      <selection activeCell="J17" sqref="J17"/>
    </sheetView>
  </sheetViews>
  <sheetFormatPr baseColWidth="10" defaultRowHeight="15.75" x14ac:dyDescent="0.25"/>
  <cols>
    <col min="9" max="9" width="12.375" bestFit="1" customWidth="1"/>
  </cols>
  <sheetData>
    <row r="3" spans="3:10" ht="16.5" thickBot="1" x14ac:dyDescent="0.3"/>
    <row r="4" spans="3:10" ht="48" thickBot="1" x14ac:dyDescent="0.3">
      <c r="C4" s="190" t="s">
        <v>423</v>
      </c>
      <c r="D4" s="190" t="s">
        <v>424</v>
      </c>
      <c r="E4" s="190" t="s">
        <v>421</v>
      </c>
      <c r="F4" s="190" t="s">
        <v>422</v>
      </c>
      <c r="G4" s="190" t="s">
        <v>441</v>
      </c>
      <c r="H4" s="190" t="s">
        <v>435</v>
      </c>
      <c r="I4" s="190" t="s">
        <v>439</v>
      </c>
      <c r="J4" s="190" t="s">
        <v>440</v>
      </c>
    </row>
    <row r="6" spans="3:10" x14ac:dyDescent="0.25">
      <c r="C6" t="s">
        <v>425</v>
      </c>
      <c r="D6">
        <v>25</v>
      </c>
      <c r="E6">
        <v>57.5</v>
      </c>
      <c r="F6">
        <f>+E6/D6</f>
        <v>2.2999999999999998</v>
      </c>
      <c r="G6">
        <v>120</v>
      </c>
      <c r="H6">
        <v>150</v>
      </c>
      <c r="I6" s="200">
        <f>+G6/H6*1000</f>
        <v>800</v>
      </c>
      <c r="J6" s="199">
        <f>+I6*F6/1000</f>
        <v>1.8399999999999999</v>
      </c>
    </row>
    <row r="7" spans="3:10" x14ac:dyDescent="0.25">
      <c r="C7" t="s">
        <v>426</v>
      </c>
      <c r="D7">
        <v>12.5</v>
      </c>
      <c r="E7">
        <v>35</v>
      </c>
      <c r="F7">
        <f t="shared" ref="F7:F15" si="0">+E7/D7</f>
        <v>2.8</v>
      </c>
      <c r="G7">
        <v>75</v>
      </c>
      <c r="H7">
        <v>200</v>
      </c>
      <c r="I7" s="200">
        <f t="shared" ref="I7:I15" si="1">+G7/H7*1000</f>
        <v>375</v>
      </c>
      <c r="J7" s="199">
        <f t="shared" ref="J7:J15" si="2">+I7*F7/1000</f>
        <v>1.05</v>
      </c>
    </row>
    <row r="8" spans="3:10" x14ac:dyDescent="0.25">
      <c r="C8" t="s">
        <v>427</v>
      </c>
      <c r="D8">
        <v>25</v>
      </c>
      <c r="E8">
        <v>190</v>
      </c>
      <c r="F8">
        <f t="shared" si="0"/>
        <v>7.6</v>
      </c>
      <c r="G8">
        <v>40</v>
      </c>
      <c r="H8">
        <v>100</v>
      </c>
      <c r="I8" s="200">
        <f t="shared" si="1"/>
        <v>400</v>
      </c>
      <c r="J8" s="199">
        <f t="shared" si="2"/>
        <v>3.04</v>
      </c>
    </row>
    <row r="9" spans="3:10" x14ac:dyDescent="0.25">
      <c r="C9" t="s">
        <v>428</v>
      </c>
      <c r="D9">
        <v>25</v>
      </c>
      <c r="E9">
        <v>190</v>
      </c>
      <c r="F9">
        <f t="shared" si="0"/>
        <v>7.6</v>
      </c>
      <c r="G9">
        <v>15</v>
      </c>
      <c r="H9">
        <v>180</v>
      </c>
      <c r="I9" s="200">
        <f t="shared" si="1"/>
        <v>83.333333333333329</v>
      </c>
      <c r="J9" s="199">
        <f t="shared" si="2"/>
        <v>0.6333333333333333</v>
      </c>
    </row>
    <row r="10" spans="3:10" x14ac:dyDescent="0.25">
      <c r="C10" t="s">
        <v>429</v>
      </c>
      <c r="D10">
        <v>25</v>
      </c>
      <c r="E10">
        <v>470</v>
      </c>
      <c r="F10">
        <f t="shared" si="0"/>
        <v>18.8</v>
      </c>
      <c r="G10">
        <v>15</v>
      </c>
      <c r="H10">
        <v>160</v>
      </c>
      <c r="I10" s="200">
        <f t="shared" si="1"/>
        <v>93.75</v>
      </c>
      <c r="J10" s="199">
        <f t="shared" si="2"/>
        <v>1.7625</v>
      </c>
    </row>
    <row r="11" spans="3:10" x14ac:dyDescent="0.25">
      <c r="C11" t="s">
        <v>430</v>
      </c>
      <c r="D11">
        <v>25</v>
      </c>
      <c r="E11">
        <v>245</v>
      </c>
      <c r="F11">
        <f t="shared" si="0"/>
        <v>9.8000000000000007</v>
      </c>
      <c r="G11">
        <v>15</v>
      </c>
      <c r="H11">
        <v>120</v>
      </c>
      <c r="I11" s="200">
        <f t="shared" si="1"/>
        <v>125</v>
      </c>
      <c r="J11" s="199">
        <f t="shared" si="2"/>
        <v>1.2250000000000001</v>
      </c>
    </row>
    <row r="12" spans="3:10" x14ac:dyDescent="0.25">
      <c r="C12" t="s">
        <v>431</v>
      </c>
      <c r="D12">
        <v>25</v>
      </c>
      <c r="E12">
        <v>122.5</v>
      </c>
      <c r="F12">
        <f t="shared" si="0"/>
        <v>4.9000000000000004</v>
      </c>
      <c r="G12">
        <v>15</v>
      </c>
      <c r="H12">
        <v>160</v>
      </c>
      <c r="I12" s="200">
        <f t="shared" si="1"/>
        <v>93.75</v>
      </c>
      <c r="J12" s="199">
        <f t="shared" si="2"/>
        <v>0.45937500000000003</v>
      </c>
    </row>
    <row r="13" spans="3:10" x14ac:dyDescent="0.25">
      <c r="C13" t="s">
        <v>432</v>
      </c>
      <c r="D13">
        <v>25</v>
      </c>
      <c r="E13">
        <v>487.5</v>
      </c>
      <c r="F13">
        <f t="shared" si="0"/>
        <v>19.5</v>
      </c>
      <c r="G13">
        <v>15</v>
      </c>
      <c r="H13">
        <v>150</v>
      </c>
      <c r="I13" s="200">
        <f t="shared" si="1"/>
        <v>100</v>
      </c>
      <c r="J13" s="199">
        <f t="shared" si="2"/>
        <v>1.95</v>
      </c>
    </row>
    <row r="14" spans="3:10" x14ac:dyDescent="0.25">
      <c r="C14" t="s">
        <v>433</v>
      </c>
      <c r="D14">
        <v>25</v>
      </c>
      <c r="E14">
        <v>172.5</v>
      </c>
      <c r="F14">
        <f t="shared" si="0"/>
        <v>6.9</v>
      </c>
      <c r="G14">
        <v>20</v>
      </c>
      <c r="H14">
        <v>150</v>
      </c>
      <c r="I14" s="200">
        <f t="shared" si="1"/>
        <v>133.33333333333334</v>
      </c>
      <c r="J14" s="199">
        <f t="shared" si="2"/>
        <v>0.92000000000000015</v>
      </c>
    </row>
    <row r="15" spans="3:10" x14ac:dyDescent="0.25">
      <c r="C15" t="s">
        <v>434</v>
      </c>
      <c r="D15">
        <v>25</v>
      </c>
      <c r="E15">
        <v>172.5</v>
      </c>
      <c r="F15">
        <f t="shared" si="0"/>
        <v>6.9</v>
      </c>
      <c r="G15">
        <v>15</v>
      </c>
      <c r="H15">
        <v>120</v>
      </c>
      <c r="I15" s="200">
        <f t="shared" si="1"/>
        <v>125</v>
      </c>
      <c r="J15" s="199">
        <f t="shared" si="2"/>
        <v>0.86250000000000004</v>
      </c>
    </row>
    <row r="16" spans="3:10" ht="16.5" thickBot="1" x14ac:dyDescent="0.3"/>
    <row r="17" spans="3:10" ht="16.5" thickBot="1" x14ac:dyDescent="0.3">
      <c r="C17" s="192" t="s">
        <v>438</v>
      </c>
      <c r="H17" s="201">
        <f>SUM(H6:H16)/10</f>
        <v>149</v>
      </c>
      <c r="I17" s="201">
        <f>SUM(I6:I16)/10</f>
        <v>232.91666666666666</v>
      </c>
      <c r="J17" s="191">
        <f>SUM(J6:J16)/10</f>
        <v>1.3742708333333331</v>
      </c>
    </row>
  </sheetData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Expl</vt:lpstr>
      <vt:lpstr>Invest</vt:lpstr>
      <vt:lpstr>Mix CA</vt:lpstr>
      <vt:lpstr>SF</vt:lpstr>
      <vt:lpstr>Graphique</vt:lpstr>
      <vt:lpstr>Planning</vt:lpstr>
      <vt:lpstr>MOD</vt:lpstr>
      <vt:lpstr>Capacité</vt:lpstr>
      <vt:lpstr>Graines</vt:lpstr>
      <vt:lpstr>Marges</vt:lpstr>
      <vt:lpstr>Fs Gx</vt:lpstr>
      <vt:lpstr>Pt Mort</vt:lpstr>
      <vt:lpstr>Feuil1</vt:lpstr>
      <vt:lpstr>Paramètres</vt:lpstr>
      <vt:lpstr>TRESORERIE</vt:lpstr>
      <vt:lpstr>Invest!Zone_d_impression</vt:lpstr>
      <vt:lpstr>Planning!Zone_d_impression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Le Paysan Urbain</cp:lastModifiedBy>
  <cp:lastPrinted>2017-09-07T07:14:58Z</cp:lastPrinted>
  <dcterms:created xsi:type="dcterms:W3CDTF">2016-01-12T14:12:33Z</dcterms:created>
  <dcterms:modified xsi:type="dcterms:W3CDTF">2017-09-07T07:15:15Z</dcterms:modified>
</cp:coreProperties>
</file>