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NIE CIVIL\EXCEL FILES\NETA\"/>
    </mc:Choice>
  </mc:AlternateContent>
  <bookViews>
    <workbookView xWindow="240" yWindow="120" windowWidth="18720" windowHeight="7365" tabRatio="816"/>
  </bookViews>
  <sheets>
    <sheet name="poteau EC2" sheetId="7" r:id="rId1"/>
  </sheets>
  <externalReferences>
    <externalReference r:id="rId2"/>
  </externalReferences>
  <definedNames>
    <definedName name="bars">#REF!</definedName>
    <definedName name="beam">#REF!</definedName>
    <definedName name="beton">[1]Feuil2!$E$3:$G$3</definedName>
    <definedName name="column">#REF!</definedName>
    <definedName name="mrdbeam">#REF!</definedName>
    <definedName name="mrdcolumn">#REF!</definedName>
    <definedName name="nombres">[1]Feuil2!$H$4:$H$12</definedName>
    <definedName name="numbers">#REF!</definedName>
    <definedName name="rep.o.n">[1]Feuil2!$B$4:$B$5</definedName>
    <definedName name="select">#REF!</definedName>
  </definedNames>
  <calcPr calcId="152511"/>
</workbook>
</file>

<file path=xl/calcChain.xml><?xml version="1.0" encoding="utf-8"?>
<calcChain xmlns="http://schemas.openxmlformats.org/spreadsheetml/2006/main">
  <c r="M35" i="7" l="1"/>
  <c r="I32" i="7"/>
  <c r="I37" i="7"/>
  <c r="J14" i="7" l="1"/>
  <c r="F20" i="7"/>
  <c r="C37" i="7"/>
  <c r="C36" i="7"/>
  <c r="C35" i="7"/>
  <c r="I36" i="7" s="1"/>
  <c r="F37" i="7" l="1"/>
  <c r="I35" i="7"/>
  <c r="I31" i="7"/>
  <c r="M32" i="7" s="1"/>
  <c r="M31" i="7" l="1"/>
  <c r="C38" i="7"/>
  <c r="F43" i="7" s="1"/>
  <c r="F46" i="7"/>
  <c r="J25" i="7"/>
  <c r="J20" i="7"/>
  <c r="G43" i="7" l="1"/>
  <c r="C31" i="7" l="1"/>
  <c r="F22" i="7"/>
  <c r="D12" i="7"/>
  <c r="F38" i="7"/>
  <c r="F35" i="7"/>
  <c r="C39" i="7"/>
  <c r="L14" i="7" l="1"/>
  <c r="J15" i="7"/>
  <c r="L15" i="7" s="1"/>
  <c r="F36" i="7"/>
  <c r="B42" i="7"/>
  <c r="F31" i="7"/>
  <c r="G46" i="7"/>
  <c r="G47" i="7"/>
  <c r="G42" i="7"/>
  <c r="F44" i="7"/>
  <c r="G44" i="7" s="1"/>
  <c r="H43" i="7"/>
  <c r="F25" i="7"/>
  <c r="F21" i="7"/>
  <c r="F24" i="7" s="1"/>
  <c r="F23" i="7"/>
  <c r="J22" i="7" l="1"/>
  <c r="G18" i="7"/>
  <c r="J19" i="7"/>
  <c r="J21" i="7" s="1"/>
  <c r="H44" i="7"/>
  <c r="J23" i="7"/>
  <c r="J26" i="7" l="1"/>
  <c r="J27" i="7" s="1"/>
  <c r="J28" i="7" s="1"/>
  <c r="C32" i="7" s="1"/>
  <c r="I47" i="7"/>
  <c r="I42" i="7"/>
  <c r="F45" i="7" l="1"/>
  <c r="F32" i="7" l="1"/>
  <c r="C42" i="7"/>
  <c r="H46" i="7"/>
  <c r="I46" i="7" s="1"/>
  <c r="G45" i="7"/>
  <c r="H45" i="7"/>
  <c r="I45" i="7" s="1"/>
  <c r="I44" i="7"/>
  <c r="I43" i="7"/>
  <c r="C17" i="7" l="1"/>
</calcChain>
</file>

<file path=xl/sharedStrings.xml><?xml version="1.0" encoding="utf-8"?>
<sst xmlns="http://schemas.openxmlformats.org/spreadsheetml/2006/main" count="128" uniqueCount="107">
  <si>
    <t>Mpa</t>
  </si>
  <si>
    <t>d</t>
  </si>
  <si>
    <t>mm²</t>
  </si>
  <si>
    <t>Med</t>
  </si>
  <si>
    <t>b (mm)</t>
  </si>
  <si>
    <t>KN</t>
  </si>
  <si>
    <t>As max</t>
  </si>
  <si>
    <t>As min</t>
  </si>
  <si>
    <t>h (mm)</t>
  </si>
  <si>
    <t>d'/h</t>
  </si>
  <si>
    <t>Point 1</t>
  </si>
  <si>
    <t>Point 2</t>
  </si>
  <si>
    <t>Point 3</t>
  </si>
  <si>
    <t>Point 4</t>
  </si>
  <si>
    <t>Point 5</t>
  </si>
  <si>
    <t>d'</t>
  </si>
  <si>
    <t>Point 6</t>
  </si>
  <si>
    <t>MPa</t>
  </si>
  <si>
    <t>m</t>
  </si>
  <si>
    <t>As (mm²)</t>
  </si>
  <si>
    <t>Ac (mm²)</t>
  </si>
  <si>
    <t>Interaction diagram</t>
  </si>
  <si>
    <t xml:space="preserve">Ned </t>
  </si>
  <si>
    <t>KN.m</t>
  </si>
  <si>
    <t>m3</t>
  </si>
  <si>
    <t>-</t>
  </si>
  <si>
    <t>kN</t>
  </si>
  <si>
    <t xml:space="preserve">Nrd </t>
  </si>
  <si>
    <t>Mrd +</t>
  </si>
  <si>
    <t>Mrd -</t>
  </si>
  <si>
    <t>A propos:</t>
  </si>
  <si>
    <t>CALCUL POTEAU BA -  FLEXION COMPOSEE</t>
  </si>
  <si>
    <t xml:space="preserve">  Cette feuille excel permet de faire une vérification du poteau en flexion composée..</t>
  </si>
  <si>
    <t>Par NETACivil,    Version 1,0, (C)2017</t>
  </si>
  <si>
    <t xml:space="preserve">  à base des dimensions de la section et des valeurs des sollicitations M et N.</t>
  </si>
  <si>
    <t xml:space="preserve">   L'auteur de la feuille n'est pas responsable de l'utilisation de celle-ci par un tiers.</t>
  </si>
  <si>
    <t>Mode d'emploi:</t>
  </si>
  <si>
    <t>Le poteau est armé symétriquement (As1=As2)</t>
  </si>
  <si>
    <t>b=</t>
  </si>
  <si>
    <t>Dimensions :</t>
  </si>
  <si>
    <t>M_haut=</t>
  </si>
  <si>
    <t>M_bas=</t>
  </si>
  <si>
    <t>L=</t>
  </si>
  <si>
    <t>h=</t>
  </si>
  <si>
    <t>d'/h=</t>
  </si>
  <si>
    <t>Vol=</t>
  </si>
  <si>
    <t>Ac_est=</t>
  </si>
  <si>
    <t>As_est=</t>
  </si>
  <si>
    <t>Flambement</t>
  </si>
  <si>
    <t>k=</t>
  </si>
  <si>
    <t>Mo1=</t>
  </si>
  <si>
    <t>Mo2=</t>
  </si>
  <si>
    <t>λ=</t>
  </si>
  <si>
    <t>λlim=</t>
  </si>
  <si>
    <t>N_bas=</t>
  </si>
  <si>
    <t>kN.m</t>
  </si>
  <si>
    <t>Efforts RDM</t>
  </si>
  <si>
    <t>1ère estimation des sections</t>
  </si>
  <si>
    <t>taux armatures=</t>
  </si>
  <si>
    <t>%</t>
  </si>
  <si>
    <t>fck=</t>
  </si>
  <si>
    <t>Ecm=</t>
  </si>
  <si>
    <t>fyk=</t>
  </si>
  <si>
    <t>Es=</t>
  </si>
  <si>
    <t>Matériau: Béton</t>
  </si>
  <si>
    <t>Matériau: acier:</t>
  </si>
  <si>
    <t>effets du 2nd ordre:</t>
  </si>
  <si>
    <t>nu=</t>
  </si>
  <si>
    <t>n=</t>
  </si>
  <si>
    <t>Kr=</t>
  </si>
  <si>
    <r>
      <t>K</t>
    </r>
    <r>
      <rPr>
        <i/>
        <sz val="11"/>
        <rFont val="Calibri"/>
        <family val="2"/>
      </rPr>
      <t>ψ=</t>
    </r>
  </si>
  <si>
    <t>Moe=</t>
  </si>
  <si>
    <t>φ(∞,t0)=</t>
  </si>
  <si>
    <t>φef=</t>
  </si>
  <si>
    <t>e2=</t>
  </si>
  <si>
    <t>M2=</t>
  </si>
  <si>
    <t>Med=</t>
  </si>
  <si>
    <t>Med1 =</t>
  </si>
  <si>
    <t>Med2=</t>
  </si>
  <si>
    <t>Ned=</t>
  </si>
  <si>
    <t>μ (Ned)=</t>
  </si>
  <si>
    <t>ν (Med)=</t>
  </si>
  <si>
    <t>Lo=</t>
  </si>
  <si>
    <t>Efforts de calcul:</t>
  </si>
  <si>
    <t>Efforts réduits:</t>
  </si>
  <si>
    <t>ω=</t>
  </si>
  <si>
    <t>As, req=</t>
  </si>
  <si>
    <t>As,min=</t>
  </si>
  <si>
    <t>Référence:</t>
  </si>
  <si>
    <t>"How to design concrete structures using Eurocode 2", Concrete Center, Déc 2006</t>
  </si>
  <si>
    <t>As=</t>
  </si>
  <si>
    <t>Efforts - flexion composée</t>
  </si>
  <si>
    <t>Cadres:</t>
  </si>
  <si>
    <t>smax=</t>
  </si>
  <si>
    <t>Aciers long.:</t>
  </si>
  <si>
    <t>Choix aciers:</t>
  </si>
  <si>
    <t>mm au milieu</t>
  </si>
  <si>
    <t>mm aux extrémités</t>
  </si>
  <si>
    <t>x</t>
  </si>
  <si>
    <t>Points de tracé</t>
  </si>
  <si>
    <t>Notes:</t>
  </si>
  <si>
    <t>x= axe neutre, évalué à partir du haut de la section</t>
  </si>
  <si>
    <t>Tableau des données du graphe</t>
  </si>
  <si>
    <t>Diagrammes</t>
  </si>
  <si>
    <t>Diagramme M-N</t>
  </si>
  <si>
    <t>Les données sont les  cases accessibles (en bleu).</t>
  </si>
  <si>
    <t>Les effets dus au flambement sont pris en compte dans les calculs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</si>
</sst>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&quot;HA&quot;0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4"/>
      <color theme="8" tint="-0.249977111117893"/>
      <name val="Times New Roman"/>
      <family val="1"/>
    </font>
    <font>
      <i/>
      <u/>
      <sz val="12"/>
      <color theme="1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i/>
      <sz val="11"/>
      <color theme="1"/>
      <name val="Calibri"/>
      <family val="2"/>
      <scheme val="minor"/>
    </font>
    <font>
      <i/>
      <sz val="18"/>
      <color theme="1"/>
      <name val="Berlin Sans FB Demi"/>
      <family val="2"/>
    </font>
    <font>
      <b/>
      <i/>
      <sz val="11"/>
      <color theme="9" tint="-0.249977111117893"/>
      <name val="Times New Roman"/>
      <family val="1"/>
    </font>
    <font>
      <b/>
      <i/>
      <sz val="12"/>
      <color theme="9" tint="-0.249977111117893"/>
      <name val="Calibri"/>
      <family val="2"/>
    </font>
    <font>
      <i/>
      <sz val="12"/>
      <color rgb="FF000000"/>
      <name val="Times New Roman"/>
      <family val="1"/>
    </font>
    <font>
      <i/>
      <sz val="11"/>
      <name val="Calibri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u/>
      <sz val="9"/>
      <color theme="1"/>
      <name val="Century Gothic"/>
      <family val="2"/>
    </font>
    <font>
      <u/>
      <sz val="10"/>
      <color theme="1"/>
      <name val="Century Gothic"/>
      <family val="2"/>
    </font>
    <font>
      <b/>
      <u/>
      <sz val="11"/>
      <name val="Century Gothic"/>
      <family val="2"/>
    </font>
    <font>
      <sz val="9"/>
      <color theme="1"/>
      <name val="Century Gothic"/>
      <family val="2"/>
    </font>
    <font>
      <sz val="11"/>
      <name val="Century Gothic"/>
      <family val="2"/>
    </font>
    <font>
      <sz val="8"/>
      <color theme="1"/>
      <name val="Century Gothic"/>
      <family val="2"/>
    </font>
    <font>
      <b/>
      <u/>
      <sz val="10"/>
      <color theme="4" tint="-0.249977111117893"/>
      <name val="Century Gothic"/>
      <family val="2"/>
    </font>
    <font>
      <sz val="10"/>
      <name val="Century Gothic"/>
      <family val="2"/>
    </font>
    <font>
      <b/>
      <u/>
      <sz val="10"/>
      <color rgb="FFFF0000"/>
      <name val="Century Gothic"/>
      <family val="2"/>
    </font>
    <font>
      <b/>
      <u/>
      <sz val="10"/>
      <color rgb="FF0070C0"/>
      <name val="Century Gothic"/>
      <family val="2"/>
    </font>
    <font>
      <b/>
      <u/>
      <sz val="10"/>
      <color rgb="FF00B050"/>
      <name val="Century Gothic"/>
      <family val="2"/>
    </font>
    <font>
      <b/>
      <u/>
      <sz val="10"/>
      <color rgb="FFFFC000"/>
      <name val="Century Gothic"/>
      <family val="2"/>
    </font>
    <font>
      <b/>
      <u/>
      <sz val="10"/>
      <color rgb="FF7030A0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166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7" fillId="0" borderId="0" xfId="0" applyFont="1" applyBorder="1" applyAlignment="1">
      <alignment horizontal="right" inden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1" fontId="4" fillId="0" borderId="0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6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20" fillId="0" borderId="9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1" fontId="23" fillId="0" borderId="0" xfId="0" applyNumberFormat="1" applyFont="1" applyBorder="1" applyAlignment="1" applyProtection="1">
      <alignment vertical="center"/>
      <protection locked="0"/>
    </xf>
    <xf numFmtId="2" fontId="23" fillId="0" borderId="0" xfId="0" applyNumberFormat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</xf>
    <xf numFmtId="2" fontId="24" fillId="0" borderId="0" xfId="0" applyNumberFormat="1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horizontal="left" vertical="center" indent="1"/>
    </xf>
    <xf numFmtId="0" fontId="21" fillId="0" borderId="9" xfId="0" applyFont="1" applyBorder="1" applyAlignment="1" applyProtection="1">
      <alignment horizontal="left" vertical="center" indent="1"/>
    </xf>
    <xf numFmtId="1" fontId="24" fillId="0" borderId="0" xfId="0" applyNumberFormat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4" fontId="24" fillId="0" borderId="0" xfId="0" applyNumberFormat="1" applyFont="1" applyBorder="1" applyAlignment="1" applyProtection="1">
      <alignment vertical="center"/>
      <protection locked="0"/>
    </xf>
    <xf numFmtId="165" fontId="24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/>
    <xf numFmtId="167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</xf>
    <xf numFmtId="1" fontId="23" fillId="0" borderId="8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vertical="center"/>
    </xf>
    <xf numFmtId="0" fontId="15" fillId="0" borderId="0" xfId="0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1" fontId="24" fillId="0" borderId="9" xfId="0" applyNumberFormat="1" applyFont="1" applyBorder="1" applyAlignment="1" applyProtection="1">
      <alignment vertical="center"/>
      <protection locked="0"/>
    </xf>
    <xf numFmtId="165" fontId="24" fillId="0" borderId="2" xfId="0" applyNumberFormat="1" applyFont="1" applyBorder="1" applyAlignment="1" applyProtection="1">
      <alignment vertical="center"/>
      <protection locked="0"/>
    </xf>
    <xf numFmtId="165" fontId="24" fillId="0" borderId="3" xfId="0" applyNumberFormat="1" applyFont="1" applyBorder="1" applyAlignment="1" applyProtection="1">
      <alignment vertical="center"/>
      <protection locked="0"/>
    </xf>
    <xf numFmtId="165" fontId="24" fillId="0" borderId="10" xfId="0" applyNumberFormat="1" applyFont="1" applyBorder="1" applyAlignment="1" applyProtection="1">
      <alignment vertical="center"/>
      <protection locked="0"/>
    </xf>
    <xf numFmtId="165" fontId="24" fillId="0" borderId="1" xfId="0" applyNumberFormat="1" applyFont="1" applyBorder="1" applyAlignment="1" applyProtection="1">
      <alignment vertical="center"/>
      <protection locked="0"/>
    </xf>
    <xf numFmtId="165" fontId="24" fillId="0" borderId="4" xfId="0" applyNumberFormat="1" applyFont="1" applyBorder="1" applyAlignment="1" applyProtection="1">
      <alignment vertical="center"/>
      <protection locked="0"/>
    </xf>
    <xf numFmtId="2" fontId="24" fillId="0" borderId="11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2" fontId="26" fillId="0" borderId="12" xfId="0" applyNumberFormat="1" applyFont="1" applyBorder="1" applyAlignment="1" applyProtection="1">
      <alignment vertical="center"/>
      <protection locked="0"/>
    </xf>
    <xf numFmtId="2" fontId="26" fillId="0" borderId="10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vertical="center"/>
      <protection locked="0"/>
    </xf>
    <xf numFmtId="2" fontId="27" fillId="0" borderId="10" xfId="0" applyNumberFormat="1" applyFont="1" applyBorder="1" applyAlignment="1" applyProtection="1">
      <alignment vertical="center"/>
      <protection locked="0"/>
    </xf>
    <xf numFmtId="2" fontId="28" fillId="0" borderId="12" xfId="0" applyNumberFormat="1" applyFont="1" applyBorder="1" applyAlignment="1" applyProtection="1">
      <alignment vertical="center"/>
      <protection locked="0"/>
    </xf>
    <xf numFmtId="2" fontId="28" fillId="0" borderId="10" xfId="0" applyNumberFormat="1" applyFont="1" applyBorder="1" applyAlignment="1" applyProtection="1">
      <alignment vertical="center"/>
      <protection locked="0"/>
    </xf>
    <xf numFmtId="2" fontId="29" fillId="0" borderId="13" xfId="0" applyNumberFormat="1" applyFont="1" applyBorder="1" applyAlignment="1" applyProtection="1">
      <alignment vertical="center"/>
      <protection locked="0"/>
    </xf>
    <xf numFmtId="2" fontId="29" fillId="0" borderId="4" xfId="0" applyNumberFormat="1" applyFont="1" applyBorder="1" applyAlignment="1" applyProtection="1">
      <alignment vertical="center"/>
      <protection locked="0"/>
    </xf>
    <xf numFmtId="2" fontId="25" fillId="0" borderId="11" xfId="0" applyNumberFormat="1" applyFont="1" applyBorder="1" applyAlignment="1" applyProtection="1">
      <alignment vertical="center"/>
      <protection locked="0"/>
    </xf>
    <xf numFmtId="2" fontId="25" fillId="0" borderId="3" xfId="0" applyNumberFormat="1" applyFont="1" applyBorder="1" applyAlignment="1" applyProtection="1">
      <alignment vertical="center"/>
      <protection locked="0"/>
    </xf>
    <xf numFmtId="2" fontId="24" fillId="0" borderId="6" xfId="0" applyNumberFormat="1" applyFont="1" applyBorder="1" applyAlignment="1" applyProtection="1">
      <alignment horizontal="center" vertical="center"/>
      <protection locked="0"/>
    </xf>
    <xf numFmtId="2" fontId="24" fillId="0" borderId="7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4404794161029"/>
          <c:y val="0.12417180765450232"/>
          <c:w val="0.7935904092194126"/>
          <c:h val="0.8208290054714416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xVal>
            <c:numRef>
              <c:f>'poteau EC2'!$G$42:$G$47</c:f>
              <c:numCache>
                <c:formatCode>0.0</c:formatCode>
                <c:ptCount val="6"/>
                <c:pt idx="0">
                  <c:v>-393.18260869565222</c:v>
                </c:pt>
                <c:pt idx="1">
                  <c:v>416.16</c:v>
                </c:pt>
                <c:pt idx="2">
                  <c:v>867</c:v>
                </c:pt>
                <c:pt idx="3">
                  <c:v>1063.5913043478263</c:v>
                </c:pt>
                <c:pt idx="4">
                  <c:v>1264.068104347826</c:v>
                </c:pt>
                <c:pt idx="5">
                  <c:v>1668.1826086956523</c:v>
                </c:pt>
              </c:numCache>
            </c:numRef>
          </c:xVal>
          <c:yVal>
            <c:numRef>
              <c:f>'poteau EC2'!$H$42:$H$47</c:f>
              <c:numCache>
                <c:formatCode>0.0</c:formatCode>
                <c:ptCount val="6"/>
                <c:pt idx="0">
                  <c:v>0</c:v>
                </c:pt>
                <c:pt idx="1">
                  <c:v>83.332980313043478</c:v>
                </c:pt>
                <c:pt idx="2">
                  <c:v>82.900173913043488</c:v>
                </c:pt>
                <c:pt idx="3">
                  <c:v>62.258086956521744</c:v>
                </c:pt>
                <c:pt idx="4">
                  <c:v>46.601064000000001</c:v>
                </c:pt>
                <c:pt idx="5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</c:spPr>
          </c:marker>
          <c:xVal>
            <c:numRef>
              <c:f>'poteau EC2'!$G$42:$G$47</c:f>
              <c:numCache>
                <c:formatCode>0.0</c:formatCode>
                <c:ptCount val="6"/>
                <c:pt idx="0">
                  <c:v>-393.18260869565222</c:v>
                </c:pt>
                <c:pt idx="1">
                  <c:v>416.16</c:v>
                </c:pt>
                <c:pt idx="2">
                  <c:v>867</c:v>
                </c:pt>
                <c:pt idx="3">
                  <c:v>1063.5913043478263</c:v>
                </c:pt>
                <c:pt idx="4">
                  <c:v>1264.068104347826</c:v>
                </c:pt>
                <c:pt idx="5">
                  <c:v>1668.1826086956523</c:v>
                </c:pt>
              </c:numCache>
            </c:numRef>
          </c:xVal>
          <c:yVal>
            <c:numRef>
              <c:f>'poteau EC2'!$I$42:$I$47</c:f>
              <c:numCache>
                <c:formatCode>0.0</c:formatCode>
                <c:ptCount val="6"/>
                <c:pt idx="0">
                  <c:v>0</c:v>
                </c:pt>
                <c:pt idx="1">
                  <c:v>-83.332980313043478</c:v>
                </c:pt>
                <c:pt idx="2">
                  <c:v>-82.900173913043488</c:v>
                </c:pt>
                <c:pt idx="3">
                  <c:v>-62.258086956521744</c:v>
                </c:pt>
                <c:pt idx="4">
                  <c:v>-46.601064000000001</c:v>
                </c:pt>
                <c:pt idx="5">
                  <c:v>0</c:v>
                </c:pt>
              </c:numCache>
            </c:numRef>
          </c:yVal>
          <c:smooth val="1"/>
        </c:ser>
        <c:ser>
          <c:idx val="2"/>
          <c:order val="2"/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8.2208335990000547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'poteau EC2'!$B$42</c:f>
              <c:numCache>
                <c:formatCode>0.00</c:formatCode>
                <c:ptCount val="1"/>
                <c:pt idx="0">
                  <c:v>775</c:v>
                </c:pt>
              </c:numCache>
            </c:numRef>
          </c:xVal>
          <c:yVal>
            <c:numRef>
              <c:f>'poteau EC2'!$C$42</c:f>
              <c:numCache>
                <c:formatCode>0.00</c:formatCode>
                <c:ptCount val="1"/>
                <c:pt idx="0">
                  <c:v>23.25</c:v>
                </c:pt>
              </c:numCache>
            </c:numRef>
          </c:yVal>
          <c:smooth val="1"/>
        </c:ser>
        <c:ser>
          <c:idx val="3"/>
          <c:order val="3"/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'poteau EC2'!$B$43</c:f>
              <c:numCache>
                <c:formatCode>0.00</c:formatCode>
                <c:ptCount val="1"/>
                <c:pt idx="0">
                  <c:v>200</c:v>
                </c:pt>
              </c:numCache>
            </c:numRef>
          </c:xVal>
          <c:yVal>
            <c:numRef>
              <c:f>'poteau EC2'!$C$43</c:f>
              <c:numCache>
                <c:formatCode>0.00</c:formatCode>
                <c:ptCount val="1"/>
                <c:pt idx="0">
                  <c:v>50</c:v>
                </c:pt>
              </c:numCache>
            </c:numRef>
          </c:yVal>
          <c:smooth val="1"/>
        </c:ser>
        <c:ser>
          <c:idx val="4"/>
          <c:order val="4"/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'poteau EC2'!$B$44</c:f>
              <c:numCache>
                <c:formatCode>0.00</c:formatCode>
                <c:ptCount val="1"/>
                <c:pt idx="0">
                  <c:v>300</c:v>
                </c:pt>
              </c:numCache>
            </c:numRef>
          </c:xVal>
          <c:yVal>
            <c:numRef>
              <c:f>'poteau EC2'!$C$44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1"/>
        </c:ser>
        <c:ser>
          <c:idx val="5"/>
          <c:order val="5"/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'poteau EC2'!$B$45</c:f>
              <c:numCache>
                <c:formatCode>0.00</c:formatCode>
                <c:ptCount val="1"/>
                <c:pt idx="0">
                  <c:v>500</c:v>
                </c:pt>
              </c:numCache>
            </c:numRef>
          </c:xVal>
          <c:yVal>
            <c:numRef>
              <c:f>'poteau EC2'!$C$45</c:f>
              <c:numCache>
                <c:formatCode>0.00</c:formatCode>
                <c:ptCount val="1"/>
                <c:pt idx="0">
                  <c:v>5</c:v>
                </c:pt>
              </c:numCache>
            </c:numRef>
          </c:yVal>
          <c:smooth val="1"/>
        </c:ser>
        <c:ser>
          <c:idx val="6"/>
          <c:order val="6"/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'poteau EC2'!$B$46</c:f>
              <c:numCache>
                <c:formatCode>0.00</c:formatCode>
                <c:ptCount val="1"/>
                <c:pt idx="0">
                  <c:v>700</c:v>
                </c:pt>
              </c:numCache>
            </c:numRef>
          </c:xVal>
          <c:yVal>
            <c:numRef>
              <c:f>'poteau EC2'!$C$46</c:f>
              <c:numCache>
                <c:formatCode>0.00</c:formatCode>
                <c:ptCount val="1"/>
                <c:pt idx="0">
                  <c:v>50</c:v>
                </c:pt>
              </c:numCache>
            </c:numRef>
          </c:yVal>
          <c:smooth val="1"/>
        </c:ser>
        <c:ser>
          <c:idx val="7"/>
          <c:order val="7"/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'poteau EC2'!$B$47</c:f>
              <c:numCache>
                <c:formatCode>0.00</c:formatCode>
                <c:ptCount val="1"/>
                <c:pt idx="0">
                  <c:v>600</c:v>
                </c:pt>
              </c:numCache>
            </c:numRef>
          </c:xVal>
          <c:yVal>
            <c:numRef>
              <c:f>'poteau EC2'!$C$47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33856384"/>
        <c:axId val="-1375569008"/>
      </c:scatterChart>
      <c:valAx>
        <c:axId val="-1633856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050" b="0">
                    <a:latin typeface="Century Gothic" panose="020B0502020202020204" pitchFamily="34" charset="0"/>
                    <a:cs typeface="Times New Roman" pitchFamily="18" charset="0"/>
                  </a:rPr>
                  <a:t>N (KN)</a:t>
                </a:r>
              </a:p>
            </c:rich>
          </c:tx>
          <c:layout>
            <c:manualLayout>
              <c:xMode val="edge"/>
              <c:yMode val="edge"/>
              <c:x val="0.91071048052649595"/>
              <c:y val="0.513505666770570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0"/>
        </c:spPr>
        <c:txPr>
          <a:bodyPr/>
          <a:lstStyle/>
          <a:p>
            <a:pPr>
              <a:defRPr lang="en-GB" sz="1050"/>
            </a:pPr>
            <a:endParaRPr lang="fr-FR"/>
          </a:p>
        </c:txPr>
        <c:crossAx val="-1375569008"/>
        <c:crosses val="autoZero"/>
        <c:crossBetween val="midCat"/>
      </c:valAx>
      <c:valAx>
        <c:axId val="-1375569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GB" sz="11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100" b="0">
                    <a:latin typeface="Century Gothic" panose="020B0502020202020204" pitchFamily="34" charset="0"/>
                    <a:cs typeface="Times New Roman" pitchFamily="18" charset="0"/>
                  </a:rPr>
                  <a:t>M (KNm)</a:t>
                </a:r>
              </a:p>
            </c:rich>
          </c:tx>
          <c:layout>
            <c:manualLayout>
              <c:xMode val="edge"/>
              <c:yMode val="edge"/>
              <c:x val="0.21071204153373868"/>
              <c:y val="4.274962933426459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0"/>
        </c:spPr>
        <c:txPr>
          <a:bodyPr/>
          <a:lstStyle/>
          <a:p>
            <a:pPr>
              <a:defRPr lang="en-GB" sz="1050"/>
            </a:pPr>
            <a:endParaRPr lang="fr-FR"/>
          </a:p>
        </c:txPr>
        <c:crossAx val="-1633856384"/>
        <c:crosses val="autoZero"/>
        <c:crossBetween val="midCat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506149</xdr:colOff>
      <xdr:row>50</xdr:row>
      <xdr:rowOff>119391</xdr:rowOff>
    </xdr:from>
    <xdr:to>
      <xdr:col>11</xdr:col>
      <xdr:colOff>352425</xdr:colOff>
      <xdr:row>63</xdr:row>
      <xdr:rowOff>170133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1</xdr:row>
      <xdr:rowOff>95251</xdr:rowOff>
    </xdr:from>
    <xdr:to>
      <xdr:col>1</xdr:col>
      <xdr:colOff>409575</xdr:colOff>
      <xdr:row>4</xdr:row>
      <xdr:rowOff>71999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1"/>
          <a:ext cx="981075" cy="548248"/>
        </a:xfrm>
        <a:prstGeom prst="rect">
          <a:avLst/>
        </a:prstGeom>
      </xdr:spPr>
    </xdr:pic>
    <xdr:clientData/>
  </xdr:twoCellAnchor>
  <xdr:twoCellAnchor editAs="absolute">
    <xdr:from>
      <xdr:col>13</xdr:col>
      <xdr:colOff>209550</xdr:colOff>
      <xdr:row>66</xdr:row>
      <xdr:rowOff>4764</xdr:rowOff>
    </xdr:from>
    <xdr:to>
      <xdr:col>25</xdr:col>
      <xdr:colOff>226867</xdr:colOff>
      <xdr:row>81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15125" y="13034964"/>
          <a:ext cx="5637067" cy="3690936"/>
        </a:xfrm>
        <a:prstGeom prst="rect">
          <a:avLst/>
        </a:prstGeom>
      </xdr:spPr>
    </xdr:pic>
    <xdr:clientData/>
  </xdr:twoCellAnchor>
  <xdr:twoCellAnchor editAs="absolute">
    <xdr:from>
      <xdr:col>13</xdr:col>
      <xdr:colOff>196933</xdr:colOff>
      <xdr:row>12</xdr:row>
      <xdr:rowOff>95249</xdr:rowOff>
    </xdr:from>
    <xdr:to>
      <xdr:col>25</xdr:col>
      <xdr:colOff>178984</xdr:colOff>
      <xdr:row>31</xdr:row>
      <xdr:rowOff>171449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2508" y="2314574"/>
          <a:ext cx="5601801" cy="3629025"/>
        </a:xfrm>
        <a:prstGeom prst="rect">
          <a:avLst/>
        </a:prstGeom>
      </xdr:spPr>
    </xdr:pic>
    <xdr:clientData/>
  </xdr:twoCellAnchor>
  <xdr:twoCellAnchor editAs="absolute">
    <xdr:from>
      <xdr:col>13</xdr:col>
      <xdr:colOff>171449</xdr:colOff>
      <xdr:row>31</xdr:row>
      <xdr:rowOff>60454</xdr:rowOff>
    </xdr:from>
    <xdr:to>
      <xdr:col>25</xdr:col>
      <xdr:colOff>209550</xdr:colOff>
      <xdr:row>48</xdr:row>
      <xdr:rowOff>142287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77024" y="5832604"/>
          <a:ext cx="5657851" cy="3625133"/>
        </a:xfrm>
        <a:prstGeom prst="rect">
          <a:avLst/>
        </a:prstGeom>
      </xdr:spPr>
    </xdr:pic>
    <xdr:clientData/>
  </xdr:twoCellAnchor>
  <xdr:twoCellAnchor editAs="absolute">
    <xdr:from>
      <xdr:col>13</xdr:col>
      <xdr:colOff>200231</xdr:colOff>
      <xdr:row>48</xdr:row>
      <xdr:rowOff>78556</xdr:rowOff>
    </xdr:from>
    <xdr:to>
      <xdr:col>25</xdr:col>
      <xdr:colOff>199120</xdr:colOff>
      <xdr:row>66</xdr:row>
      <xdr:rowOff>38100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806" y="9394006"/>
          <a:ext cx="5618639" cy="3674294"/>
        </a:xfrm>
        <a:prstGeom prst="rect">
          <a:avLst/>
        </a:prstGeom>
      </xdr:spPr>
    </xdr:pic>
    <xdr:clientData/>
  </xdr:twoCellAnchor>
  <xdr:twoCellAnchor editAs="absolute">
    <xdr:from>
      <xdr:col>13</xdr:col>
      <xdr:colOff>242619</xdr:colOff>
      <xdr:row>82</xdr:row>
      <xdr:rowOff>19051</xdr:rowOff>
    </xdr:from>
    <xdr:to>
      <xdr:col>25</xdr:col>
      <xdr:colOff>256271</xdr:colOff>
      <xdr:row>100</xdr:row>
      <xdr:rowOff>104187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48194" y="16802101"/>
          <a:ext cx="5633402" cy="3666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IERS%20JOE\FICHIERS%20EXCEL\dimensionnement\poteaux%20iso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>
        <row r="3">
          <cell r="E3" t="str">
            <v>C 25 30</v>
          </cell>
          <cell r="F3" t="str">
            <v>C 30 35</v>
          </cell>
        </row>
        <row r="4">
          <cell r="B4" t="str">
            <v>oui</v>
          </cell>
          <cell r="H4">
            <v>6</v>
          </cell>
        </row>
        <row r="5">
          <cell r="B5" t="str">
            <v>non</v>
          </cell>
          <cell r="H5">
            <v>8</v>
          </cell>
        </row>
        <row r="6">
          <cell r="H6">
            <v>10</v>
          </cell>
        </row>
        <row r="7">
          <cell r="H7">
            <v>12</v>
          </cell>
        </row>
        <row r="8">
          <cell r="H8">
            <v>14</v>
          </cell>
        </row>
        <row r="9">
          <cell r="H9">
            <v>16</v>
          </cell>
        </row>
        <row r="10">
          <cell r="H10">
            <v>20</v>
          </cell>
        </row>
        <row r="11">
          <cell r="H11">
            <v>22</v>
          </cell>
        </row>
        <row r="12">
          <cell r="H12">
            <v>24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Y124"/>
  <sheetViews>
    <sheetView showGridLines="0" tabSelected="1" topLeftCell="A16" zoomScaleNormal="100" zoomScalePageLayoutView="85" workbookViewId="0">
      <selection activeCell="D10" sqref="D10"/>
    </sheetView>
  </sheetViews>
  <sheetFormatPr baseColWidth="10" defaultRowHeight="15" x14ac:dyDescent="0.25"/>
  <cols>
    <col min="1" max="1" width="10.140625" style="12" customWidth="1"/>
    <col min="2" max="2" width="7.7109375" style="12" customWidth="1"/>
    <col min="3" max="3" width="8.7109375" style="12" customWidth="1"/>
    <col min="4" max="5" width="8.5703125" style="12" customWidth="1"/>
    <col min="6" max="6" width="7.7109375" style="12" customWidth="1"/>
    <col min="7" max="7" width="7.42578125" style="12" customWidth="1"/>
    <col min="8" max="8" width="8" style="12" customWidth="1"/>
    <col min="9" max="9" width="7.42578125" style="12" customWidth="1"/>
    <col min="10" max="10" width="7.140625" style="12" customWidth="1"/>
    <col min="11" max="11" width="5.140625" style="12" customWidth="1"/>
    <col min="12" max="12" width="5.42578125" style="12" customWidth="1"/>
    <col min="13" max="13" width="5.5703125" style="12" customWidth="1"/>
    <col min="14" max="14" width="6.85546875" style="12" customWidth="1"/>
    <col min="15" max="15" width="7.140625" style="12" customWidth="1"/>
    <col min="16" max="16" width="6.85546875" style="12" customWidth="1"/>
    <col min="17" max="17" width="7.85546875" style="12" customWidth="1"/>
    <col min="18" max="19" width="7.140625" style="12" customWidth="1"/>
    <col min="20" max="20" width="6.85546875" style="12" customWidth="1"/>
    <col min="21" max="21" width="7.140625" style="12" customWidth="1"/>
    <col min="22" max="22" width="6.7109375" style="12" customWidth="1"/>
    <col min="23" max="23" width="6.85546875" style="12" customWidth="1"/>
    <col min="24" max="24" width="6.5703125" style="12" customWidth="1"/>
    <col min="25" max="25" width="7.140625" style="12" customWidth="1"/>
    <col min="26" max="16384" width="11.42578125" style="12"/>
  </cols>
  <sheetData>
    <row r="2" spans="1:25" s="62" customFormat="1" ht="14.25" x14ac:dyDescent="0.25">
      <c r="A2" s="56"/>
      <c r="B2" s="57"/>
      <c r="C2" s="79"/>
      <c r="D2" s="58"/>
      <c r="E2" s="58"/>
      <c r="F2" s="58"/>
      <c r="G2" s="58"/>
      <c r="H2" s="61"/>
      <c r="I2" s="59" t="s">
        <v>30</v>
      </c>
      <c r="J2" s="58"/>
      <c r="K2" s="58"/>
      <c r="L2" s="58"/>
      <c r="M2" s="58"/>
      <c r="N2" s="58"/>
      <c r="O2" s="60"/>
      <c r="P2" s="58"/>
      <c r="Q2" s="58"/>
      <c r="R2" s="58"/>
      <c r="S2" s="58"/>
      <c r="T2" s="58"/>
      <c r="U2" s="58"/>
      <c r="V2" s="58"/>
      <c r="W2" s="58"/>
      <c r="X2" s="58"/>
      <c r="Y2" s="61"/>
    </row>
    <row r="3" spans="1:25" s="62" customFormat="1" ht="14.25" x14ac:dyDescent="0.25">
      <c r="A3" s="64"/>
      <c r="B3" s="65"/>
      <c r="C3" s="80" t="s">
        <v>31</v>
      </c>
      <c r="D3" s="63"/>
      <c r="E3" s="63"/>
      <c r="F3" s="63"/>
      <c r="G3" s="63"/>
      <c r="H3" s="65"/>
      <c r="I3" s="66" t="s">
        <v>32</v>
      </c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5"/>
    </row>
    <row r="4" spans="1:25" s="62" customFormat="1" ht="16.5" x14ac:dyDescent="0.25">
      <c r="A4" s="64"/>
      <c r="B4" s="65"/>
      <c r="C4" s="81" t="s">
        <v>33</v>
      </c>
      <c r="D4" s="63"/>
      <c r="E4" s="63"/>
      <c r="F4" s="63"/>
      <c r="G4" s="63"/>
      <c r="H4" s="65"/>
      <c r="I4" s="66" t="s">
        <v>34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5"/>
    </row>
    <row r="5" spans="1:25" s="62" customFormat="1" ht="14.25" x14ac:dyDescent="0.25">
      <c r="A5" s="67"/>
      <c r="B5" s="74"/>
      <c r="C5" s="67"/>
      <c r="D5" s="68"/>
      <c r="E5" s="68"/>
      <c r="F5" s="68"/>
      <c r="G5" s="68"/>
      <c r="H5" s="69"/>
      <c r="I5" s="70" t="s">
        <v>35</v>
      </c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</row>
    <row r="6" spans="1:25" s="62" customFormat="1" ht="13.5" x14ac:dyDescent="0.25">
      <c r="B6" s="71"/>
      <c r="G6" s="72"/>
      <c r="N6" s="72"/>
      <c r="V6" s="63"/>
      <c r="W6" s="63"/>
    </row>
    <row r="7" spans="1:25" s="62" customFormat="1" ht="14.25" x14ac:dyDescent="0.25">
      <c r="B7" s="71" t="s">
        <v>36</v>
      </c>
      <c r="D7" s="73" t="s">
        <v>105</v>
      </c>
      <c r="G7" s="72"/>
      <c r="N7" s="72"/>
      <c r="V7" s="63"/>
      <c r="W7" s="63"/>
    </row>
    <row r="8" spans="1:25" s="62" customFormat="1" ht="14.25" x14ac:dyDescent="0.25">
      <c r="B8" s="71"/>
      <c r="D8" s="73" t="s">
        <v>37</v>
      </c>
      <c r="G8" s="72"/>
      <c r="N8" s="72"/>
      <c r="V8" s="63"/>
      <c r="W8" s="63"/>
    </row>
    <row r="9" spans="1:25" s="62" customFormat="1" ht="14.25" x14ac:dyDescent="0.25">
      <c r="B9" s="71"/>
      <c r="D9" s="73" t="s">
        <v>106</v>
      </c>
      <c r="G9" s="72"/>
      <c r="N9" s="72"/>
      <c r="V9" s="63"/>
      <c r="W9" s="63"/>
    </row>
    <row r="10" spans="1:25" s="62" customFormat="1" ht="14.25" x14ac:dyDescent="0.25">
      <c r="B10" s="71" t="s">
        <v>88</v>
      </c>
      <c r="D10" s="73" t="s">
        <v>89</v>
      </c>
      <c r="G10" s="72"/>
      <c r="N10" s="72"/>
      <c r="V10" s="63"/>
      <c r="W10" s="63"/>
    </row>
    <row r="11" spans="1:25" s="62" customFormat="1" ht="14.25" x14ac:dyDescent="0.25">
      <c r="B11" s="71"/>
      <c r="D11" s="73"/>
      <c r="G11" s="72"/>
      <c r="N11" s="72"/>
      <c r="V11" s="63"/>
      <c r="W11" s="63"/>
    </row>
    <row r="12" spans="1:25" ht="15.75" x14ac:dyDescent="0.25">
      <c r="B12" s="77" t="s">
        <v>39</v>
      </c>
      <c r="C12" s="77"/>
      <c r="D12" s="83" t="str">
        <f xml:space="preserve"> IF(AND((C13&gt;=3*C14),( C14&lt;4*C15)), "ok","Non ok")</f>
        <v>ok</v>
      </c>
      <c r="E12" s="77" t="s">
        <v>56</v>
      </c>
      <c r="F12" s="77"/>
      <c r="G12" s="77"/>
      <c r="I12" s="77" t="s">
        <v>57</v>
      </c>
      <c r="K12" s="13"/>
      <c r="P12" s="31"/>
      <c r="Q12" s="31"/>
      <c r="R12" s="31"/>
      <c r="S12" s="77" t="s">
        <v>103</v>
      </c>
    </row>
    <row r="13" spans="1:25" ht="15.75" x14ac:dyDescent="0.25">
      <c r="B13" s="72" t="s">
        <v>42</v>
      </c>
      <c r="C13" s="76">
        <v>3</v>
      </c>
      <c r="D13" s="62" t="s">
        <v>18</v>
      </c>
      <c r="E13" s="72" t="s">
        <v>54</v>
      </c>
      <c r="F13" s="76">
        <v>775</v>
      </c>
      <c r="G13" s="62" t="s">
        <v>5</v>
      </c>
      <c r="I13" s="72" t="s">
        <v>58</v>
      </c>
      <c r="J13" s="76">
        <v>1</v>
      </c>
      <c r="K13" s="12" t="s">
        <v>59</v>
      </c>
      <c r="M13" s="62"/>
      <c r="N13" s="14"/>
      <c r="O13" s="89"/>
      <c r="P13" s="89"/>
      <c r="Q13" s="89"/>
      <c r="R13" s="89"/>
      <c r="S13" s="29"/>
    </row>
    <row r="14" spans="1:25" ht="15.75" x14ac:dyDescent="0.25">
      <c r="B14" s="72" t="s">
        <v>38</v>
      </c>
      <c r="C14" s="76">
        <v>0.3</v>
      </c>
      <c r="D14" s="62" t="s">
        <v>18</v>
      </c>
      <c r="E14" s="72" t="s">
        <v>40</v>
      </c>
      <c r="F14" s="76">
        <v>0</v>
      </c>
      <c r="G14" s="62" t="s">
        <v>23</v>
      </c>
      <c r="I14" s="72" t="s">
        <v>46</v>
      </c>
      <c r="J14" s="82">
        <f>F13*1000/(0.85*C19/1.5)</f>
        <v>54705.882352941182</v>
      </c>
      <c r="K14" s="62" t="s">
        <v>2</v>
      </c>
      <c r="L14" s="83" t="str">
        <f xml:space="preserve"> IF(J14&lt;C14*C15*1000000, "ok","Non ok")</f>
        <v>ok</v>
      </c>
      <c r="M14" s="62"/>
      <c r="N14" s="7"/>
      <c r="O14" s="33"/>
      <c r="P14" s="31"/>
      <c r="Q14" s="31"/>
      <c r="R14" s="17"/>
      <c r="S14" s="29"/>
    </row>
    <row r="15" spans="1:25" ht="15.75" x14ac:dyDescent="0.25">
      <c r="B15" s="72" t="s">
        <v>43</v>
      </c>
      <c r="C15" s="76">
        <v>0.3</v>
      </c>
      <c r="D15" s="62" t="s">
        <v>18</v>
      </c>
      <c r="E15" s="72" t="s">
        <v>41</v>
      </c>
      <c r="F15" s="76">
        <v>0</v>
      </c>
      <c r="G15" s="62" t="s">
        <v>23</v>
      </c>
      <c r="I15" s="72" t="s">
        <v>47</v>
      </c>
      <c r="J15" s="82">
        <f>J13/100*J14</f>
        <v>547.05882352941182</v>
      </c>
      <c r="K15" s="62" t="s">
        <v>2</v>
      </c>
      <c r="L15" s="83" t="str">
        <f xml:space="preserve"> IF(J15&gt;0.1725*F13*1000/C22,IF(J15&lt;0.04*C14*C15*1000000, "ok","BIG"),"SMALL")</f>
        <v>ok</v>
      </c>
      <c r="M15" s="54"/>
      <c r="N15" s="7"/>
      <c r="O15" s="33"/>
      <c r="P15" s="31"/>
      <c r="Q15" s="31"/>
      <c r="R15" s="17"/>
      <c r="S15" s="29"/>
    </row>
    <row r="16" spans="1:25" ht="15.75" x14ac:dyDescent="0.25">
      <c r="B16" s="72" t="s">
        <v>44</v>
      </c>
      <c r="C16" s="76">
        <v>0.15</v>
      </c>
      <c r="D16" s="62"/>
      <c r="I16" s="14"/>
      <c r="K16" s="38"/>
      <c r="L16" s="7"/>
      <c r="M16" s="54"/>
      <c r="N16" s="7"/>
      <c r="O16" s="33"/>
      <c r="P16" s="31"/>
      <c r="Q16" s="31"/>
      <c r="R16" s="17"/>
      <c r="S16" s="29"/>
    </row>
    <row r="17" spans="2:20" ht="13.5" customHeight="1" x14ac:dyDescent="0.25">
      <c r="B17" s="72" t="s">
        <v>45</v>
      </c>
      <c r="C17" s="78">
        <f>PRODUCT(C13:C15)</f>
        <v>0.26999999999999996</v>
      </c>
      <c r="D17" s="62" t="s">
        <v>24</v>
      </c>
      <c r="E17" s="42"/>
      <c r="F17" s="41"/>
      <c r="G17" s="50"/>
      <c r="H17" s="42"/>
      <c r="I17" s="14"/>
      <c r="K17" s="38"/>
      <c r="L17" s="30"/>
      <c r="M17" s="54"/>
      <c r="N17" s="30"/>
      <c r="O17" s="33"/>
      <c r="P17" s="31"/>
      <c r="Q17" s="31"/>
      <c r="R17" s="17"/>
      <c r="S17" s="29"/>
    </row>
    <row r="18" spans="2:20" ht="13.5" customHeight="1" x14ac:dyDescent="0.25">
      <c r="B18" s="77" t="s">
        <v>64</v>
      </c>
      <c r="C18" s="77"/>
      <c r="D18" s="51"/>
      <c r="F18" s="84" t="s">
        <v>48</v>
      </c>
      <c r="G18" s="83" t="str">
        <f>IF(F23&lt;F24="OK","non","oui")</f>
        <v>oui</v>
      </c>
      <c r="H18" s="42"/>
      <c r="I18" s="77" t="s">
        <v>66</v>
      </c>
      <c r="K18" s="38"/>
      <c r="L18" s="54"/>
      <c r="M18" s="54"/>
      <c r="N18" s="54"/>
      <c r="O18" s="33"/>
      <c r="P18" s="55"/>
      <c r="Q18" s="55"/>
      <c r="R18" s="17"/>
      <c r="S18" s="29"/>
    </row>
    <row r="19" spans="2:20" ht="13.5" customHeight="1" x14ac:dyDescent="0.25">
      <c r="B19" s="72" t="s">
        <v>60</v>
      </c>
      <c r="C19" s="75">
        <v>25</v>
      </c>
      <c r="D19" s="62" t="s">
        <v>0</v>
      </c>
      <c r="E19" s="72" t="s">
        <v>49</v>
      </c>
      <c r="F19" s="76">
        <v>0.7</v>
      </c>
      <c r="G19" s="62"/>
      <c r="H19" s="42"/>
      <c r="I19" s="72" t="s">
        <v>67</v>
      </c>
      <c r="J19" s="78">
        <f>1+J15*C22/1.15/(C14*C15*1000000*0.85*C19/1.5)</f>
        <v>1.1865503234541899</v>
      </c>
      <c r="K19" s="38"/>
      <c r="L19" s="54"/>
      <c r="M19" s="54"/>
      <c r="N19" s="54"/>
      <c r="O19" s="33"/>
      <c r="P19" s="55"/>
      <c r="Q19" s="55"/>
      <c r="R19" s="17"/>
      <c r="S19" s="29"/>
    </row>
    <row r="20" spans="2:20" ht="13.5" customHeight="1" x14ac:dyDescent="0.25">
      <c r="B20" s="72" t="s">
        <v>61</v>
      </c>
      <c r="C20" s="75">
        <v>31476</v>
      </c>
      <c r="D20" s="62" t="s">
        <v>17</v>
      </c>
      <c r="E20" s="72" t="s">
        <v>82</v>
      </c>
      <c r="F20" s="78">
        <f>F19*C13</f>
        <v>2.0999999999999996</v>
      </c>
      <c r="G20" s="62" t="s">
        <v>18</v>
      </c>
      <c r="H20" s="42"/>
      <c r="I20" s="72" t="s">
        <v>68</v>
      </c>
      <c r="J20" s="78">
        <f>F13*1000/(C14*C15*1000000*0.85*C19/1.5)</f>
        <v>0.60784313725490191</v>
      </c>
      <c r="K20" s="38"/>
      <c r="L20" s="54"/>
      <c r="M20" s="54"/>
      <c r="N20" s="54"/>
      <c r="O20" s="33"/>
      <c r="P20" s="55"/>
      <c r="Q20" s="55"/>
      <c r="R20" s="17"/>
      <c r="S20" s="29"/>
    </row>
    <row r="21" spans="2:20" ht="13.5" customHeight="1" x14ac:dyDescent="0.25">
      <c r="B21" s="77" t="s">
        <v>65</v>
      </c>
      <c r="C21" s="41"/>
      <c r="D21" s="50"/>
      <c r="E21" s="72" t="s">
        <v>50</v>
      </c>
      <c r="F21" s="78">
        <f>MIN(ABS(F14),ABS(F15)) + MAX(F20*1000/400,C15/30,20)/1000*F13</f>
        <v>15.5</v>
      </c>
      <c r="G21" s="62" t="s">
        <v>55</v>
      </c>
      <c r="H21" s="42"/>
      <c r="I21" s="72" t="s">
        <v>69</v>
      </c>
      <c r="J21" s="78">
        <f>MIN((J19-J20)/(J19-0.4),1)</f>
        <v>0.73575354169057561</v>
      </c>
      <c r="K21" s="38"/>
      <c r="L21" s="54"/>
      <c r="M21" s="54"/>
      <c r="N21" s="54"/>
      <c r="O21" s="33"/>
      <c r="P21" s="55"/>
      <c r="Q21" s="55"/>
      <c r="R21" s="17"/>
      <c r="S21" s="29"/>
    </row>
    <row r="22" spans="2:20" ht="13.5" customHeight="1" x14ac:dyDescent="0.25">
      <c r="B22" s="72" t="s">
        <v>62</v>
      </c>
      <c r="C22" s="75">
        <v>500</v>
      </c>
      <c r="D22" s="62" t="s">
        <v>17</v>
      </c>
      <c r="E22" s="72" t="s">
        <v>51</v>
      </c>
      <c r="F22" s="78">
        <f>MAX(ABS(F14),ABS(F15)) + MAX(F20*1000/400,C15/30,20)/1000*F13</f>
        <v>15.5</v>
      </c>
      <c r="G22" s="62" t="s">
        <v>55</v>
      </c>
      <c r="H22" s="42"/>
      <c r="I22" s="72" t="s">
        <v>70</v>
      </c>
      <c r="J22" s="78">
        <f>MAX(1,1+(0.35+C19/200-F23/150))</f>
        <v>1.3135333333333334</v>
      </c>
      <c r="K22" s="38"/>
      <c r="L22" s="54"/>
      <c r="M22" s="54"/>
      <c r="N22" s="54"/>
      <c r="O22" s="33"/>
      <c r="P22" s="55"/>
      <c r="Q22" s="55"/>
      <c r="R22" s="17"/>
      <c r="S22" s="29"/>
    </row>
    <row r="23" spans="2:20" ht="13.5" customHeight="1" x14ac:dyDescent="0.25">
      <c r="B23" s="72" t="s">
        <v>63</v>
      </c>
      <c r="C23" s="75">
        <v>200000</v>
      </c>
      <c r="D23" s="62" t="s">
        <v>17</v>
      </c>
      <c r="E23" s="72" t="s">
        <v>52</v>
      </c>
      <c r="F23" s="78">
        <f>3.46*F20/C14</f>
        <v>24.22</v>
      </c>
      <c r="G23" s="62" t="s">
        <v>18</v>
      </c>
      <c r="H23" s="42"/>
      <c r="I23" s="72" t="s">
        <v>71</v>
      </c>
      <c r="J23" s="78">
        <f>MAX(0.6*F22+0.4*F21,0.4*F22)</f>
        <v>15.5</v>
      </c>
      <c r="K23" s="62" t="s">
        <v>55</v>
      </c>
      <c r="L23" s="54"/>
      <c r="M23" s="54"/>
      <c r="N23" s="54"/>
      <c r="O23" s="33"/>
      <c r="P23" s="55"/>
      <c r="Q23" s="55"/>
      <c r="R23" s="17"/>
      <c r="S23" s="29"/>
    </row>
    <row r="24" spans="2:20" ht="13.5" customHeight="1" x14ac:dyDescent="0.25">
      <c r="B24" s="72"/>
      <c r="C24" s="78"/>
      <c r="D24" s="62"/>
      <c r="E24" s="72" t="s">
        <v>53</v>
      </c>
      <c r="F24" s="78">
        <f>15.4*(1.7-F21/F22)/SQRT(F13*1000/(C14*C15*1000000*0.85*C19/1.5))</f>
        <v>13.826842057762956</v>
      </c>
      <c r="G24" s="62" t="s">
        <v>18</v>
      </c>
      <c r="H24" s="42"/>
      <c r="I24" s="72" t="s">
        <v>72</v>
      </c>
      <c r="J24" s="76">
        <v>2</v>
      </c>
      <c r="K24" s="62"/>
      <c r="L24" s="54"/>
      <c r="M24" s="54"/>
      <c r="N24" s="54"/>
      <c r="O24" s="33"/>
      <c r="P24" s="55"/>
      <c r="Q24" s="55"/>
      <c r="R24" s="17"/>
      <c r="S24" s="29"/>
    </row>
    <row r="25" spans="2:20" ht="14.25" customHeight="1" x14ac:dyDescent="0.3">
      <c r="E25" s="72" t="s">
        <v>77</v>
      </c>
      <c r="F25" s="78">
        <f>F22</f>
        <v>15.5</v>
      </c>
      <c r="G25" s="62" t="s">
        <v>55</v>
      </c>
      <c r="H25" s="52"/>
      <c r="I25" s="72" t="s">
        <v>73</v>
      </c>
      <c r="J25" s="76">
        <f>J24</f>
        <v>2</v>
      </c>
      <c r="K25" s="62"/>
      <c r="L25" s="16"/>
      <c r="M25" s="16"/>
      <c r="N25" s="16"/>
      <c r="O25" s="33"/>
      <c r="P25" s="31"/>
      <c r="Q25" s="31"/>
      <c r="R25" s="34"/>
      <c r="S25" s="29"/>
    </row>
    <row r="26" spans="2:20" ht="16.5" customHeight="1" x14ac:dyDescent="0.25">
      <c r="I26" s="72" t="s">
        <v>74</v>
      </c>
      <c r="J26" s="78">
        <f>0.1*(J21*J22*C22/1.15/((0.4*(1-C16)*C15*C23)))*F20^2</f>
        <v>9.0835172578585827E-3</v>
      </c>
      <c r="K26" s="62" t="s">
        <v>18</v>
      </c>
      <c r="L26" s="16"/>
      <c r="M26" s="16"/>
      <c r="N26" s="16"/>
      <c r="O26" s="33"/>
      <c r="P26" s="31"/>
      <c r="Q26" s="31"/>
      <c r="R26" s="34"/>
      <c r="S26" s="29"/>
    </row>
    <row r="27" spans="2:20" ht="15.75" x14ac:dyDescent="0.25">
      <c r="I27" s="72" t="s">
        <v>75</v>
      </c>
      <c r="J27" s="78">
        <f>F13*J26</f>
        <v>7.0397258748404017</v>
      </c>
      <c r="K27" s="62" t="s">
        <v>55</v>
      </c>
      <c r="L27" s="16"/>
      <c r="M27" s="16"/>
      <c r="N27" s="16"/>
      <c r="O27" s="88"/>
      <c r="P27" s="88"/>
      <c r="Q27" s="17"/>
      <c r="R27" s="17"/>
      <c r="S27" s="29"/>
    </row>
    <row r="28" spans="2:20" ht="15.75" customHeight="1" x14ac:dyDescent="0.25">
      <c r="I28" s="72" t="s">
        <v>78</v>
      </c>
      <c r="J28" s="78">
        <f>MAX(F22,J23+J27,F21+0.5*F22)</f>
        <v>23.25</v>
      </c>
      <c r="K28" s="62" t="s">
        <v>55</v>
      </c>
      <c r="L28" s="16"/>
      <c r="M28" s="16"/>
      <c r="N28" s="16"/>
      <c r="O28" s="17"/>
      <c r="P28" s="17"/>
      <c r="Q28" s="17"/>
      <c r="R28" s="17"/>
      <c r="S28" s="29"/>
      <c r="T28" s="86"/>
    </row>
    <row r="29" spans="2:20" ht="15.75" customHeight="1" x14ac:dyDescent="0.3">
      <c r="B29" s="77" t="s">
        <v>91</v>
      </c>
      <c r="C29" s="52"/>
      <c r="D29" s="52"/>
      <c r="H29" s="77" t="s">
        <v>94</v>
      </c>
      <c r="K29" s="77" t="s">
        <v>95</v>
      </c>
      <c r="M29" s="16"/>
      <c r="N29" s="16"/>
      <c r="O29" s="15"/>
      <c r="P29" s="15"/>
      <c r="Q29" s="15"/>
      <c r="R29" s="15"/>
      <c r="S29" s="29"/>
      <c r="T29" s="86"/>
    </row>
    <row r="30" spans="2:20" s="15" customFormat="1" ht="15" customHeight="1" x14ac:dyDescent="0.25">
      <c r="B30" s="85" t="s">
        <v>83</v>
      </c>
      <c r="E30" s="85" t="s">
        <v>84</v>
      </c>
      <c r="H30" s="72" t="s">
        <v>85</v>
      </c>
      <c r="I30" s="76">
        <v>0.1</v>
      </c>
      <c r="J30" s="12"/>
      <c r="K30" s="12"/>
      <c r="L30" s="12"/>
      <c r="M30" s="12"/>
      <c r="N30" s="16"/>
      <c r="S30" s="29"/>
      <c r="T30" s="27"/>
    </row>
    <row r="31" spans="2:20" ht="15.75" x14ac:dyDescent="0.25">
      <c r="B31" s="72" t="s">
        <v>79</v>
      </c>
      <c r="C31" s="78">
        <f>F13</f>
        <v>775</v>
      </c>
      <c r="D31" s="62" t="s">
        <v>26</v>
      </c>
      <c r="E31" s="72" t="s">
        <v>80</v>
      </c>
      <c r="F31" s="90">
        <f>C31/(C15*C14*C19*1000)</f>
        <v>0.34444444444444444</v>
      </c>
      <c r="H31" s="72" t="s">
        <v>86</v>
      </c>
      <c r="I31" s="82">
        <f>I30*C15*C14*1000000*C19/C22</f>
        <v>450</v>
      </c>
      <c r="J31" s="62" t="s">
        <v>2</v>
      </c>
      <c r="K31" s="95">
        <v>8</v>
      </c>
      <c r="L31" s="93">
        <v>12</v>
      </c>
      <c r="M31" s="83" t="str">
        <f xml:space="preserve"> IF(MAX(I31,I35)&lt;I32, "ok","Non ok")</f>
        <v>ok</v>
      </c>
      <c r="N31" s="16"/>
      <c r="O31" s="15"/>
      <c r="P31" s="15"/>
      <c r="Q31" s="15"/>
      <c r="R31" s="15"/>
      <c r="S31" s="29"/>
      <c r="T31" s="27"/>
    </row>
    <row r="32" spans="2:20" ht="15.75" x14ac:dyDescent="0.25">
      <c r="B32" s="72" t="s">
        <v>76</v>
      </c>
      <c r="C32" s="78">
        <f>IF(G18="oui",J28,F25)</f>
        <v>23.25</v>
      </c>
      <c r="D32" s="62" t="s">
        <v>55</v>
      </c>
      <c r="E32" s="72" t="s">
        <v>81</v>
      </c>
      <c r="F32" s="90">
        <f>C32/(C15*POWER(C14,2)*C19*1000)</f>
        <v>3.4444444444444444E-2</v>
      </c>
      <c r="H32" s="72" t="s">
        <v>90</v>
      </c>
      <c r="I32" s="82">
        <f>K31*3.14*L31^2/4</f>
        <v>904.32</v>
      </c>
      <c r="J32" s="62" t="s">
        <v>2</v>
      </c>
      <c r="M32" s="83" t="str">
        <f xml:space="preserve"> IF(I31&lt;I32, "ok","Non ok")</f>
        <v>ok</v>
      </c>
      <c r="N32" s="16"/>
      <c r="O32" s="15"/>
      <c r="P32" s="15"/>
      <c r="Q32" s="15"/>
      <c r="R32" s="15"/>
      <c r="S32" s="29"/>
      <c r="T32" s="27"/>
    </row>
    <row r="33" spans="2:20" ht="18" customHeight="1" x14ac:dyDescent="0.25">
      <c r="C33" s="40"/>
      <c r="D33" s="14"/>
      <c r="N33" s="16"/>
      <c r="O33" s="87"/>
      <c r="P33" s="87"/>
      <c r="Q33" s="87"/>
      <c r="R33" s="35"/>
      <c r="S33" s="27"/>
      <c r="T33" s="29"/>
    </row>
    <row r="34" spans="2:20" ht="18" customHeight="1" x14ac:dyDescent="0.25">
      <c r="B34" s="77" t="s">
        <v>21</v>
      </c>
      <c r="C34" s="96"/>
      <c r="D34" s="96"/>
      <c r="E34" s="96"/>
      <c r="F34" s="96"/>
      <c r="G34" s="14"/>
      <c r="H34" s="77" t="s">
        <v>92</v>
      </c>
      <c r="N34" s="16"/>
      <c r="O34" s="39"/>
      <c r="P34" s="39"/>
      <c r="Q34" s="39"/>
      <c r="R34" s="35"/>
      <c r="S34" s="27"/>
      <c r="T34" s="29"/>
    </row>
    <row r="35" spans="2:20" ht="15.75" customHeight="1" x14ac:dyDescent="0.25">
      <c r="B35" s="97" t="s">
        <v>4</v>
      </c>
      <c r="C35" s="82">
        <f>C14*1000</f>
        <v>300</v>
      </c>
      <c r="D35" s="14"/>
      <c r="E35" s="97" t="s">
        <v>20</v>
      </c>
      <c r="F35" s="82">
        <f>C35*C36</f>
        <v>90000</v>
      </c>
      <c r="G35" s="92"/>
      <c r="H35" s="72" t="s">
        <v>87</v>
      </c>
      <c r="I35" s="82">
        <f>MAX(0.002*C14*C15*1000000,0.1*F13*1000/(C22/1.15))</f>
        <v>179.99999999999997</v>
      </c>
      <c r="J35" s="62" t="s">
        <v>2</v>
      </c>
      <c r="K35" s="95">
        <v>1</v>
      </c>
      <c r="L35" s="93">
        <v>8</v>
      </c>
      <c r="M35" s="83" t="str">
        <f>IF(AND(L35&gt;=6,L35&gt;0.25*L31),"ok","SMALL")</f>
        <v>ok</v>
      </c>
      <c r="N35" s="15"/>
      <c r="O35" s="32"/>
      <c r="P35" s="1"/>
      <c r="Q35" s="1"/>
      <c r="R35" s="2"/>
      <c r="S35" s="29"/>
      <c r="T35" s="29"/>
    </row>
    <row r="36" spans="2:20" ht="15.75" x14ac:dyDescent="0.25">
      <c r="B36" s="97" t="s">
        <v>8</v>
      </c>
      <c r="C36" s="82">
        <f>C15*1000</f>
        <v>300</v>
      </c>
      <c r="D36" s="14"/>
      <c r="E36" s="97" t="s">
        <v>7</v>
      </c>
      <c r="F36" s="82">
        <f>MAX(0.115*C31/F35,0.002*C35*C36)</f>
        <v>180</v>
      </c>
      <c r="H36" s="94" t="s">
        <v>93</v>
      </c>
      <c r="I36" s="82">
        <f>1.67*MIN(12*L31,0.6*MIN(C35,C36),240)</f>
        <v>240.48</v>
      </c>
      <c r="J36" s="62" t="s">
        <v>96</v>
      </c>
      <c r="K36" s="85"/>
      <c r="M36" s="16"/>
      <c r="N36" s="15"/>
      <c r="O36" s="32"/>
      <c r="P36" s="1"/>
      <c r="Q36" s="1"/>
      <c r="R36" s="3"/>
      <c r="S36" s="29"/>
      <c r="T36" s="29"/>
    </row>
    <row r="37" spans="2:20" ht="15.75" x14ac:dyDescent="0.25">
      <c r="B37" s="97" t="s">
        <v>9</v>
      </c>
      <c r="C37" s="78">
        <f>C16</f>
        <v>0.15</v>
      </c>
      <c r="D37" s="6"/>
      <c r="E37" s="97" t="s">
        <v>19</v>
      </c>
      <c r="F37" s="82">
        <f>I32</f>
        <v>904.32</v>
      </c>
      <c r="H37" s="94" t="s">
        <v>93</v>
      </c>
      <c r="I37" s="82">
        <f>MIN(12*L31,0.6*MIN(C14,C15)*1000,240)</f>
        <v>144</v>
      </c>
      <c r="J37" s="62" t="s">
        <v>97</v>
      </c>
      <c r="K37" s="85"/>
      <c r="N37" s="15"/>
      <c r="O37" s="32"/>
      <c r="P37" s="1"/>
      <c r="Q37" s="1"/>
      <c r="R37" s="15"/>
      <c r="S37" s="29"/>
      <c r="T37" s="29"/>
    </row>
    <row r="38" spans="2:20" ht="15.75" x14ac:dyDescent="0.25">
      <c r="B38" s="97" t="s">
        <v>15</v>
      </c>
      <c r="C38" s="82">
        <f>C37*C36</f>
        <v>45</v>
      </c>
      <c r="D38" s="14"/>
      <c r="E38" s="97" t="s">
        <v>6</v>
      </c>
      <c r="F38" s="82">
        <f>0.04*C35*C36</f>
        <v>3600</v>
      </c>
      <c r="N38" s="15"/>
      <c r="O38" s="32"/>
      <c r="P38" s="1"/>
      <c r="Q38" s="1"/>
      <c r="R38" s="36"/>
      <c r="S38" s="37"/>
      <c r="T38" s="29"/>
    </row>
    <row r="39" spans="2:20" ht="18" customHeight="1" x14ac:dyDescent="0.25">
      <c r="B39" s="97" t="s">
        <v>1</v>
      </c>
      <c r="C39" s="82">
        <f>C36-C38</f>
        <v>255</v>
      </c>
      <c r="D39" s="14"/>
      <c r="E39" s="14"/>
      <c r="F39" s="14"/>
      <c r="N39" s="17"/>
      <c r="O39" s="33"/>
      <c r="P39" s="31"/>
      <c r="Q39" s="31"/>
      <c r="R39" s="34"/>
      <c r="S39" s="37"/>
      <c r="T39" s="29"/>
    </row>
    <row r="40" spans="2:20" ht="15.75" x14ac:dyDescent="0.25">
      <c r="B40" s="77" t="s">
        <v>99</v>
      </c>
      <c r="C40" s="9"/>
      <c r="D40" s="10"/>
      <c r="E40" s="77" t="s">
        <v>102</v>
      </c>
      <c r="F40" s="14"/>
      <c r="G40" s="14"/>
      <c r="H40" s="14"/>
      <c r="I40" s="22"/>
      <c r="N40" s="17"/>
      <c r="O40" s="17"/>
      <c r="P40" s="17"/>
      <c r="Q40" s="17"/>
      <c r="R40" s="17"/>
      <c r="S40" s="17"/>
    </row>
    <row r="41" spans="2:20" x14ac:dyDescent="0.25">
      <c r="B41" s="97" t="s">
        <v>22</v>
      </c>
      <c r="C41" s="97" t="s">
        <v>3</v>
      </c>
      <c r="E41" s="97"/>
      <c r="F41" s="97" t="s">
        <v>98</v>
      </c>
      <c r="G41" s="97" t="s">
        <v>27</v>
      </c>
      <c r="H41" s="97" t="s">
        <v>28</v>
      </c>
      <c r="I41" s="97" t="s">
        <v>29</v>
      </c>
      <c r="N41" s="17"/>
      <c r="O41" s="17"/>
      <c r="P41" s="17"/>
      <c r="Q41" s="17"/>
      <c r="R41" s="17"/>
      <c r="S41" s="17"/>
    </row>
    <row r="42" spans="2:20" ht="18.75" customHeight="1" x14ac:dyDescent="0.25">
      <c r="B42" s="108">
        <f>C31</f>
        <v>775</v>
      </c>
      <c r="C42" s="98">
        <f>C32</f>
        <v>23.25</v>
      </c>
      <c r="E42" s="99" t="s">
        <v>10</v>
      </c>
      <c r="F42" s="121" t="s">
        <v>25</v>
      </c>
      <c r="G42" s="103">
        <f>-(C22/1.15)*F37/1000</f>
        <v>-393.18260869565222</v>
      </c>
      <c r="H42" s="103">
        <v>0</v>
      </c>
      <c r="I42" s="104">
        <f t="shared" ref="I42:I47" si="0">-H42</f>
        <v>0</v>
      </c>
      <c r="L42" s="14"/>
      <c r="M42" s="14"/>
      <c r="N42" s="17"/>
      <c r="O42" s="17"/>
      <c r="P42" s="17"/>
      <c r="Q42" s="17"/>
      <c r="R42" s="17"/>
      <c r="S42" s="17"/>
    </row>
    <row r="43" spans="2:20" x14ac:dyDescent="0.25">
      <c r="B43" s="119">
        <v>200</v>
      </c>
      <c r="C43" s="120">
        <v>50</v>
      </c>
      <c r="E43" s="100" t="s">
        <v>11</v>
      </c>
      <c r="F43" s="102">
        <f>2.72*C38</f>
        <v>122.4</v>
      </c>
      <c r="G43" s="91">
        <f>(0.85*C19/1.5)*0.8*F43*$C$35/1000</f>
        <v>416.16</v>
      </c>
      <c r="H43" s="91">
        <f>((C22/1.15)*(F37/2)*(C39-C38)+(0.85*C19/1.5)*0.8*F43*C35*(C36/2-0.4*F43))/1000000</f>
        <v>83.332980313043478</v>
      </c>
      <c r="I43" s="105">
        <f t="shared" si="0"/>
        <v>-83.332980313043478</v>
      </c>
      <c r="N43" s="17"/>
      <c r="O43" s="17"/>
      <c r="P43" s="17"/>
      <c r="Q43" s="17"/>
      <c r="R43" s="17"/>
      <c r="S43" s="17"/>
    </row>
    <row r="44" spans="2:20" x14ac:dyDescent="0.25">
      <c r="B44" s="111">
        <v>300</v>
      </c>
      <c r="C44" s="112">
        <v>20</v>
      </c>
      <c r="E44" s="100" t="s">
        <v>12</v>
      </c>
      <c r="F44" s="102">
        <f>C39</f>
        <v>255</v>
      </c>
      <c r="G44" s="91">
        <f>(0.85*C19/1.5)*0.8*F44*$C$35/1000</f>
        <v>867</v>
      </c>
      <c r="H44" s="91">
        <f>((C22/1.15)*(F37/2)*(C39-C38)+(0.85*C19/1.5)*0.8*F44*C35*(C36/2-0.4*F44))/1000000</f>
        <v>82.900173913043488</v>
      </c>
      <c r="I44" s="105">
        <f t="shared" si="0"/>
        <v>-82.900173913043488</v>
      </c>
      <c r="J44" s="14"/>
      <c r="K44" s="14"/>
      <c r="N44" s="17"/>
      <c r="O44" s="17"/>
      <c r="P44" s="17"/>
      <c r="Q44" s="17"/>
      <c r="R44" s="17"/>
      <c r="S44" s="17"/>
    </row>
    <row r="45" spans="2:20" ht="18.75" customHeight="1" x14ac:dyDescent="0.25">
      <c r="B45" s="113">
        <v>500</v>
      </c>
      <c r="C45" s="114">
        <v>5</v>
      </c>
      <c r="E45" s="100" t="s">
        <v>13</v>
      </c>
      <c r="F45" s="102">
        <f>C39</f>
        <v>255</v>
      </c>
      <c r="G45" s="91">
        <f>((C22/1.15)*F37/2+(0.85*C19/1.5)*0.8*F45*$C$35)/1000</f>
        <v>1063.5913043478263</v>
      </c>
      <c r="H45" s="91">
        <f>((C22/1.15)*(F37/2)*(C36/2-C38)+(0.85*C19/1.5)*0.8*F45*C35*(C36/2-0.4*F45))/1000000</f>
        <v>62.258086956521744</v>
      </c>
      <c r="I45" s="105">
        <f t="shared" si="0"/>
        <v>-62.258086956521744</v>
      </c>
      <c r="K45" s="14"/>
      <c r="N45" s="17"/>
      <c r="O45" s="17"/>
      <c r="P45" s="17"/>
      <c r="Q45" s="17"/>
      <c r="R45" s="17"/>
      <c r="S45" s="17"/>
    </row>
    <row r="46" spans="2:20" x14ac:dyDescent="0.25">
      <c r="B46" s="115">
        <v>700</v>
      </c>
      <c r="C46" s="116">
        <v>50</v>
      </c>
      <c r="E46" s="100" t="s">
        <v>14</v>
      </c>
      <c r="F46" s="102">
        <f>C36</f>
        <v>300</v>
      </c>
      <c r="G46" s="91">
        <f>((C23*3.5/1000*C37*F37/2)+(C22/1.15)*F37/2+(0.85*C19/1.5)*0.8*F46*$C$35)/1000</f>
        <v>1264.068104347826</v>
      </c>
      <c r="H46" s="91">
        <f>((C23*3.5/1000*C37)*(F37/2)*(C36/2-C38)+(0.85*C19/1.5)*0.8*F45*C35*(C36/2-0.4*F45))/1000000</f>
        <v>46.601064000000001</v>
      </c>
      <c r="I46" s="105">
        <f t="shared" si="0"/>
        <v>-46.601064000000001</v>
      </c>
      <c r="K46" s="14"/>
      <c r="N46" s="17"/>
      <c r="O46" s="17"/>
      <c r="P46" s="17"/>
      <c r="Q46" s="17"/>
      <c r="R46" s="17"/>
      <c r="S46" s="17"/>
    </row>
    <row r="47" spans="2:20" x14ac:dyDescent="0.25">
      <c r="B47" s="117">
        <v>600</v>
      </c>
      <c r="C47" s="118">
        <v>20</v>
      </c>
      <c r="E47" s="101" t="s">
        <v>16</v>
      </c>
      <c r="F47" s="122" t="s">
        <v>25</v>
      </c>
      <c r="G47" s="106">
        <f>((C22/1.15)*F37+(0.85*C19/1.5)*C36*C35)/1000</f>
        <v>1668.1826086956523</v>
      </c>
      <c r="H47" s="106">
        <v>0</v>
      </c>
      <c r="I47" s="107">
        <f t="shared" si="0"/>
        <v>0</v>
      </c>
      <c r="K47" s="14"/>
      <c r="N47" s="17"/>
      <c r="O47" s="17"/>
      <c r="P47" s="17"/>
      <c r="Q47" s="17"/>
      <c r="R47" s="17"/>
      <c r="S47" s="17"/>
    </row>
    <row r="48" spans="2:20" ht="18" customHeight="1" x14ac:dyDescent="0.25">
      <c r="E48" s="109" t="s">
        <v>100</v>
      </c>
      <c r="K48" s="14"/>
      <c r="N48" s="17"/>
      <c r="O48" s="17"/>
      <c r="P48" s="17"/>
      <c r="Q48" s="17"/>
      <c r="R48" s="17"/>
      <c r="S48" s="17"/>
    </row>
    <row r="49" spans="2:13" ht="15.75" customHeight="1" x14ac:dyDescent="0.25">
      <c r="E49" s="110" t="s">
        <v>101</v>
      </c>
      <c r="J49" s="14"/>
      <c r="K49" s="14"/>
    </row>
    <row r="50" spans="2:13" x14ac:dyDescent="0.25">
      <c r="K50" s="14"/>
    </row>
    <row r="51" spans="2:13" ht="19.5" customHeight="1" x14ac:dyDescent="0.25">
      <c r="B51" s="77" t="s">
        <v>104</v>
      </c>
      <c r="K51" s="14"/>
    </row>
    <row r="52" spans="2:13" x14ac:dyDescent="0.25">
      <c r="K52" s="14"/>
    </row>
    <row r="53" spans="2:13" x14ac:dyDescent="0.25">
      <c r="K53" s="14"/>
    </row>
    <row r="54" spans="2:13" x14ac:dyDescent="0.25">
      <c r="K54" s="14"/>
    </row>
    <row r="55" spans="2:13" x14ac:dyDescent="0.25">
      <c r="K55" s="14"/>
    </row>
    <row r="56" spans="2:13" x14ac:dyDescent="0.25">
      <c r="K56" s="14"/>
    </row>
    <row r="57" spans="2:13" ht="22.5" x14ac:dyDescent="0.25">
      <c r="I57" s="14"/>
      <c r="K57" s="25"/>
    </row>
    <row r="58" spans="2:13" x14ac:dyDescent="0.25">
      <c r="I58" s="14"/>
      <c r="K58" s="14"/>
    </row>
    <row r="59" spans="2:13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3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3" ht="17.25" customHeight="1" x14ac:dyDescent="0.25">
      <c r="F61" s="14"/>
      <c r="G61" s="14"/>
      <c r="H61" s="14"/>
      <c r="I61" s="14"/>
      <c r="J61" s="14"/>
      <c r="K61" s="14"/>
      <c r="L61" s="11"/>
      <c r="M61" s="11"/>
    </row>
    <row r="62" spans="2:13" ht="20.25" customHeight="1" x14ac:dyDescent="0.25">
      <c r="F62" s="14"/>
      <c r="G62" s="14"/>
      <c r="H62" s="14"/>
      <c r="I62" s="14"/>
      <c r="J62" s="14"/>
      <c r="K62" s="14"/>
    </row>
    <row r="63" spans="2:13" ht="17.25" customHeight="1" x14ac:dyDescent="0.25">
      <c r="F63" s="14"/>
      <c r="G63" s="5"/>
      <c r="H63" s="14"/>
      <c r="I63" s="25"/>
      <c r="J63" s="25"/>
      <c r="K63" s="25"/>
    </row>
    <row r="64" spans="2:13" x14ac:dyDescent="0.25">
      <c r="F64" s="14"/>
      <c r="G64" s="14"/>
      <c r="H64" s="14"/>
      <c r="I64" s="14"/>
      <c r="J64" s="14"/>
      <c r="K64" s="14"/>
    </row>
    <row r="65" spans="2:20" x14ac:dyDescent="0.25">
      <c r="F65" s="14"/>
      <c r="G65" s="14"/>
      <c r="H65" s="14"/>
      <c r="I65" s="14"/>
      <c r="J65" s="14"/>
      <c r="K65" s="14"/>
    </row>
    <row r="66" spans="2:20" x14ac:dyDescent="0.25">
      <c r="F66" s="14"/>
      <c r="G66" s="14"/>
      <c r="H66" s="14"/>
      <c r="I66" s="14"/>
      <c r="J66" s="14"/>
      <c r="K66" s="14"/>
    </row>
    <row r="67" spans="2:20" x14ac:dyDescent="0.25">
      <c r="K67" s="14"/>
    </row>
    <row r="68" spans="2:20" x14ac:dyDescent="0.25">
      <c r="K68" s="14"/>
    </row>
    <row r="69" spans="2:20" x14ac:dyDescent="0.25">
      <c r="K69" s="14"/>
    </row>
    <row r="70" spans="2:20" ht="15.75" x14ac:dyDescent="0.25">
      <c r="C70" s="18"/>
      <c r="D70" s="20"/>
      <c r="K70" s="14"/>
    </row>
    <row r="71" spans="2:20" ht="15.75" x14ac:dyDescent="0.25">
      <c r="B71" s="21"/>
      <c r="C71" s="18"/>
      <c r="D71" s="20"/>
      <c r="K71" s="14"/>
    </row>
    <row r="72" spans="2:20" ht="15.75" x14ac:dyDescent="0.25">
      <c r="C72" s="18"/>
      <c r="D72" s="20"/>
    </row>
    <row r="75" spans="2:20" ht="15.75" x14ac:dyDescent="0.25">
      <c r="G75" s="19"/>
      <c r="H75" s="14"/>
      <c r="I75" s="14"/>
    </row>
    <row r="76" spans="2:20" ht="15.75" x14ac:dyDescent="0.25">
      <c r="G76" s="22"/>
      <c r="H76" s="22"/>
      <c r="I76" s="14"/>
      <c r="L76" s="15"/>
      <c r="M76" s="15"/>
      <c r="N76" s="15"/>
      <c r="O76" s="15"/>
      <c r="P76" s="15"/>
      <c r="Q76" s="15"/>
      <c r="R76" s="15"/>
      <c r="S76" s="15"/>
      <c r="T76" s="15"/>
    </row>
    <row r="77" spans="2:20" ht="15.75" x14ac:dyDescent="0.25">
      <c r="G77" s="22"/>
      <c r="H77" s="22"/>
      <c r="I77" s="14"/>
      <c r="L77" s="15"/>
      <c r="M77" s="15"/>
      <c r="N77" s="15"/>
      <c r="O77" s="15"/>
      <c r="P77" s="15"/>
      <c r="Q77" s="15"/>
      <c r="R77" s="15"/>
      <c r="S77" s="15"/>
      <c r="T77" s="15"/>
    </row>
    <row r="78" spans="2:20" ht="17.25" customHeight="1" x14ac:dyDescent="0.25">
      <c r="G78" s="26"/>
      <c r="H78" s="26"/>
      <c r="I78" s="14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2:20" ht="28.5" customHeight="1" x14ac:dyDescent="0.25">
      <c r="B79" s="4"/>
      <c r="C79" s="20"/>
      <c r="G79" s="19"/>
      <c r="H79" s="15"/>
      <c r="I79" s="14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2:20" ht="39" customHeight="1" x14ac:dyDescent="0.25">
      <c r="B80" s="4"/>
      <c r="C80" s="23"/>
      <c r="G80" s="22"/>
      <c r="H80" s="22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6:20" ht="26.25" customHeight="1" x14ac:dyDescent="0.25">
      <c r="F81" s="24"/>
      <c r="G81" s="24"/>
      <c r="H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6:20" ht="15" customHeight="1" x14ac:dyDescent="0.25"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6:20" x14ac:dyDescent="0.25"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6:20" ht="15.75" x14ac:dyDescent="0.25">
      <c r="J84" s="15"/>
      <c r="K84" s="15"/>
      <c r="L84" s="46"/>
      <c r="M84" s="46"/>
      <c r="N84" s="46"/>
      <c r="O84" s="46"/>
      <c r="P84" s="46"/>
      <c r="Q84" s="46"/>
      <c r="R84" s="46"/>
      <c r="S84" s="15"/>
      <c r="T84" s="15"/>
    </row>
    <row r="85" spans="6:20" ht="15.75" x14ac:dyDescent="0.25">
      <c r="J85" s="15"/>
      <c r="K85" s="15"/>
      <c r="L85" s="8"/>
      <c r="M85" s="8"/>
      <c r="N85" s="8"/>
      <c r="O85" s="8"/>
      <c r="P85" s="8"/>
      <c r="Q85" s="19"/>
      <c r="R85" s="19"/>
      <c r="S85" s="15"/>
      <c r="T85" s="15"/>
    </row>
    <row r="86" spans="6:20" ht="15.75" x14ac:dyDescent="0.25">
      <c r="J86" s="46"/>
      <c r="K86" s="46"/>
      <c r="L86" s="8"/>
      <c r="M86" s="8"/>
      <c r="N86" s="8"/>
      <c r="O86" s="8"/>
      <c r="P86" s="8"/>
      <c r="Q86" s="19"/>
      <c r="R86" s="19"/>
      <c r="S86" s="15"/>
      <c r="T86" s="15"/>
    </row>
    <row r="87" spans="6:20" ht="15.75" x14ac:dyDescent="0.25">
      <c r="J87" s="19"/>
      <c r="K87" s="19"/>
      <c r="L87" s="8"/>
      <c r="M87" s="8"/>
      <c r="N87" s="8"/>
      <c r="O87" s="8"/>
      <c r="P87" s="8"/>
      <c r="Q87" s="19"/>
      <c r="R87" s="19"/>
      <c r="S87" s="15"/>
      <c r="T87" s="15"/>
    </row>
    <row r="88" spans="6:20" ht="15.75" x14ac:dyDescent="0.25">
      <c r="J88" s="19"/>
      <c r="K88" s="19"/>
      <c r="L88" s="44"/>
      <c r="M88" s="44"/>
      <c r="N88" s="44"/>
      <c r="O88" s="44"/>
      <c r="P88" s="44"/>
      <c r="Q88" s="15"/>
      <c r="R88" s="15"/>
      <c r="S88" s="15"/>
      <c r="T88" s="15"/>
    </row>
    <row r="89" spans="6:20" ht="15.75" x14ac:dyDescent="0.25">
      <c r="J89" s="19"/>
      <c r="K89" s="19"/>
      <c r="L89" s="44"/>
      <c r="M89" s="44"/>
      <c r="N89" s="44"/>
      <c r="O89" s="44"/>
      <c r="P89" s="44"/>
      <c r="Q89" s="15"/>
      <c r="R89" s="15"/>
      <c r="S89" s="15"/>
      <c r="T89" s="15"/>
    </row>
    <row r="90" spans="6:20" ht="15.75" x14ac:dyDescent="0.25">
      <c r="J90" s="44"/>
      <c r="K90" s="44"/>
      <c r="L90" s="28"/>
      <c r="M90" s="28"/>
      <c r="N90" s="28"/>
      <c r="O90" s="44"/>
      <c r="P90" s="44"/>
      <c r="Q90" s="15"/>
      <c r="R90" s="15"/>
      <c r="S90" s="15"/>
      <c r="T90" s="15"/>
    </row>
    <row r="91" spans="6:20" ht="17.25" customHeight="1" x14ac:dyDescent="0.25">
      <c r="J91" s="44"/>
      <c r="K91" s="44"/>
      <c r="L91" s="46"/>
      <c r="M91" s="46"/>
      <c r="N91" s="46"/>
      <c r="O91" s="43"/>
      <c r="P91" s="43"/>
      <c r="Q91" s="43"/>
      <c r="R91" s="43"/>
      <c r="S91" s="15"/>
      <c r="T91" s="15"/>
    </row>
    <row r="92" spans="6:20" ht="15.75" x14ac:dyDescent="0.25">
      <c r="J92" s="28"/>
      <c r="K92" s="28"/>
      <c r="L92" s="19"/>
      <c r="M92" s="53"/>
      <c r="N92" s="19"/>
      <c r="O92" s="8"/>
      <c r="P92" s="8"/>
      <c r="Q92" s="19"/>
      <c r="R92" s="19"/>
      <c r="S92" s="15"/>
      <c r="T92" s="15"/>
    </row>
    <row r="93" spans="6:20" ht="15.75" x14ac:dyDescent="0.25">
      <c r="J93" s="46"/>
      <c r="K93" s="46"/>
      <c r="L93" s="19"/>
      <c r="M93" s="53"/>
      <c r="N93" s="19"/>
      <c r="O93" s="8"/>
      <c r="P93" s="8"/>
      <c r="Q93" s="19"/>
      <c r="R93" s="19"/>
      <c r="S93" s="15"/>
      <c r="T93" s="15"/>
    </row>
    <row r="94" spans="6:20" ht="15.75" x14ac:dyDescent="0.25">
      <c r="J94" s="19"/>
      <c r="K94" s="19"/>
      <c r="L94" s="19"/>
      <c r="M94" s="53"/>
      <c r="N94" s="19"/>
      <c r="O94" s="8"/>
      <c r="P94" s="8"/>
      <c r="Q94" s="19"/>
      <c r="R94" s="19"/>
      <c r="S94" s="15"/>
      <c r="T94" s="15"/>
    </row>
    <row r="95" spans="6:20" ht="15.75" x14ac:dyDescent="0.25">
      <c r="J95" s="19"/>
      <c r="K95" s="19"/>
      <c r="L95" s="15"/>
      <c r="M95" s="15"/>
      <c r="N95" s="15"/>
      <c r="O95" s="15"/>
      <c r="P95" s="15"/>
      <c r="Q95" s="15"/>
      <c r="R95" s="15"/>
      <c r="S95" s="15"/>
      <c r="T95" s="15"/>
    </row>
    <row r="96" spans="6:20" ht="15.75" x14ac:dyDescent="0.25">
      <c r="J96" s="19"/>
      <c r="K96" s="19"/>
      <c r="L96" s="15"/>
      <c r="M96" s="15"/>
      <c r="N96" s="15"/>
      <c r="O96" s="15"/>
      <c r="P96" s="15"/>
      <c r="Q96" s="15"/>
      <c r="R96" s="15"/>
      <c r="S96" s="15"/>
      <c r="T96" s="15"/>
    </row>
    <row r="97" spans="10:20" x14ac:dyDescent="0.25">
      <c r="J97" s="15"/>
      <c r="K97" s="15"/>
      <c r="L97" s="45"/>
      <c r="M97" s="45"/>
      <c r="N97" s="45"/>
      <c r="O97" s="45"/>
      <c r="P97" s="15"/>
      <c r="Q97" s="15"/>
      <c r="R97" s="15"/>
      <c r="S97" s="15"/>
      <c r="T97" s="15"/>
    </row>
    <row r="98" spans="10:20" x14ac:dyDescent="0.25">
      <c r="J98" s="15"/>
      <c r="K98" s="15"/>
      <c r="L98" s="45"/>
      <c r="M98" s="45"/>
      <c r="N98" s="45"/>
      <c r="O98" s="45"/>
      <c r="P98" s="15"/>
      <c r="Q98" s="15"/>
      <c r="R98" s="15"/>
      <c r="S98" s="15"/>
      <c r="T98" s="15"/>
    </row>
    <row r="99" spans="10:20" x14ac:dyDescent="0.25">
      <c r="J99" s="15"/>
      <c r="K99" s="45"/>
      <c r="L99" s="45"/>
      <c r="M99" s="45"/>
      <c r="N99" s="45"/>
      <c r="O99" s="45"/>
      <c r="P99" s="15"/>
      <c r="Q99" s="15"/>
      <c r="R99" s="15"/>
      <c r="S99" s="15"/>
      <c r="T99" s="15"/>
    </row>
    <row r="100" spans="10:20" ht="15.75" x14ac:dyDescent="0.25">
      <c r="J100" s="15"/>
      <c r="K100" s="45"/>
      <c r="L100" s="47"/>
      <c r="M100" s="47"/>
      <c r="N100" s="47"/>
      <c r="O100" s="15"/>
      <c r="P100" s="15"/>
      <c r="Q100" s="15"/>
      <c r="R100" s="15"/>
      <c r="S100" s="15"/>
      <c r="T100" s="15"/>
    </row>
    <row r="101" spans="10:20" ht="15.75" x14ac:dyDescent="0.25">
      <c r="J101" s="15"/>
      <c r="K101" s="45"/>
      <c r="L101" s="48"/>
      <c r="M101" s="48"/>
      <c r="N101" s="48"/>
      <c r="O101" s="15"/>
      <c r="P101" s="15"/>
      <c r="Q101" s="15"/>
      <c r="R101" s="15"/>
      <c r="S101" s="15"/>
      <c r="T101" s="15"/>
    </row>
    <row r="102" spans="10:20" ht="15.75" x14ac:dyDescent="0.25">
      <c r="J102" s="47"/>
      <c r="K102" s="47"/>
      <c r="L102" s="49"/>
      <c r="M102" s="49"/>
      <c r="N102" s="49"/>
      <c r="O102" s="15"/>
      <c r="P102" s="15"/>
      <c r="Q102" s="15"/>
      <c r="R102" s="15"/>
      <c r="S102" s="15"/>
      <c r="T102" s="15"/>
    </row>
    <row r="103" spans="10:20" ht="15.75" x14ac:dyDescent="0.25">
      <c r="J103" s="48"/>
      <c r="K103" s="48"/>
      <c r="L103" s="49"/>
      <c r="M103" s="49"/>
      <c r="N103" s="49"/>
      <c r="O103" s="15"/>
      <c r="P103" s="15"/>
      <c r="Q103" s="15"/>
      <c r="R103" s="15"/>
      <c r="S103" s="15"/>
      <c r="T103" s="15"/>
    </row>
    <row r="104" spans="10:20" ht="15.75" x14ac:dyDescent="0.25">
      <c r="J104" s="49"/>
      <c r="K104" s="49"/>
      <c r="L104" s="49"/>
      <c r="M104" s="49"/>
      <c r="N104" s="49"/>
      <c r="O104" s="15"/>
      <c r="P104" s="15"/>
      <c r="Q104" s="15"/>
      <c r="R104" s="15"/>
      <c r="S104" s="15"/>
      <c r="T104" s="15"/>
    </row>
    <row r="105" spans="10:20" ht="15.75" x14ac:dyDescent="0.25">
      <c r="J105" s="49"/>
      <c r="K105" s="49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0:20" ht="15.75" x14ac:dyDescent="0.25">
      <c r="J106" s="49"/>
      <c r="K106" s="49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0:20" x14ac:dyDescent="0.25"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0:20" x14ac:dyDescent="0.25"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0:20" x14ac:dyDescent="0.25">
      <c r="J109" s="15"/>
      <c r="K109" s="15"/>
    </row>
    <row r="110" spans="10:20" x14ac:dyDescent="0.25">
      <c r="J110" s="15"/>
      <c r="K110" s="15"/>
    </row>
    <row r="123" ht="15.75" customHeight="1" x14ac:dyDescent="0.25"/>
    <row r="124" ht="15.75" customHeight="1" x14ac:dyDescent="0.25"/>
  </sheetData>
  <dataConsolidate/>
  <mergeCells count="4">
    <mergeCell ref="T28:T29"/>
    <mergeCell ref="O33:Q33"/>
    <mergeCell ref="O27:P27"/>
    <mergeCell ref="O13:R13"/>
  </mergeCells>
  <dataValidations disablePrompts="1" count="4">
    <dataValidation type="list" allowBlank="1" showInputMessage="1" showErrorMessage="1" sqref="L35">
      <formula1>"6,8,10,12"</formula1>
    </dataValidation>
    <dataValidation type="list" allowBlank="1" showInputMessage="1" showErrorMessage="1" sqref="K35">
      <formula1>numbers</formula1>
    </dataValidation>
    <dataValidation type="list" showInputMessage="1" showErrorMessage="1" sqref="R33:R34">
      <formula1>beton</formula1>
    </dataValidation>
    <dataValidation type="list" allowBlank="1" showInputMessage="1" showErrorMessage="1" sqref="L31">
      <formula1>"8,10,12,14,16,20"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r:id="rId1"/>
  <ignoredErrors>
    <ignoredError sqref="C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poteau EC2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NYETAM</dc:creator>
  <cp:lastModifiedBy>Joe Neta</cp:lastModifiedBy>
  <dcterms:created xsi:type="dcterms:W3CDTF">2015-10-16T14:49:11Z</dcterms:created>
  <dcterms:modified xsi:type="dcterms:W3CDTF">2017-11-02T10:01:06Z</dcterms:modified>
</cp:coreProperties>
</file>