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810"/>
  <workbookPr/>
  <mc:AlternateContent xmlns:mc="http://schemas.openxmlformats.org/markup-compatibility/2006">
    <mc:Choice Requires="x15">
      <x15ac:absPath xmlns:x15ac="http://schemas.microsoft.com/office/spreadsheetml/2010/11/ac" url="/Users/mika/Desktop/"/>
    </mc:Choice>
  </mc:AlternateContent>
  <bookViews>
    <workbookView xWindow="10160" yWindow="460" windowWidth="23440" windowHeight="17600" tabRatio="500" activeTab="5"/>
  </bookViews>
  <sheets>
    <sheet name="Average Scenario" sheetId="1" r:id="rId1"/>
    <sheet name="Cash Flow Statement" sheetId="3" r:id="rId2"/>
    <sheet name="Amortization Credit 1" sheetId="4" r:id="rId3"/>
    <sheet name="Amortization Credit 2" sheetId="5" r:id="rId4"/>
    <sheet name="Amortization Credit 3" sheetId="6" r:id="rId5"/>
    <sheet name="Reference" sheetId="2" r:id="rId6"/>
    <sheet name="Pessimist Scenario" sheetId="7" r:id="rId7"/>
    <sheet name="Pessimist Cash Flow Statement" sheetId="8" r:id="rId8"/>
    <sheet name="Pessimist Amortization Credit 3" sheetId="9" r:id="rId9"/>
    <sheet name="Pessimist Amortization Credit 4" sheetId="10" r:id="rId10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39" i="7" l="1"/>
  <c r="F140" i="7"/>
  <c r="G139" i="7"/>
  <c r="G140" i="7"/>
  <c r="E139" i="7"/>
  <c r="E140" i="7"/>
  <c r="F40" i="7"/>
  <c r="F41" i="7"/>
  <c r="F42" i="7"/>
  <c r="G145" i="7"/>
  <c r="F145" i="7"/>
  <c r="E145" i="7"/>
  <c r="D139" i="7"/>
  <c r="D140" i="7"/>
  <c r="C139" i="7"/>
  <c r="C140" i="7"/>
  <c r="B122" i="7"/>
  <c r="B124" i="7"/>
  <c r="J113" i="7"/>
  <c r="C93" i="8"/>
  <c r="D93" i="8"/>
  <c r="E93" i="8"/>
  <c r="F93" i="8"/>
  <c r="G93" i="8"/>
  <c r="H93" i="8"/>
  <c r="I93" i="8"/>
  <c r="J93" i="8"/>
  <c r="K93" i="8"/>
  <c r="L93" i="8"/>
  <c r="M93" i="8"/>
  <c r="B93" i="8"/>
  <c r="F43" i="7"/>
  <c r="F14" i="7"/>
  <c r="F19" i="7"/>
  <c r="B19" i="7"/>
  <c r="C14" i="7"/>
  <c r="D14" i="7"/>
  <c r="B14" i="7"/>
  <c r="C121" i="10"/>
  <c r="C2" i="10"/>
  <c r="C3" i="10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80" i="10"/>
  <c r="C81" i="10"/>
  <c r="C82" i="10"/>
  <c r="C83" i="10"/>
  <c r="C84" i="10"/>
  <c r="C85" i="10"/>
  <c r="C86" i="10"/>
  <c r="C87" i="10"/>
  <c r="C88" i="10"/>
  <c r="C89" i="10"/>
  <c r="C90" i="10"/>
  <c r="C91" i="10"/>
  <c r="C92" i="10"/>
  <c r="C93" i="10"/>
  <c r="C94" i="10"/>
  <c r="C95" i="10"/>
  <c r="C96" i="10"/>
  <c r="C97" i="10"/>
  <c r="C98" i="10"/>
  <c r="C99" i="10"/>
  <c r="C100" i="10"/>
  <c r="C101" i="10"/>
  <c r="C102" i="10"/>
  <c r="C103" i="10"/>
  <c r="C104" i="10"/>
  <c r="C105" i="10"/>
  <c r="C106" i="10"/>
  <c r="C107" i="10"/>
  <c r="C108" i="10"/>
  <c r="C109" i="10"/>
  <c r="C110" i="10"/>
  <c r="C111" i="10"/>
  <c r="C112" i="10"/>
  <c r="C113" i="10"/>
  <c r="C114" i="10"/>
  <c r="C115" i="10"/>
  <c r="C116" i="10"/>
  <c r="C117" i="10"/>
  <c r="C118" i="10"/>
  <c r="C119" i="10"/>
  <c r="C120" i="10"/>
  <c r="B2" i="10"/>
  <c r="B3" i="10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M94" i="8"/>
  <c r="M73" i="8"/>
  <c r="M52" i="8"/>
  <c r="M32" i="8"/>
  <c r="B94" i="7"/>
  <c r="B95" i="7"/>
  <c r="B96" i="7"/>
  <c r="B97" i="7"/>
  <c r="B66" i="7"/>
  <c r="B67" i="7"/>
  <c r="B68" i="7"/>
  <c r="B69" i="7"/>
  <c r="B73" i="7"/>
  <c r="B98" i="7"/>
  <c r="B99" i="7"/>
  <c r="B84" i="7"/>
  <c r="B85" i="7"/>
  <c r="B107" i="7"/>
  <c r="B108" i="7"/>
  <c r="B109" i="7"/>
  <c r="B110" i="7"/>
  <c r="B112" i="7"/>
  <c r="B114" i="7"/>
  <c r="B115" i="7"/>
  <c r="M13" i="8"/>
  <c r="B4" i="8"/>
  <c r="J94" i="7"/>
  <c r="C84" i="8"/>
  <c r="J95" i="7"/>
  <c r="J96" i="7"/>
  <c r="C85" i="8"/>
  <c r="C83" i="8"/>
  <c r="C91" i="8"/>
  <c r="C96" i="8"/>
  <c r="D85" i="8"/>
  <c r="D83" i="8"/>
  <c r="D91" i="8"/>
  <c r="D96" i="8"/>
  <c r="E85" i="8"/>
  <c r="E83" i="8"/>
  <c r="F66" i="7"/>
  <c r="F67" i="7"/>
  <c r="F68" i="7"/>
  <c r="F69" i="7"/>
  <c r="F73" i="7"/>
  <c r="J98" i="7"/>
  <c r="E90" i="8"/>
  <c r="E86" i="8"/>
  <c r="E91" i="8"/>
  <c r="E96" i="8"/>
  <c r="F84" i="8"/>
  <c r="F85" i="8"/>
  <c r="F83" i="8"/>
  <c r="F91" i="8"/>
  <c r="F96" i="8"/>
  <c r="G85" i="8"/>
  <c r="G83" i="8"/>
  <c r="G91" i="8"/>
  <c r="G96" i="8"/>
  <c r="H85" i="8"/>
  <c r="H83" i="8"/>
  <c r="H90" i="8"/>
  <c r="H86" i="8"/>
  <c r="H91" i="8"/>
  <c r="H96" i="8"/>
  <c r="I84" i="8"/>
  <c r="I85" i="8"/>
  <c r="I83" i="8"/>
  <c r="I91" i="8"/>
  <c r="I96" i="8"/>
  <c r="J85" i="8"/>
  <c r="J83" i="8"/>
  <c r="J91" i="8"/>
  <c r="J96" i="8"/>
  <c r="K85" i="8"/>
  <c r="K83" i="8"/>
  <c r="K90" i="8"/>
  <c r="K86" i="8"/>
  <c r="K91" i="8"/>
  <c r="K96" i="8"/>
  <c r="L84" i="8"/>
  <c r="L85" i="8"/>
  <c r="L83" i="8"/>
  <c r="L91" i="8"/>
  <c r="L96" i="8"/>
  <c r="M85" i="8"/>
  <c r="M83" i="8"/>
  <c r="M91" i="8"/>
  <c r="M96" i="8"/>
  <c r="B85" i="8"/>
  <c r="B83" i="8"/>
  <c r="B90" i="8"/>
  <c r="B86" i="8"/>
  <c r="B91" i="8"/>
  <c r="B96" i="8"/>
  <c r="H94" i="7"/>
  <c r="C63" i="8"/>
  <c r="H95" i="7"/>
  <c r="H96" i="7"/>
  <c r="C64" i="8"/>
  <c r="C62" i="8"/>
  <c r="C70" i="8"/>
  <c r="C75" i="8"/>
  <c r="D64" i="8"/>
  <c r="D62" i="8"/>
  <c r="D70" i="8"/>
  <c r="D75" i="8"/>
  <c r="E64" i="8"/>
  <c r="E62" i="8"/>
  <c r="E66" i="7"/>
  <c r="E67" i="7"/>
  <c r="E68" i="7"/>
  <c r="E69" i="7"/>
  <c r="E73" i="7"/>
  <c r="H98" i="7"/>
  <c r="E69" i="8"/>
  <c r="E65" i="8"/>
  <c r="E70" i="8"/>
  <c r="E75" i="8"/>
  <c r="F63" i="8"/>
  <c r="F64" i="8"/>
  <c r="F62" i="8"/>
  <c r="F70" i="8"/>
  <c r="F75" i="8"/>
  <c r="G64" i="8"/>
  <c r="G62" i="8"/>
  <c r="G70" i="8"/>
  <c r="G75" i="8"/>
  <c r="H64" i="8"/>
  <c r="H62" i="8"/>
  <c r="H69" i="8"/>
  <c r="H65" i="8"/>
  <c r="H70" i="8"/>
  <c r="H75" i="8"/>
  <c r="I63" i="8"/>
  <c r="I64" i="8"/>
  <c r="I62" i="8"/>
  <c r="I70" i="8"/>
  <c r="I75" i="8"/>
  <c r="J64" i="8"/>
  <c r="J62" i="8"/>
  <c r="J70" i="8"/>
  <c r="J75" i="8"/>
  <c r="K64" i="8"/>
  <c r="K62" i="8"/>
  <c r="K69" i="8"/>
  <c r="K65" i="8"/>
  <c r="K70" i="8"/>
  <c r="K75" i="8"/>
  <c r="L63" i="8"/>
  <c r="L64" i="8"/>
  <c r="L62" i="8"/>
  <c r="L70" i="8"/>
  <c r="L75" i="8"/>
  <c r="M64" i="8"/>
  <c r="M62" i="8"/>
  <c r="M70" i="8"/>
  <c r="M75" i="8"/>
  <c r="B64" i="8"/>
  <c r="B62" i="8"/>
  <c r="B69" i="8"/>
  <c r="B65" i="8"/>
  <c r="B70" i="8"/>
  <c r="B75" i="8"/>
  <c r="F94" i="7"/>
  <c r="C42" i="8"/>
  <c r="F95" i="7"/>
  <c r="F96" i="7"/>
  <c r="C43" i="8"/>
  <c r="C41" i="8"/>
  <c r="C49" i="8"/>
  <c r="C54" i="8"/>
  <c r="D43" i="8"/>
  <c r="D41" i="8"/>
  <c r="D49" i="8"/>
  <c r="D54" i="8"/>
  <c r="E43" i="8"/>
  <c r="E41" i="8"/>
  <c r="D66" i="7"/>
  <c r="D67" i="7"/>
  <c r="D68" i="7"/>
  <c r="D69" i="7"/>
  <c r="D73" i="7"/>
  <c r="F98" i="7"/>
  <c r="E48" i="8"/>
  <c r="E44" i="8"/>
  <c r="E49" i="8"/>
  <c r="E54" i="8"/>
  <c r="F42" i="8"/>
  <c r="F43" i="8"/>
  <c r="F41" i="8"/>
  <c r="F49" i="8"/>
  <c r="F54" i="8"/>
  <c r="G43" i="8"/>
  <c r="G41" i="8"/>
  <c r="G49" i="8"/>
  <c r="G54" i="8"/>
  <c r="H43" i="8"/>
  <c r="H41" i="8"/>
  <c r="H48" i="8"/>
  <c r="H44" i="8"/>
  <c r="H49" i="8"/>
  <c r="H54" i="8"/>
  <c r="I42" i="8"/>
  <c r="I43" i="8"/>
  <c r="I41" i="8"/>
  <c r="I49" i="8"/>
  <c r="I54" i="8"/>
  <c r="J43" i="8"/>
  <c r="J41" i="8"/>
  <c r="J49" i="8"/>
  <c r="J54" i="8"/>
  <c r="K43" i="8"/>
  <c r="K41" i="8"/>
  <c r="K48" i="8"/>
  <c r="K44" i="8"/>
  <c r="K49" i="8"/>
  <c r="K54" i="8"/>
  <c r="L42" i="8"/>
  <c r="L43" i="8"/>
  <c r="L41" i="8"/>
  <c r="L49" i="8"/>
  <c r="L54" i="8"/>
  <c r="M43" i="8"/>
  <c r="M41" i="8"/>
  <c r="M49" i="8"/>
  <c r="M54" i="8"/>
  <c r="B43" i="8"/>
  <c r="B41" i="8"/>
  <c r="B48" i="8"/>
  <c r="B44" i="8"/>
  <c r="B49" i="8"/>
  <c r="B54" i="8"/>
  <c r="C96" i="3"/>
  <c r="D96" i="3"/>
  <c r="E96" i="3"/>
  <c r="F96" i="3"/>
  <c r="G96" i="3"/>
  <c r="H96" i="3"/>
  <c r="I96" i="3"/>
  <c r="J96" i="3"/>
  <c r="K96" i="3"/>
  <c r="L96" i="3"/>
  <c r="M96" i="3"/>
  <c r="B96" i="3"/>
  <c r="C75" i="3"/>
  <c r="D75" i="3"/>
  <c r="E75" i="3"/>
  <c r="F75" i="3"/>
  <c r="G75" i="3"/>
  <c r="H75" i="3"/>
  <c r="I75" i="3"/>
  <c r="J75" i="3"/>
  <c r="K75" i="3"/>
  <c r="L75" i="3"/>
  <c r="M75" i="3"/>
  <c r="B75" i="3"/>
  <c r="C54" i="3"/>
  <c r="D54" i="3"/>
  <c r="E54" i="3"/>
  <c r="F54" i="3"/>
  <c r="G54" i="3"/>
  <c r="H54" i="3"/>
  <c r="I54" i="3"/>
  <c r="J54" i="3"/>
  <c r="K54" i="3"/>
  <c r="L54" i="3"/>
  <c r="M54" i="3"/>
  <c r="B54" i="3"/>
  <c r="C15" i="3"/>
  <c r="D15" i="3"/>
  <c r="E15" i="3"/>
  <c r="F15" i="3"/>
  <c r="G15" i="3"/>
  <c r="H15" i="3"/>
  <c r="I15" i="3"/>
  <c r="J15" i="3"/>
  <c r="K15" i="3"/>
  <c r="L15" i="3"/>
  <c r="M15" i="3"/>
  <c r="B15" i="3"/>
  <c r="M4" i="3"/>
  <c r="M2" i="3"/>
  <c r="M7" i="3"/>
  <c r="M5" i="3"/>
  <c r="M10" i="3"/>
  <c r="M12" i="3"/>
  <c r="M13" i="3"/>
  <c r="M14" i="3"/>
  <c r="D4" i="3"/>
  <c r="D2" i="3"/>
  <c r="D7" i="3"/>
  <c r="D5" i="3"/>
  <c r="D10" i="3"/>
  <c r="D12" i="3"/>
  <c r="E4" i="3"/>
  <c r="E2" i="3"/>
  <c r="E7" i="3"/>
  <c r="E9" i="3"/>
  <c r="E5" i="3"/>
  <c r="E10" i="3"/>
  <c r="E12" i="3"/>
  <c r="F3" i="3"/>
  <c r="F4" i="3"/>
  <c r="F2" i="3"/>
  <c r="F7" i="3"/>
  <c r="F5" i="3"/>
  <c r="F10" i="3"/>
  <c r="F12" i="3"/>
  <c r="G4" i="3"/>
  <c r="G2" i="3"/>
  <c r="G7" i="3"/>
  <c r="G5" i="3"/>
  <c r="G10" i="3"/>
  <c r="G12" i="3"/>
  <c r="H4" i="3"/>
  <c r="H2" i="3"/>
  <c r="H7" i="3"/>
  <c r="H9" i="3"/>
  <c r="H5" i="3"/>
  <c r="H10" i="3"/>
  <c r="H12" i="3"/>
  <c r="I3" i="3"/>
  <c r="I4" i="3"/>
  <c r="I2" i="3"/>
  <c r="I7" i="3"/>
  <c r="I5" i="3"/>
  <c r="I10" i="3"/>
  <c r="I12" i="3"/>
  <c r="J4" i="3"/>
  <c r="J2" i="3"/>
  <c r="J7" i="3"/>
  <c r="J5" i="3"/>
  <c r="J10" i="3"/>
  <c r="J12" i="3"/>
  <c r="K4" i="3"/>
  <c r="K2" i="3"/>
  <c r="K7" i="3"/>
  <c r="K9" i="3"/>
  <c r="K5" i="3"/>
  <c r="K10" i="3"/>
  <c r="K12" i="3"/>
  <c r="L3" i="3"/>
  <c r="L4" i="3"/>
  <c r="L2" i="3"/>
  <c r="L7" i="3"/>
  <c r="L5" i="3"/>
  <c r="L10" i="3"/>
  <c r="L12" i="3"/>
  <c r="C3" i="3"/>
  <c r="C4" i="3"/>
  <c r="C2" i="3"/>
  <c r="C7" i="3"/>
  <c r="C5" i="3"/>
  <c r="C10" i="3"/>
  <c r="C12" i="3"/>
  <c r="B4" i="3"/>
  <c r="B2" i="3"/>
  <c r="B7" i="3"/>
  <c r="B8" i="3"/>
  <c r="B9" i="3"/>
  <c r="B5" i="3"/>
  <c r="B10" i="3"/>
  <c r="B12" i="3"/>
  <c r="I72" i="8"/>
  <c r="J72" i="8"/>
  <c r="K72" i="8"/>
  <c r="L72" i="8"/>
  <c r="M72" i="8"/>
  <c r="C72" i="8"/>
  <c r="D72" i="8"/>
  <c r="E72" i="8"/>
  <c r="F72" i="8"/>
  <c r="G72" i="8"/>
  <c r="H72" i="8"/>
  <c r="B72" i="8"/>
  <c r="I51" i="8"/>
  <c r="J51" i="8"/>
  <c r="K51" i="8"/>
  <c r="L51" i="8"/>
  <c r="M51" i="8"/>
  <c r="C51" i="8"/>
  <c r="D51" i="8"/>
  <c r="E51" i="8"/>
  <c r="F51" i="8"/>
  <c r="G51" i="8"/>
  <c r="H51" i="8"/>
  <c r="B51" i="8"/>
  <c r="D22" i="7"/>
  <c r="D23" i="7"/>
  <c r="D24" i="7"/>
  <c r="E22" i="7"/>
  <c r="E23" i="7"/>
  <c r="E24" i="7"/>
  <c r="F22" i="7"/>
  <c r="F23" i="7"/>
  <c r="F24" i="7"/>
  <c r="D30" i="7"/>
  <c r="D145" i="7"/>
  <c r="C22" i="7"/>
  <c r="C23" i="7"/>
  <c r="C24" i="7"/>
  <c r="C145" i="7"/>
  <c r="B22" i="7"/>
  <c r="B23" i="7"/>
  <c r="B24" i="7"/>
  <c r="B25" i="7"/>
  <c r="B145" i="7"/>
  <c r="E30" i="7"/>
  <c r="E34" i="7"/>
  <c r="E35" i="7"/>
  <c r="E36" i="7"/>
  <c r="D35" i="7"/>
  <c r="F113" i="7"/>
  <c r="D34" i="7"/>
  <c r="D36" i="7"/>
  <c r="D37" i="7"/>
  <c r="F34" i="7"/>
  <c r="F35" i="7"/>
  <c r="B109" i="9"/>
  <c r="B110" i="9"/>
  <c r="B111" i="9"/>
  <c r="B112" i="9"/>
  <c r="B113" i="9"/>
  <c r="B114" i="9"/>
  <c r="B115" i="9"/>
  <c r="B116" i="9"/>
  <c r="B117" i="9"/>
  <c r="B118" i="9"/>
  <c r="B119" i="9"/>
  <c r="B120" i="9"/>
  <c r="B121" i="9"/>
  <c r="B94" i="9"/>
  <c r="B95" i="9"/>
  <c r="B96" i="9"/>
  <c r="B97" i="9"/>
  <c r="B98" i="9"/>
  <c r="B99" i="9"/>
  <c r="B100" i="9"/>
  <c r="B101" i="9"/>
  <c r="B102" i="9"/>
  <c r="B103" i="9"/>
  <c r="B104" i="9"/>
  <c r="B105" i="9"/>
  <c r="B106" i="9"/>
  <c r="B107" i="9"/>
  <c r="B108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2" i="9"/>
  <c r="C119" i="9"/>
  <c r="C120" i="9"/>
  <c r="C121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61" i="9"/>
  <c r="C2" i="9"/>
  <c r="C3" i="9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B3" i="9"/>
  <c r="B4" i="9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50" i="8"/>
  <c r="C66" i="7"/>
  <c r="C67" i="7"/>
  <c r="C68" i="7"/>
  <c r="C69" i="7"/>
  <c r="C73" i="7"/>
  <c r="D98" i="7"/>
  <c r="K28" i="8"/>
  <c r="H28" i="8"/>
  <c r="E28" i="8"/>
  <c r="B28" i="8"/>
  <c r="D95" i="7"/>
  <c r="D96" i="7"/>
  <c r="M23" i="8"/>
  <c r="C23" i="8"/>
  <c r="D23" i="8"/>
  <c r="E23" i="8"/>
  <c r="F23" i="8"/>
  <c r="G23" i="8"/>
  <c r="H23" i="8"/>
  <c r="I23" i="8"/>
  <c r="J23" i="8"/>
  <c r="K23" i="8"/>
  <c r="L23" i="8"/>
  <c r="B23" i="8"/>
  <c r="D94" i="7"/>
  <c r="L22" i="8"/>
  <c r="I22" i="8"/>
  <c r="F22" i="8"/>
  <c r="C22" i="8"/>
  <c r="K9" i="8"/>
  <c r="H9" i="8"/>
  <c r="E9" i="8"/>
  <c r="B9" i="8"/>
  <c r="L3" i="8"/>
  <c r="I3" i="8"/>
  <c r="F3" i="8"/>
  <c r="M4" i="8"/>
  <c r="D4" i="8"/>
  <c r="E4" i="8"/>
  <c r="F4" i="8"/>
  <c r="G4" i="8"/>
  <c r="H4" i="8"/>
  <c r="I4" i="8"/>
  <c r="J4" i="8"/>
  <c r="K4" i="8"/>
  <c r="L4" i="8"/>
  <c r="C4" i="8"/>
  <c r="C3" i="8"/>
  <c r="C2" i="8"/>
  <c r="B88" i="8"/>
  <c r="B89" i="8"/>
  <c r="B97" i="8"/>
  <c r="B2" i="8"/>
  <c r="B7" i="8"/>
  <c r="B8" i="8"/>
  <c r="B5" i="8"/>
  <c r="B10" i="8"/>
  <c r="B12" i="8"/>
  <c r="B15" i="8"/>
  <c r="B16" i="8"/>
  <c r="B17" i="8"/>
  <c r="C7" i="8"/>
  <c r="C5" i="8"/>
  <c r="C10" i="8"/>
  <c r="C12" i="8"/>
  <c r="C15" i="8"/>
  <c r="C16" i="8"/>
  <c r="C17" i="8"/>
  <c r="D2" i="8"/>
  <c r="D7" i="8"/>
  <c r="D5" i="8"/>
  <c r="D10" i="8"/>
  <c r="D12" i="8"/>
  <c r="D15" i="8"/>
  <c r="D16" i="8"/>
  <c r="D17" i="8"/>
  <c r="E2" i="8"/>
  <c r="E7" i="8"/>
  <c r="E5" i="8"/>
  <c r="E10" i="8"/>
  <c r="E12" i="8"/>
  <c r="E15" i="8"/>
  <c r="E16" i="8"/>
  <c r="E17" i="8"/>
  <c r="F2" i="8"/>
  <c r="F7" i="8"/>
  <c r="F5" i="8"/>
  <c r="F10" i="8"/>
  <c r="F12" i="8"/>
  <c r="F15" i="8"/>
  <c r="F16" i="8"/>
  <c r="F17" i="8"/>
  <c r="G2" i="8"/>
  <c r="G7" i="8"/>
  <c r="G5" i="8"/>
  <c r="G10" i="8"/>
  <c r="G12" i="8"/>
  <c r="G15" i="8"/>
  <c r="G16" i="8"/>
  <c r="G17" i="8"/>
  <c r="H2" i="8"/>
  <c r="H7" i="8"/>
  <c r="H5" i="8"/>
  <c r="H10" i="8"/>
  <c r="H12" i="8"/>
  <c r="H15" i="8"/>
  <c r="H16" i="8"/>
  <c r="H17" i="8"/>
  <c r="I2" i="8"/>
  <c r="I7" i="8"/>
  <c r="I5" i="8"/>
  <c r="I10" i="8"/>
  <c r="I12" i="8"/>
  <c r="I15" i="8"/>
  <c r="I16" i="8"/>
  <c r="I17" i="8"/>
  <c r="J2" i="8"/>
  <c r="J7" i="8"/>
  <c r="J5" i="8"/>
  <c r="J10" i="8"/>
  <c r="J12" i="8"/>
  <c r="J15" i="8"/>
  <c r="J16" i="8"/>
  <c r="J17" i="8"/>
  <c r="K2" i="8"/>
  <c r="K7" i="8"/>
  <c r="K5" i="8"/>
  <c r="K10" i="8"/>
  <c r="K12" i="8"/>
  <c r="K15" i="8"/>
  <c r="K16" i="8"/>
  <c r="K17" i="8"/>
  <c r="L2" i="8"/>
  <c r="L7" i="8"/>
  <c r="L5" i="8"/>
  <c r="L10" i="8"/>
  <c r="L12" i="8"/>
  <c r="L15" i="8"/>
  <c r="L16" i="8"/>
  <c r="L17" i="8"/>
  <c r="M2" i="8"/>
  <c r="M7" i="8"/>
  <c r="M5" i="8"/>
  <c r="M10" i="8"/>
  <c r="M12" i="8"/>
  <c r="M14" i="8"/>
  <c r="M15" i="8"/>
  <c r="M16" i="8"/>
  <c r="M17" i="8"/>
  <c r="B21" i="8"/>
  <c r="B26" i="8"/>
  <c r="B27" i="8"/>
  <c r="B24" i="8"/>
  <c r="B29" i="8"/>
  <c r="B31" i="8"/>
  <c r="B34" i="8"/>
  <c r="B35" i="8"/>
  <c r="B36" i="8"/>
  <c r="C21" i="8"/>
  <c r="C26" i="8"/>
  <c r="C24" i="8"/>
  <c r="C29" i="8"/>
  <c r="C31" i="8"/>
  <c r="C34" i="8"/>
  <c r="C35" i="8"/>
  <c r="C36" i="8"/>
  <c r="D21" i="8"/>
  <c r="D26" i="8"/>
  <c r="D24" i="8"/>
  <c r="D29" i="8"/>
  <c r="D31" i="8"/>
  <c r="D34" i="8"/>
  <c r="D35" i="8"/>
  <c r="D36" i="8"/>
  <c r="E21" i="8"/>
  <c r="E26" i="8"/>
  <c r="E24" i="8"/>
  <c r="E29" i="8"/>
  <c r="E31" i="8"/>
  <c r="E34" i="8"/>
  <c r="E35" i="8"/>
  <c r="E36" i="8"/>
  <c r="F21" i="8"/>
  <c r="F26" i="8"/>
  <c r="F24" i="8"/>
  <c r="F29" i="8"/>
  <c r="F31" i="8"/>
  <c r="F34" i="8"/>
  <c r="F35" i="8"/>
  <c r="F36" i="8"/>
  <c r="G21" i="8"/>
  <c r="G26" i="8"/>
  <c r="G24" i="8"/>
  <c r="G29" i="8"/>
  <c r="G31" i="8"/>
  <c r="G34" i="8"/>
  <c r="G35" i="8"/>
  <c r="G36" i="8"/>
  <c r="H21" i="8"/>
  <c r="H26" i="8"/>
  <c r="H24" i="8"/>
  <c r="H29" i="8"/>
  <c r="H31" i="8"/>
  <c r="H34" i="8"/>
  <c r="H35" i="8"/>
  <c r="H36" i="8"/>
  <c r="I21" i="8"/>
  <c r="I26" i="8"/>
  <c r="I24" i="8"/>
  <c r="I29" i="8"/>
  <c r="I31" i="8"/>
  <c r="I34" i="8"/>
  <c r="I35" i="8"/>
  <c r="I36" i="8"/>
  <c r="J21" i="8"/>
  <c r="J26" i="8"/>
  <c r="J24" i="8"/>
  <c r="J29" i="8"/>
  <c r="J31" i="8"/>
  <c r="J34" i="8"/>
  <c r="J35" i="8"/>
  <c r="J36" i="8"/>
  <c r="K21" i="8"/>
  <c r="K26" i="8"/>
  <c r="K24" i="8"/>
  <c r="K29" i="8"/>
  <c r="K31" i="8"/>
  <c r="K34" i="8"/>
  <c r="K35" i="8"/>
  <c r="K36" i="8"/>
  <c r="L21" i="8"/>
  <c r="L26" i="8"/>
  <c r="L24" i="8"/>
  <c r="L29" i="8"/>
  <c r="L31" i="8"/>
  <c r="L34" i="8"/>
  <c r="L35" i="8"/>
  <c r="L36" i="8"/>
  <c r="M21" i="8"/>
  <c r="M26" i="8"/>
  <c r="M24" i="8"/>
  <c r="M29" i="8"/>
  <c r="M31" i="8"/>
  <c r="M33" i="8"/>
  <c r="M34" i="8"/>
  <c r="M35" i="8"/>
  <c r="M36" i="8"/>
  <c r="B46" i="8"/>
  <c r="B47" i="8"/>
  <c r="B55" i="8"/>
  <c r="B56" i="8"/>
  <c r="C46" i="8"/>
  <c r="C44" i="8"/>
  <c r="C55" i="8"/>
  <c r="C56" i="8"/>
  <c r="D46" i="8"/>
  <c r="D44" i="8"/>
  <c r="D55" i="8"/>
  <c r="D56" i="8"/>
  <c r="E46" i="8"/>
  <c r="E55" i="8"/>
  <c r="E56" i="8"/>
  <c r="F46" i="8"/>
  <c r="F44" i="8"/>
  <c r="F55" i="8"/>
  <c r="F56" i="8"/>
  <c r="G46" i="8"/>
  <c r="G44" i="8"/>
  <c r="G55" i="8"/>
  <c r="G56" i="8"/>
  <c r="H46" i="8"/>
  <c r="H55" i="8"/>
  <c r="H56" i="8"/>
  <c r="I46" i="8"/>
  <c r="I44" i="8"/>
  <c r="I55" i="8"/>
  <c r="I56" i="8"/>
  <c r="J46" i="8"/>
  <c r="J44" i="8"/>
  <c r="J55" i="8"/>
  <c r="J56" i="8"/>
  <c r="K46" i="8"/>
  <c r="K55" i="8"/>
  <c r="K56" i="8"/>
  <c r="L46" i="8"/>
  <c r="L44" i="8"/>
  <c r="L55" i="8"/>
  <c r="L56" i="8"/>
  <c r="M46" i="8"/>
  <c r="M44" i="8"/>
  <c r="M55" i="8"/>
  <c r="M56" i="8"/>
  <c r="B67" i="8"/>
  <c r="B68" i="8"/>
  <c r="B76" i="8"/>
  <c r="B77" i="8"/>
  <c r="C67" i="8"/>
  <c r="C65" i="8"/>
  <c r="C76" i="8"/>
  <c r="C77" i="8"/>
  <c r="D67" i="8"/>
  <c r="D65" i="8"/>
  <c r="D76" i="8"/>
  <c r="D77" i="8"/>
  <c r="E67" i="8"/>
  <c r="E76" i="8"/>
  <c r="E77" i="8"/>
  <c r="F67" i="8"/>
  <c r="F65" i="8"/>
  <c r="F76" i="8"/>
  <c r="F77" i="8"/>
  <c r="G67" i="8"/>
  <c r="G65" i="8"/>
  <c r="G76" i="8"/>
  <c r="G77" i="8"/>
  <c r="H67" i="8"/>
  <c r="H76" i="8"/>
  <c r="H77" i="8"/>
  <c r="I67" i="8"/>
  <c r="I65" i="8"/>
  <c r="I76" i="8"/>
  <c r="I77" i="8"/>
  <c r="J67" i="8"/>
  <c r="J65" i="8"/>
  <c r="J76" i="8"/>
  <c r="J77" i="8"/>
  <c r="K67" i="8"/>
  <c r="K76" i="8"/>
  <c r="K77" i="8"/>
  <c r="L67" i="8"/>
  <c r="L65" i="8"/>
  <c r="L76" i="8"/>
  <c r="L77" i="8"/>
  <c r="M67" i="8"/>
  <c r="M65" i="8"/>
  <c r="M76" i="8"/>
  <c r="M77" i="8"/>
  <c r="B98" i="8"/>
  <c r="C88" i="8"/>
  <c r="C86" i="8"/>
  <c r="C97" i="8"/>
  <c r="C98" i="8"/>
  <c r="D88" i="8"/>
  <c r="D86" i="8"/>
  <c r="D97" i="8"/>
  <c r="D98" i="8"/>
  <c r="E88" i="8"/>
  <c r="E97" i="8"/>
  <c r="E98" i="8"/>
  <c r="F88" i="8"/>
  <c r="F86" i="8"/>
  <c r="F97" i="8"/>
  <c r="F98" i="8"/>
  <c r="G88" i="8"/>
  <c r="G86" i="8"/>
  <c r="G97" i="8"/>
  <c r="G98" i="8"/>
  <c r="H88" i="8"/>
  <c r="H97" i="8"/>
  <c r="H98" i="8"/>
  <c r="I88" i="8"/>
  <c r="I86" i="8"/>
  <c r="I97" i="8"/>
  <c r="I98" i="8"/>
  <c r="J88" i="8"/>
  <c r="J86" i="8"/>
  <c r="J97" i="8"/>
  <c r="J98" i="8"/>
  <c r="K88" i="8"/>
  <c r="K97" i="8"/>
  <c r="K98" i="8"/>
  <c r="L88" i="8"/>
  <c r="L86" i="8"/>
  <c r="L97" i="8"/>
  <c r="L98" i="8"/>
  <c r="M88" i="8"/>
  <c r="M86" i="8"/>
  <c r="M97" i="8"/>
  <c r="M98" i="8"/>
  <c r="M95" i="8"/>
  <c r="N95" i="8"/>
  <c r="N94" i="8"/>
  <c r="N93" i="8"/>
  <c r="N92" i="8"/>
  <c r="N90" i="8"/>
  <c r="N89" i="8"/>
  <c r="N88" i="8"/>
  <c r="N87" i="8"/>
  <c r="N86" i="8"/>
  <c r="N85" i="8"/>
  <c r="N84" i="8"/>
  <c r="N83" i="8"/>
  <c r="M74" i="8"/>
  <c r="N72" i="8"/>
  <c r="N71" i="8"/>
  <c r="N69" i="8"/>
  <c r="N68" i="8"/>
  <c r="N67" i="8"/>
  <c r="N66" i="8"/>
  <c r="N65" i="8"/>
  <c r="N64" i="8"/>
  <c r="N63" i="8"/>
  <c r="N62" i="8"/>
  <c r="M53" i="8"/>
  <c r="N53" i="8"/>
  <c r="N52" i="8"/>
  <c r="N51" i="8"/>
  <c r="N50" i="8"/>
  <c r="N48" i="8"/>
  <c r="N47" i="8"/>
  <c r="N46" i="8"/>
  <c r="N45" i="8"/>
  <c r="N44" i="8"/>
  <c r="N43" i="8"/>
  <c r="N42" i="8"/>
  <c r="N41" i="8"/>
  <c r="N33" i="8"/>
  <c r="N32" i="8"/>
  <c r="N31" i="8"/>
  <c r="N30" i="8"/>
  <c r="N28" i="8"/>
  <c r="N27" i="8"/>
  <c r="N26" i="8"/>
  <c r="N25" i="8"/>
  <c r="N24" i="8"/>
  <c r="N23" i="8"/>
  <c r="N22" i="8"/>
  <c r="N21" i="8"/>
  <c r="N14" i="8"/>
  <c r="N13" i="8"/>
  <c r="N12" i="8"/>
  <c r="N11" i="8"/>
  <c r="N9" i="8"/>
  <c r="N8" i="8"/>
  <c r="N7" i="8"/>
  <c r="N6" i="8"/>
  <c r="N5" i="8"/>
  <c r="N4" i="8"/>
  <c r="N3" i="8"/>
  <c r="N2" i="8"/>
  <c r="B103" i="7"/>
  <c r="B48" i="7"/>
  <c r="B47" i="7"/>
  <c r="B49" i="7"/>
  <c r="B53" i="7"/>
  <c r="B105" i="7"/>
  <c r="B57" i="7"/>
  <c r="B56" i="7"/>
  <c r="B58" i="7"/>
  <c r="B62" i="7"/>
  <c r="B106" i="7"/>
  <c r="B121" i="7"/>
  <c r="F39" i="2"/>
  <c r="F38" i="2"/>
  <c r="F37" i="2"/>
  <c r="F36" i="2"/>
  <c r="F35" i="2"/>
  <c r="B2" i="7"/>
  <c r="C2" i="7"/>
  <c r="D2" i="7"/>
  <c r="E2" i="7"/>
  <c r="F2" i="7"/>
  <c r="B5" i="7"/>
  <c r="C5" i="7"/>
  <c r="D5" i="7"/>
  <c r="C6" i="7"/>
  <c r="D6" i="7"/>
  <c r="E6" i="7"/>
  <c r="F6" i="7"/>
  <c r="B7" i="7"/>
  <c r="C7" i="7"/>
  <c r="D7" i="7"/>
  <c r="E7" i="7"/>
  <c r="F7" i="7"/>
  <c r="B10" i="7"/>
  <c r="C19" i="7"/>
  <c r="D19" i="7"/>
  <c r="C25" i="7"/>
  <c r="D25" i="7"/>
  <c r="E25" i="7"/>
  <c r="F25" i="7"/>
  <c r="C30" i="7"/>
  <c r="F30" i="7"/>
  <c r="C31" i="7"/>
  <c r="D31" i="7"/>
  <c r="E31" i="7"/>
  <c r="F31" i="7"/>
  <c r="F36" i="7"/>
  <c r="E37" i="7"/>
  <c r="F37" i="7"/>
  <c r="C48" i="7"/>
  <c r="C47" i="7"/>
  <c r="D48" i="7"/>
  <c r="D47" i="7"/>
  <c r="E48" i="7"/>
  <c r="E47" i="7"/>
  <c r="F48" i="7"/>
  <c r="F47" i="7"/>
  <c r="C49" i="7"/>
  <c r="D50" i="7"/>
  <c r="D51" i="7"/>
  <c r="D52" i="7"/>
  <c r="D49" i="7"/>
  <c r="E50" i="7"/>
  <c r="E51" i="7"/>
  <c r="E52" i="7"/>
  <c r="E49" i="7"/>
  <c r="F50" i="7"/>
  <c r="F51" i="7"/>
  <c r="F52" i="7"/>
  <c r="F49" i="7"/>
  <c r="C53" i="7"/>
  <c r="D53" i="7"/>
  <c r="E53" i="7"/>
  <c r="F53" i="7"/>
  <c r="C57" i="7"/>
  <c r="C56" i="7"/>
  <c r="D57" i="7"/>
  <c r="D56" i="7"/>
  <c r="E57" i="7"/>
  <c r="E56" i="7"/>
  <c r="F57" i="7"/>
  <c r="F56" i="7"/>
  <c r="C58" i="7"/>
  <c r="D58" i="7"/>
  <c r="E58" i="7"/>
  <c r="F58" i="7"/>
  <c r="B59" i="7"/>
  <c r="C59" i="7"/>
  <c r="D59" i="7"/>
  <c r="E59" i="7"/>
  <c r="F59" i="7"/>
  <c r="B60" i="7"/>
  <c r="C60" i="7"/>
  <c r="D60" i="7"/>
  <c r="E60" i="7"/>
  <c r="F60" i="7"/>
  <c r="B61" i="7"/>
  <c r="C61" i="7"/>
  <c r="D61" i="7"/>
  <c r="E61" i="7"/>
  <c r="F61" i="7"/>
  <c r="C62" i="7"/>
  <c r="D62" i="7"/>
  <c r="E62" i="7"/>
  <c r="F62" i="7"/>
  <c r="B65" i="7"/>
  <c r="C65" i="7"/>
  <c r="D65" i="7"/>
  <c r="E65" i="7"/>
  <c r="F65" i="7"/>
  <c r="B74" i="7"/>
  <c r="B72" i="7"/>
  <c r="C74" i="7"/>
  <c r="C78" i="7"/>
  <c r="C72" i="7"/>
  <c r="D74" i="7"/>
  <c r="D78" i="7"/>
  <c r="D72" i="7"/>
  <c r="E74" i="7"/>
  <c r="E78" i="7"/>
  <c r="E72" i="7"/>
  <c r="F74" i="7"/>
  <c r="F78" i="7"/>
  <c r="F72" i="7"/>
  <c r="B81" i="7"/>
  <c r="C81" i="7"/>
  <c r="D81" i="7"/>
  <c r="E81" i="7"/>
  <c r="F81" i="7"/>
  <c r="C84" i="7"/>
  <c r="D84" i="7"/>
  <c r="E84" i="7"/>
  <c r="F84" i="7"/>
  <c r="C85" i="7"/>
  <c r="D85" i="7"/>
  <c r="E85" i="7"/>
  <c r="F85" i="7"/>
  <c r="B88" i="7"/>
  <c r="C88" i="7"/>
  <c r="D88" i="7"/>
  <c r="E88" i="7"/>
  <c r="F88" i="7"/>
  <c r="B91" i="7"/>
  <c r="C91" i="7"/>
  <c r="D91" i="7"/>
  <c r="E91" i="7"/>
  <c r="F91" i="7"/>
  <c r="C94" i="7"/>
  <c r="D97" i="7"/>
  <c r="E94" i="7"/>
  <c r="F97" i="7"/>
  <c r="G94" i="7"/>
  <c r="H97" i="7"/>
  <c r="I94" i="7"/>
  <c r="C96" i="7"/>
  <c r="E96" i="7"/>
  <c r="G96" i="7"/>
  <c r="I96" i="7"/>
  <c r="C98" i="7"/>
  <c r="E98" i="7"/>
  <c r="G98" i="7"/>
  <c r="I98" i="7"/>
  <c r="C99" i="7"/>
  <c r="D99" i="7"/>
  <c r="E99" i="7"/>
  <c r="F99" i="7"/>
  <c r="G99" i="7"/>
  <c r="H99" i="7"/>
  <c r="I99" i="7"/>
  <c r="B100" i="7"/>
  <c r="C100" i="7"/>
  <c r="D100" i="7"/>
  <c r="E100" i="7"/>
  <c r="F100" i="7"/>
  <c r="G100" i="7"/>
  <c r="H100" i="7"/>
  <c r="I100" i="7"/>
  <c r="B101" i="7"/>
  <c r="C101" i="7"/>
  <c r="D101" i="7"/>
  <c r="E101" i="7"/>
  <c r="F101" i="7"/>
  <c r="G101" i="7"/>
  <c r="H101" i="7"/>
  <c r="I101" i="7"/>
  <c r="B102" i="7"/>
  <c r="C102" i="7"/>
  <c r="D102" i="7"/>
  <c r="E102" i="7"/>
  <c r="F102" i="7"/>
  <c r="G102" i="7"/>
  <c r="H102" i="7"/>
  <c r="I102" i="7"/>
  <c r="C103" i="7"/>
  <c r="D103" i="7"/>
  <c r="E103" i="7"/>
  <c r="F103" i="7"/>
  <c r="G103" i="7"/>
  <c r="H103" i="7"/>
  <c r="I103" i="7"/>
  <c r="B104" i="7"/>
  <c r="C104" i="7"/>
  <c r="D104" i="7"/>
  <c r="E104" i="7"/>
  <c r="F104" i="7"/>
  <c r="G104" i="7"/>
  <c r="H104" i="7"/>
  <c r="I104" i="7"/>
  <c r="C105" i="7"/>
  <c r="D105" i="7"/>
  <c r="E105" i="7"/>
  <c r="F105" i="7"/>
  <c r="G105" i="7"/>
  <c r="H105" i="7"/>
  <c r="I105" i="7"/>
  <c r="C106" i="7"/>
  <c r="D106" i="7"/>
  <c r="E106" i="7"/>
  <c r="F106" i="7"/>
  <c r="G106" i="7"/>
  <c r="H106" i="7"/>
  <c r="I106" i="7"/>
  <c r="C107" i="7"/>
  <c r="D107" i="7"/>
  <c r="E107" i="7"/>
  <c r="F107" i="7"/>
  <c r="G107" i="7"/>
  <c r="H107" i="7"/>
  <c r="I107" i="7"/>
  <c r="C108" i="7"/>
  <c r="D108" i="7"/>
  <c r="E108" i="7"/>
  <c r="F108" i="7"/>
  <c r="G108" i="7"/>
  <c r="H108" i="7"/>
  <c r="I108" i="7"/>
  <c r="C109" i="7"/>
  <c r="D109" i="7"/>
  <c r="E109" i="7"/>
  <c r="F109" i="7"/>
  <c r="G109" i="7"/>
  <c r="H109" i="7"/>
  <c r="I109" i="7"/>
  <c r="C110" i="7"/>
  <c r="D110" i="7"/>
  <c r="E110" i="7"/>
  <c r="F110" i="7"/>
  <c r="G110" i="7"/>
  <c r="H110" i="7"/>
  <c r="I110" i="7"/>
  <c r="B111" i="7"/>
  <c r="C111" i="7"/>
  <c r="D111" i="7"/>
  <c r="E111" i="7"/>
  <c r="F111" i="7"/>
  <c r="G111" i="7"/>
  <c r="H111" i="7"/>
  <c r="I111" i="7"/>
  <c r="C112" i="7"/>
  <c r="D112" i="7"/>
  <c r="E112" i="7"/>
  <c r="F112" i="7"/>
  <c r="G112" i="7"/>
  <c r="H112" i="7"/>
  <c r="I112" i="7"/>
  <c r="B113" i="7"/>
  <c r="C113" i="7"/>
  <c r="D113" i="7"/>
  <c r="E113" i="7"/>
  <c r="G113" i="7"/>
  <c r="H113" i="7"/>
  <c r="I113" i="7"/>
  <c r="C114" i="7"/>
  <c r="D114" i="7"/>
  <c r="E114" i="7"/>
  <c r="F114" i="7"/>
  <c r="G114" i="7"/>
  <c r="H114" i="7"/>
  <c r="I114" i="7"/>
  <c r="C115" i="7"/>
  <c r="D115" i="7"/>
  <c r="E115" i="7"/>
  <c r="F115" i="7"/>
  <c r="G115" i="7"/>
  <c r="H115" i="7"/>
  <c r="I115" i="7"/>
  <c r="B116" i="7"/>
  <c r="C116" i="7"/>
  <c r="D116" i="7"/>
  <c r="E116" i="7"/>
  <c r="F116" i="7"/>
  <c r="G116" i="7"/>
  <c r="H116" i="7"/>
  <c r="I116" i="7"/>
  <c r="B120" i="7"/>
  <c r="C120" i="7"/>
  <c r="D120" i="7"/>
  <c r="E120" i="7"/>
  <c r="J97" i="7"/>
  <c r="F120" i="7"/>
  <c r="C121" i="7"/>
  <c r="D121" i="7"/>
  <c r="E121" i="7"/>
  <c r="J105" i="7"/>
  <c r="J106" i="7"/>
  <c r="J103" i="7"/>
  <c r="F121" i="7"/>
  <c r="C122" i="7"/>
  <c r="D122" i="7"/>
  <c r="E122" i="7"/>
  <c r="F122" i="7"/>
  <c r="B123" i="7"/>
  <c r="C123" i="7"/>
  <c r="D123" i="7"/>
  <c r="E123" i="7"/>
  <c r="F123" i="7"/>
  <c r="C124" i="7"/>
  <c r="D124" i="7"/>
  <c r="E124" i="7"/>
  <c r="F124" i="7"/>
  <c r="B141" i="7"/>
  <c r="B144" i="7"/>
  <c r="B135" i="7"/>
  <c r="B127" i="7"/>
  <c r="C141" i="7"/>
  <c r="C143" i="7"/>
  <c r="C142" i="7"/>
  <c r="C144" i="7"/>
  <c r="C133" i="7"/>
  <c r="C134" i="7"/>
  <c r="C135" i="7"/>
  <c r="C127" i="7"/>
  <c r="D141" i="7"/>
  <c r="D142" i="7"/>
  <c r="D143" i="7"/>
  <c r="D144" i="7"/>
  <c r="D133" i="7"/>
  <c r="D134" i="7"/>
  <c r="D135" i="7"/>
  <c r="D127" i="7"/>
  <c r="E141" i="7"/>
  <c r="E142" i="7"/>
  <c r="E143" i="7"/>
  <c r="E144" i="7"/>
  <c r="E133" i="7"/>
  <c r="E134" i="7"/>
  <c r="E135" i="7"/>
  <c r="E127" i="7"/>
  <c r="F141" i="7"/>
  <c r="F142" i="7"/>
  <c r="F143" i="7"/>
  <c r="F144" i="7"/>
  <c r="F133" i="7"/>
  <c r="F134" i="7"/>
  <c r="F135" i="7"/>
  <c r="F127" i="7"/>
  <c r="G141" i="7"/>
  <c r="G142" i="7"/>
  <c r="J99" i="7"/>
  <c r="J100" i="7"/>
  <c r="J101" i="7"/>
  <c r="J102" i="7"/>
  <c r="J104" i="7"/>
  <c r="J107" i="7"/>
  <c r="J108" i="7"/>
  <c r="J109" i="7"/>
  <c r="J110" i="7"/>
  <c r="J111" i="7"/>
  <c r="J112" i="7"/>
  <c r="J114" i="7"/>
  <c r="J115" i="7"/>
  <c r="J116" i="7"/>
  <c r="G143" i="7"/>
  <c r="G144" i="7"/>
  <c r="G133" i="7"/>
  <c r="G134" i="7"/>
  <c r="G135" i="7"/>
  <c r="G127" i="7"/>
  <c r="B128" i="7"/>
  <c r="C136" i="7"/>
  <c r="C148" i="7"/>
  <c r="C128" i="7"/>
  <c r="L22" i="3"/>
  <c r="L23" i="3"/>
  <c r="D136" i="7"/>
  <c r="D148" i="7"/>
  <c r="D128" i="7"/>
  <c r="L42" i="3"/>
  <c r="L43" i="3"/>
  <c r="E136" i="7"/>
  <c r="E148" i="7"/>
  <c r="E128" i="7"/>
  <c r="L63" i="3"/>
  <c r="L64" i="3"/>
  <c r="F136" i="7"/>
  <c r="F148" i="7"/>
  <c r="F128" i="7"/>
  <c r="L84" i="3"/>
  <c r="L85" i="3"/>
  <c r="G136" i="7"/>
  <c r="G148" i="7"/>
  <c r="G128" i="7"/>
  <c r="B129" i="7"/>
  <c r="C129" i="7"/>
  <c r="D129" i="7"/>
  <c r="E129" i="7"/>
  <c r="F129" i="7"/>
  <c r="G129" i="7"/>
  <c r="B139" i="7"/>
  <c r="B140" i="7"/>
  <c r="B149" i="7"/>
  <c r="C149" i="7"/>
  <c r="D149" i="7"/>
  <c r="E149" i="7"/>
  <c r="F149" i="7"/>
  <c r="G149" i="7"/>
  <c r="B150" i="7"/>
  <c r="C150" i="7"/>
  <c r="D150" i="7"/>
  <c r="E150" i="7"/>
  <c r="F150" i="7"/>
  <c r="G150" i="7"/>
  <c r="B155" i="7"/>
  <c r="C155" i="7"/>
  <c r="D155" i="7"/>
  <c r="E155" i="7"/>
  <c r="F155" i="7"/>
  <c r="B156" i="7"/>
  <c r="C156" i="7"/>
  <c r="D156" i="7"/>
  <c r="E156" i="7"/>
  <c r="F156" i="7"/>
  <c r="B157" i="7"/>
  <c r="C157" i="7"/>
  <c r="D157" i="7"/>
  <c r="E157" i="7"/>
  <c r="F157" i="7"/>
  <c r="B158" i="7"/>
  <c r="C158" i="7"/>
  <c r="D158" i="7"/>
  <c r="E158" i="7"/>
  <c r="F158" i="7"/>
  <c r="B159" i="7"/>
  <c r="C159" i="7"/>
  <c r="D159" i="7"/>
  <c r="E159" i="7"/>
  <c r="F159" i="7"/>
  <c r="K116" i="7"/>
  <c r="K115" i="7"/>
  <c r="K114" i="7"/>
  <c r="K113" i="7"/>
  <c r="K112" i="7"/>
  <c r="K111" i="7"/>
  <c r="K110" i="7"/>
  <c r="K109" i="7"/>
  <c r="K108" i="7"/>
  <c r="K107" i="7"/>
  <c r="K106" i="7"/>
  <c r="K105" i="7"/>
  <c r="K104" i="7"/>
  <c r="K103" i="7"/>
  <c r="K102" i="7"/>
  <c r="K101" i="7"/>
  <c r="K100" i="7"/>
  <c r="K99" i="7"/>
  <c r="K98" i="7"/>
  <c r="K96" i="7"/>
  <c r="K94" i="7"/>
  <c r="C135" i="1"/>
  <c r="B155" i="1"/>
  <c r="C138" i="1"/>
  <c r="B154" i="1"/>
  <c r="C139" i="1"/>
  <c r="B156" i="1"/>
  <c r="E135" i="1"/>
  <c r="E127" i="1"/>
  <c r="D135" i="1"/>
  <c r="D138" i="1"/>
  <c r="D139" i="1"/>
  <c r="E138" i="1"/>
  <c r="E139" i="1"/>
  <c r="F135" i="1"/>
  <c r="F138" i="1"/>
  <c r="F139" i="1"/>
  <c r="G135" i="1"/>
  <c r="G138" i="1"/>
  <c r="G139" i="1"/>
  <c r="G127" i="1"/>
  <c r="D127" i="1"/>
  <c r="H114" i="1"/>
  <c r="G144" i="1"/>
  <c r="F144" i="1"/>
  <c r="E144" i="1"/>
  <c r="D144" i="1"/>
  <c r="J112" i="1"/>
  <c r="H112" i="1"/>
  <c r="F112" i="1"/>
  <c r="D112" i="1"/>
  <c r="B50" i="3"/>
  <c r="C2" i="6"/>
  <c r="C2" i="5"/>
  <c r="C2" i="4"/>
  <c r="C93" i="3"/>
  <c r="D93" i="3"/>
  <c r="E93" i="3"/>
  <c r="F93" i="3"/>
  <c r="G93" i="3"/>
  <c r="H93" i="3"/>
  <c r="I93" i="3"/>
  <c r="J93" i="3"/>
  <c r="K93" i="3"/>
  <c r="L93" i="3"/>
  <c r="M93" i="3"/>
  <c r="C72" i="3"/>
  <c r="D72" i="3"/>
  <c r="E72" i="3"/>
  <c r="F72" i="3"/>
  <c r="G72" i="3"/>
  <c r="H72" i="3"/>
  <c r="I72" i="3"/>
  <c r="J72" i="3"/>
  <c r="K72" i="3"/>
  <c r="L72" i="3"/>
  <c r="M72" i="3"/>
  <c r="B93" i="3"/>
  <c r="B72" i="3"/>
  <c r="B51" i="3"/>
  <c r="C51" i="3"/>
  <c r="D51" i="3"/>
  <c r="E51" i="3"/>
  <c r="F51" i="3"/>
  <c r="G51" i="3"/>
  <c r="H51" i="3"/>
  <c r="I51" i="3"/>
  <c r="J51" i="3"/>
  <c r="K51" i="3"/>
  <c r="L51" i="3"/>
  <c r="M51" i="3"/>
  <c r="D35" i="1"/>
  <c r="D34" i="1"/>
  <c r="D36" i="1"/>
  <c r="D37" i="1"/>
  <c r="E37" i="1"/>
  <c r="E34" i="1"/>
  <c r="E35" i="1"/>
  <c r="E36" i="1"/>
  <c r="F37" i="1"/>
  <c r="C61" i="6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B2" i="6"/>
  <c r="B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F34" i="1"/>
  <c r="F35" i="1"/>
  <c r="F36" i="1"/>
  <c r="B31" i="3"/>
  <c r="C31" i="3"/>
  <c r="D31" i="3"/>
  <c r="E31" i="3"/>
  <c r="F31" i="3"/>
  <c r="G31" i="3"/>
  <c r="H31" i="3"/>
  <c r="I31" i="3"/>
  <c r="J31" i="3"/>
  <c r="K31" i="3"/>
  <c r="L31" i="3"/>
  <c r="M31" i="3"/>
  <c r="D94" i="1"/>
  <c r="D95" i="1"/>
  <c r="B23" i="3"/>
  <c r="B21" i="3"/>
  <c r="D102" i="1"/>
  <c r="B47" i="1"/>
  <c r="C47" i="1"/>
  <c r="C46" i="1"/>
  <c r="C48" i="1"/>
  <c r="C52" i="1"/>
  <c r="D104" i="1"/>
  <c r="C56" i="1"/>
  <c r="C55" i="1"/>
  <c r="C57" i="1"/>
  <c r="C61" i="1"/>
  <c r="D105" i="1"/>
  <c r="C22" i="1"/>
  <c r="C23" i="1"/>
  <c r="C24" i="1"/>
  <c r="C77" i="1"/>
  <c r="C120" i="1"/>
  <c r="B26" i="3"/>
  <c r="C2" i="1"/>
  <c r="C5" i="1"/>
  <c r="B27" i="3"/>
  <c r="C65" i="1"/>
  <c r="C66" i="1"/>
  <c r="C67" i="1"/>
  <c r="C68" i="1"/>
  <c r="C72" i="1"/>
  <c r="D97" i="1"/>
  <c r="B28" i="3"/>
  <c r="B24" i="3"/>
  <c r="B29" i="3"/>
  <c r="B34" i="3"/>
  <c r="B35" i="3"/>
  <c r="B94" i="1"/>
  <c r="B95" i="1"/>
  <c r="B102" i="1"/>
  <c r="B46" i="1"/>
  <c r="B48" i="1"/>
  <c r="B52" i="1"/>
  <c r="B104" i="1"/>
  <c r="B56" i="1"/>
  <c r="B55" i="1"/>
  <c r="B57" i="1"/>
  <c r="B61" i="1"/>
  <c r="B105" i="1"/>
  <c r="B22" i="1"/>
  <c r="B23" i="1"/>
  <c r="B24" i="1"/>
  <c r="B120" i="1"/>
  <c r="B2" i="1"/>
  <c r="B5" i="1"/>
  <c r="B65" i="1"/>
  <c r="B66" i="1"/>
  <c r="B67" i="1"/>
  <c r="B68" i="1"/>
  <c r="B72" i="1"/>
  <c r="B97" i="1"/>
  <c r="B16" i="3"/>
  <c r="B17" i="3"/>
  <c r="B93" i="1"/>
  <c r="C16" i="3"/>
  <c r="C17" i="3"/>
  <c r="D16" i="3"/>
  <c r="D17" i="3"/>
  <c r="E16" i="3"/>
  <c r="E17" i="3"/>
  <c r="F16" i="3"/>
  <c r="F17" i="3"/>
  <c r="G16" i="3"/>
  <c r="G17" i="3"/>
  <c r="H16" i="3"/>
  <c r="H17" i="3"/>
  <c r="I16" i="3"/>
  <c r="I17" i="3"/>
  <c r="J16" i="3"/>
  <c r="J17" i="3"/>
  <c r="K16" i="3"/>
  <c r="K17" i="3"/>
  <c r="L16" i="3"/>
  <c r="L17" i="3"/>
  <c r="B96" i="1"/>
  <c r="B98" i="1"/>
  <c r="B83" i="1"/>
  <c r="B84" i="1"/>
  <c r="B106" i="1"/>
  <c r="B103" i="1"/>
  <c r="B107" i="1"/>
  <c r="B99" i="1"/>
  <c r="B100" i="1"/>
  <c r="B101" i="1"/>
  <c r="B108" i="1"/>
  <c r="B109" i="1"/>
  <c r="B87" i="1"/>
  <c r="B90" i="1"/>
  <c r="B110" i="1"/>
  <c r="B111" i="1"/>
  <c r="B112" i="1"/>
  <c r="B113" i="1"/>
  <c r="B114" i="1"/>
  <c r="M16" i="3"/>
  <c r="M17" i="3"/>
  <c r="B36" i="3"/>
  <c r="C61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B2" i="5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B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F93" i="1"/>
  <c r="D83" i="1"/>
  <c r="D84" i="1"/>
  <c r="F106" i="1"/>
  <c r="C132" i="1"/>
  <c r="C133" i="1"/>
  <c r="C134" i="1"/>
  <c r="D132" i="1"/>
  <c r="C87" i="1"/>
  <c r="C90" i="1"/>
  <c r="D133" i="1"/>
  <c r="D134" i="1"/>
  <c r="D2" i="1"/>
  <c r="E132" i="1"/>
  <c r="D87" i="1"/>
  <c r="D90" i="1"/>
  <c r="E133" i="1"/>
  <c r="E134" i="1"/>
  <c r="E2" i="1"/>
  <c r="F132" i="1"/>
  <c r="E87" i="1"/>
  <c r="E90" i="1"/>
  <c r="F133" i="1"/>
  <c r="F134" i="1"/>
  <c r="F2" i="1"/>
  <c r="G132" i="1"/>
  <c r="F87" i="1"/>
  <c r="F90" i="1"/>
  <c r="G133" i="1"/>
  <c r="G134" i="1"/>
  <c r="B138" i="1"/>
  <c r="B134" i="1"/>
  <c r="B139" i="1"/>
  <c r="J93" i="1"/>
  <c r="J94" i="1"/>
  <c r="J95" i="1"/>
  <c r="J96" i="1"/>
  <c r="F65" i="1"/>
  <c r="F66" i="1"/>
  <c r="F67" i="1"/>
  <c r="F68" i="1"/>
  <c r="F72" i="1"/>
  <c r="J97" i="1"/>
  <c r="J98" i="1"/>
  <c r="F83" i="1"/>
  <c r="F84" i="1"/>
  <c r="J106" i="1"/>
  <c r="J102" i="1"/>
  <c r="J103" i="1"/>
  <c r="F47" i="1"/>
  <c r="F46" i="1"/>
  <c r="F49" i="1"/>
  <c r="F50" i="1"/>
  <c r="F51" i="1"/>
  <c r="F48" i="1"/>
  <c r="F52" i="1"/>
  <c r="J104" i="1"/>
  <c r="F56" i="1"/>
  <c r="F55" i="1"/>
  <c r="F57" i="1"/>
  <c r="F61" i="1"/>
  <c r="J105" i="1"/>
  <c r="J107" i="1"/>
  <c r="J99" i="1"/>
  <c r="D77" i="1"/>
  <c r="E77" i="1"/>
  <c r="F77" i="1"/>
  <c r="J100" i="1"/>
  <c r="J101" i="1"/>
  <c r="J108" i="1"/>
  <c r="J109" i="1"/>
  <c r="J110" i="1"/>
  <c r="J111" i="1"/>
  <c r="F23" i="1"/>
  <c r="J113" i="1"/>
  <c r="H93" i="1"/>
  <c r="H94" i="1"/>
  <c r="H95" i="1"/>
  <c r="H96" i="1"/>
  <c r="E65" i="1"/>
  <c r="E66" i="1"/>
  <c r="E67" i="1"/>
  <c r="E68" i="1"/>
  <c r="E72" i="1"/>
  <c r="H97" i="1"/>
  <c r="H98" i="1"/>
  <c r="E83" i="1"/>
  <c r="E84" i="1"/>
  <c r="H106" i="1"/>
  <c r="H102" i="1"/>
  <c r="H103" i="1"/>
  <c r="E47" i="1"/>
  <c r="E46" i="1"/>
  <c r="E49" i="1"/>
  <c r="E50" i="1"/>
  <c r="E51" i="1"/>
  <c r="E48" i="1"/>
  <c r="E52" i="1"/>
  <c r="H104" i="1"/>
  <c r="E56" i="1"/>
  <c r="E55" i="1"/>
  <c r="E57" i="1"/>
  <c r="E61" i="1"/>
  <c r="H105" i="1"/>
  <c r="H107" i="1"/>
  <c r="H99" i="1"/>
  <c r="H100" i="1"/>
  <c r="H101" i="1"/>
  <c r="H108" i="1"/>
  <c r="H109" i="1"/>
  <c r="H110" i="1"/>
  <c r="H111" i="1"/>
  <c r="E23" i="1"/>
  <c r="H113" i="1"/>
  <c r="F94" i="1"/>
  <c r="F95" i="1"/>
  <c r="F96" i="1"/>
  <c r="D65" i="1"/>
  <c r="D66" i="1"/>
  <c r="D67" i="1"/>
  <c r="D68" i="1"/>
  <c r="D72" i="1"/>
  <c r="F97" i="1"/>
  <c r="F98" i="1"/>
  <c r="F102" i="1"/>
  <c r="F103" i="1"/>
  <c r="D47" i="1"/>
  <c r="D46" i="1"/>
  <c r="D49" i="1"/>
  <c r="D50" i="1"/>
  <c r="D51" i="1"/>
  <c r="D48" i="1"/>
  <c r="D52" i="1"/>
  <c r="F104" i="1"/>
  <c r="D56" i="1"/>
  <c r="D55" i="1"/>
  <c r="D57" i="1"/>
  <c r="D61" i="1"/>
  <c r="F105" i="1"/>
  <c r="F107" i="1"/>
  <c r="F99" i="1"/>
  <c r="F100" i="1"/>
  <c r="F101" i="1"/>
  <c r="F108" i="1"/>
  <c r="F109" i="1"/>
  <c r="F110" i="1"/>
  <c r="F111" i="1"/>
  <c r="D23" i="1"/>
  <c r="D41" i="1"/>
  <c r="F113" i="1"/>
  <c r="D93" i="1"/>
  <c r="D96" i="1"/>
  <c r="D98" i="1"/>
  <c r="C83" i="1"/>
  <c r="C84" i="1"/>
  <c r="D106" i="1"/>
  <c r="D103" i="1"/>
  <c r="D107" i="1"/>
  <c r="D99" i="1"/>
  <c r="D100" i="1"/>
  <c r="D101" i="1"/>
  <c r="D108" i="1"/>
  <c r="D109" i="1"/>
  <c r="D110" i="1"/>
  <c r="D111" i="1"/>
  <c r="D113" i="1"/>
  <c r="B115" i="1"/>
  <c r="D114" i="1"/>
  <c r="D115" i="1"/>
  <c r="F114" i="1"/>
  <c r="F115" i="1"/>
  <c r="H115" i="1"/>
  <c r="J114" i="1"/>
  <c r="J115" i="1"/>
  <c r="D22" i="1"/>
  <c r="E22" i="1"/>
  <c r="F22" i="1"/>
  <c r="B85" i="3"/>
  <c r="B83" i="3"/>
  <c r="F24" i="1"/>
  <c r="F120" i="1"/>
  <c r="B88" i="3"/>
  <c r="B89" i="3"/>
  <c r="B90" i="3"/>
  <c r="B86" i="3"/>
  <c r="B91" i="3"/>
  <c r="B97" i="3"/>
  <c r="C22" i="3"/>
  <c r="C23" i="3"/>
  <c r="C21" i="3"/>
  <c r="C26" i="3"/>
  <c r="C24" i="3"/>
  <c r="C29" i="3"/>
  <c r="C34" i="3"/>
  <c r="C35" i="3"/>
  <c r="C36" i="3"/>
  <c r="D23" i="3"/>
  <c r="D21" i="3"/>
  <c r="D26" i="3"/>
  <c r="D24" i="3"/>
  <c r="D29" i="3"/>
  <c r="D34" i="3"/>
  <c r="D35" i="3"/>
  <c r="D36" i="3"/>
  <c r="E23" i="3"/>
  <c r="E21" i="3"/>
  <c r="E26" i="3"/>
  <c r="E28" i="3"/>
  <c r="E24" i="3"/>
  <c r="E29" i="3"/>
  <c r="E34" i="3"/>
  <c r="E35" i="3"/>
  <c r="E36" i="3"/>
  <c r="F22" i="3"/>
  <c r="F23" i="3"/>
  <c r="F21" i="3"/>
  <c r="F26" i="3"/>
  <c r="F24" i="3"/>
  <c r="F29" i="3"/>
  <c r="F34" i="3"/>
  <c r="F35" i="3"/>
  <c r="F36" i="3"/>
  <c r="G23" i="3"/>
  <c r="G21" i="3"/>
  <c r="G26" i="3"/>
  <c r="G24" i="3"/>
  <c r="G29" i="3"/>
  <c r="G34" i="3"/>
  <c r="G35" i="3"/>
  <c r="G36" i="3"/>
  <c r="H23" i="3"/>
  <c r="H21" i="3"/>
  <c r="H26" i="3"/>
  <c r="H28" i="3"/>
  <c r="H24" i="3"/>
  <c r="H29" i="3"/>
  <c r="H34" i="3"/>
  <c r="H35" i="3"/>
  <c r="H36" i="3"/>
  <c r="I22" i="3"/>
  <c r="I23" i="3"/>
  <c r="I21" i="3"/>
  <c r="I26" i="3"/>
  <c r="I24" i="3"/>
  <c r="I29" i="3"/>
  <c r="I34" i="3"/>
  <c r="I35" i="3"/>
  <c r="I36" i="3"/>
  <c r="J23" i="3"/>
  <c r="J21" i="3"/>
  <c r="J26" i="3"/>
  <c r="J24" i="3"/>
  <c r="J29" i="3"/>
  <c r="J34" i="3"/>
  <c r="J35" i="3"/>
  <c r="J36" i="3"/>
  <c r="K23" i="3"/>
  <c r="K21" i="3"/>
  <c r="K26" i="3"/>
  <c r="K28" i="3"/>
  <c r="K24" i="3"/>
  <c r="K29" i="3"/>
  <c r="K34" i="3"/>
  <c r="K35" i="3"/>
  <c r="K36" i="3"/>
  <c r="L21" i="3"/>
  <c r="L26" i="3"/>
  <c r="L24" i="3"/>
  <c r="L29" i="3"/>
  <c r="L34" i="3"/>
  <c r="L35" i="3"/>
  <c r="L36" i="3"/>
  <c r="M23" i="3"/>
  <c r="M21" i="3"/>
  <c r="M26" i="3"/>
  <c r="M24" i="3"/>
  <c r="M29" i="3"/>
  <c r="M32" i="3"/>
  <c r="M33" i="3"/>
  <c r="M34" i="3"/>
  <c r="M35" i="3"/>
  <c r="M36" i="3"/>
  <c r="B43" i="3"/>
  <c r="B41" i="3"/>
  <c r="D24" i="1"/>
  <c r="D120" i="1"/>
  <c r="B46" i="3"/>
  <c r="B47" i="3"/>
  <c r="B48" i="3"/>
  <c r="B44" i="3"/>
  <c r="B49" i="3"/>
  <c r="B55" i="3"/>
  <c r="B56" i="3"/>
  <c r="C42" i="3"/>
  <c r="C43" i="3"/>
  <c r="C41" i="3"/>
  <c r="C46" i="3"/>
  <c r="C44" i="3"/>
  <c r="C49" i="3"/>
  <c r="C55" i="3"/>
  <c r="C56" i="3"/>
  <c r="D43" i="3"/>
  <c r="D41" i="3"/>
  <c r="D46" i="3"/>
  <c r="D44" i="3"/>
  <c r="D49" i="3"/>
  <c r="D55" i="3"/>
  <c r="D56" i="3"/>
  <c r="E43" i="3"/>
  <c r="E41" i="3"/>
  <c r="E46" i="3"/>
  <c r="E48" i="3"/>
  <c r="E44" i="3"/>
  <c r="E49" i="3"/>
  <c r="E55" i="3"/>
  <c r="E56" i="3"/>
  <c r="F42" i="3"/>
  <c r="F43" i="3"/>
  <c r="F41" i="3"/>
  <c r="F46" i="3"/>
  <c r="F44" i="3"/>
  <c r="F49" i="3"/>
  <c r="F55" i="3"/>
  <c r="F56" i="3"/>
  <c r="G43" i="3"/>
  <c r="G41" i="3"/>
  <c r="G46" i="3"/>
  <c r="G44" i="3"/>
  <c r="G49" i="3"/>
  <c r="G55" i="3"/>
  <c r="G56" i="3"/>
  <c r="H43" i="3"/>
  <c r="H41" i="3"/>
  <c r="H46" i="3"/>
  <c r="H48" i="3"/>
  <c r="H44" i="3"/>
  <c r="H49" i="3"/>
  <c r="H55" i="3"/>
  <c r="H56" i="3"/>
  <c r="I42" i="3"/>
  <c r="I43" i="3"/>
  <c r="I41" i="3"/>
  <c r="I46" i="3"/>
  <c r="I44" i="3"/>
  <c r="I49" i="3"/>
  <c r="I55" i="3"/>
  <c r="I56" i="3"/>
  <c r="J43" i="3"/>
  <c r="J41" i="3"/>
  <c r="J46" i="3"/>
  <c r="J44" i="3"/>
  <c r="J49" i="3"/>
  <c r="J55" i="3"/>
  <c r="J56" i="3"/>
  <c r="K43" i="3"/>
  <c r="K41" i="3"/>
  <c r="K46" i="3"/>
  <c r="K48" i="3"/>
  <c r="K44" i="3"/>
  <c r="K49" i="3"/>
  <c r="K55" i="3"/>
  <c r="K56" i="3"/>
  <c r="L41" i="3"/>
  <c r="L46" i="3"/>
  <c r="L44" i="3"/>
  <c r="L49" i="3"/>
  <c r="L55" i="3"/>
  <c r="L56" i="3"/>
  <c r="M43" i="3"/>
  <c r="M41" i="3"/>
  <c r="M46" i="3"/>
  <c r="M44" i="3"/>
  <c r="M49" i="3"/>
  <c r="M55" i="3"/>
  <c r="M56" i="3"/>
  <c r="B64" i="3"/>
  <c r="B62" i="3"/>
  <c r="E24" i="1"/>
  <c r="E120" i="1"/>
  <c r="B67" i="3"/>
  <c r="B68" i="3"/>
  <c r="B69" i="3"/>
  <c r="B65" i="3"/>
  <c r="B70" i="3"/>
  <c r="B76" i="3"/>
  <c r="B77" i="3"/>
  <c r="C63" i="3"/>
  <c r="C64" i="3"/>
  <c r="C62" i="3"/>
  <c r="C67" i="3"/>
  <c r="C65" i="3"/>
  <c r="C70" i="3"/>
  <c r="C76" i="3"/>
  <c r="C77" i="3"/>
  <c r="D64" i="3"/>
  <c r="D62" i="3"/>
  <c r="D67" i="3"/>
  <c r="D65" i="3"/>
  <c r="D70" i="3"/>
  <c r="D76" i="3"/>
  <c r="D77" i="3"/>
  <c r="E64" i="3"/>
  <c r="E62" i="3"/>
  <c r="E67" i="3"/>
  <c r="E69" i="3"/>
  <c r="E65" i="3"/>
  <c r="E70" i="3"/>
  <c r="E76" i="3"/>
  <c r="E77" i="3"/>
  <c r="F63" i="3"/>
  <c r="F64" i="3"/>
  <c r="F62" i="3"/>
  <c r="F67" i="3"/>
  <c r="F65" i="3"/>
  <c r="F70" i="3"/>
  <c r="F76" i="3"/>
  <c r="F77" i="3"/>
  <c r="G64" i="3"/>
  <c r="G62" i="3"/>
  <c r="G67" i="3"/>
  <c r="G65" i="3"/>
  <c r="G70" i="3"/>
  <c r="G76" i="3"/>
  <c r="G77" i="3"/>
  <c r="H64" i="3"/>
  <c r="H62" i="3"/>
  <c r="H67" i="3"/>
  <c r="H69" i="3"/>
  <c r="H65" i="3"/>
  <c r="H70" i="3"/>
  <c r="H76" i="3"/>
  <c r="H77" i="3"/>
  <c r="I63" i="3"/>
  <c r="I64" i="3"/>
  <c r="I62" i="3"/>
  <c r="I67" i="3"/>
  <c r="I65" i="3"/>
  <c r="I70" i="3"/>
  <c r="I76" i="3"/>
  <c r="I77" i="3"/>
  <c r="J64" i="3"/>
  <c r="J62" i="3"/>
  <c r="J67" i="3"/>
  <c r="J65" i="3"/>
  <c r="J70" i="3"/>
  <c r="J76" i="3"/>
  <c r="J77" i="3"/>
  <c r="K64" i="3"/>
  <c r="K62" i="3"/>
  <c r="K67" i="3"/>
  <c r="K69" i="3"/>
  <c r="K65" i="3"/>
  <c r="K70" i="3"/>
  <c r="K76" i="3"/>
  <c r="K77" i="3"/>
  <c r="L62" i="3"/>
  <c r="L67" i="3"/>
  <c r="L65" i="3"/>
  <c r="L70" i="3"/>
  <c r="L76" i="3"/>
  <c r="L77" i="3"/>
  <c r="M64" i="3"/>
  <c r="M62" i="3"/>
  <c r="M67" i="3"/>
  <c r="M65" i="3"/>
  <c r="M70" i="3"/>
  <c r="M76" i="3"/>
  <c r="M77" i="3"/>
  <c r="B98" i="3"/>
  <c r="C84" i="3"/>
  <c r="C85" i="3"/>
  <c r="C83" i="3"/>
  <c r="C88" i="3"/>
  <c r="C86" i="3"/>
  <c r="C91" i="3"/>
  <c r="C97" i="3"/>
  <c r="C98" i="3"/>
  <c r="D85" i="3"/>
  <c r="D83" i="3"/>
  <c r="D88" i="3"/>
  <c r="D86" i="3"/>
  <c r="D91" i="3"/>
  <c r="D97" i="3"/>
  <c r="D98" i="3"/>
  <c r="E85" i="3"/>
  <c r="E83" i="3"/>
  <c r="E88" i="3"/>
  <c r="E90" i="3"/>
  <c r="E86" i="3"/>
  <c r="E91" i="3"/>
  <c r="E97" i="3"/>
  <c r="E98" i="3"/>
  <c r="F84" i="3"/>
  <c r="F85" i="3"/>
  <c r="F83" i="3"/>
  <c r="F88" i="3"/>
  <c r="F86" i="3"/>
  <c r="F91" i="3"/>
  <c r="F97" i="3"/>
  <c r="F98" i="3"/>
  <c r="G85" i="3"/>
  <c r="G83" i="3"/>
  <c r="G88" i="3"/>
  <c r="G86" i="3"/>
  <c r="G91" i="3"/>
  <c r="G97" i="3"/>
  <c r="G98" i="3"/>
  <c r="H85" i="3"/>
  <c r="H83" i="3"/>
  <c r="H88" i="3"/>
  <c r="H90" i="3"/>
  <c r="H86" i="3"/>
  <c r="H91" i="3"/>
  <c r="H97" i="3"/>
  <c r="H98" i="3"/>
  <c r="I84" i="3"/>
  <c r="I85" i="3"/>
  <c r="I83" i="3"/>
  <c r="I88" i="3"/>
  <c r="I86" i="3"/>
  <c r="I91" i="3"/>
  <c r="I97" i="3"/>
  <c r="I98" i="3"/>
  <c r="J85" i="3"/>
  <c r="J83" i="3"/>
  <c r="J88" i="3"/>
  <c r="J86" i="3"/>
  <c r="J91" i="3"/>
  <c r="J97" i="3"/>
  <c r="J98" i="3"/>
  <c r="K85" i="3"/>
  <c r="K83" i="3"/>
  <c r="K88" i="3"/>
  <c r="K90" i="3"/>
  <c r="K86" i="3"/>
  <c r="K91" i="3"/>
  <c r="K97" i="3"/>
  <c r="K98" i="3"/>
  <c r="L83" i="3"/>
  <c r="L88" i="3"/>
  <c r="L86" i="3"/>
  <c r="L91" i="3"/>
  <c r="L97" i="3"/>
  <c r="L98" i="3"/>
  <c r="M85" i="3"/>
  <c r="M83" i="3"/>
  <c r="M88" i="3"/>
  <c r="M86" i="3"/>
  <c r="M91" i="3"/>
  <c r="M97" i="3"/>
  <c r="M98" i="3"/>
  <c r="E30" i="1"/>
  <c r="C144" i="1"/>
  <c r="D30" i="1"/>
  <c r="B25" i="1"/>
  <c r="B144" i="1"/>
  <c r="D42" i="1"/>
  <c r="C14" i="1"/>
  <c r="C19" i="1"/>
  <c r="D14" i="1"/>
  <c r="D19" i="1"/>
  <c r="B14" i="1"/>
  <c r="B10" i="1"/>
  <c r="B19" i="1"/>
  <c r="C30" i="1"/>
  <c r="C31" i="1"/>
  <c r="D31" i="1"/>
  <c r="E31" i="1"/>
  <c r="F30" i="1"/>
  <c r="F31" i="1"/>
  <c r="M94" i="3"/>
  <c r="N94" i="3"/>
  <c r="M95" i="3"/>
  <c r="N95" i="3"/>
  <c r="M74" i="3"/>
  <c r="M73" i="3"/>
  <c r="M53" i="3"/>
  <c r="M52" i="3"/>
  <c r="N52" i="3"/>
  <c r="N53" i="3"/>
  <c r="N47" i="3"/>
  <c r="N27" i="3"/>
  <c r="N32" i="3"/>
  <c r="N33" i="3"/>
  <c r="N83" i="3"/>
  <c r="N68" i="3"/>
  <c r="N89" i="3"/>
  <c r="N13" i="3"/>
  <c r="N14" i="3"/>
  <c r="N8" i="3"/>
  <c r="B121" i="1"/>
  <c r="E142" i="1"/>
  <c r="D142" i="1"/>
  <c r="C142" i="1"/>
  <c r="D141" i="1"/>
  <c r="E141" i="1"/>
  <c r="F141" i="1"/>
  <c r="F142" i="1"/>
  <c r="G141" i="1"/>
  <c r="G142" i="1"/>
  <c r="C140" i="1"/>
  <c r="D140" i="1"/>
  <c r="E140" i="1"/>
  <c r="F140" i="1"/>
  <c r="G140" i="1"/>
  <c r="G143" i="1"/>
  <c r="G126" i="1"/>
  <c r="G147" i="1"/>
  <c r="G128" i="1"/>
  <c r="N93" i="3"/>
  <c r="N92" i="3"/>
  <c r="N90" i="3"/>
  <c r="N88" i="3"/>
  <c r="N87" i="3"/>
  <c r="N86" i="3"/>
  <c r="N85" i="3"/>
  <c r="N84" i="3"/>
  <c r="N72" i="3"/>
  <c r="N71" i="3"/>
  <c r="N69" i="3"/>
  <c r="N67" i="3"/>
  <c r="N66" i="3"/>
  <c r="N65" i="3"/>
  <c r="N64" i="3"/>
  <c r="N63" i="3"/>
  <c r="N62" i="3"/>
  <c r="N51" i="3"/>
  <c r="N50" i="3"/>
  <c r="N48" i="3"/>
  <c r="N46" i="3"/>
  <c r="N45" i="3"/>
  <c r="N44" i="3"/>
  <c r="N43" i="3"/>
  <c r="N42" i="3"/>
  <c r="N41" i="3"/>
  <c r="N31" i="3"/>
  <c r="N30" i="3"/>
  <c r="N28" i="3"/>
  <c r="N26" i="3"/>
  <c r="N25" i="3"/>
  <c r="N24" i="3"/>
  <c r="N23" i="3"/>
  <c r="N22" i="3"/>
  <c r="N21" i="3"/>
  <c r="C25" i="1"/>
  <c r="D25" i="1"/>
  <c r="E25" i="1"/>
  <c r="F25" i="1"/>
  <c r="N3" i="3"/>
  <c r="N4" i="3"/>
  <c r="N5" i="3"/>
  <c r="N6" i="3"/>
  <c r="N7" i="3"/>
  <c r="N9" i="3"/>
  <c r="N11" i="3"/>
  <c r="N12" i="3"/>
  <c r="N2" i="3"/>
  <c r="F121" i="1"/>
  <c r="E121" i="1"/>
  <c r="D121" i="1"/>
  <c r="C121" i="1"/>
  <c r="F122" i="1"/>
  <c r="E122" i="1"/>
  <c r="D122" i="1"/>
  <c r="C122" i="1"/>
  <c r="B122" i="1"/>
  <c r="B148" i="1"/>
  <c r="B140" i="1"/>
  <c r="B143" i="1"/>
  <c r="B149" i="1"/>
  <c r="B127" i="1"/>
  <c r="B126" i="1"/>
  <c r="B123" i="1"/>
  <c r="C158" i="1"/>
  <c r="B157" i="1"/>
  <c r="C147" i="1"/>
  <c r="C148" i="1"/>
  <c r="D147" i="1"/>
  <c r="D143" i="1"/>
  <c r="D126" i="1"/>
  <c r="C103" i="1"/>
  <c r="C104" i="1"/>
  <c r="C105" i="1"/>
  <c r="C106" i="1"/>
  <c r="D123" i="1"/>
  <c r="C141" i="1"/>
  <c r="C143" i="1"/>
  <c r="C126" i="1"/>
  <c r="K103" i="1"/>
  <c r="K104" i="1"/>
  <c r="K105" i="1"/>
  <c r="K106" i="1"/>
  <c r="I110" i="1"/>
  <c r="I111" i="1"/>
  <c r="I112" i="1"/>
  <c r="I103" i="1"/>
  <c r="I104" i="1"/>
  <c r="I105" i="1"/>
  <c r="I106" i="1"/>
  <c r="G110" i="1"/>
  <c r="G111" i="1"/>
  <c r="G112" i="1"/>
  <c r="G103" i="1"/>
  <c r="G104" i="1"/>
  <c r="G105" i="1"/>
  <c r="G106" i="1"/>
  <c r="G107" i="1"/>
  <c r="G108" i="1"/>
  <c r="G109" i="1"/>
  <c r="G113" i="1"/>
  <c r="G114" i="1"/>
  <c r="G115" i="1"/>
  <c r="E103" i="1"/>
  <c r="E104" i="1"/>
  <c r="E105" i="1"/>
  <c r="E106" i="1"/>
  <c r="E100" i="1"/>
  <c r="K95" i="1"/>
  <c r="K93" i="1"/>
  <c r="I95" i="1"/>
  <c r="I93" i="1"/>
  <c r="G95" i="1"/>
  <c r="G93" i="1"/>
  <c r="E95" i="1"/>
  <c r="E93" i="1"/>
  <c r="C93" i="1"/>
  <c r="C95" i="1"/>
  <c r="F143" i="1"/>
  <c r="E143" i="1"/>
  <c r="E126" i="1"/>
  <c r="F126" i="1"/>
  <c r="C127" i="1"/>
  <c r="F147" i="1"/>
  <c r="F127" i="1"/>
  <c r="B3" i="2"/>
  <c r="E147" i="1"/>
  <c r="F7" i="2"/>
  <c r="F8" i="2"/>
  <c r="F9" i="2"/>
  <c r="F10" i="2"/>
  <c r="F6" i="2"/>
  <c r="D148" i="1"/>
  <c r="D149" i="1"/>
  <c r="G148" i="1"/>
  <c r="E148" i="1"/>
  <c r="C149" i="1"/>
  <c r="B158" i="1"/>
  <c r="F158" i="1"/>
  <c r="E158" i="1"/>
  <c r="D158" i="1"/>
  <c r="F157" i="1"/>
  <c r="E157" i="1"/>
  <c r="D157" i="1"/>
  <c r="C157" i="1"/>
  <c r="D156" i="1"/>
  <c r="F148" i="1"/>
  <c r="E156" i="1"/>
  <c r="F156" i="1"/>
  <c r="C155" i="1"/>
  <c r="D155" i="1"/>
  <c r="E155" i="1"/>
  <c r="F155" i="1"/>
  <c r="C154" i="1"/>
  <c r="D154" i="1"/>
  <c r="E154" i="1"/>
  <c r="F154" i="1"/>
  <c r="C128" i="1"/>
  <c r="D128" i="1"/>
  <c r="E128" i="1"/>
  <c r="F128" i="1"/>
  <c r="B73" i="1"/>
  <c r="B128" i="1"/>
  <c r="E149" i="1"/>
  <c r="F149" i="1"/>
  <c r="G149" i="1"/>
  <c r="F123" i="1"/>
  <c r="E123" i="1"/>
  <c r="C123" i="1"/>
  <c r="F119" i="1"/>
  <c r="E119" i="1"/>
  <c r="D119" i="1"/>
  <c r="C119" i="1"/>
  <c r="B119" i="1"/>
  <c r="C64" i="1"/>
  <c r="C73" i="1"/>
  <c r="C71" i="1"/>
  <c r="C80" i="1"/>
  <c r="D64" i="1"/>
  <c r="D73" i="1"/>
  <c r="D71" i="1"/>
  <c r="D80" i="1"/>
  <c r="E64" i="1"/>
  <c r="E73" i="1"/>
  <c r="E71" i="1"/>
  <c r="E80" i="1"/>
  <c r="F64" i="1"/>
  <c r="F73" i="1"/>
  <c r="F71" i="1"/>
  <c r="F80" i="1"/>
  <c r="B64" i="1"/>
  <c r="B71" i="1"/>
  <c r="B80" i="1"/>
  <c r="F60" i="1"/>
  <c r="E60" i="1"/>
  <c r="D60" i="1"/>
  <c r="C60" i="1"/>
  <c r="B60" i="1"/>
  <c r="K98" i="1"/>
  <c r="K99" i="1"/>
  <c r="K100" i="1"/>
  <c r="K101" i="1"/>
  <c r="K102" i="1"/>
  <c r="K107" i="1"/>
  <c r="K108" i="1"/>
  <c r="K109" i="1"/>
  <c r="K110" i="1"/>
  <c r="K111" i="1"/>
  <c r="K112" i="1"/>
  <c r="K113" i="1"/>
  <c r="K114" i="1"/>
  <c r="K115" i="1"/>
  <c r="I98" i="1"/>
  <c r="I99" i="1"/>
  <c r="I100" i="1"/>
  <c r="I101" i="1"/>
  <c r="I102" i="1"/>
  <c r="I107" i="1"/>
  <c r="I108" i="1"/>
  <c r="I109" i="1"/>
  <c r="I113" i="1"/>
  <c r="I114" i="1"/>
  <c r="I115" i="1"/>
  <c r="G98" i="1"/>
  <c r="G99" i="1"/>
  <c r="G100" i="1"/>
  <c r="G101" i="1"/>
  <c r="G102" i="1"/>
  <c r="G97" i="1"/>
  <c r="E99" i="1"/>
  <c r="E101" i="1"/>
  <c r="E102" i="1"/>
  <c r="E107" i="1"/>
  <c r="E108" i="1"/>
  <c r="E109" i="1"/>
  <c r="E110" i="1"/>
  <c r="E111" i="1"/>
  <c r="E112" i="1"/>
  <c r="E113" i="1"/>
  <c r="E114" i="1"/>
  <c r="E115" i="1"/>
  <c r="E98" i="1"/>
  <c r="E97" i="1"/>
  <c r="K97" i="1"/>
  <c r="I97" i="1"/>
  <c r="D5" i="1"/>
  <c r="F7" i="1"/>
  <c r="E7" i="1"/>
  <c r="D7" i="1"/>
  <c r="C7" i="1"/>
  <c r="B7" i="1"/>
  <c r="C6" i="1"/>
  <c r="D6" i="1"/>
  <c r="E6" i="1"/>
  <c r="F6" i="1"/>
  <c r="C98" i="1"/>
  <c r="C99" i="1"/>
  <c r="C100" i="1"/>
  <c r="C101" i="1"/>
  <c r="C102" i="1"/>
  <c r="C107" i="1"/>
  <c r="C108" i="1"/>
  <c r="C109" i="1"/>
  <c r="C110" i="1"/>
  <c r="C111" i="1"/>
  <c r="C112" i="1"/>
  <c r="C113" i="1"/>
  <c r="C114" i="1"/>
  <c r="C115" i="1"/>
  <c r="C97" i="1"/>
  <c r="B58" i="1"/>
  <c r="C58" i="1"/>
  <c r="D58" i="1"/>
  <c r="E58" i="1"/>
  <c r="F58" i="1"/>
  <c r="B59" i="1"/>
  <c r="C59" i="1"/>
  <c r="D59" i="1"/>
  <c r="E59" i="1"/>
  <c r="F59" i="1"/>
  <c r="C156" i="1"/>
</calcChain>
</file>

<file path=xl/comments1.xml><?xml version="1.0" encoding="utf-8"?>
<comments xmlns="http://schemas.openxmlformats.org/spreadsheetml/2006/main">
  <authors>
    <author>Utilisateur de Microsoft Office</author>
  </authors>
  <commentList>
    <comment ref="A15" authorId="0">
      <text>
        <r>
          <rPr>
            <b/>
            <sz val="10"/>
            <color indexed="81"/>
            <rFont val="Calibri"/>
            <family val="2"/>
          </rPr>
          <t>4,77% interest rate</t>
        </r>
      </text>
    </comment>
    <comment ref="A16" authorId="0">
      <text>
        <r>
          <rPr>
            <b/>
            <sz val="10"/>
            <color indexed="81"/>
            <rFont val="Calibri"/>
            <family val="2"/>
          </rPr>
          <t xml:space="preserve">8% Interest rate
</t>
        </r>
      </text>
    </comment>
    <comment ref="A17" authorId="0">
      <text>
        <r>
          <rPr>
            <b/>
            <sz val="10"/>
            <color indexed="81"/>
            <rFont val="Calibri"/>
            <family val="2"/>
          </rPr>
          <t>4% interest rate</t>
        </r>
      </text>
    </comment>
    <comment ref="A18" authorId="0">
      <text>
        <r>
          <rPr>
            <b/>
            <sz val="10"/>
            <color indexed="81"/>
            <rFont val="Calibri"/>
            <family val="2"/>
          </rPr>
          <t>8% interest rate</t>
        </r>
      </text>
    </comment>
    <comment ref="B65" authorId="0">
      <text>
        <r>
          <rPr>
            <b/>
            <sz val="10"/>
            <color indexed="81"/>
            <rFont val="Calibri"/>
            <family val="2"/>
          </rPr>
          <t>100€/PU</t>
        </r>
        <r>
          <rPr>
            <sz val="10"/>
            <color indexed="81"/>
            <rFont val="Calibri"/>
            <family val="2"/>
          </rPr>
          <t xml:space="preserve">
</t>
        </r>
      </text>
    </comment>
    <comment ref="B66" authorId="0">
      <text>
        <r>
          <rPr>
            <b/>
            <sz val="10"/>
            <color indexed="81"/>
            <rFont val="Calibri"/>
            <family val="2"/>
          </rPr>
          <t>20€/PU</t>
        </r>
      </text>
    </comment>
    <comment ref="B67" authorId="0">
      <text>
        <r>
          <rPr>
            <b/>
            <sz val="10"/>
            <color indexed="81"/>
            <rFont val="Calibri"/>
            <family val="2"/>
          </rPr>
          <t>150€/PU</t>
        </r>
        <r>
          <rPr>
            <sz val="10"/>
            <color indexed="81"/>
            <rFont val="Calibri"/>
            <family val="2"/>
          </rPr>
          <t xml:space="preserve">
</t>
        </r>
      </text>
    </comment>
    <comment ref="B68" authorId="0">
      <text>
        <r>
          <rPr>
            <b/>
            <sz val="10"/>
            <color indexed="81"/>
            <rFont val="Calibri"/>
            <family val="2"/>
          </rPr>
          <t>50€/PU</t>
        </r>
        <r>
          <rPr>
            <sz val="10"/>
            <color indexed="81"/>
            <rFont val="Calibri"/>
            <family val="2"/>
          </rPr>
          <t xml:space="preserve">
</t>
        </r>
      </text>
    </comment>
    <comment ref="B69" authorId="0">
      <text>
        <r>
          <rPr>
            <b/>
            <sz val="10"/>
            <color indexed="81"/>
            <rFont val="Calibri"/>
            <family val="2"/>
          </rPr>
          <t>Au prorata de l'espace loué</t>
        </r>
        <r>
          <rPr>
            <sz val="10"/>
            <color indexed="81"/>
            <rFont val="Calibri"/>
            <family val="2"/>
          </rPr>
          <t xml:space="preserve">
</t>
        </r>
      </text>
    </comment>
    <comment ref="B70" authorId="0">
      <text>
        <r>
          <rPr>
            <b/>
            <sz val="10"/>
            <color indexed="81"/>
            <rFont val="Calibri"/>
            <family val="2"/>
          </rPr>
          <t>au prorata des employés</t>
        </r>
      </text>
    </comment>
    <comment ref="B72" authorId="0">
      <text>
        <r>
          <rPr>
            <sz val="10"/>
            <color indexed="81"/>
            <rFont val="Calibri"/>
            <family val="2"/>
          </rPr>
          <t xml:space="preserve">500€ PU
</t>
        </r>
      </text>
    </comment>
    <comment ref="A77" authorId="0">
      <text>
        <r>
          <rPr>
            <b/>
            <sz val="10"/>
            <color indexed="81"/>
            <rFont val="Calibri"/>
            <family val="2"/>
          </rPr>
          <t>Increase 2% a year</t>
        </r>
      </text>
    </comment>
    <comment ref="B83" authorId="0">
      <text>
        <r>
          <rPr>
            <sz val="10"/>
            <color indexed="81"/>
            <rFont val="Calibri"/>
            <family val="2"/>
          </rPr>
          <t>inférieur à 500000€</t>
        </r>
      </text>
    </comment>
    <comment ref="C83" authorId="0">
      <text>
        <r>
          <rPr>
            <b/>
            <sz val="10"/>
            <color indexed="81"/>
            <rFont val="Calibri"/>
            <family val="2"/>
          </rPr>
          <t>1,1% CA puisque 8000000</t>
        </r>
      </text>
    </comment>
    <comment ref="D83" authorId="0">
      <text>
        <r>
          <rPr>
            <b/>
            <sz val="10"/>
            <color indexed="81"/>
            <rFont val="Calibri"/>
            <family val="2"/>
          </rPr>
          <t>1,4% puisque 10 000 000€</t>
        </r>
        <r>
          <rPr>
            <sz val="10"/>
            <color indexed="81"/>
            <rFont val="Calibri"/>
            <family val="2"/>
          </rPr>
          <t xml:space="preserve">
</t>
        </r>
      </text>
    </comment>
    <comment ref="E83" authorId="0">
      <text>
        <r>
          <rPr>
            <b/>
            <sz val="10"/>
            <color indexed="81"/>
            <rFont val="Calibri"/>
            <family val="2"/>
          </rPr>
          <t>1,1% puisque CA 8 000 000</t>
        </r>
        <r>
          <rPr>
            <sz val="10"/>
            <color indexed="81"/>
            <rFont val="Calibri"/>
            <family val="2"/>
          </rPr>
          <t xml:space="preserve">
</t>
        </r>
      </text>
    </comment>
    <comment ref="F83" authorId="0">
      <text>
        <r>
          <rPr>
            <b/>
            <sz val="10"/>
            <color indexed="81"/>
            <rFont val="Calibri"/>
            <family val="2"/>
          </rPr>
          <t>1,1% puisque CA 8 000 000</t>
        </r>
        <r>
          <rPr>
            <sz val="10"/>
            <color indexed="81"/>
            <rFont val="Calibri"/>
            <family val="2"/>
          </rPr>
          <t xml:space="preserve">
</t>
        </r>
      </text>
    </comment>
    <comment ref="A88" authorId="0">
      <text>
        <r>
          <rPr>
            <b/>
            <sz val="10"/>
            <color indexed="81"/>
            <rFont val="Calibri"/>
            <family val="2"/>
          </rPr>
          <t>Amortissement sur 3 ans</t>
        </r>
      </text>
    </comment>
    <comment ref="A89" authorId="0">
      <text>
        <r>
          <rPr>
            <b/>
            <sz val="10"/>
            <color indexed="81"/>
            <rFont val="Calibri"/>
            <family val="2"/>
          </rPr>
          <t>Amortissement sur 3 ans</t>
        </r>
      </text>
    </comment>
    <comment ref="D114" authorId="0">
      <text>
        <r>
          <rPr>
            <b/>
            <sz val="10"/>
            <color indexed="81"/>
            <rFont val="Calibri"/>
            <family val="2"/>
          </rPr>
          <t>- 60935€ déductible de l'année 1</t>
        </r>
        <r>
          <rPr>
            <sz val="10"/>
            <color indexed="81"/>
            <rFont val="Calibri"/>
            <family val="2"/>
          </rPr>
          <t xml:space="preserve">
</t>
        </r>
      </text>
    </comment>
    <comment ref="A126" authorId="0">
      <text>
        <r>
          <rPr>
            <b/>
            <sz val="10"/>
            <color indexed="81"/>
            <rFont val="Calibri"/>
            <family val="2"/>
          </rPr>
          <t>iquidité opérationnelle de l'W. Sa valeur et acces au crédit</t>
        </r>
      </text>
    </comment>
    <comment ref="A127" authorId="0">
      <text>
        <r>
          <rPr>
            <b/>
            <sz val="10"/>
            <color indexed="81"/>
            <rFont val="Calibri"/>
            <family val="2"/>
          </rPr>
          <t>Besoin de trésorerie</t>
        </r>
      </text>
    </comment>
    <comment ref="A135" authorId="0">
      <text>
        <r>
          <rPr>
            <b/>
            <sz val="10"/>
            <color indexed="81"/>
            <rFont val="Calibri"/>
            <family val="2"/>
          </rPr>
          <t>a 60 jours</t>
        </r>
      </text>
    </comment>
    <comment ref="A145" authorId="0">
      <text>
        <r>
          <rPr>
            <b/>
            <sz val="10"/>
            <color indexed="81"/>
            <rFont val="Calibri"/>
            <family val="2"/>
          </rPr>
          <t>a 30 jours</t>
        </r>
      </text>
    </comment>
    <comment ref="A154" authorId="0">
      <text>
        <r>
          <rPr>
            <b/>
            <sz val="10"/>
            <color indexed="81"/>
            <rFont val="Calibri"/>
            <family val="2"/>
          </rPr>
          <t>Current Assets / Current Liabilities</t>
        </r>
      </text>
    </comment>
    <comment ref="A155" authorId="0">
      <text>
        <r>
          <rPr>
            <b/>
            <sz val="10"/>
            <color indexed="81"/>
            <rFont val="Calibri"/>
            <family val="2"/>
          </rPr>
          <t>(Cash + Account receivable) /Current Liabilities</t>
        </r>
      </text>
    </comment>
    <comment ref="A156" authorId="0">
      <text>
        <r>
          <rPr>
            <sz val="10"/>
            <color indexed="81"/>
            <rFont val="Calibri"/>
            <family val="2"/>
          </rPr>
          <t>Total Liabilities / Total Assets</t>
        </r>
      </text>
    </comment>
    <comment ref="A157" authorId="0">
      <text>
        <r>
          <rPr>
            <b/>
            <sz val="10"/>
            <color indexed="81"/>
            <rFont val="Calibri"/>
            <family val="2"/>
          </rPr>
          <t>Net Income / Net Sales</t>
        </r>
      </text>
    </comment>
    <comment ref="A158" authorId="0">
      <text>
        <r>
          <rPr>
            <b/>
            <sz val="10"/>
            <color indexed="81"/>
            <rFont val="Calibri"/>
            <family val="2"/>
          </rPr>
          <t>Net Income / Owner's Equity</t>
        </r>
      </text>
    </comment>
  </commentList>
</comments>
</file>

<file path=xl/comments2.xml><?xml version="1.0" encoding="utf-8"?>
<comments xmlns="http://schemas.openxmlformats.org/spreadsheetml/2006/main">
  <authors>
    <author>Utilisateur de Microsoft Office</author>
  </authors>
  <commentList>
    <comment ref="F16" authorId="0">
      <text>
        <r>
          <rPr>
            <sz val="10"/>
            <color indexed="81"/>
            <rFont val="Calibri"/>
            <family val="2"/>
          </rPr>
          <t xml:space="preserve">150 pour les 6 premiers mois
300 pour les 6 autres
</t>
        </r>
      </text>
    </comment>
  </commentList>
</comments>
</file>

<file path=xl/comments3.xml><?xml version="1.0" encoding="utf-8"?>
<comments xmlns="http://schemas.openxmlformats.org/spreadsheetml/2006/main">
  <authors>
    <author>Utilisateur de Microsoft Office</author>
  </authors>
  <commentList>
    <comment ref="A15" authorId="0">
      <text>
        <r>
          <rPr>
            <b/>
            <sz val="10"/>
            <color indexed="81"/>
            <rFont val="Calibri"/>
            <family val="2"/>
          </rPr>
          <t>4,77% interest rate</t>
        </r>
      </text>
    </comment>
    <comment ref="A16" authorId="0">
      <text>
        <r>
          <rPr>
            <b/>
            <sz val="10"/>
            <color indexed="81"/>
            <rFont val="Calibri"/>
            <family val="2"/>
          </rPr>
          <t xml:space="preserve">8% Interest rate
</t>
        </r>
      </text>
    </comment>
    <comment ref="A17" authorId="0">
      <text>
        <r>
          <rPr>
            <b/>
            <sz val="10"/>
            <color indexed="81"/>
            <rFont val="Calibri"/>
            <family val="2"/>
          </rPr>
          <t>11% interest rate for 10 years</t>
        </r>
      </text>
    </comment>
    <comment ref="A18" authorId="0">
      <text>
        <r>
          <rPr>
            <b/>
            <sz val="10"/>
            <color indexed="81"/>
            <rFont val="Calibri"/>
            <family val="2"/>
          </rPr>
          <t>9% interest rate for 10 years</t>
        </r>
      </text>
    </comment>
    <comment ref="B66" authorId="0">
      <text>
        <r>
          <rPr>
            <b/>
            <sz val="10"/>
            <color indexed="81"/>
            <rFont val="Calibri"/>
            <family val="2"/>
          </rPr>
          <t>100€/PU</t>
        </r>
        <r>
          <rPr>
            <sz val="10"/>
            <color indexed="81"/>
            <rFont val="Calibri"/>
            <family val="2"/>
          </rPr>
          <t xml:space="preserve">
</t>
        </r>
      </text>
    </comment>
    <comment ref="B67" authorId="0">
      <text>
        <r>
          <rPr>
            <b/>
            <sz val="10"/>
            <color indexed="81"/>
            <rFont val="Calibri"/>
            <family val="2"/>
          </rPr>
          <t>20€/PU</t>
        </r>
      </text>
    </comment>
    <comment ref="B68" authorId="0">
      <text>
        <r>
          <rPr>
            <b/>
            <sz val="10"/>
            <color indexed="81"/>
            <rFont val="Calibri"/>
            <family val="2"/>
          </rPr>
          <t>150€/PU</t>
        </r>
        <r>
          <rPr>
            <sz val="10"/>
            <color indexed="81"/>
            <rFont val="Calibri"/>
            <family val="2"/>
          </rPr>
          <t xml:space="preserve">
</t>
        </r>
      </text>
    </comment>
    <comment ref="B69" authorId="0">
      <text>
        <r>
          <rPr>
            <b/>
            <sz val="10"/>
            <color indexed="81"/>
            <rFont val="Calibri"/>
            <family val="2"/>
          </rPr>
          <t>50€/PU</t>
        </r>
        <r>
          <rPr>
            <sz val="10"/>
            <color indexed="81"/>
            <rFont val="Calibri"/>
            <family val="2"/>
          </rPr>
          <t xml:space="preserve">
</t>
        </r>
      </text>
    </comment>
    <comment ref="B70" authorId="0">
      <text>
        <r>
          <rPr>
            <b/>
            <sz val="10"/>
            <color indexed="81"/>
            <rFont val="Calibri"/>
            <family val="2"/>
          </rPr>
          <t>Au prorata de l'espace loué</t>
        </r>
        <r>
          <rPr>
            <sz val="10"/>
            <color indexed="81"/>
            <rFont val="Calibri"/>
            <family val="2"/>
          </rPr>
          <t xml:space="preserve">
</t>
        </r>
      </text>
    </comment>
    <comment ref="B71" authorId="0">
      <text>
        <r>
          <rPr>
            <b/>
            <sz val="10"/>
            <color indexed="81"/>
            <rFont val="Calibri"/>
            <family val="2"/>
          </rPr>
          <t>au prorata des employés</t>
        </r>
      </text>
    </comment>
    <comment ref="B73" authorId="0">
      <text>
        <r>
          <rPr>
            <sz val="10"/>
            <color indexed="81"/>
            <rFont val="Calibri"/>
            <family val="2"/>
          </rPr>
          <t xml:space="preserve">500€ PU
</t>
        </r>
      </text>
    </comment>
    <comment ref="A78" authorId="0">
      <text>
        <r>
          <rPr>
            <b/>
            <sz val="10"/>
            <color indexed="81"/>
            <rFont val="Calibri"/>
            <family val="2"/>
          </rPr>
          <t>Increase 2% a year</t>
        </r>
      </text>
    </comment>
    <comment ref="B84" authorId="0">
      <text>
        <r>
          <rPr>
            <sz val="10"/>
            <color indexed="81"/>
            <rFont val="Calibri"/>
            <family val="2"/>
          </rPr>
          <t>inférieur à 500000€</t>
        </r>
      </text>
    </comment>
    <comment ref="C84" authorId="0">
      <text>
        <r>
          <rPr>
            <b/>
            <sz val="10"/>
            <color indexed="81"/>
            <rFont val="Calibri"/>
            <family val="2"/>
          </rPr>
          <t>1,1% CA puisque 8000000</t>
        </r>
      </text>
    </comment>
    <comment ref="D84" authorId="0">
      <text>
        <r>
          <rPr>
            <b/>
            <sz val="10"/>
            <color indexed="81"/>
            <rFont val="Calibri"/>
            <family val="2"/>
          </rPr>
          <t>1,4% puisque 10 000 000€</t>
        </r>
        <r>
          <rPr>
            <sz val="10"/>
            <color indexed="81"/>
            <rFont val="Calibri"/>
            <family val="2"/>
          </rPr>
          <t xml:space="preserve">
</t>
        </r>
      </text>
    </comment>
    <comment ref="E84" authorId="0">
      <text>
        <r>
          <rPr>
            <b/>
            <sz val="10"/>
            <color indexed="81"/>
            <rFont val="Calibri"/>
            <family val="2"/>
          </rPr>
          <t>1,1% puisque CA 8 000 000</t>
        </r>
        <r>
          <rPr>
            <sz val="10"/>
            <color indexed="81"/>
            <rFont val="Calibri"/>
            <family val="2"/>
          </rPr>
          <t xml:space="preserve">
</t>
        </r>
      </text>
    </comment>
    <comment ref="F84" authorId="0">
      <text>
        <r>
          <rPr>
            <b/>
            <sz val="10"/>
            <color indexed="81"/>
            <rFont val="Calibri"/>
            <family val="2"/>
          </rPr>
          <t>1,1% puisque CA 8 000 000</t>
        </r>
        <r>
          <rPr>
            <sz val="10"/>
            <color indexed="81"/>
            <rFont val="Calibri"/>
            <family val="2"/>
          </rPr>
          <t xml:space="preserve">
</t>
        </r>
      </text>
    </comment>
    <comment ref="A89" authorId="0">
      <text>
        <r>
          <rPr>
            <b/>
            <sz val="10"/>
            <color indexed="81"/>
            <rFont val="Calibri"/>
            <family val="2"/>
          </rPr>
          <t>Amortissement sur 3 ans</t>
        </r>
      </text>
    </comment>
    <comment ref="A90" authorId="0">
      <text>
        <r>
          <rPr>
            <b/>
            <sz val="10"/>
            <color indexed="81"/>
            <rFont val="Calibri"/>
            <family val="2"/>
          </rPr>
          <t>Amortissement sur 3 ans</t>
        </r>
      </text>
    </comment>
    <comment ref="D115" authorId="0">
      <text>
        <r>
          <rPr>
            <b/>
            <sz val="10"/>
            <color indexed="81"/>
            <rFont val="Calibri"/>
            <family val="2"/>
          </rPr>
          <t>- 60935€ déductible de l'année 1</t>
        </r>
        <r>
          <rPr>
            <sz val="10"/>
            <color indexed="81"/>
            <rFont val="Calibri"/>
            <family val="2"/>
          </rPr>
          <t xml:space="preserve">
</t>
        </r>
      </text>
    </comment>
    <comment ref="A127" authorId="0">
      <text>
        <r>
          <rPr>
            <b/>
            <sz val="10"/>
            <color indexed="81"/>
            <rFont val="Calibri"/>
            <family val="2"/>
          </rPr>
          <t>iquidité opérationnelle de l'W. Sa valeur et acces au crédit</t>
        </r>
      </text>
    </comment>
    <comment ref="A128" authorId="0">
      <text>
        <r>
          <rPr>
            <b/>
            <sz val="10"/>
            <color indexed="81"/>
            <rFont val="Calibri"/>
            <family val="2"/>
          </rPr>
          <t>Besoin de trésorerie</t>
        </r>
      </text>
    </comment>
    <comment ref="A136" authorId="0">
      <text>
        <r>
          <rPr>
            <b/>
            <sz val="10"/>
            <color indexed="81"/>
            <rFont val="Calibri"/>
            <family val="2"/>
          </rPr>
          <t>a 60 jours</t>
        </r>
      </text>
    </comment>
    <comment ref="A146" authorId="0">
      <text>
        <r>
          <rPr>
            <b/>
            <sz val="10"/>
            <color indexed="81"/>
            <rFont val="Calibri"/>
            <family val="2"/>
          </rPr>
          <t>a 30 jours</t>
        </r>
      </text>
    </comment>
    <comment ref="A155" authorId="0">
      <text>
        <r>
          <rPr>
            <b/>
            <sz val="10"/>
            <color indexed="81"/>
            <rFont val="Calibri"/>
            <family val="2"/>
          </rPr>
          <t>Current Assets / Current Liabilities</t>
        </r>
      </text>
    </comment>
    <comment ref="A156" authorId="0">
      <text>
        <r>
          <rPr>
            <b/>
            <sz val="10"/>
            <color indexed="81"/>
            <rFont val="Calibri"/>
            <family val="2"/>
          </rPr>
          <t>(Cash + Account receivable) /Current Liabilities</t>
        </r>
      </text>
    </comment>
    <comment ref="A157" authorId="0">
      <text>
        <r>
          <rPr>
            <sz val="10"/>
            <color indexed="81"/>
            <rFont val="Calibri"/>
            <family val="2"/>
          </rPr>
          <t>Total Liabilities / Total Assets</t>
        </r>
      </text>
    </comment>
    <comment ref="A158" authorId="0">
      <text>
        <r>
          <rPr>
            <b/>
            <sz val="10"/>
            <color indexed="81"/>
            <rFont val="Calibri"/>
            <family val="2"/>
          </rPr>
          <t>Net Income / Net Sales</t>
        </r>
      </text>
    </comment>
    <comment ref="A159" authorId="0">
      <text>
        <r>
          <rPr>
            <b/>
            <sz val="10"/>
            <color indexed="81"/>
            <rFont val="Calibri"/>
            <family val="2"/>
          </rPr>
          <t>Net Income / Owner's Equity</t>
        </r>
      </text>
    </comment>
  </commentList>
</comments>
</file>

<file path=xl/sharedStrings.xml><?xml version="1.0" encoding="utf-8"?>
<sst xmlns="http://schemas.openxmlformats.org/spreadsheetml/2006/main" count="595" uniqueCount="188">
  <si>
    <t>Investments</t>
  </si>
  <si>
    <t>Total investment</t>
  </si>
  <si>
    <t>Existing assets</t>
  </si>
  <si>
    <t>Total assets</t>
  </si>
  <si>
    <t>Total Equity &amp; Liabilities</t>
  </si>
  <si>
    <t>Investment finance</t>
  </si>
  <si>
    <t>Capital returned</t>
  </si>
  <si>
    <t>Interest expenses</t>
  </si>
  <si>
    <t>Repayment Maturity</t>
  </si>
  <si>
    <t>Outstanding Capital</t>
  </si>
  <si>
    <t>App Developper</t>
  </si>
  <si>
    <t>PACQUEU Julie</t>
  </si>
  <si>
    <t>LEZIN Michael</t>
  </si>
  <si>
    <t>Social costs</t>
  </si>
  <si>
    <t>Gross Salaries</t>
  </si>
  <si>
    <t>Total executives</t>
  </si>
  <si>
    <t>Salary expenses</t>
  </si>
  <si>
    <t>Employer cost</t>
  </si>
  <si>
    <t>External expenses</t>
  </si>
  <si>
    <t>Consumable supplies</t>
  </si>
  <si>
    <t>Purchase of Tablet</t>
  </si>
  <si>
    <t>Purchase of Tablet Holder</t>
  </si>
  <si>
    <t>Purchase of scan</t>
  </si>
  <si>
    <t>Electricity</t>
  </si>
  <si>
    <t>Purchase of Tablet battery Charger Holder</t>
  </si>
  <si>
    <t>External services</t>
  </si>
  <si>
    <t>Subcontractor Indooratlas application</t>
  </si>
  <si>
    <t>Building rental</t>
  </si>
  <si>
    <t>Rental costs</t>
  </si>
  <si>
    <t>Insurance premium</t>
  </si>
  <si>
    <t>Patent fees</t>
  </si>
  <si>
    <t>Accountant fees</t>
  </si>
  <si>
    <t>Legal fees</t>
  </si>
  <si>
    <t>Total</t>
  </si>
  <si>
    <t>Taxes</t>
  </si>
  <si>
    <t>Amortization</t>
  </si>
  <si>
    <t>Tangible amortizations</t>
  </si>
  <si>
    <t>Income Statement</t>
  </si>
  <si>
    <t>%</t>
  </si>
  <si>
    <t xml:space="preserve">Bank Loans </t>
  </si>
  <si>
    <t>Owners Equity</t>
  </si>
  <si>
    <t>- PACQUEU Jules</t>
  </si>
  <si>
    <t>- Gregory</t>
  </si>
  <si>
    <t>- LEZIN Michael</t>
  </si>
  <si>
    <t>Revenue</t>
  </si>
  <si>
    <t>Cost of goods sold</t>
  </si>
  <si>
    <t>Gross Profit</t>
  </si>
  <si>
    <t>Selling expenses</t>
  </si>
  <si>
    <t>Administrative expenses</t>
  </si>
  <si>
    <t>Total operating expenses</t>
  </si>
  <si>
    <t>Operating Income</t>
  </si>
  <si>
    <t>Interest Expense</t>
  </si>
  <si>
    <t>Income before taxes</t>
  </si>
  <si>
    <t>Income tax expense</t>
  </si>
  <si>
    <t>Net income</t>
  </si>
  <si>
    <t>Salaries</t>
  </si>
  <si>
    <t>Payroll taxes</t>
  </si>
  <si>
    <t>Advertising</t>
  </si>
  <si>
    <t>Rent of building</t>
  </si>
  <si>
    <t>EBIT</t>
  </si>
  <si>
    <t>Cash Flow</t>
  </si>
  <si>
    <t>Amortization &amp; Depreciations</t>
  </si>
  <si>
    <t>Net Cash Flow</t>
  </si>
  <si>
    <t>Discounted Cash Flow</t>
  </si>
  <si>
    <t>Break-Even Point</t>
  </si>
  <si>
    <t>Sales</t>
  </si>
  <si>
    <t>Fixed Cost</t>
  </si>
  <si>
    <t>Variable Cost</t>
  </si>
  <si>
    <t>Break-Even Point (days)</t>
  </si>
  <si>
    <t>Working Capital Need</t>
  </si>
  <si>
    <t>Working Capital</t>
  </si>
  <si>
    <t>Account Payable</t>
  </si>
  <si>
    <t>Social &amp; fiscal dept</t>
  </si>
  <si>
    <t>Fixed Assets</t>
  </si>
  <si>
    <t>Cash Balance</t>
  </si>
  <si>
    <t>Cash Balance evolution</t>
  </si>
  <si>
    <t>Balance Sheet</t>
  </si>
  <si>
    <t>Amortization / Depreciation</t>
  </si>
  <si>
    <t>Net Fixed Assets</t>
  </si>
  <si>
    <t>Account receivable</t>
  </si>
  <si>
    <t>Cash &amp; Equivalent</t>
  </si>
  <si>
    <t>Current Assets</t>
  </si>
  <si>
    <t>Total Assets</t>
  </si>
  <si>
    <t>Owner Equity</t>
  </si>
  <si>
    <t>Retained Earnings</t>
  </si>
  <si>
    <t>Net Income</t>
  </si>
  <si>
    <t>Total Equity</t>
  </si>
  <si>
    <t>Total Equity and Liabilities</t>
  </si>
  <si>
    <t>Total Liabilities</t>
  </si>
  <si>
    <t>Structure Ratios</t>
  </si>
  <si>
    <t>Account Receivable Term</t>
  </si>
  <si>
    <t>60 days</t>
  </si>
  <si>
    <t>Account Payable Term</t>
  </si>
  <si>
    <t>Tangible assets</t>
  </si>
  <si>
    <t>Total employees</t>
  </si>
  <si>
    <t>6 mois</t>
  </si>
  <si>
    <t>1 an</t>
  </si>
  <si>
    <t>Année 2</t>
  </si>
  <si>
    <t>Année 3</t>
  </si>
  <si>
    <t>Année 4</t>
  </si>
  <si>
    <t>Année 5</t>
  </si>
  <si>
    <t>Italie</t>
  </si>
  <si>
    <t>Surface moyenne + de 9000m2</t>
  </si>
  <si>
    <t>58 magasins</t>
  </si>
  <si>
    <t>France total</t>
  </si>
  <si>
    <t>France moitiée</t>
  </si>
  <si>
    <t>PACQUEU Jules</t>
  </si>
  <si>
    <t>CARPENTRAS Gregory</t>
  </si>
  <si>
    <t>Fixed revenue</t>
  </si>
  <si>
    <t>Variable revenue</t>
  </si>
  <si>
    <t>valeur prise</t>
  </si>
  <si>
    <t>Année 1</t>
  </si>
  <si>
    <t>moyenne course (en min)</t>
  </si>
  <si>
    <t>Publicité (minute en €)</t>
  </si>
  <si>
    <t>NBR Magasin</t>
  </si>
  <si>
    <t>Total Salaries</t>
  </si>
  <si>
    <t>Employee Year 1</t>
  </si>
  <si>
    <t>Employee Year 2</t>
  </si>
  <si>
    <t>Employee Year 3</t>
  </si>
  <si>
    <t>Employee Year 4</t>
  </si>
  <si>
    <t>Employee Year 5</t>
  </si>
  <si>
    <t>Supplies</t>
  </si>
  <si>
    <t>clients/jour</t>
  </si>
  <si>
    <t>Production unitaire</t>
  </si>
  <si>
    <t>Marge</t>
  </si>
  <si>
    <t>Number of tablets</t>
  </si>
  <si>
    <t>Description</t>
  </si>
  <si>
    <t>4 hypermarkets</t>
  </si>
  <si>
    <t>Other selling costs</t>
  </si>
  <si>
    <t>Other administrative costs</t>
  </si>
  <si>
    <t>Furniture</t>
  </si>
  <si>
    <t>Hardware &amp; Software</t>
  </si>
  <si>
    <t>Utilisant Icart/Jour</t>
  </si>
  <si>
    <t>30 days</t>
  </si>
  <si>
    <t>Initial</t>
  </si>
  <si>
    <t>Other Taxes</t>
  </si>
  <si>
    <t>Current Ratio</t>
  </si>
  <si>
    <t>Acid-Test Ratio</t>
  </si>
  <si>
    <t>Debt Ratio</t>
  </si>
  <si>
    <t>Return on sale</t>
  </si>
  <si>
    <t>Return on equity</t>
  </si>
  <si>
    <t>Inventory</t>
  </si>
  <si>
    <t>initial</t>
  </si>
  <si>
    <t>Long term Bank loans</t>
  </si>
  <si>
    <t>Short term Bank loans</t>
  </si>
  <si>
    <t>NBR banniere</t>
  </si>
  <si>
    <t>jour/an</t>
  </si>
  <si>
    <t>Equipment</t>
  </si>
  <si>
    <t>Business Tax</t>
  </si>
  <si>
    <t>France 1/4</t>
  </si>
  <si>
    <t>3 magasin</t>
  </si>
  <si>
    <t>6 magasins</t>
  </si>
  <si>
    <t>Marketing expenses</t>
  </si>
  <si>
    <t>Other fixed expenses</t>
  </si>
  <si>
    <t xml:space="preserve"> + Credit</t>
  </si>
  <si>
    <t>total</t>
  </si>
  <si>
    <t>Fixed Income</t>
  </si>
  <si>
    <t>Variable Income</t>
  </si>
  <si>
    <t>Cumulated Cash Flow</t>
  </si>
  <si>
    <t xml:space="preserve"> - Tax expenses</t>
  </si>
  <si>
    <t xml:space="preserve"> + Amortissement</t>
  </si>
  <si>
    <t>Fixed Asset</t>
  </si>
  <si>
    <t>- Factoring Company</t>
  </si>
  <si>
    <t>Factory Company Refund</t>
  </si>
  <si>
    <t>- Bank CIC 1</t>
  </si>
  <si>
    <t>- Bank CIC 2</t>
  </si>
  <si>
    <t>Bank loans CIC Refund 1</t>
  </si>
  <si>
    <t>Bank loans CIC Refund 2</t>
  </si>
  <si>
    <t>Total Incoming</t>
  </si>
  <si>
    <t>Total Outgoing</t>
  </si>
  <si>
    <t>Cost of good sold</t>
  </si>
  <si>
    <t xml:space="preserve"> - Credit Repayment</t>
  </si>
  <si>
    <t>DATE</t>
  </si>
  <si>
    <t>Monthly Payment</t>
  </si>
  <si>
    <t>Capital Pay back</t>
  </si>
  <si>
    <t>Loan Interest</t>
  </si>
  <si>
    <t>- Bank CIC 3</t>
  </si>
  <si>
    <t>Bank loans CIC Refund 3</t>
  </si>
  <si>
    <t>Pessimist Scenario</t>
  </si>
  <si>
    <t>Average Scenario</t>
  </si>
  <si>
    <t>150 tablets per store</t>
  </si>
  <si>
    <t>100 tablets per store</t>
  </si>
  <si>
    <t>20% fixe</t>
  </si>
  <si>
    <t>25% fixe</t>
  </si>
  <si>
    <t>Variable 20% revenue E-Cart</t>
  </si>
  <si>
    <t>Variable 25% revenue E-Cart</t>
  </si>
  <si>
    <t>- Bank CIC 4</t>
  </si>
  <si>
    <t>Bank loans CIC Refund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</si>
</sst>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€&quot;"/>
    <numFmt numFmtId="165" formatCode="0.0%"/>
    <numFmt numFmtId="166" formatCode="[$-409]mmmm\-yy;@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sz val="12"/>
      <color theme="4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indexed="81"/>
      <name val="Calibri"/>
      <family val="2"/>
    </font>
    <font>
      <b/>
      <sz val="10"/>
      <color indexed="81"/>
      <name val="Calibri"/>
      <family val="2"/>
    </font>
    <font>
      <sz val="12"/>
      <color rgb="FF00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3" tint="0.79998168889431442"/>
        <bgColor indexed="64"/>
      </patternFill>
    </fill>
  </fills>
  <borders count="65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4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20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3" xfId="0" applyBorder="1"/>
    <xf numFmtId="0" fontId="0" fillId="0" borderId="1" xfId="0" applyBorder="1"/>
    <xf numFmtId="9" fontId="0" fillId="0" borderId="0" xfId="0" applyNumberFormat="1"/>
    <xf numFmtId="9" fontId="0" fillId="0" borderId="6" xfId="0" applyNumberFormat="1" applyBorder="1"/>
    <xf numFmtId="9" fontId="0" fillId="0" borderId="7" xfId="0" applyNumberFormat="1" applyBorder="1"/>
    <xf numFmtId="0" fontId="2" fillId="0" borderId="1" xfId="0" applyFont="1" applyBorder="1"/>
    <xf numFmtId="0" fontId="3" fillId="0" borderId="1" xfId="0" applyFont="1" applyBorder="1"/>
    <xf numFmtId="0" fontId="3" fillId="0" borderId="3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/>
    <xf numFmtId="0" fontId="2" fillId="0" borderId="0" xfId="0" applyFont="1"/>
    <xf numFmtId="0" fontId="0" fillId="0" borderId="1" xfId="0" applyFont="1" applyBorder="1"/>
    <xf numFmtId="0" fontId="0" fillId="0" borderId="1" xfId="0" applyFill="1" applyBorder="1"/>
    <xf numFmtId="0" fontId="4" fillId="0" borderId="1" xfId="0" quotePrefix="1" applyFont="1" applyBorder="1" applyAlignment="1">
      <alignment wrapText="1"/>
    </xf>
    <xf numFmtId="0" fontId="2" fillId="5" borderId="11" xfId="0" applyFont="1" applyFill="1" applyBorder="1"/>
    <xf numFmtId="0" fontId="2" fillId="5" borderId="14" xfId="0" applyFont="1" applyFill="1" applyBorder="1"/>
    <xf numFmtId="0" fontId="0" fillId="0" borderId="14" xfId="0" applyBorder="1"/>
    <xf numFmtId="0" fontId="0" fillId="3" borderId="8" xfId="0" applyFill="1" applyBorder="1"/>
    <xf numFmtId="0" fontId="0" fillId="3" borderId="9" xfId="0" applyFill="1" applyBorder="1"/>
    <xf numFmtId="0" fontId="0" fillId="4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5" borderId="14" xfId="0" applyFill="1" applyBorder="1"/>
    <xf numFmtId="0" fontId="0" fillId="2" borderId="19" xfId="0" applyFill="1" applyBorder="1"/>
    <xf numFmtId="0" fontId="0" fillId="3" borderId="20" xfId="0" applyFill="1" applyBorder="1"/>
    <xf numFmtId="9" fontId="0" fillId="0" borderId="1" xfId="0" applyNumberFormat="1" applyBorder="1"/>
    <xf numFmtId="9" fontId="0" fillId="0" borderId="3" xfId="0" applyNumberFormat="1" applyBorder="1"/>
    <xf numFmtId="0" fontId="0" fillId="3" borderId="21" xfId="0" applyFill="1" applyBorder="1"/>
    <xf numFmtId="0" fontId="0" fillId="2" borderId="20" xfId="0" applyFill="1" applyBorder="1"/>
    <xf numFmtId="0" fontId="0" fillId="5" borderId="23" xfId="0" applyFill="1" applyBorder="1"/>
    <xf numFmtId="0" fontId="0" fillId="2" borderId="24" xfId="0" applyFill="1" applyBorder="1"/>
    <xf numFmtId="0" fontId="0" fillId="2" borderId="32" xfId="0" applyFill="1" applyBorder="1"/>
    <xf numFmtId="0" fontId="2" fillId="5" borderId="22" xfId="0" applyFont="1" applyFill="1" applyBorder="1"/>
    <xf numFmtId="0" fontId="2" fillId="5" borderId="23" xfId="0" applyFont="1" applyFill="1" applyBorder="1"/>
    <xf numFmtId="0" fontId="3" fillId="3" borderId="20" xfId="0" applyFont="1" applyFill="1" applyBorder="1"/>
    <xf numFmtId="0" fontId="0" fillId="0" borderId="22" xfId="0" applyBorder="1"/>
    <xf numFmtId="0" fontId="0" fillId="3" borderId="39" xfId="0" applyFill="1" applyBorder="1"/>
    <xf numFmtId="0" fontId="0" fillId="3" borderId="40" xfId="0" applyFill="1" applyBorder="1"/>
    <xf numFmtId="0" fontId="0" fillId="4" borderId="20" xfId="0" applyFill="1" applyBorder="1"/>
    <xf numFmtId="0" fontId="0" fillId="2" borderId="38" xfId="0" applyFill="1" applyBorder="1"/>
    <xf numFmtId="0" fontId="4" fillId="0" borderId="1" xfId="0" applyFont="1" applyBorder="1"/>
    <xf numFmtId="0" fontId="4" fillId="0" borderId="3" xfId="0" applyFont="1" applyBorder="1"/>
    <xf numFmtId="0" fontId="2" fillId="7" borderId="22" xfId="0" applyFont="1" applyFill="1" applyBorder="1"/>
    <xf numFmtId="0" fontId="0" fillId="7" borderId="11" xfId="0" applyFill="1" applyBorder="1"/>
    <xf numFmtId="0" fontId="0" fillId="7" borderId="22" xfId="0" applyFill="1" applyBorder="1"/>
    <xf numFmtId="0" fontId="0" fillId="0" borderId="0" xfId="0" quotePrefix="1"/>
    <xf numFmtId="0" fontId="0" fillId="0" borderId="0" xfId="0" applyFont="1"/>
    <xf numFmtId="164" fontId="0" fillId="8" borderId="41" xfId="0" applyNumberFormat="1" applyFill="1" applyBorder="1"/>
    <xf numFmtId="164" fontId="0" fillId="5" borderId="33" xfId="0" applyNumberFormat="1" applyFill="1" applyBorder="1"/>
    <xf numFmtId="164" fontId="0" fillId="8" borderId="10" xfId="0" applyNumberFormat="1" applyFill="1" applyBorder="1"/>
    <xf numFmtId="164" fontId="0" fillId="8" borderId="15" xfId="0" applyNumberFormat="1" applyFill="1" applyBorder="1"/>
    <xf numFmtId="164" fontId="3" fillId="8" borderId="10" xfId="0" applyNumberFormat="1" applyFont="1" applyFill="1" applyBorder="1"/>
    <xf numFmtId="164" fontId="3" fillId="8" borderId="15" xfId="0" applyNumberFormat="1" applyFont="1" applyFill="1" applyBorder="1"/>
    <xf numFmtId="164" fontId="0" fillId="5" borderId="12" xfId="0" applyNumberFormat="1" applyFill="1" applyBorder="1"/>
    <xf numFmtId="164" fontId="0" fillId="0" borderId="10" xfId="0" applyNumberFormat="1" applyBorder="1"/>
    <xf numFmtId="0" fontId="0" fillId="3" borderId="48" xfId="0" applyFill="1" applyBorder="1"/>
    <xf numFmtId="164" fontId="0" fillId="6" borderId="10" xfId="0" applyNumberFormat="1" applyFill="1" applyBorder="1"/>
    <xf numFmtId="164" fontId="0" fillId="5" borderId="29" xfId="0" applyNumberFormat="1" applyFill="1" applyBorder="1"/>
    <xf numFmtId="164" fontId="0" fillId="5" borderId="10" xfId="0" applyNumberFormat="1" applyFill="1" applyBorder="1"/>
    <xf numFmtId="164" fontId="0" fillId="0" borderId="15" xfId="0" applyNumberFormat="1" applyBorder="1"/>
    <xf numFmtId="164" fontId="0" fillId="5" borderId="15" xfId="0" applyNumberFormat="1" applyFill="1" applyBorder="1"/>
    <xf numFmtId="164" fontId="0" fillId="7" borderId="12" xfId="0" applyNumberFormat="1" applyFill="1" applyBorder="1"/>
    <xf numFmtId="164" fontId="0" fillId="7" borderId="13" xfId="0" applyNumberFormat="1" applyFill="1" applyBorder="1"/>
    <xf numFmtId="3" fontId="0" fillId="5" borderId="12" xfId="0" applyNumberFormat="1" applyFill="1" applyBorder="1"/>
    <xf numFmtId="164" fontId="0" fillId="0" borderId="27" xfId="0" applyNumberFormat="1" applyBorder="1"/>
    <xf numFmtId="164" fontId="0" fillId="7" borderId="29" xfId="0" applyNumberFormat="1" applyFill="1" applyBorder="1"/>
    <xf numFmtId="164" fontId="0" fillId="0" borderId="31" xfId="0" applyNumberFormat="1" applyBorder="1"/>
    <xf numFmtId="164" fontId="0" fillId="0" borderId="46" xfId="0" applyNumberFormat="1" applyBorder="1"/>
    <xf numFmtId="164" fontId="0" fillId="5" borderId="13" xfId="0" applyNumberFormat="1" applyFill="1" applyBorder="1"/>
    <xf numFmtId="164" fontId="0" fillId="0" borderId="29" xfId="0" applyNumberFormat="1" applyBorder="1"/>
    <xf numFmtId="4" fontId="0" fillId="0" borderId="27" xfId="0" applyNumberFormat="1" applyBorder="1"/>
    <xf numFmtId="164" fontId="0" fillId="7" borderId="15" xfId="0" applyNumberFormat="1" applyFill="1" applyBorder="1"/>
    <xf numFmtId="9" fontId="0" fillId="0" borderId="27" xfId="1" applyFont="1" applyBorder="1"/>
    <xf numFmtId="4" fontId="0" fillId="0" borderId="46" xfId="0" applyNumberFormat="1" applyBorder="1"/>
    <xf numFmtId="9" fontId="0" fillId="0" borderId="46" xfId="1" applyFont="1" applyBorder="1"/>
    <xf numFmtId="164" fontId="0" fillId="0" borderId="0" xfId="0" applyNumberFormat="1"/>
    <xf numFmtId="2" fontId="0" fillId="0" borderId="35" xfId="1" applyNumberFormat="1" applyFont="1" applyBorder="1"/>
    <xf numFmtId="2" fontId="0" fillId="0" borderId="47" xfId="1" applyNumberFormat="1" applyFont="1" applyBorder="1"/>
    <xf numFmtId="0" fontId="0" fillId="0" borderId="0" xfId="0" applyAlignment="1"/>
    <xf numFmtId="0" fontId="0" fillId="3" borderId="56" xfId="0" applyFill="1" applyBorder="1"/>
    <xf numFmtId="164" fontId="0" fillId="8" borderId="52" xfId="0" applyNumberFormat="1" applyFill="1" applyBorder="1"/>
    <xf numFmtId="164" fontId="0" fillId="8" borderId="44" xfId="0" applyNumberFormat="1" applyFill="1" applyBorder="1"/>
    <xf numFmtId="0" fontId="0" fillId="3" borderId="16" xfId="0" applyFill="1" applyBorder="1"/>
    <xf numFmtId="0" fontId="4" fillId="0" borderId="14" xfId="0" quotePrefix="1" applyFont="1" applyBorder="1" applyAlignment="1">
      <alignment wrapText="1"/>
    </xf>
    <xf numFmtId="0" fontId="0" fillId="5" borderId="11" xfId="0" applyFill="1" applyBorder="1"/>
    <xf numFmtId="0" fontId="0" fillId="0" borderId="16" xfId="0" applyBorder="1"/>
    <xf numFmtId="0" fontId="0" fillId="0" borderId="18" xfId="0" applyBorder="1"/>
    <xf numFmtId="0" fontId="0" fillId="0" borderId="15" xfId="0" applyBorder="1"/>
    <xf numFmtId="0" fontId="0" fillId="0" borderId="11" xfId="0" applyBorder="1"/>
    <xf numFmtId="0" fontId="0" fillId="0" borderId="13" xfId="0" applyBorder="1"/>
    <xf numFmtId="164" fontId="0" fillId="0" borderId="50" xfId="0" applyNumberFormat="1" applyBorder="1"/>
    <xf numFmtId="165" fontId="0" fillId="8" borderId="52" xfId="1" applyNumberFormat="1" applyFont="1" applyFill="1" applyBorder="1"/>
    <xf numFmtId="165" fontId="0" fillId="8" borderId="31" xfId="0" applyNumberFormat="1" applyFill="1" applyBorder="1"/>
    <xf numFmtId="165" fontId="0" fillId="8" borderId="53" xfId="1" applyNumberFormat="1" applyFont="1" applyFill="1" applyBorder="1"/>
    <xf numFmtId="165" fontId="0" fillId="6" borderId="49" xfId="0" applyNumberFormat="1" applyFill="1" applyBorder="1"/>
    <xf numFmtId="165" fontId="0" fillId="0" borderId="50" xfId="1" applyNumberFormat="1" applyFont="1" applyBorder="1"/>
    <xf numFmtId="165" fontId="0" fillId="0" borderId="0" xfId="1" applyNumberFormat="1" applyFont="1" applyBorder="1"/>
    <xf numFmtId="165" fontId="0" fillId="6" borderId="50" xfId="1" applyNumberFormat="1" applyFont="1" applyFill="1" applyBorder="1"/>
    <xf numFmtId="165" fontId="0" fillId="5" borderId="50" xfId="1" applyNumberFormat="1" applyFont="1" applyFill="1" applyBorder="1"/>
    <xf numFmtId="165" fontId="0" fillId="5" borderId="51" xfId="1" applyNumberFormat="1" applyFont="1" applyFill="1" applyBorder="1"/>
    <xf numFmtId="165" fontId="0" fillId="6" borderId="42" xfId="0" applyNumberFormat="1" applyFill="1" applyBorder="1"/>
    <xf numFmtId="165" fontId="0" fillId="0" borderId="29" xfId="1" applyNumberFormat="1" applyFont="1" applyBorder="1"/>
    <xf numFmtId="165" fontId="0" fillId="6" borderId="29" xfId="1" applyNumberFormat="1" applyFont="1" applyFill="1" applyBorder="1"/>
    <xf numFmtId="165" fontId="0" fillId="6" borderId="43" xfId="0" applyNumberFormat="1" applyFill="1" applyBorder="1"/>
    <xf numFmtId="165" fontId="0" fillId="0" borderId="30" xfId="1" applyNumberFormat="1" applyFont="1" applyBorder="1"/>
    <xf numFmtId="165" fontId="0" fillId="6" borderId="30" xfId="1" applyNumberFormat="1" applyFont="1" applyFill="1" applyBorder="1"/>
    <xf numFmtId="165" fontId="0" fillId="6" borderId="45" xfId="0" applyNumberFormat="1" applyFill="1" applyBorder="1"/>
    <xf numFmtId="165" fontId="0" fillId="0" borderId="25" xfId="1" applyNumberFormat="1" applyFont="1" applyBorder="1"/>
    <xf numFmtId="165" fontId="0" fillId="6" borderId="25" xfId="1" applyNumberFormat="1" applyFont="1" applyFill="1" applyBorder="1"/>
    <xf numFmtId="164" fontId="0" fillId="10" borderId="10" xfId="0" applyNumberFormat="1" applyFill="1" applyBorder="1"/>
    <xf numFmtId="165" fontId="0" fillId="10" borderId="50" xfId="1" applyNumberFormat="1" applyFont="1" applyFill="1" applyBorder="1"/>
    <xf numFmtId="165" fontId="0" fillId="10" borderId="29" xfId="1" applyNumberFormat="1" applyFont="1" applyFill="1" applyBorder="1"/>
    <xf numFmtId="165" fontId="0" fillId="10" borderId="30" xfId="1" applyNumberFormat="1" applyFont="1" applyFill="1" applyBorder="1"/>
    <xf numFmtId="165" fontId="0" fillId="10" borderId="25" xfId="1" applyNumberFormat="1" applyFont="1" applyFill="1" applyBorder="1"/>
    <xf numFmtId="165" fontId="0" fillId="5" borderId="29" xfId="1" applyNumberFormat="1" applyFont="1" applyFill="1" applyBorder="1"/>
    <xf numFmtId="165" fontId="0" fillId="5" borderId="30" xfId="1" applyNumberFormat="1" applyFont="1" applyFill="1" applyBorder="1"/>
    <xf numFmtId="165" fontId="0" fillId="5" borderId="25" xfId="1" applyNumberFormat="1" applyFont="1" applyFill="1" applyBorder="1"/>
    <xf numFmtId="165" fontId="0" fillId="5" borderId="33" xfId="1" applyNumberFormat="1" applyFont="1" applyFill="1" applyBorder="1"/>
    <xf numFmtId="165" fontId="0" fillId="5" borderId="34" xfId="1" applyNumberFormat="1" applyFont="1" applyFill="1" applyBorder="1"/>
    <xf numFmtId="165" fontId="0" fillId="5" borderId="26" xfId="1" applyNumberFormat="1" applyFont="1" applyFill="1" applyBorder="1"/>
    <xf numFmtId="165" fontId="0" fillId="8" borderId="54" xfId="1" applyNumberFormat="1" applyFont="1" applyFill="1" applyBorder="1"/>
    <xf numFmtId="165" fontId="0" fillId="8" borderId="46" xfId="0" applyNumberFormat="1" applyFill="1" applyBorder="1"/>
    <xf numFmtId="165" fontId="0" fillId="8" borderId="55" xfId="1" applyNumberFormat="1" applyFont="1" applyFill="1" applyBorder="1"/>
    <xf numFmtId="0" fontId="0" fillId="8" borderId="14" xfId="0" applyFill="1" applyBorder="1"/>
    <xf numFmtId="0" fontId="2" fillId="6" borderId="14" xfId="0" applyFont="1" applyFill="1" applyBorder="1"/>
    <xf numFmtId="0" fontId="0" fillId="0" borderId="14" xfId="0" applyFont="1" applyBorder="1"/>
    <xf numFmtId="0" fontId="2" fillId="10" borderId="14" xfId="0" applyFont="1" applyFill="1" applyBorder="1"/>
    <xf numFmtId="0" fontId="0" fillId="0" borderId="14" xfId="0" applyFont="1" applyFill="1" applyBorder="1"/>
    <xf numFmtId="3" fontId="0" fillId="5" borderId="13" xfId="0" applyNumberFormat="1" applyFill="1" applyBorder="1"/>
    <xf numFmtId="164" fontId="0" fillId="7" borderId="57" xfId="0" applyNumberFormat="1" applyFill="1" applyBorder="1"/>
    <xf numFmtId="164" fontId="0" fillId="11" borderId="0" xfId="0" applyNumberFormat="1" applyFill="1" applyBorder="1"/>
    <xf numFmtId="164" fontId="0" fillId="11" borderId="49" xfId="0" applyNumberFormat="1" applyFill="1" applyBorder="1"/>
    <xf numFmtId="164" fontId="0" fillId="12" borderId="0" xfId="0" applyNumberFormat="1" applyFill="1" applyBorder="1"/>
    <xf numFmtId="164" fontId="0" fillId="12" borderId="49" xfId="0" applyNumberFormat="1" applyFill="1" applyBorder="1"/>
    <xf numFmtId="164" fontId="0" fillId="7" borderId="10" xfId="0" applyNumberFormat="1" applyFill="1" applyBorder="1"/>
    <xf numFmtId="164" fontId="0" fillId="11" borderId="57" xfId="0" applyNumberFormat="1" applyFill="1" applyBorder="1"/>
    <xf numFmtId="164" fontId="0" fillId="5" borderId="30" xfId="0" applyNumberFormat="1" applyFill="1" applyBorder="1"/>
    <xf numFmtId="164" fontId="0" fillId="5" borderId="25" xfId="0" applyNumberFormat="1" applyFill="1" applyBorder="1"/>
    <xf numFmtId="164" fontId="0" fillId="0" borderId="35" xfId="0" applyNumberFormat="1" applyBorder="1"/>
    <xf numFmtId="164" fontId="0" fillId="0" borderId="47" xfId="0" applyNumberFormat="1" applyBorder="1"/>
    <xf numFmtId="164" fontId="0" fillId="0" borderId="0" xfId="0" applyNumberFormat="1" applyBorder="1"/>
    <xf numFmtId="164" fontId="0" fillId="0" borderId="28" xfId="0" applyNumberFormat="1" applyBorder="1"/>
    <xf numFmtId="164" fontId="0" fillId="0" borderId="2" xfId="0" applyNumberFormat="1" applyBorder="1"/>
    <xf numFmtId="164" fontId="4" fillId="0" borderId="27" xfId="0" applyNumberFormat="1" applyFont="1" applyBorder="1"/>
    <xf numFmtId="164" fontId="4" fillId="0" borderId="31" xfId="0" applyNumberFormat="1" applyFont="1" applyBorder="1"/>
    <xf numFmtId="164" fontId="4" fillId="0" borderId="28" xfId="0" applyNumberFormat="1" applyFont="1" applyBorder="1"/>
    <xf numFmtId="164" fontId="4" fillId="0" borderId="2" xfId="0" applyNumberFormat="1" applyFont="1" applyBorder="1"/>
    <xf numFmtId="164" fontId="4" fillId="0" borderId="27" xfId="0" applyNumberFormat="1" applyFont="1" applyFill="1" applyBorder="1"/>
    <xf numFmtId="164" fontId="4" fillId="0" borderId="0" xfId="0" applyNumberFormat="1" applyFont="1" applyBorder="1"/>
    <xf numFmtId="164" fontId="0" fillId="0" borderId="27" xfId="0" applyNumberFormat="1" applyFill="1" applyBorder="1"/>
    <xf numFmtId="164" fontId="4" fillId="0" borderId="35" xfId="0" applyNumberFormat="1" applyFont="1" applyBorder="1"/>
    <xf numFmtId="164" fontId="4" fillId="0" borderId="36" xfId="0" applyNumberFormat="1" applyFont="1" applyBorder="1"/>
    <xf numFmtId="164" fontId="4" fillId="0" borderId="37" xfId="0" applyNumberFormat="1" applyFont="1" applyBorder="1"/>
    <xf numFmtId="164" fontId="4" fillId="0" borderId="4" xfId="0" applyNumberFormat="1" applyFont="1" applyBorder="1"/>
    <xf numFmtId="164" fontId="0" fillId="0" borderId="46" xfId="0" applyNumberFormat="1" applyFill="1" applyBorder="1"/>
    <xf numFmtId="164" fontId="4" fillId="0" borderId="5" xfId="0" applyNumberFormat="1" applyFont="1" applyBorder="1"/>
    <xf numFmtId="164" fontId="4" fillId="0" borderId="47" xfId="0" applyNumberFormat="1" applyFont="1" applyBorder="1"/>
    <xf numFmtId="164" fontId="4" fillId="0" borderId="46" xfId="0" applyNumberFormat="1" applyFont="1" applyBorder="1"/>
    <xf numFmtId="164" fontId="4" fillId="0" borderId="46" xfId="0" applyNumberFormat="1" applyFont="1" applyFill="1" applyBorder="1"/>
    <xf numFmtId="0" fontId="0" fillId="0" borderId="0" xfId="0" applyFill="1" applyBorder="1"/>
    <xf numFmtId="164" fontId="0" fillId="7" borderId="30" xfId="0" applyNumberFormat="1" applyFill="1" applyBorder="1"/>
    <xf numFmtId="17" fontId="0" fillId="0" borderId="32" xfId="0" applyNumberFormat="1" applyBorder="1"/>
    <xf numFmtId="17" fontId="0" fillId="0" borderId="17" xfId="0" applyNumberFormat="1" applyBorder="1"/>
    <xf numFmtId="17" fontId="0" fillId="0" borderId="18" xfId="0" applyNumberFormat="1" applyBorder="1"/>
    <xf numFmtId="0" fontId="0" fillId="7" borderId="58" xfId="0" applyFill="1" applyBorder="1"/>
    <xf numFmtId="164" fontId="0" fillId="7" borderId="44" xfId="0" applyNumberFormat="1" applyFill="1" applyBorder="1"/>
    <xf numFmtId="0" fontId="0" fillId="11" borderId="59" xfId="0" applyFill="1" applyBorder="1"/>
    <xf numFmtId="164" fontId="0" fillId="11" borderId="2" xfId="0" applyNumberFormat="1" applyFill="1" applyBorder="1"/>
    <xf numFmtId="0" fontId="0" fillId="11" borderId="60" xfId="0" applyFill="1" applyBorder="1"/>
    <xf numFmtId="164" fontId="0" fillId="11" borderId="45" xfId="0" applyNumberFormat="1" applyFill="1" applyBorder="1"/>
    <xf numFmtId="0" fontId="0" fillId="12" borderId="59" xfId="0" applyFill="1" applyBorder="1"/>
    <xf numFmtId="164" fontId="0" fillId="12" borderId="2" xfId="0" applyNumberFormat="1" applyFill="1" applyBorder="1"/>
    <xf numFmtId="0" fontId="0" fillId="12" borderId="60" xfId="0" applyFill="1" applyBorder="1"/>
    <xf numFmtId="164" fontId="0" fillId="12" borderId="45" xfId="0" applyNumberFormat="1" applyFill="1" applyBorder="1"/>
    <xf numFmtId="0" fontId="0" fillId="7" borderId="14" xfId="0" applyFill="1" applyBorder="1"/>
    <xf numFmtId="0" fontId="0" fillId="11" borderId="58" xfId="0" quotePrefix="1" applyFill="1" applyBorder="1"/>
    <xf numFmtId="164" fontId="0" fillId="11" borderId="44" xfId="0" applyNumberFormat="1" applyFill="1" applyBorder="1"/>
    <xf numFmtId="0" fontId="0" fillId="12" borderId="59" xfId="0" quotePrefix="1" applyFill="1" applyBorder="1"/>
    <xf numFmtId="0" fontId="9" fillId="13" borderId="59" xfId="0" applyFont="1" applyFill="1" applyBorder="1"/>
    <xf numFmtId="0" fontId="9" fillId="14" borderId="60" xfId="0" applyFont="1" applyFill="1" applyBorder="1"/>
    <xf numFmtId="164" fontId="0" fillId="7" borderId="34" xfId="0" applyNumberFormat="1" applyFill="1" applyBorder="1"/>
    <xf numFmtId="0" fontId="0" fillId="11" borderId="60" xfId="0" quotePrefix="1" applyFill="1" applyBorder="1"/>
    <xf numFmtId="17" fontId="0" fillId="2" borderId="19" xfId="0" applyNumberFormat="1" applyFill="1" applyBorder="1"/>
    <xf numFmtId="17" fontId="0" fillId="2" borderId="18" xfId="0" applyNumberFormat="1" applyFill="1" applyBorder="1"/>
    <xf numFmtId="0" fontId="0" fillId="0" borderId="27" xfId="0" applyBorder="1" applyAlignment="1">
      <alignment horizontal="right"/>
    </xf>
    <xf numFmtId="0" fontId="0" fillId="0" borderId="31" xfId="0" applyBorder="1" applyAlignment="1">
      <alignment horizontal="right"/>
    </xf>
    <xf numFmtId="0" fontId="0" fillId="0" borderId="28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46" xfId="0" applyBorder="1" applyAlignment="1">
      <alignment horizontal="right"/>
    </xf>
    <xf numFmtId="164" fontId="0" fillId="0" borderId="55" xfId="0" applyNumberFormat="1" applyBorder="1"/>
    <xf numFmtId="164" fontId="0" fillId="0" borderId="53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36" xfId="0" applyNumberFormat="1" applyBorder="1"/>
    <xf numFmtId="166" fontId="0" fillId="15" borderId="60" xfId="0" applyNumberFormat="1" applyFill="1" applyBorder="1"/>
    <xf numFmtId="166" fontId="0" fillId="15" borderId="64" xfId="0" applyNumberFormat="1" applyFill="1" applyBorder="1"/>
    <xf numFmtId="0" fontId="0" fillId="15" borderId="61" xfId="0" applyFill="1" applyBorder="1"/>
    <xf numFmtId="0" fontId="0" fillId="15" borderId="62" xfId="0" applyFill="1" applyBorder="1"/>
    <xf numFmtId="0" fontId="0" fillId="15" borderId="63" xfId="0" applyFill="1" applyBorder="1"/>
    <xf numFmtId="0" fontId="0" fillId="0" borderId="8" xfId="0" applyBorder="1"/>
    <xf numFmtId="0" fontId="0" fillId="0" borderId="48" xfId="0" applyBorder="1"/>
    <xf numFmtId="0" fontId="0" fillId="0" borderId="9" xfId="0" applyBorder="1"/>
    <xf numFmtId="0" fontId="0" fillId="0" borderId="2" xfId="0" applyBorder="1"/>
    <xf numFmtId="0" fontId="0" fillId="0" borderId="1" xfId="0" quotePrefix="1" applyBorder="1"/>
    <xf numFmtId="0" fontId="0" fillId="9" borderId="0" xfId="0" applyFill="1" applyBorder="1"/>
    <xf numFmtId="0" fontId="0" fillId="0" borderId="1" xfId="0" quotePrefix="1" applyFont="1" applyBorder="1"/>
    <xf numFmtId="0" fontId="2" fillId="0" borderId="0" xfId="0" applyFont="1" applyBorder="1"/>
    <xf numFmtId="9" fontId="0" fillId="9" borderId="0" xfId="0" applyNumberFormat="1" applyFill="1" applyBorder="1"/>
    <xf numFmtId="0" fontId="0" fillId="9" borderId="0" xfId="0" quotePrefix="1" applyFill="1" applyBorder="1"/>
    <xf numFmtId="0" fontId="0" fillId="0" borderId="4" xfId="0" applyBorder="1"/>
    <xf numFmtId="0" fontId="0" fillId="9" borderId="4" xfId="0" applyFill="1" applyBorder="1"/>
    <xf numFmtId="0" fontId="0" fillId="0" borderId="5" xfId="0" applyBorder="1"/>
    <xf numFmtId="166" fontId="0" fillId="15" borderId="14" xfId="0" applyNumberFormat="1" applyFill="1" applyBorder="1"/>
    <xf numFmtId="166" fontId="0" fillId="15" borderId="11" xfId="0" applyNumberFormat="1" applyFill="1" applyBorder="1"/>
    <xf numFmtId="164" fontId="0" fillId="7" borderId="25" xfId="0" applyNumberFormat="1" applyFill="1" applyBorder="1"/>
    <xf numFmtId="164" fontId="0" fillId="0" borderId="52" xfId="0" applyNumberFormat="1" applyBorder="1"/>
    <xf numFmtId="164" fontId="4" fillId="0" borderId="53" xfId="0" applyNumberFormat="1" applyFont="1" applyBorder="1"/>
  </cellXfs>
  <cellStyles count="34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Normal" xfId="0" builtinId="0"/>
    <cellStyle name="Pourcentage" xfId="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4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10.xml.rels><?xml version="1.0" encoding="UTF-8" standalone="yes"?>
<Relationships xmlns="http://schemas.openxmlformats.org/package/2006/relationships"><Relationship Id="rId1" Type="http://schemas.microsoft.com/office/2011/relationships/chartStyle" Target="style10.xml"/><Relationship Id="rId2" Type="http://schemas.microsoft.com/office/2011/relationships/chartColorStyle" Target="colors10.xml"/></Relationships>
</file>

<file path=xl/charts/_rels/chart11.xml.rels><?xml version="1.0" encoding="UTF-8" standalone="yes"?>
<Relationships xmlns="http://schemas.openxmlformats.org/package/2006/relationships"><Relationship Id="rId1" Type="http://schemas.microsoft.com/office/2011/relationships/chartStyle" Target="style11.xml"/><Relationship Id="rId2" Type="http://schemas.microsoft.com/office/2011/relationships/chartColorStyle" Target="colors11.xml"/></Relationships>
</file>

<file path=xl/charts/_rels/chart12.xml.rels><?xml version="1.0" encoding="UTF-8" standalone="yes"?>
<Relationships xmlns="http://schemas.openxmlformats.org/package/2006/relationships"><Relationship Id="rId1" Type="http://schemas.microsoft.com/office/2011/relationships/chartStyle" Target="style12.xml"/><Relationship Id="rId2" Type="http://schemas.microsoft.com/office/2011/relationships/chartColorStyle" Target="colors12.xml"/></Relationships>
</file>

<file path=xl/charts/_rels/chart13.xml.rels><?xml version="1.0" encoding="UTF-8" standalone="yes"?>
<Relationships xmlns="http://schemas.openxmlformats.org/package/2006/relationships"><Relationship Id="rId1" Type="http://schemas.microsoft.com/office/2011/relationships/chartStyle" Target="style13.xml"/><Relationship Id="rId2" Type="http://schemas.microsoft.com/office/2011/relationships/chartColorStyle" Target="colors13.xml"/></Relationships>
</file>

<file path=xl/charts/_rels/chart14.xml.rels><?xml version="1.0" encoding="UTF-8" standalone="yes"?>
<Relationships xmlns="http://schemas.openxmlformats.org/package/2006/relationships"><Relationship Id="rId1" Type="http://schemas.microsoft.com/office/2011/relationships/chartStyle" Target="style14.xml"/><Relationship Id="rId2" Type="http://schemas.microsoft.com/office/2011/relationships/chartColorStyle" Target="colors14.xml"/></Relationships>
</file>

<file path=xl/charts/_rels/chart15.xml.rels><?xml version="1.0" encoding="UTF-8" standalone="yes"?>
<Relationships xmlns="http://schemas.openxmlformats.org/package/2006/relationships"><Relationship Id="rId1" Type="http://schemas.microsoft.com/office/2011/relationships/chartStyle" Target="style15.xml"/><Relationship Id="rId2" Type="http://schemas.microsoft.com/office/2011/relationships/chartColorStyle" Target="colors15.xml"/></Relationships>
</file>

<file path=xl/charts/_rels/chart16.xml.rels><?xml version="1.0" encoding="UTF-8" standalone="yes"?>
<Relationships xmlns="http://schemas.openxmlformats.org/package/2006/relationships"><Relationship Id="rId1" Type="http://schemas.microsoft.com/office/2011/relationships/chartStyle" Target="style16.xml"/><Relationship Id="rId2" Type="http://schemas.microsoft.com/office/2011/relationships/chartColorStyle" Target="colors16.xml"/></Relationships>
</file>

<file path=xl/charts/_rels/chart17.xml.rels><?xml version="1.0" encoding="UTF-8" standalone="yes"?>
<Relationships xmlns="http://schemas.openxmlformats.org/package/2006/relationships"><Relationship Id="rId1" Type="http://schemas.microsoft.com/office/2011/relationships/chartStyle" Target="style17.xml"/><Relationship Id="rId2" Type="http://schemas.microsoft.com/office/2011/relationships/chartColorStyle" Target="colors17.xml"/></Relationships>
</file>

<file path=xl/charts/_rels/chart18.xml.rels><?xml version="1.0" encoding="UTF-8" standalone="yes"?>
<Relationships xmlns="http://schemas.openxmlformats.org/package/2006/relationships"><Relationship Id="rId1" Type="http://schemas.microsoft.com/office/2011/relationships/chartStyle" Target="style18.xml"/><Relationship Id="rId2" Type="http://schemas.microsoft.com/office/2011/relationships/chartColorStyle" Target="colors18.xml"/></Relationships>
</file>

<file path=xl/charts/_rels/chart19.xml.rels><?xml version="1.0" encoding="UTF-8" standalone="yes"?>
<Relationships xmlns="http://schemas.openxmlformats.org/package/2006/relationships"><Relationship Id="rId1" Type="http://schemas.microsoft.com/office/2011/relationships/chartStyle" Target="style19.xml"/><Relationship Id="rId2" Type="http://schemas.microsoft.com/office/2011/relationships/chartColorStyle" Target="colors19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_rels/chart20.xml.rels><?xml version="1.0" encoding="UTF-8" standalone="yes"?>
<Relationships xmlns="http://schemas.openxmlformats.org/package/2006/relationships"><Relationship Id="rId1" Type="http://schemas.microsoft.com/office/2011/relationships/chartStyle" Target="style20.xml"/><Relationship Id="rId2" Type="http://schemas.microsoft.com/office/2011/relationships/chartColorStyle" Target="colors20.xml"/></Relationships>
</file>

<file path=xl/charts/_rels/chart3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/Relationships>
</file>

<file path=xl/charts/_rels/chart4.xml.rels><?xml version="1.0" encoding="UTF-8" standalone="yes"?>
<Relationships xmlns="http://schemas.openxmlformats.org/package/2006/relationships"><Relationship Id="rId1" Type="http://schemas.microsoft.com/office/2011/relationships/chartStyle" Target="style4.xml"/><Relationship Id="rId2" Type="http://schemas.microsoft.com/office/2011/relationships/chartColorStyle" Target="colors4.xml"/></Relationships>
</file>

<file path=xl/charts/_rels/chart5.xml.rels><?xml version="1.0" encoding="UTF-8" standalone="yes"?>
<Relationships xmlns="http://schemas.openxmlformats.org/package/2006/relationships"><Relationship Id="rId1" Type="http://schemas.microsoft.com/office/2011/relationships/chartStyle" Target="style5.xml"/><Relationship Id="rId2" Type="http://schemas.microsoft.com/office/2011/relationships/chartColorStyle" Target="colors5.xml"/></Relationships>
</file>

<file path=xl/charts/_rels/chart6.xml.rels><?xml version="1.0" encoding="UTF-8" standalone="yes"?>
<Relationships xmlns="http://schemas.openxmlformats.org/package/2006/relationships"><Relationship Id="rId1" Type="http://schemas.microsoft.com/office/2011/relationships/chartStyle" Target="style6.xml"/><Relationship Id="rId2" Type="http://schemas.microsoft.com/office/2011/relationships/chartColorStyle" Target="colors6.xml"/></Relationships>
</file>

<file path=xl/charts/_rels/chart7.xml.rels><?xml version="1.0" encoding="UTF-8" standalone="yes"?>
<Relationships xmlns="http://schemas.openxmlformats.org/package/2006/relationships"><Relationship Id="rId1" Type="http://schemas.microsoft.com/office/2011/relationships/chartStyle" Target="style7.xml"/><Relationship Id="rId2" Type="http://schemas.microsoft.com/office/2011/relationships/chartColorStyle" Target="colors7.xml"/></Relationships>
</file>

<file path=xl/charts/_rels/chart8.xml.rels><?xml version="1.0" encoding="UTF-8" standalone="yes"?>
<Relationships xmlns="http://schemas.openxmlformats.org/package/2006/relationships"><Relationship Id="rId1" Type="http://schemas.microsoft.com/office/2011/relationships/chartStyle" Target="style8.xml"/><Relationship Id="rId2" Type="http://schemas.microsoft.com/office/2011/relationships/chartColorStyle" Target="colors8.xml"/></Relationships>
</file>

<file path=xl/charts/_rels/chart9.xml.rels><?xml version="1.0" encoding="UTF-8" standalone="yes"?>
<Relationships xmlns="http://schemas.openxmlformats.org/package/2006/relationships"><Relationship Id="rId1" Type="http://schemas.microsoft.com/office/2011/relationships/chartStyle" Target="style9.xml"/><Relationship Id="rId2" Type="http://schemas.microsoft.com/office/2011/relationships/chartColorStyle" Target="colors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Selling</a:t>
            </a:r>
            <a:r>
              <a:rPr lang="fr-FR" baseline="0"/>
              <a:t> Expenses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'Average Scenario'!$A$99</c:f>
              <c:strCache>
                <c:ptCount val="1"/>
                <c:pt idx="0">
                  <c:v>Advertising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'Average Scenario'!$B$86:$F$86</c:f>
              <c:numCache>
                <c:formatCode>General</c:formatCode>
                <c:ptCount val="5"/>
                <c:pt idx="0">
                  <c:v>2018.0</c:v>
                </c:pt>
                <c:pt idx="1">
                  <c:v>2019.0</c:v>
                </c:pt>
                <c:pt idx="2">
                  <c:v>2020.0</c:v>
                </c:pt>
                <c:pt idx="3">
                  <c:v>2021.0</c:v>
                </c:pt>
                <c:pt idx="4">
                  <c:v>2022.0</c:v>
                </c:pt>
              </c:numCache>
            </c:numRef>
          </c:cat>
          <c:val>
            <c:numRef>
              <c:f>('Average Scenario'!$B$99,'Average Scenario'!$D$99,'Average Scenario'!$F$99,'Average Scenario'!$H$99,'Average Scenario'!$J$99)</c:f>
              <c:numCache>
                <c:formatCode>#,##0\ "€"</c:formatCode>
                <c:ptCount val="5"/>
                <c:pt idx="0">
                  <c:v>60000.0</c:v>
                </c:pt>
                <c:pt idx="1">
                  <c:v>35000.0</c:v>
                </c:pt>
                <c:pt idx="2">
                  <c:v>35000.0</c:v>
                </c:pt>
                <c:pt idx="3">
                  <c:v>35000.0</c:v>
                </c:pt>
                <c:pt idx="4">
                  <c:v>35000.0</c:v>
                </c:pt>
              </c:numCache>
            </c:numRef>
          </c:val>
        </c:ser>
        <c:ser>
          <c:idx val="1"/>
          <c:order val="1"/>
          <c:tx>
            <c:strRef>
              <c:f>'Average Scenario'!$A$100</c:f>
              <c:strCache>
                <c:ptCount val="1"/>
                <c:pt idx="0">
                  <c:v>Other selling costs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'Average Scenario'!$B$86:$F$86</c:f>
              <c:numCache>
                <c:formatCode>General</c:formatCode>
                <c:ptCount val="5"/>
                <c:pt idx="0">
                  <c:v>2018.0</c:v>
                </c:pt>
                <c:pt idx="1">
                  <c:v>2019.0</c:v>
                </c:pt>
                <c:pt idx="2">
                  <c:v>2020.0</c:v>
                </c:pt>
                <c:pt idx="3">
                  <c:v>2021.0</c:v>
                </c:pt>
                <c:pt idx="4">
                  <c:v>2022.0</c:v>
                </c:pt>
              </c:numCache>
            </c:numRef>
          </c:cat>
          <c:val>
            <c:numRef>
              <c:f>('Average Scenario'!$B$100,'Average Scenario'!$D$100,'Average Scenario'!$F$100,'Average Scenario'!$H$100,'Average Scenario'!$J$100)</c:f>
              <c:numCache>
                <c:formatCode>#,##0\ "€"</c:formatCode>
                <c:ptCount val="5"/>
                <c:pt idx="0">
                  <c:v>10080.0</c:v>
                </c:pt>
                <c:pt idx="1">
                  <c:v>8990.0</c:v>
                </c:pt>
                <c:pt idx="2">
                  <c:v>9153.2</c:v>
                </c:pt>
                <c:pt idx="3">
                  <c:v>9319.664</c:v>
                </c:pt>
                <c:pt idx="4">
                  <c:v>9489.457280000001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85163440"/>
        <c:axId val="1485165488"/>
      </c:barChart>
      <c:catAx>
        <c:axId val="148516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85165488"/>
        <c:crosses val="autoZero"/>
        <c:auto val="1"/>
        <c:lblAlgn val="ctr"/>
        <c:lblOffset val="100"/>
        <c:noMultiLvlLbl val="0"/>
      </c:catAx>
      <c:valAx>
        <c:axId val="1485165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85163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</a:t>
            </a:r>
            <a:r>
              <a:rPr lang="fr-FR" baseline="0"/>
              <a:t> and type of revenue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'Average Scenario'!$A$93</c:f>
              <c:strCache>
                <c:ptCount val="1"/>
                <c:pt idx="0">
                  <c:v>Fixed revenue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('Average Scenario'!$C$93,'Average Scenario'!$E$93,'Average Scenario'!$G$93,'Average Scenario'!$I$93,'Average Scenario'!$K$93)</c:f>
              <c:numCache>
                <c:formatCode>0.0%</c:formatCode>
                <c:ptCount val="5"/>
                <c:pt idx="0">
                  <c:v>0.959252812248489</c:v>
                </c:pt>
                <c:pt idx="1">
                  <c:v>0.933884046527166</c:v>
                </c:pt>
                <c:pt idx="2">
                  <c:v>0.91690978442631</c:v>
                </c:pt>
                <c:pt idx="3">
                  <c:v>0.874300231746973</c:v>
                </c:pt>
                <c:pt idx="4">
                  <c:v>0.843500106885912</c:v>
                </c:pt>
              </c:numCache>
            </c:numRef>
          </c:val>
        </c:ser>
        <c:ser>
          <c:idx val="1"/>
          <c:order val="1"/>
          <c:tx>
            <c:strRef>
              <c:f>'Average Scenario'!$A$95</c:f>
              <c:strCache>
                <c:ptCount val="1"/>
                <c:pt idx="0">
                  <c:v>Variable 25% revenue E-Cart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00833333333333333"/>
                  <c:y val="-0.013888888888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00833333333333333"/>
                  <c:y val="0.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011111111111111"/>
                  <c:y val="0.004629629629629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0222222222222221"/>
                  <c:y val="0.004629629629629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013888888888889"/>
                  <c:y val="0.004629629629629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('Average Scenario'!$C$95,'Average Scenario'!$E$95,'Average Scenario'!$G$95,'Average Scenario'!$I$95,'Average Scenario'!$K$95)</c:f>
              <c:numCache>
                <c:formatCode>0.0%</c:formatCode>
                <c:ptCount val="5"/>
                <c:pt idx="0">
                  <c:v>0.0407471877515114</c:v>
                </c:pt>
                <c:pt idx="1">
                  <c:v>0.0661159534728338</c:v>
                </c:pt>
                <c:pt idx="2">
                  <c:v>0.0830902155736903</c:v>
                </c:pt>
                <c:pt idx="3">
                  <c:v>0.125699768253027</c:v>
                </c:pt>
                <c:pt idx="4">
                  <c:v>0.156499893114088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35274816"/>
        <c:axId val="1435460048"/>
      </c:barChart>
      <c:catAx>
        <c:axId val="14352748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5460048"/>
        <c:crosses val="autoZero"/>
        <c:auto val="1"/>
        <c:lblAlgn val="ctr"/>
        <c:lblOffset val="100"/>
        <c:noMultiLvlLbl val="0"/>
      </c:catAx>
      <c:valAx>
        <c:axId val="143546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5274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Selling</a:t>
            </a:r>
            <a:r>
              <a:rPr lang="fr-FR" baseline="0"/>
              <a:t> Expenses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'Pessimist Scenario'!$A$100</c:f>
              <c:strCache>
                <c:ptCount val="1"/>
                <c:pt idx="0">
                  <c:v>Advertising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'Pessimist Scenario'!$B$87:$F$87</c:f>
              <c:numCache>
                <c:formatCode>General</c:formatCode>
                <c:ptCount val="5"/>
                <c:pt idx="0">
                  <c:v>2018.0</c:v>
                </c:pt>
                <c:pt idx="1">
                  <c:v>2019.0</c:v>
                </c:pt>
                <c:pt idx="2">
                  <c:v>2020.0</c:v>
                </c:pt>
                <c:pt idx="3">
                  <c:v>2021.0</c:v>
                </c:pt>
                <c:pt idx="4">
                  <c:v>2022.0</c:v>
                </c:pt>
              </c:numCache>
            </c:numRef>
          </c:cat>
          <c:val>
            <c:numRef>
              <c:f>('Pessimist Scenario'!$B$100,'Pessimist Scenario'!$D$100,'Pessimist Scenario'!$F$100,'Pessimist Scenario'!$H$100,'Pessimist Scenario'!$J$100)</c:f>
              <c:numCache>
                <c:formatCode>#,##0\ "€"</c:formatCode>
                <c:ptCount val="5"/>
                <c:pt idx="0">
                  <c:v>60000.0</c:v>
                </c:pt>
                <c:pt idx="1">
                  <c:v>35000.0</c:v>
                </c:pt>
                <c:pt idx="2">
                  <c:v>35000.0</c:v>
                </c:pt>
                <c:pt idx="3">
                  <c:v>35000.0</c:v>
                </c:pt>
                <c:pt idx="4">
                  <c:v>35000.0</c:v>
                </c:pt>
              </c:numCache>
            </c:numRef>
          </c:val>
        </c:ser>
        <c:ser>
          <c:idx val="1"/>
          <c:order val="1"/>
          <c:tx>
            <c:strRef>
              <c:f>'Pessimist Scenario'!$A$101</c:f>
              <c:strCache>
                <c:ptCount val="1"/>
                <c:pt idx="0">
                  <c:v>Other selling costs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'Pessimist Scenario'!$B$87:$F$87</c:f>
              <c:numCache>
                <c:formatCode>General</c:formatCode>
                <c:ptCount val="5"/>
                <c:pt idx="0">
                  <c:v>2018.0</c:v>
                </c:pt>
                <c:pt idx="1">
                  <c:v>2019.0</c:v>
                </c:pt>
                <c:pt idx="2">
                  <c:v>2020.0</c:v>
                </c:pt>
                <c:pt idx="3">
                  <c:v>2021.0</c:v>
                </c:pt>
                <c:pt idx="4">
                  <c:v>2022.0</c:v>
                </c:pt>
              </c:numCache>
            </c:numRef>
          </c:cat>
          <c:val>
            <c:numRef>
              <c:f>('Pessimist Scenario'!$B$101,'Pessimist Scenario'!$D$101,'Pessimist Scenario'!$F$101,'Pessimist Scenario'!$H$101,'Pessimist Scenario'!$J$101)</c:f>
              <c:numCache>
                <c:formatCode>#,##0\ "€"</c:formatCode>
                <c:ptCount val="5"/>
                <c:pt idx="0">
                  <c:v>10080.0</c:v>
                </c:pt>
                <c:pt idx="1">
                  <c:v>8990.0</c:v>
                </c:pt>
                <c:pt idx="2">
                  <c:v>9153.2</c:v>
                </c:pt>
                <c:pt idx="3">
                  <c:v>9319.664</c:v>
                </c:pt>
                <c:pt idx="4">
                  <c:v>9489.457280000001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85399408"/>
        <c:axId val="1485401728"/>
      </c:barChart>
      <c:catAx>
        <c:axId val="1485399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85401728"/>
        <c:crosses val="autoZero"/>
        <c:auto val="1"/>
        <c:lblAlgn val="ctr"/>
        <c:lblOffset val="100"/>
        <c:noMultiLvlLbl val="0"/>
      </c:catAx>
      <c:valAx>
        <c:axId val="1485401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85399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Administrative</a:t>
            </a:r>
            <a:r>
              <a:rPr lang="fr-FR" baseline="0"/>
              <a:t> expenses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2018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'Pessimist Scenario'!$A$103:$A$107</c:f>
              <c:strCache>
                <c:ptCount val="5"/>
                <c:pt idx="0">
                  <c:v>Rent of building</c:v>
                </c:pt>
                <c:pt idx="1">
                  <c:v>Other administrative costs</c:v>
                </c:pt>
                <c:pt idx="2">
                  <c:v>Salaries</c:v>
                </c:pt>
                <c:pt idx="3">
                  <c:v>Payroll taxes</c:v>
                </c:pt>
                <c:pt idx="4">
                  <c:v>Other Taxes</c:v>
                </c:pt>
              </c:strCache>
            </c:strRef>
          </c:cat>
          <c:val>
            <c:numRef>
              <c:f>'Pessimist Scenario'!$B$103:$B$107</c:f>
              <c:numCache>
                <c:formatCode>#,##0\ "€"</c:formatCode>
                <c:ptCount val="5"/>
                <c:pt idx="0">
                  <c:v>6000.0</c:v>
                </c:pt>
                <c:pt idx="1">
                  <c:v>900.0</c:v>
                </c:pt>
                <c:pt idx="2">
                  <c:v>17763.24</c:v>
                </c:pt>
                <c:pt idx="3">
                  <c:v>11368.4736</c:v>
                </c:pt>
                <c:pt idx="4">
                  <c:v>2952.0</c:v>
                </c:pt>
              </c:numCache>
            </c:numRef>
          </c:val>
        </c:ser>
        <c:ser>
          <c:idx val="1"/>
          <c:order val="1"/>
          <c:tx>
            <c:v>2019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'Pessimist Scenario'!$A$103:$A$107</c:f>
              <c:strCache>
                <c:ptCount val="5"/>
                <c:pt idx="0">
                  <c:v>Rent of building</c:v>
                </c:pt>
                <c:pt idx="1">
                  <c:v>Other administrative costs</c:v>
                </c:pt>
                <c:pt idx="2">
                  <c:v>Salaries</c:v>
                </c:pt>
                <c:pt idx="3">
                  <c:v>Payroll taxes</c:v>
                </c:pt>
                <c:pt idx="4">
                  <c:v>Other Taxes</c:v>
                </c:pt>
              </c:strCache>
            </c:strRef>
          </c:cat>
          <c:val>
            <c:numRef>
              <c:f>'Pessimist Scenario'!$D$103:$D$107</c:f>
              <c:numCache>
                <c:formatCode>#,##0\ "€"</c:formatCode>
                <c:ptCount val="5"/>
                <c:pt idx="0">
                  <c:v>12000.0</c:v>
                </c:pt>
                <c:pt idx="1">
                  <c:v>1700.0</c:v>
                </c:pt>
                <c:pt idx="2">
                  <c:v>71052.96</c:v>
                </c:pt>
                <c:pt idx="3">
                  <c:v>45473.8944</c:v>
                </c:pt>
                <c:pt idx="4">
                  <c:v>25977.6</c:v>
                </c:pt>
              </c:numCache>
            </c:numRef>
          </c:val>
        </c:ser>
        <c:ser>
          <c:idx val="2"/>
          <c:order val="2"/>
          <c:tx>
            <c:v>2020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'Pessimist Scenario'!$A$103:$A$107</c:f>
              <c:strCache>
                <c:ptCount val="5"/>
                <c:pt idx="0">
                  <c:v>Rent of building</c:v>
                </c:pt>
                <c:pt idx="1">
                  <c:v>Other administrative costs</c:v>
                </c:pt>
                <c:pt idx="2">
                  <c:v>Salaries</c:v>
                </c:pt>
                <c:pt idx="3">
                  <c:v>Payroll taxes</c:v>
                </c:pt>
                <c:pt idx="4">
                  <c:v>Other Taxes</c:v>
                </c:pt>
              </c:strCache>
            </c:strRef>
          </c:cat>
          <c:val>
            <c:numRef>
              <c:f>'Pessimist Scenario'!$F$103:$F$107</c:f>
              <c:numCache>
                <c:formatCode>#,##0\ "€"</c:formatCode>
                <c:ptCount val="5"/>
                <c:pt idx="0">
                  <c:v>36000.0</c:v>
                </c:pt>
                <c:pt idx="1">
                  <c:v>5100.0</c:v>
                </c:pt>
                <c:pt idx="2">
                  <c:v>266448.6</c:v>
                </c:pt>
                <c:pt idx="3">
                  <c:v>170527.104</c:v>
                </c:pt>
                <c:pt idx="4">
                  <c:v>68880.0</c:v>
                </c:pt>
              </c:numCache>
            </c:numRef>
          </c:val>
        </c:ser>
        <c:ser>
          <c:idx val="3"/>
          <c:order val="3"/>
          <c:tx>
            <c:v>2021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'Pessimist Scenario'!$A$103:$A$107</c:f>
              <c:strCache>
                <c:ptCount val="5"/>
                <c:pt idx="0">
                  <c:v>Rent of building</c:v>
                </c:pt>
                <c:pt idx="1">
                  <c:v>Other administrative costs</c:v>
                </c:pt>
                <c:pt idx="2">
                  <c:v>Salaries</c:v>
                </c:pt>
                <c:pt idx="3">
                  <c:v>Payroll taxes</c:v>
                </c:pt>
                <c:pt idx="4">
                  <c:v>Other Taxes</c:v>
                </c:pt>
              </c:strCache>
            </c:strRef>
          </c:cat>
          <c:val>
            <c:numRef>
              <c:f>'Pessimist Scenario'!$H$103:$H$107</c:f>
              <c:numCache>
                <c:formatCode>#,##0\ "€"</c:formatCode>
                <c:ptCount val="5"/>
                <c:pt idx="0">
                  <c:v>36000.0</c:v>
                </c:pt>
                <c:pt idx="1">
                  <c:v>5400.0</c:v>
                </c:pt>
                <c:pt idx="2">
                  <c:v>373028.04</c:v>
                </c:pt>
                <c:pt idx="3">
                  <c:v>238737.9456</c:v>
                </c:pt>
                <c:pt idx="4">
                  <c:v>56284.8</c:v>
                </c:pt>
              </c:numCache>
            </c:numRef>
          </c:val>
        </c:ser>
        <c:ser>
          <c:idx val="4"/>
          <c:order val="4"/>
          <c:tx>
            <c:v>2022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'Pessimist Scenario'!$A$103:$A$107</c:f>
              <c:strCache>
                <c:ptCount val="5"/>
                <c:pt idx="0">
                  <c:v>Rent of building</c:v>
                </c:pt>
                <c:pt idx="1">
                  <c:v>Other administrative costs</c:v>
                </c:pt>
                <c:pt idx="2">
                  <c:v>Salaries</c:v>
                </c:pt>
                <c:pt idx="3">
                  <c:v>Payroll taxes</c:v>
                </c:pt>
                <c:pt idx="4">
                  <c:v>Other Taxes</c:v>
                </c:pt>
              </c:strCache>
            </c:strRef>
          </c:cat>
          <c:val>
            <c:numRef>
              <c:f>'Pessimist Scenario'!$J$103:$J$107</c:f>
              <c:numCache>
                <c:formatCode>#,##0\ "€"</c:formatCode>
                <c:ptCount val="5"/>
                <c:pt idx="0">
                  <c:v>36000.0</c:v>
                </c:pt>
                <c:pt idx="1">
                  <c:v>5500.0</c:v>
                </c:pt>
                <c:pt idx="2">
                  <c:v>426317.76</c:v>
                </c:pt>
                <c:pt idx="3">
                  <c:v>272843.3664</c:v>
                </c:pt>
                <c:pt idx="4">
                  <c:v>62779.2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85568256"/>
        <c:axId val="1485570304"/>
      </c:barChart>
      <c:catAx>
        <c:axId val="14855682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85570304"/>
        <c:crosses val="autoZero"/>
        <c:auto val="1"/>
        <c:lblAlgn val="ctr"/>
        <c:lblOffset val="100"/>
        <c:noMultiLvlLbl val="0"/>
      </c:catAx>
      <c:valAx>
        <c:axId val="1485570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8556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revenue and Net income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'Pessimist Scenario'!$A$97</c:f>
              <c:strCache>
                <c:ptCount val="1"/>
                <c:pt idx="0">
                  <c:v>Revenue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('Pessimist Scenario'!$B$93,'Pessimist Scenario'!$D$93,'Pessimist Scenario'!$F$93,'Pessimist Scenario'!$H$93,'Pessimist Scenario'!$J$93)</c:f>
              <c:numCache>
                <c:formatCode>General</c:formatCode>
                <c:ptCount val="5"/>
                <c:pt idx="0">
                  <c:v>2018.0</c:v>
                </c:pt>
                <c:pt idx="1">
                  <c:v>2019.0</c:v>
                </c:pt>
                <c:pt idx="2">
                  <c:v>2020.0</c:v>
                </c:pt>
                <c:pt idx="3">
                  <c:v>2021.0</c:v>
                </c:pt>
                <c:pt idx="4">
                  <c:v>2022.0</c:v>
                </c:pt>
              </c:numCache>
            </c:numRef>
          </c:cat>
          <c:val>
            <c:numRef>
              <c:f>('Pessimist Scenario'!$B$97,'Pessimist Scenario'!$D$97,'Pessimist Scenario'!$F$97,'Pessimist Scenario'!$H$97,'Pessimist Scenario'!$J$97)</c:f>
              <c:numCache>
                <c:formatCode>#,##0\ "€"</c:formatCode>
                <c:ptCount val="5"/>
                <c:pt idx="0">
                  <c:v>609993.0</c:v>
                </c:pt>
                <c:pt idx="1">
                  <c:v>2.49222E6</c:v>
                </c:pt>
                <c:pt idx="2">
                  <c:v>5.26832E6</c:v>
                </c:pt>
                <c:pt idx="3">
                  <c:v>5.691528E6</c:v>
                </c:pt>
                <c:pt idx="4">
                  <c:v>6.53446E6</c:v>
                </c:pt>
              </c:numCache>
            </c:numRef>
          </c:val>
        </c:ser>
        <c:ser>
          <c:idx val="1"/>
          <c:order val="1"/>
          <c:tx>
            <c:strRef>
              <c:f>'Pessimist Scenario'!$A$116</c:f>
              <c:strCache>
                <c:ptCount val="1"/>
                <c:pt idx="0">
                  <c:v>Net income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0254452926208651"/>
                  <c:y val="0.07744910587771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0279898218829516"/>
                  <c:y val="-0.009111617312072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0279898218829516"/>
                  <c:y val="-0.009111617312072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0330788804071247"/>
                  <c:y val="-0.0136674259681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0356234096692112"/>
                  <c:y val="-8.3522193838491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('Pessimist Scenario'!$B$93,'Pessimist Scenario'!$D$93,'Pessimist Scenario'!$F$93,'Pessimist Scenario'!$H$93,'Pessimist Scenario'!$J$93)</c:f>
              <c:numCache>
                <c:formatCode>General</c:formatCode>
                <c:ptCount val="5"/>
                <c:pt idx="0">
                  <c:v>2018.0</c:v>
                </c:pt>
                <c:pt idx="1">
                  <c:v>2019.0</c:v>
                </c:pt>
                <c:pt idx="2">
                  <c:v>2020.0</c:v>
                </c:pt>
                <c:pt idx="3">
                  <c:v>2021.0</c:v>
                </c:pt>
                <c:pt idx="4">
                  <c:v>2022.0</c:v>
                </c:pt>
              </c:numCache>
            </c:numRef>
          </c:cat>
          <c:val>
            <c:numRef>
              <c:f>('Pessimist Scenario'!$B$116,'Pessimist Scenario'!$D$116,'Pessimist Scenario'!$F$116,'Pessimist Scenario'!$H$116,'Pessimist Scenario'!$J$116)</c:f>
              <c:numCache>
                <c:formatCode>#,##0\ "€"</c:formatCode>
                <c:ptCount val="5"/>
                <c:pt idx="0">
                  <c:v>-5223.213599999988</c:v>
                </c:pt>
                <c:pt idx="1">
                  <c:v>198717.59552</c:v>
                </c:pt>
                <c:pt idx="2">
                  <c:v>315550.8505333335</c:v>
                </c:pt>
                <c:pt idx="3">
                  <c:v>391667.4186133333</c:v>
                </c:pt>
                <c:pt idx="4">
                  <c:v>555481.5347573334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84931968"/>
        <c:axId val="1484934288"/>
      </c:barChart>
      <c:catAx>
        <c:axId val="1484931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84934288"/>
        <c:crosses val="autoZero"/>
        <c:auto val="1"/>
        <c:lblAlgn val="ctr"/>
        <c:lblOffset val="100"/>
        <c:noMultiLvlLbl val="0"/>
      </c:catAx>
      <c:valAx>
        <c:axId val="148493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84931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Cash Balance evolution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'Pessimist Scenario'!$A$127</c:f>
              <c:strCache>
                <c:ptCount val="1"/>
                <c:pt idx="0">
                  <c:v>Working Capital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'Pessimist Scenario'!$B$126:$G$126</c:f>
              <c:strCache>
                <c:ptCount val="6"/>
                <c:pt idx="0">
                  <c:v>Initial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strCache>
            </c:strRef>
          </c:cat>
          <c:val>
            <c:numRef>
              <c:f>'Pessimist Scenario'!$B$127:$G$127</c:f>
              <c:numCache>
                <c:formatCode>#,##0\ "€"</c:formatCode>
                <c:ptCount val="6"/>
                <c:pt idx="0">
                  <c:v>291987.5</c:v>
                </c:pt>
                <c:pt idx="1">
                  <c:v>236366.7864</c:v>
                </c:pt>
                <c:pt idx="2">
                  <c:v>885070.88192</c:v>
                </c:pt>
                <c:pt idx="3">
                  <c:v>2.04573889912E6</c:v>
                </c:pt>
                <c:pt idx="4">
                  <c:v>2.1453634844E6</c:v>
                </c:pt>
                <c:pt idx="5">
                  <c:v>2.956038185824E6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'Pessimist Scenario'!$A$128</c:f>
              <c:strCache>
                <c:ptCount val="1"/>
                <c:pt idx="0">
                  <c:v>Working Capital Need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'Pessimist Scenario'!$B$126:$G$126</c:f>
              <c:strCache>
                <c:ptCount val="6"/>
                <c:pt idx="0">
                  <c:v>Initial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strCache>
            </c:strRef>
          </c:cat>
          <c:val>
            <c:numRef>
              <c:f>'Pessimist Scenario'!$B$128:$G$128</c:f>
              <c:numCache>
                <c:formatCode>#,##0\ "€"</c:formatCode>
                <c:ptCount val="6"/>
                <c:pt idx="0">
                  <c:v>-181234.0</c:v>
                </c:pt>
                <c:pt idx="1">
                  <c:v>49144.5</c:v>
                </c:pt>
                <c:pt idx="2">
                  <c:v>204105.2</c:v>
                </c:pt>
                <c:pt idx="3">
                  <c:v>436688.3333333332</c:v>
                </c:pt>
                <c:pt idx="4">
                  <c:v>490847.6</c:v>
                </c:pt>
                <c:pt idx="5">
                  <c:v>578520.0666666665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'Pessimist Scenario'!$A$129</c:f>
              <c:strCache>
                <c:ptCount val="1"/>
                <c:pt idx="0">
                  <c:v>Cash Balance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'Pessimist Scenario'!$B$126:$G$126</c:f>
              <c:strCache>
                <c:ptCount val="6"/>
                <c:pt idx="0">
                  <c:v>Initial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strCache>
            </c:strRef>
          </c:cat>
          <c:val>
            <c:numRef>
              <c:f>'Pessimist Scenario'!$B$129:$G$129</c:f>
              <c:numCache>
                <c:formatCode>#,##0\ "€"</c:formatCode>
                <c:ptCount val="6"/>
                <c:pt idx="0">
                  <c:v>473221.5</c:v>
                </c:pt>
                <c:pt idx="1">
                  <c:v>187222.2864</c:v>
                </c:pt>
                <c:pt idx="2">
                  <c:v>680965.6819200001</c:v>
                </c:pt>
                <c:pt idx="3">
                  <c:v>1.60905056578667E6</c:v>
                </c:pt>
                <c:pt idx="4">
                  <c:v>1.6545158844E6</c:v>
                </c:pt>
                <c:pt idx="5">
                  <c:v>2.37751811915733E6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7577408"/>
        <c:axId val="1247579456"/>
      </c:lineChart>
      <c:catAx>
        <c:axId val="124757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7579456"/>
        <c:crosses val="autoZero"/>
        <c:auto val="1"/>
        <c:lblAlgn val="ctr"/>
        <c:lblOffset val="100"/>
        <c:noMultiLvlLbl val="0"/>
      </c:catAx>
      <c:valAx>
        <c:axId val="124757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757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'Pessimist Scenario'!$A$123</c:f>
              <c:strCache>
                <c:ptCount val="1"/>
                <c:pt idx="0">
                  <c:v>Break-Even Point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'Pessimist Scenario'!$B$119:$F$119</c:f>
              <c:numCache>
                <c:formatCode>General</c:formatCode>
                <c:ptCount val="5"/>
                <c:pt idx="0">
                  <c:v>2018.0</c:v>
                </c:pt>
                <c:pt idx="1">
                  <c:v>2019.0</c:v>
                </c:pt>
                <c:pt idx="2">
                  <c:v>2020.0</c:v>
                </c:pt>
                <c:pt idx="3">
                  <c:v>2021.0</c:v>
                </c:pt>
                <c:pt idx="4">
                  <c:v>2022.0</c:v>
                </c:pt>
              </c:numCache>
            </c:numRef>
          </c:cat>
          <c:val>
            <c:numRef>
              <c:f>'Pessimist Scenario'!$B$123:$F$123</c:f>
              <c:numCache>
                <c:formatCode>#,##0\ "€"</c:formatCode>
                <c:ptCount val="5"/>
                <c:pt idx="0">
                  <c:v>856385.8948679582</c:v>
                </c:pt>
                <c:pt idx="1">
                  <c:v>1.14853630747357E6</c:v>
                </c:pt>
                <c:pt idx="2">
                  <c:v>2.76788250083795E6</c:v>
                </c:pt>
                <c:pt idx="3">
                  <c:v>3.12494204286781E6</c:v>
                </c:pt>
                <c:pt idx="4">
                  <c:v>3.26803747081755E6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4234656"/>
        <c:axId val="1404725424"/>
      </c:lineChart>
      <c:lineChart>
        <c:grouping val="standard"/>
        <c:varyColors val="0"/>
        <c:ser>
          <c:idx val="1"/>
          <c:order val="1"/>
          <c:tx>
            <c:strRef>
              <c:f>'Pessimist Scenario'!$A$124</c:f>
              <c:strCache>
                <c:ptCount val="1"/>
                <c:pt idx="0">
                  <c:v>Break-Even Point (days)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'Pessimist Scenario'!$B$124:$F$124</c:f>
              <c:numCache>
                <c:formatCode>#,##0</c:formatCode>
                <c:ptCount val="5"/>
                <c:pt idx="0">
                  <c:v>505.4138689336845</c:v>
                </c:pt>
                <c:pt idx="1">
                  <c:v>165.9055262739582</c:v>
                </c:pt>
                <c:pt idx="2">
                  <c:v>189.137656843484</c:v>
                </c:pt>
                <c:pt idx="3">
                  <c:v>197.6585436164788</c:v>
                </c:pt>
                <c:pt idx="4">
                  <c:v>180.044485618447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4120896"/>
        <c:axId val="1404230912"/>
      </c:lineChart>
      <c:catAx>
        <c:axId val="140423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04725424"/>
        <c:crosses val="autoZero"/>
        <c:auto val="1"/>
        <c:lblAlgn val="ctr"/>
        <c:lblOffset val="100"/>
        <c:noMultiLvlLbl val="0"/>
      </c:catAx>
      <c:valAx>
        <c:axId val="1404725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04234656"/>
        <c:crosses val="autoZero"/>
        <c:crossBetween val="between"/>
      </c:valAx>
      <c:valAx>
        <c:axId val="1404230912"/>
        <c:scaling>
          <c:orientation val="minMax"/>
        </c:scaling>
        <c:delete val="0"/>
        <c:axPos val="r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04120896"/>
        <c:crosses val="max"/>
        <c:crossBetween val="between"/>
      </c:valAx>
      <c:catAx>
        <c:axId val="1404120896"/>
        <c:scaling>
          <c:orientation val="minMax"/>
        </c:scaling>
        <c:delete val="1"/>
        <c:axPos val="b"/>
        <c:majorTickMark val="out"/>
        <c:minorTickMark val="none"/>
        <c:tickLblPos val="nextTo"/>
        <c:crossAx val="14042309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'Pessimist Scenario'!$A$155</c:f>
              <c:strCache>
                <c:ptCount val="1"/>
                <c:pt idx="0">
                  <c:v>Current Ratio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0472222222222222"/>
                  <c:y val="-0.06481481481481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'Pessimist Scenario'!$B$152:$F$152</c:f>
              <c:numCache>
                <c:formatCode>General</c:formatCode>
                <c:ptCount val="5"/>
                <c:pt idx="0">
                  <c:v>2018.0</c:v>
                </c:pt>
                <c:pt idx="1">
                  <c:v>2019.0</c:v>
                </c:pt>
                <c:pt idx="2">
                  <c:v>2020.0</c:v>
                </c:pt>
                <c:pt idx="3">
                  <c:v>2021.0</c:v>
                </c:pt>
                <c:pt idx="4">
                  <c:v>2022.0</c:v>
                </c:pt>
              </c:numCache>
            </c:numRef>
          </c:cat>
          <c:val>
            <c:numRef>
              <c:f>'Pessimist Scenario'!$B$155:$F$155</c:f>
              <c:numCache>
                <c:formatCode>#,##0.00</c:formatCode>
                <c:ptCount val="5"/>
                <c:pt idx="0">
                  <c:v>2.279413356716789</c:v>
                </c:pt>
                <c:pt idx="1">
                  <c:v>2.195775859646392</c:v>
                </c:pt>
                <c:pt idx="2">
                  <c:v>2.32561256404275</c:v>
                </c:pt>
                <c:pt idx="3">
                  <c:v>2.337766691126916</c:v>
                </c:pt>
                <c:pt idx="4">
                  <c:v>2.652588944404329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7401936"/>
        <c:axId val="977404256"/>
      </c:lineChart>
      <c:catAx>
        <c:axId val="97740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77404256"/>
        <c:crosses val="autoZero"/>
        <c:auto val="1"/>
        <c:lblAlgn val="ctr"/>
        <c:lblOffset val="100"/>
        <c:noMultiLvlLbl val="0"/>
      </c:catAx>
      <c:valAx>
        <c:axId val="977404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77401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'Pessimist Scenario'!$A$157</c:f>
              <c:strCache>
                <c:ptCount val="1"/>
                <c:pt idx="0">
                  <c:v>Debt Ratio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0.0138888888888889"/>
                  <c:y val="-0.08796296296296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0222222222222222"/>
                  <c:y val="-0.07870370370370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0277777777777777"/>
                  <c:y val="-0.07870370370370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'Pessimist Scenario'!$B$152:$G$152</c:f>
              <c:numCache>
                <c:formatCode>General</c:formatCode>
                <c:ptCount val="6"/>
                <c:pt idx="0">
                  <c:v>2018.0</c:v>
                </c:pt>
                <c:pt idx="1">
                  <c:v>2019.0</c:v>
                </c:pt>
                <c:pt idx="2">
                  <c:v>2020.0</c:v>
                </c:pt>
                <c:pt idx="3">
                  <c:v>2021.0</c:v>
                </c:pt>
                <c:pt idx="4">
                  <c:v>2022.0</c:v>
                </c:pt>
              </c:numCache>
            </c:numRef>
          </c:cat>
          <c:val>
            <c:numRef>
              <c:f>'Pessimist Scenario'!$B$157:$F$157</c:f>
              <c:numCache>
                <c:formatCode>0%</c:formatCode>
                <c:ptCount val="5"/>
                <c:pt idx="0">
                  <c:v>0.94252892226507</c:v>
                </c:pt>
                <c:pt idx="1">
                  <c:v>0.863742351710364</c:v>
                </c:pt>
                <c:pt idx="2">
                  <c:v>0.850981967732022</c:v>
                </c:pt>
                <c:pt idx="3">
                  <c:v>0.753173769965458</c:v>
                </c:pt>
                <c:pt idx="4">
                  <c:v>0.687759246613404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4218688"/>
        <c:axId val="978211552"/>
      </c:lineChart>
      <c:catAx>
        <c:axId val="140421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78211552"/>
        <c:crosses val="autoZero"/>
        <c:auto val="1"/>
        <c:lblAlgn val="ctr"/>
        <c:lblOffset val="100"/>
        <c:noMultiLvlLbl val="0"/>
      </c:catAx>
      <c:valAx>
        <c:axId val="9782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04218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'Pessimist Scenario'!$A$158</c:f>
              <c:strCache>
                <c:ptCount val="1"/>
                <c:pt idx="0">
                  <c:v>Return on sale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0555555555555556"/>
                  <c:y val="0.06018518518518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0555555555555555"/>
                  <c:y val="-0.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0583333333333333"/>
                  <c:y val="-0.0879629629629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0694444444444443"/>
                  <c:y val="-0.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0666666666666667"/>
                  <c:y val="-0.07870370370370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'Pessimist Scenario'!$B$152:$F$152</c:f>
              <c:numCache>
                <c:formatCode>General</c:formatCode>
                <c:ptCount val="5"/>
                <c:pt idx="0">
                  <c:v>2018.0</c:v>
                </c:pt>
                <c:pt idx="1">
                  <c:v>2019.0</c:v>
                </c:pt>
                <c:pt idx="2">
                  <c:v>2020.0</c:v>
                </c:pt>
                <c:pt idx="3">
                  <c:v>2021.0</c:v>
                </c:pt>
                <c:pt idx="4">
                  <c:v>2022.0</c:v>
                </c:pt>
              </c:numCache>
            </c:numRef>
          </c:cat>
          <c:val>
            <c:numRef>
              <c:f>'Pessimist Scenario'!$B$158:$F$158</c:f>
              <c:numCache>
                <c:formatCode>0%</c:formatCode>
                <c:ptCount val="5"/>
                <c:pt idx="0">
                  <c:v>-0.00856274350689268</c:v>
                </c:pt>
                <c:pt idx="1">
                  <c:v>0.0797351740697049</c:v>
                </c:pt>
                <c:pt idx="2">
                  <c:v>0.0598959156872273</c:v>
                </c:pt>
                <c:pt idx="3">
                  <c:v>0.0688158643185685</c:v>
                </c:pt>
                <c:pt idx="4">
                  <c:v>0.0850080243443733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303280"/>
        <c:axId val="1485383360"/>
      </c:lineChart>
      <c:catAx>
        <c:axId val="978303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85383360"/>
        <c:crosses val="autoZero"/>
        <c:auto val="1"/>
        <c:lblAlgn val="ctr"/>
        <c:lblOffset val="100"/>
        <c:noMultiLvlLbl val="0"/>
      </c:catAx>
      <c:valAx>
        <c:axId val="1485383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78303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'Pessimist Scenario'!$A$159</c:f>
              <c:strCache>
                <c:ptCount val="1"/>
                <c:pt idx="0">
                  <c:v>Return on equity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1"/>
                  <c:y val="-0.06944444444444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0972222222222223"/>
                  <c:y val="-0.05555555555555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075"/>
                  <c:y val="-0.06018518518518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0694444444444444"/>
                  <c:y val="-0.07407407407407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0499999999999999"/>
                  <c:y val="-0.08333333333333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'Pessimist Scenario'!$B$152:$F$152</c:f>
              <c:numCache>
                <c:formatCode>General</c:formatCode>
                <c:ptCount val="5"/>
                <c:pt idx="0">
                  <c:v>2018.0</c:v>
                </c:pt>
                <c:pt idx="1">
                  <c:v>2019.0</c:v>
                </c:pt>
                <c:pt idx="2">
                  <c:v>2020.0</c:v>
                </c:pt>
                <c:pt idx="3">
                  <c:v>2021.0</c:v>
                </c:pt>
                <c:pt idx="4">
                  <c:v>2022.0</c:v>
                </c:pt>
              </c:numCache>
            </c:numRef>
          </c:cat>
          <c:val>
            <c:numRef>
              <c:f>'Pessimist Scenario'!$B$159:$F$159</c:f>
              <c:numCache>
                <c:formatCode>0.00</c:formatCode>
                <c:ptCount val="5"/>
                <c:pt idx="0">
                  <c:v>-0.17410712</c:v>
                </c:pt>
                <c:pt idx="1">
                  <c:v>6.623919850666667</c:v>
                </c:pt>
                <c:pt idx="2">
                  <c:v>10.51836168444445</c:v>
                </c:pt>
                <c:pt idx="3">
                  <c:v>13.05558062044445</c:v>
                </c:pt>
                <c:pt idx="4">
                  <c:v>18.51605115857778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7921488"/>
        <c:axId val="977901824"/>
      </c:lineChart>
      <c:catAx>
        <c:axId val="977921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77901824"/>
        <c:crosses val="autoZero"/>
        <c:auto val="1"/>
        <c:lblAlgn val="ctr"/>
        <c:lblOffset val="100"/>
        <c:noMultiLvlLbl val="0"/>
      </c:catAx>
      <c:valAx>
        <c:axId val="977901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7792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Administrative</a:t>
            </a:r>
            <a:r>
              <a:rPr lang="fr-FR" baseline="0"/>
              <a:t> expenses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2018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'Average Scenario'!$A$102:$A$106</c:f>
              <c:strCache>
                <c:ptCount val="5"/>
                <c:pt idx="0">
                  <c:v>Rent of building</c:v>
                </c:pt>
                <c:pt idx="1">
                  <c:v>Other administrative costs</c:v>
                </c:pt>
                <c:pt idx="2">
                  <c:v>Salaries</c:v>
                </c:pt>
                <c:pt idx="3">
                  <c:v>Payroll taxes</c:v>
                </c:pt>
                <c:pt idx="4">
                  <c:v>Other Taxes</c:v>
                </c:pt>
              </c:strCache>
            </c:strRef>
          </c:cat>
          <c:val>
            <c:numRef>
              <c:f>'Average Scenario'!$B$102:$B$106</c:f>
              <c:numCache>
                <c:formatCode>#,##0\ "€"</c:formatCode>
                <c:ptCount val="5"/>
                <c:pt idx="0">
                  <c:v>6000.0</c:v>
                </c:pt>
                <c:pt idx="1">
                  <c:v>900.0</c:v>
                </c:pt>
                <c:pt idx="2">
                  <c:v>17763.24</c:v>
                </c:pt>
                <c:pt idx="3">
                  <c:v>11368.4736</c:v>
                </c:pt>
                <c:pt idx="4">
                  <c:v>4612.5</c:v>
                </c:pt>
              </c:numCache>
            </c:numRef>
          </c:val>
        </c:ser>
        <c:ser>
          <c:idx val="1"/>
          <c:order val="1"/>
          <c:tx>
            <c:v>2019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'Average Scenario'!$A$102:$A$106</c:f>
              <c:strCache>
                <c:ptCount val="5"/>
                <c:pt idx="0">
                  <c:v>Rent of building</c:v>
                </c:pt>
                <c:pt idx="1">
                  <c:v>Other administrative costs</c:v>
                </c:pt>
                <c:pt idx="2">
                  <c:v>Salaries</c:v>
                </c:pt>
                <c:pt idx="3">
                  <c:v>Payroll taxes</c:v>
                </c:pt>
                <c:pt idx="4">
                  <c:v>Other Taxes</c:v>
                </c:pt>
              </c:strCache>
            </c:strRef>
          </c:cat>
          <c:val>
            <c:numRef>
              <c:f>'Average Scenario'!$D$102:$D$106</c:f>
              <c:numCache>
                <c:formatCode>#,##0\ "€"</c:formatCode>
                <c:ptCount val="5"/>
                <c:pt idx="0">
                  <c:v>12000.0</c:v>
                </c:pt>
                <c:pt idx="1">
                  <c:v>1700.0</c:v>
                </c:pt>
                <c:pt idx="2">
                  <c:v>71052.96</c:v>
                </c:pt>
                <c:pt idx="3">
                  <c:v>45473.8944</c:v>
                </c:pt>
                <c:pt idx="4">
                  <c:v>40590.00000000001</c:v>
                </c:pt>
              </c:numCache>
            </c:numRef>
          </c:val>
        </c:ser>
        <c:ser>
          <c:idx val="2"/>
          <c:order val="2"/>
          <c:tx>
            <c:v>2020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'Average Scenario'!$A$102:$A$106</c:f>
              <c:strCache>
                <c:ptCount val="5"/>
                <c:pt idx="0">
                  <c:v>Rent of building</c:v>
                </c:pt>
                <c:pt idx="1">
                  <c:v>Other administrative costs</c:v>
                </c:pt>
                <c:pt idx="2">
                  <c:v>Salaries</c:v>
                </c:pt>
                <c:pt idx="3">
                  <c:v>Payroll taxes</c:v>
                </c:pt>
                <c:pt idx="4">
                  <c:v>Other Taxes</c:v>
                </c:pt>
              </c:strCache>
            </c:strRef>
          </c:cat>
          <c:val>
            <c:numRef>
              <c:f>'Average Scenario'!$F$102:$F$106</c:f>
              <c:numCache>
                <c:formatCode>#,##0\ "€"</c:formatCode>
                <c:ptCount val="5"/>
                <c:pt idx="0">
                  <c:v>36000.0</c:v>
                </c:pt>
                <c:pt idx="1">
                  <c:v>5100.0</c:v>
                </c:pt>
                <c:pt idx="2">
                  <c:v>266448.6</c:v>
                </c:pt>
                <c:pt idx="3">
                  <c:v>170527.104</c:v>
                </c:pt>
                <c:pt idx="4">
                  <c:v>107625</c:v>
                </c:pt>
              </c:numCache>
            </c:numRef>
          </c:val>
        </c:ser>
        <c:ser>
          <c:idx val="3"/>
          <c:order val="3"/>
          <c:tx>
            <c:v>2021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'Average Scenario'!$A$102:$A$106</c:f>
              <c:strCache>
                <c:ptCount val="5"/>
                <c:pt idx="0">
                  <c:v>Rent of building</c:v>
                </c:pt>
                <c:pt idx="1">
                  <c:v>Other administrative costs</c:v>
                </c:pt>
                <c:pt idx="2">
                  <c:v>Salaries</c:v>
                </c:pt>
                <c:pt idx="3">
                  <c:v>Payroll taxes</c:v>
                </c:pt>
                <c:pt idx="4">
                  <c:v>Other Taxes</c:v>
                </c:pt>
              </c:strCache>
            </c:strRef>
          </c:cat>
          <c:val>
            <c:numRef>
              <c:f>'Average Scenario'!$H$102:$H$106</c:f>
              <c:numCache>
                <c:formatCode>#,##0\ "€"</c:formatCode>
                <c:ptCount val="5"/>
                <c:pt idx="0">
                  <c:v>36000.0</c:v>
                </c:pt>
                <c:pt idx="1">
                  <c:v>5400.0</c:v>
                </c:pt>
                <c:pt idx="2">
                  <c:v>373028.04</c:v>
                </c:pt>
                <c:pt idx="3">
                  <c:v>238737.9456</c:v>
                </c:pt>
                <c:pt idx="4">
                  <c:v>87945.00000000001</c:v>
                </c:pt>
              </c:numCache>
            </c:numRef>
          </c:val>
        </c:ser>
        <c:ser>
          <c:idx val="4"/>
          <c:order val="4"/>
          <c:tx>
            <c:v>2022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'Average Scenario'!$A$102:$A$106</c:f>
              <c:strCache>
                <c:ptCount val="5"/>
                <c:pt idx="0">
                  <c:v>Rent of building</c:v>
                </c:pt>
                <c:pt idx="1">
                  <c:v>Other administrative costs</c:v>
                </c:pt>
                <c:pt idx="2">
                  <c:v>Salaries</c:v>
                </c:pt>
                <c:pt idx="3">
                  <c:v>Payroll taxes</c:v>
                </c:pt>
                <c:pt idx="4">
                  <c:v>Other Taxes</c:v>
                </c:pt>
              </c:strCache>
            </c:strRef>
          </c:cat>
          <c:val>
            <c:numRef>
              <c:f>'Average Scenario'!$J$102:$J$106</c:f>
              <c:numCache>
                <c:formatCode>#,##0\ "€"</c:formatCode>
                <c:ptCount val="5"/>
                <c:pt idx="0">
                  <c:v>36000.0</c:v>
                </c:pt>
                <c:pt idx="1">
                  <c:v>5500.0</c:v>
                </c:pt>
                <c:pt idx="2">
                  <c:v>426317.76</c:v>
                </c:pt>
                <c:pt idx="3">
                  <c:v>272843.3664</c:v>
                </c:pt>
                <c:pt idx="4">
                  <c:v>98092.50000000001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3106528"/>
        <c:axId val="1247734240"/>
      </c:barChart>
      <c:catAx>
        <c:axId val="1423106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7734240"/>
        <c:crosses val="autoZero"/>
        <c:auto val="1"/>
        <c:lblAlgn val="ctr"/>
        <c:lblOffset val="100"/>
        <c:noMultiLvlLbl val="0"/>
      </c:catAx>
      <c:valAx>
        <c:axId val="1247734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2310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</a:t>
            </a:r>
            <a:r>
              <a:rPr lang="fr-FR" baseline="0"/>
              <a:t> and type of revenue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'Pessimist Scenario'!$A$94</c:f>
              <c:strCache>
                <c:ptCount val="1"/>
                <c:pt idx="0">
                  <c:v>Fixed revenue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('Pessimist Scenario'!$C$94,'Pessimist Scenario'!$E$94,'Pessimist Scenario'!$G$94,'Pessimist Scenario'!$I$94,'Pessimist Scenario'!$K$94)</c:f>
              <c:numCache>
                <c:formatCode>0.0%</c:formatCode>
                <c:ptCount val="5"/>
                <c:pt idx="0">
                  <c:v>0.967879959278221</c:v>
                </c:pt>
                <c:pt idx="1">
                  <c:v>0.947588896646363</c:v>
                </c:pt>
                <c:pt idx="2">
                  <c:v>0.933884046527166</c:v>
                </c:pt>
                <c:pt idx="3">
                  <c:v>0.899020438799563</c:v>
                </c:pt>
                <c:pt idx="4">
                  <c:v>0.873400403399822</c:v>
                </c:pt>
              </c:numCache>
            </c:numRef>
          </c:val>
        </c:ser>
        <c:ser>
          <c:idx val="1"/>
          <c:order val="1"/>
          <c:tx>
            <c:strRef>
              <c:f>'Pessimist Scenario'!$A$96</c:f>
              <c:strCache>
                <c:ptCount val="1"/>
                <c:pt idx="0">
                  <c:v>Variable 20% revenue E-Cart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0222222222222222"/>
                  <c:y val="-0.013888888888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0222222222222222"/>
                  <c:y val="-0.013888888888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0194444444444444"/>
                  <c:y val="-0.0092592592592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0333333333333332"/>
                  <c:y val="-0.004629629629629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0333333333333333"/>
                  <c:y val="-8.4875562720133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('Pessimist Scenario'!$C$96,'Pessimist Scenario'!$E$96,'Pessimist Scenario'!$G$96,'Pessimist Scenario'!$I$96,'Pessimist Scenario'!$K$96)</c:f>
              <c:numCache>
                <c:formatCode>0.0%</c:formatCode>
                <c:ptCount val="5"/>
                <c:pt idx="0">
                  <c:v>0.0321200407217788</c:v>
                </c:pt>
                <c:pt idx="1">
                  <c:v>0.0524111033536365</c:v>
                </c:pt>
                <c:pt idx="2">
                  <c:v>0.0661159534728338</c:v>
                </c:pt>
                <c:pt idx="3">
                  <c:v>0.100979561200437</c:v>
                </c:pt>
                <c:pt idx="4">
                  <c:v>0.126599596600178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7994352"/>
        <c:axId val="977996400"/>
      </c:barChart>
      <c:catAx>
        <c:axId val="9779943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77996400"/>
        <c:crosses val="autoZero"/>
        <c:auto val="1"/>
        <c:lblAlgn val="ctr"/>
        <c:lblOffset val="100"/>
        <c:noMultiLvlLbl val="0"/>
      </c:catAx>
      <c:valAx>
        <c:axId val="977996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77994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revenue and Net income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'Average Scenario'!$A$96</c:f>
              <c:strCache>
                <c:ptCount val="1"/>
                <c:pt idx="0">
                  <c:v>Revenue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('Average Scenario'!$B$92,'Average Scenario'!$D$92,'Average Scenario'!$F$92,'Average Scenario'!$H$92,'Average Scenario'!$J$92)</c:f>
              <c:numCache>
                <c:formatCode>General</c:formatCode>
                <c:ptCount val="5"/>
                <c:pt idx="0">
                  <c:v>2018.0</c:v>
                </c:pt>
                <c:pt idx="1">
                  <c:v>2019.0</c:v>
                </c:pt>
                <c:pt idx="2">
                  <c:v>2020.0</c:v>
                </c:pt>
                <c:pt idx="3">
                  <c:v>2021.0</c:v>
                </c:pt>
                <c:pt idx="4">
                  <c:v>2022.0</c:v>
                </c:pt>
              </c:numCache>
            </c:numRef>
          </c:cat>
          <c:val>
            <c:numRef>
              <c:f>('Average Scenario'!$B$96,'Average Scenario'!$D$96,'Average Scenario'!$F$96,'Average Scenario'!$H$96,'Average Scenario'!$J$96)</c:f>
              <c:numCache>
                <c:formatCode>#,##0\ "€"</c:formatCode>
                <c:ptCount val="5"/>
                <c:pt idx="0">
                  <c:v>961686.0</c:v>
                </c:pt>
                <c:pt idx="1">
                  <c:v>3.95124E6</c:v>
                </c:pt>
                <c:pt idx="2">
                  <c:v>8.38414E6</c:v>
                </c:pt>
                <c:pt idx="3">
                  <c:v>9.144456E6</c:v>
                </c:pt>
                <c:pt idx="4">
                  <c:v>1.057202E7</c:v>
                </c:pt>
              </c:numCache>
            </c:numRef>
          </c:val>
        </c:ser>
        <c:ser>
          <c:idx val="1"/>
          <c:order val="1"/>
          <c:tx>
            <c:strRef>
              <c:f>'Average Scenario'!$A$115</c:f>
              <c:strCache>
                <c:ptCount val="1"/>
                <c:pt idx="0">
                  <c:v>Net income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0279898218829516"/>
                  <c:y val="0.009111976037163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0330788804071246"/>
                  <c:y val="0.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0356234096692112"/>
                  <c:y val="0.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0381679389312977"/>
                  <c:y val="0.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030176113481998"/>
                  <c:y val="-7.38973687514573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('Average Scenario'!$B$92,'Average Scenario'!$D$92,'Average Scenario'!$F$92,'Average Scenario'!$H$92,'Average Scenario'!$J$92)</c:f>
              <c:numCache>
                <c:formatCode>General</c:formatCode>
                <c:ptCount val="5"/>
                <c:pt idx="0">
                  <c:v>2018.0</c:v>
                </c:pt>
                <c:pt idx="1">
                  <c:v>2019.0</c:v>
                </c:pt>
                <c:pt idx="2">
                  <c:v>2020.0</c:v>
                </c:pt>
                <c:pt idx="3">
                  <c:v>2021.0</c:v>
                </c:pt>
                <c:pt idx="4">
                  <c:v>2022.0</c:v>
                </c:pt>
              </c:numCache>
            </c:numRef>
          </c:cat>
          <c:val>
            <c:numRef>
              <c:f>('Average Scenario'!$B$115,'Average Scenario'!$D$115,'Average Scenario'!$F$115,'Average Scenario'!$H$115,'Average Scenario'!$J$115)</c:f>
              <c:numCache>
                <c:formatCode>#,##0\ "€"</c:formatCode>
                <c:ptCount val="5"/>
                <c:pt idx="0">
                  <c:v>69166.50048000001</c:v>
                </c:pt>
                <c:pt idx="1">
                  <c:v>416970.41552</c:v>
                </c:pt>
                <c:pt idx="2">
                  <c:v>1.06078975053333E6</c:v>
                </c:pt>
                <c:pt idx="3">
                  <c:v>1.34062367861333E6</c:v>
                </c:pt>
                <c:pt idx="4">
                  <c:v>1.76116622475733E6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05276576"/>
        <c:axId val="1405326384"/>
      </c:barChart>
      <c:catAx>
        <c:axId val="140527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05326384"/>
        <c:crosses val="autoZero"/>
        <c:auto val="1"/>
        <c:lblAlgn val="ctr"/>
        <c:lblOffset val="100"/>
        <c:noMultiLvlLbl val="0"/>
      </c:catAx>
      <c:valAx>
        <c:axId val="140532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0527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Cash Balance evolution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'Average Scenario'!$A$126</c:f>
              <c:strCache>
                <c:ptCount val="1"/>
                <c:pt idx="0">
                  <c:v>Working Capital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'Average Scenario'!$B$125:$G$125</c:f>
              <c:strCache>
                <c:ptCount val="6"/>
                <c:pt idx="0">
                  <c:v>Initial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strCache>
            </c:strRef>
          </c:cat>
          <c:val>
            <c:numRef>
              <c:f>'Average Scenario'!$B$126:$G$126</c:f>
              <c:numCache>
                <c:formatCode>#,##0\ "€"</c:formatCode>
                <c:ptCount val="6"/>
                <c:pt idx="0">
                  <c:v>291987.5</c:v>
                </c:pt>
                <c:pt idx="1">
                  <c:v>379923.00096</c:v>
                </c:pt>
                <c:pt idx="2">
                  <c:v>1.177713416E6</c:v>
                </c:pt>
                <c:pt idx="3">
                  <c:v>2.1747523332E6</c:v>
                </c:pt>
                <c:pt idx="4">
                  <c:v>3.30590517848E6</c:v>
                </c:pt>
                <c:pt idx="5">
                  <c:v>4.857600569904E6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'Average Scenario'!$A$127</c:f>
              <c:strCache>
                <c:ptCount val="1"/>
                <c:pt idx="0">
                  <c:v>Working Capital Need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'Average Scenario'!$B$125:$G$125</c:f>
              <c:strCache>
                <c:ptCount val="6"/>
                <c:pt idx="0">
                  <c:v>Initial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strCache>
            </c:strRef>
          </c:cat>
          <c:val>
            <c:numRef>
              <c:f>'Average Scenario'!$B$127:$G$127</c:f>
              <c:numCache>
                <c:formatCode>#,##0\ "€"</c:formatCode>
                <c:ptCount val="6"/>
                <c:pt idx="0">
                  <c:v>-181234.0</c:v>
                </c:pt>
                <c:pt idx="1">
                  <c:v>49006.125</c:v>
                </c:pt>
                <c:pt idx="2">
                  <c:v>202887.5</c:v>
                </c:pt>
                <c:pt idx="3">
                  <c:v>433459.5833333332</c:v>
                </c:pt>
                <c:pt idx="4">
                  <c:v>488209.25</c:v>
                </c:pt>
                <c:pt idx="5">
                  <c:v>575577.2916666665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'Average Scenario'!$A$128</c:f>
              <c:strCache>
                <c:ptCount val="1"/>
                <c:pt idx="0">
                  <c:v>Cash Balance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'Average Scenario'!$B$125:$G$125</c:f>
              <c:strCache>
                <c:ptCount val="6"/>
                <c:pt idx="0">
                  <c:v>Initial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strCache>
            </c:strRef>
          </c:cat>
          <c:val>
            <c:numRef>
              <c:f>'Average Scenario'!$B$128:$G$128</c:f>
              <c:numCache>
                <c:formatCode>#,##0\ "€"</c:formatCode>
                <c:ptCount val="6"/>
                <c:pt idx="0">
                  <c:v>473221.5</c:v>
                </c:pt>
                <c:pt idx="1">
                  <c:v>330916.87596</c:v>
                </c:pt>
                <c:pt idx="2">
                  <c:v>974825.9160000002</c:v>
                </c:pt>
                <c:pt idx="3">
                  <c:v>1.74129274986667E6</c:v>
                </c:pt>
                <c:pt idx="4">
                  <c:v>2.81769592848E6</c:v>
                </c:pt>
                <c:pt idx="5">
                  <c:v>4.28202327823733E6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6309968"/>
        <c:axId val="1405606528"/>
      </c:lineChart>
      <c:catAx>
        <c:axId val="102630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05606528"/>
        <c:crosses val="autoZero"/>
        <c:auto val="1"/>
        <c:lblAlgn val="ctr"/>
        <c:lblOffset val="100"/>
        <c:noMultiLvlLbl val="0"/>
      </c:catAx>
      <c:valAx>
        <c:axId val="140560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26309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'Average Scenario'!$A$122</c:f>
              <c:strCache>
                <c:ptCount val="1"/>
                <c:pt idx="0">
                  <c:v>Break-Even Point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'Average Scenario'!$B$118:$F$118</c:f>
              <c:numCache>
                <c:formatCode>General</c:formatCode>
                <c:ptCount val="5"/>
                <c:pt idx="0">
                  <c:v>2018.0</c:v>
                </c:pt>
                <c:pt idx="1">
                  <c:v>2019.0</c:v>
                </c:pt>
                <c:pt idx="2">
                  <c:v>2020.0</c:v>
                </c:pt>
                <c:pt idx="3">
                  <c:v>2021.0</c:v>
                </c:pt>
                <c:pt idx="4">
                  <c:v>2022.0</c:v>
                </c:pt>
              </c:numCache>
            </c:numRef>
          </c:cat>
          <c:val>
            <c:numRef>
              <c:f>'Average Scenario'!$B$122:$F$122</c:f>
              <c:numCache>
                <c:formatCode>#,##0\ "€"</c:formatCode>
                <c:ptCount val="5"/>
                <c:pt idx="0">
                  <c:v>708991.0445130497</c:v>
                </c:pt>
                <c:pt idx="1">
                  <c:v>946394.848672045</c:v>
                </c:pt>
                <c:pt idx="2">
                  <c:v>2.27738842135257E6</c:v>
                </c:pt>
                <c:pt idx="3">
                  <c:v>2.58773853393525E6</c:v>
                </c:pt>
                <c:pt idx="4">
                  <c:v>2.68880063227609E6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5140352"/>
        <c:axId val="1249453200"/>
      </c:lineChart>
      <c:lineChart>
        <c:grouping val="standard"/>
        <c:varyColors val="0"/>
        <c:ser>
          <c:idx val="1"/>
          <c:order val="1"/>
          <c:tx>
            <c:strRef>
              <c:f>'Average Scenario'!$A$123</c:f>
              <c:strCache>
                <c:ptCount val="1"/>
                <c:pt idx="0">
                  <c:v>Break-Even Point (days)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'Average Scenario'!$B$123:$F$123</c:f>
              <c:numCache>
                <c:formatCode>#,##0</c:formatCode>
                <c:ptCount val="5"/>
                <c:pt idx="0">
                  <c:v>265.4055232421995</c:v>
                </c:pt>
                <c:pt idx="1">
                  <c:v>86.22663911125019</c:v>
                </c:pt>
                <c:pt idx="2">
                  <c:v>97.78699206918361</c:v>
                </c:pt>
                <c:pt idx="3">
                  <c:v>101.8743894898386</c:v>
                </c:pt>
                <c:pt idx="4">
                  <c:v>91.55943969264075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8039008"/>
        <c:axId val="1249459264"/>
      </c:lineChart>
      <c:catAx>
        <c:axId val="1435140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9453200"/>
        <c:crosses val="autoZero"/>
        <c:auto val="1"/>
        <c:lblAlgn val="ctr"/>
        <c:lblOffset val="100"/>
        <c:noMultiLvlLbl val="0"/>
      </c:catAx>
      <c:valAx>
        <c:axId val="124945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5140352"/>
        <c:crosses val="autoZero"/>
        <c:crossBetween val="between"/>
      </c:valAx>
      <c:valAx>
        <c:axId val="1249459264"/>
        <c:scaling>
          <c:orientation val="minMax"/>
        </c:scaling>
        <c:delete val="0"/>
        <c:axPos val="r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18039008"/>
        <c:crosses val="max"/>
        <c:crossBetween val="between"/>
      </c:valAx>
      <c:catAx>
        <c:axId val="1418039008"/>
        <c:scaling>
          <c:orientation val="minMax"/>
        </c:scaling>
        <c:delete val="1"/>
        <c:axPos val="b"/>
        <c:majorTickMark val="out"/>
        <c:minorTickMark val="none"/>
        <c:tickLblPos val="nextTo"/>
        <c:crossAx val="12494592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'Average Scenario'!$A$154</c:f>
              <c:strCache>
                <c:ptCount val="1"/>
                <c:pt idx="0">
                  <c:v>Current Ratio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0472222222222222"/>
                  <c:y val="-0.06481481481481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'Average Scenario'!$B$151:$F$151</c:f>
              <c:numCache>
                <c:formatCode>General</c:formatCode>
                <c:ptCount val="5"/>
                <c:pt idx="0">
                  <c:v>2018.0</c:v>
                </c:pt>
                <c:pt idx="1">
                  <c:v>2019.0</c:v>
                </c:pt>
                <c:pt idx="2">
                  <c:v>2020.0</c:v>
                </c:pt>
                <c:pt idx="3">
                  <c:v>2021.0</c:v>
                </c:pt>
                <c:pt idx="4">
                  <c:v>2022.0</c:v>
                </c:pt>
              </c:numCache>
            </c:numRef>
          </c:cat>
          <c:val>
            <c:numRef>
              <c:f>'Average Scenario'!$B$154:$F$154</c:f>
              <c:numCache>
                <c:formatCode>#,##0.00</c:formatCode>
                <c:ptCount val="5"/>
                <c:pt idx="0">
                  <c:v>3.054922840288694</c:v>
                </c:pt>
                <c:pt idx="1">
                  <c:v>2.58853695629449</c:v>
                </c:pt>
                <c:pt idx="2">
                  <c:v>2.406269336728164</c:v>
                </c:pt>
                <c:pt idx="3">
                  <c:v>3.05805022788766</c:v>
                </c:pt>
                <c:pt idx="4">
                  <c:v>3.711207102946185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8552672"/>
        <c:axId val="1028554992"/>
      </c:lineChart>
      <c:catAx>
        <c:axId val="1028552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28554992"/>
        <c:crosses val="autoZero"/>
        <c:auto val="1"/>
        <c:lblAlgn val="ctr"/>
        <c:lblOffset val="100"/>
        <c:noMultiLvlLbl val="0"/>
      </c:catAx>
      <c:valAx>
        <c:axId val="102855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28552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'Average Scenario'!$A$156</c:f>
              <c:strCache>
                <c:ptCount val="1"/>
                <c:pt idx="0">
                  <c:v>Debt Ratio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0.0138888888888889"/>
                  <c:y val="-0.08796296296296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0222222222222222"/>
                  <c:y val="-0.07870370370370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0277777777777777"/>
                  <c:y val="-0.07870370370370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'Average Scenario'!$B$151:$G$151</c:f>
              <c:numCache>
                <c:formatCode>General</c:formatCode>
                <c:ptCount val="6"/>
                <c:pt idx="0">
                  <c:v>2018.0</c:v>
                </c:pt>
                <c:pt idx="1">
                  <c:v>2019.0</c:v>
                </c:pt>
                <c:pt idx="2">
                  <c:v>2020.0</c:v>
                </c:pt>
                <c:pt idx="3">
                  <c:v>2021.0</c:v>
                </c:pt>
                <c:pt idx="4">
                  <c:v>2022.0</c:v>
                </c:pt>
              </c:numCache>
            </c:numRef>
          </c:cat>
          <c:val>
            <c:numRef>
              <c:f>'Average Scenario'!$B$156:$F$156</c:f>
              <c:numCache>
                <c:formatCode>0%</c:formatCode>
                <c:ptCount val="5"/>
                <c:pt idx="0">
                  <c:v>0.70714869760746</c:v>
                </c:pt>
                <c:pt idx="1">
                  <c:v>0.73313785872056</c:v>
                </c:pt>
                <c:pt idx="2">
                  <c:v>0.579436365803894</c:v>
                </c:pt>
                <c:pt idx="3">
                  <c:v>0.40867264791576</c:v>
                </c:pt>
                <c:pt idx="4">
                  <c:v>0.29794065735786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7425904"/>
        <c:axId val="977367632"/>
      </c:lineChart>
      <c:catAx>
        <c:axId val="977425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77367632"/>
        <c:crosses val="autoZero"/>
        <c:auto val="1"/>
        <c:lblAlgn val="ctr"/>
        <c:lblOffset val="100"/>
        <c:noMultiLvlLbl val="0"/>
      </c:catAx>
      <c:valAx>
        <c:axId val="97736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77425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'Average Scenario'!$A$157</c:f>
              <c:strCache>
                <c:ptCount val="1"/>
                <c:pt idx="0">
                  <c:v>Return on sale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0555555555555556"/>
                  <c:y val="0.06018518518518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0555555555555555"/>
                  <c:y val="-0.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0583333333333333"/>
                  <c:y val="-0.0879629629629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0694444444444443"/>
                  <c:y val="-0.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0666666666666667"/>
                  <c:y val="-0.07870370370370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'Average Scenario'!$B$151:$F$151</c:f>
              <c:numCache>
                <c:formatCode>General</c:formatCode>
                <c:ptCount val="5"/>
                <c:pt idx="0">
                  <c:v>2018.0</c:v>
                </c:pt>
                <c:pt idx="1">
                  <c:v>2019.0</c:v>
                </c:pt>
                <c:pt idx="2">
                  <c:v>2020.0</c:v>
                </c:pt>
                <c:pt idx="3">
                  <c:v>2021.0</c:v>
                </c:pt>
                <c:pt idx="4">
                  <c:v>2022.0</c:v>
                </c:pt>
              </c:numCache>
            </c:numRef>
          </c:cat>
          <c:val>
            <c:numRef>
              <c:f>'Average Scenario'!$B$157:$F$157</c:f>
              <c:numCache>
                <c:formatCode>0%</c:formatCode>
                <c:ptCount val="5"/>
                <c:pt idx="0">
                  <c:v>0.0719221247683756</c:v>
                </c:pt>
                <c:pt idx="1">
                  <c:v>0.105529002419494</c:v>
                </c:pt>
                <c:pt idx="2">
                  <c:v>0.126523382306752</c:v>
                </c:pt>
                <c:pt idx="3">
                  <c:v>0.146605077285443</c:v>
                </c:pt>
                <c:pt idx="4">
                  <c:v>0.166587485150173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8297968"/>
        <c:axId val="980173040"/>
      </c:lineChart>
      <c:catAx>
        <c:axId val="1408297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80173040"/>
        <c:crosses val="autoZero"/>
        <c:auto val="1"/>
        <c:lblAlgn val="ctr"/>
        <c:lblOffset val="100"/>
        <c:noMultiLvlLbl val="0"/>
      </c:catAx>
      <c:valAx>
        <c:axId val="980173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08297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'Average Scenario'!$A$158</c:f>
              <c:strCache>
                <c:ptCount val="1"/>
                <c:pt idx="0">
                  <c:v>Return on equity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1"/>
                  <c:y val="-0.06944444444444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0972222222222223"/>
                  <c:y val="-0.05555555555555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075"/>
                  <c:y val="-0.06018518518518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0694444444444444"/>
                  <c:y val="-0.07407407407407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0499999999999999"/>
                  <c:y val="-0.08333333333333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'Average Scenario'!$B$151:$F$151</c:f>
              <c:numCache>
                <c:formatCode>General</c:formatCode>
                <c:ptCount val="5"/>
                <c:pt idx="0">
                  <c:v>2018.0</c:v>
                </c:pt>
                <c:pt idx="1">
                  <c:v>2019.0</c:v>
                </c:pt>
                <c:pt idx="2">
                  <c:v>2020.0</c:v>
                </c:pt>
                <c:pt idx="3">
                  <c:v>2021.0</c:v>
                </c:pt>
                <c:pt idx="4">
                  <c:v>2022.0</c:v>
                </c:pt>
              </c:numCache>
            </c:numRef>
          </c:cat>
          <c:val>
            <c:numRef>
              <c:f>'Average Scenario'!$B$158:$F$158</c:f>
              <c:numCache>
                <c:formatCode>0.00</c:formatCode>
                <c:ptCount val="5"/>
                <c:pt idx="0">
                  <c:v>2.305550016000001</c:v>
                </c:pt>
                <c:pt idx="1">
                  <c:v>13.89901385066667</c:v>
                </c:pt>
                <c:pt idx="2">
                  <c:v>35.35965835111111</c:v>
                </c:pt>
                <c:pt idx="3">
                  <c:v>44.68745595377779</c:v>
                </c:pt>
                <c:pt idx="4">
                  <c:v>58.70554082524444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134704"/>
        <c:axId val="1409137024"/>
      </c:lineChart>
      <c:catAx>
        <c:axId val="140913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09137024"/>
        <c:crosses val="autoZero"/>
        <c:auto val="1"/>
        <c:lblAlgn val="ctr"/>
        <c:lblOffset val="100"/>
        <c:noMultiLvlLbl val="0"/>
      </c:catAx>
      <c:valAx>
        <c:axId val="1409137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09134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4" Type="http://schemas.openxmlformats.org/officeDocument/2006/relationships/chart" Target="../charts/chart14.xml"/><Relationship Id="rId5" Type="http://schemas.openxmlformats.org/officeDocument/2006/relationships/chart" Target="../charts/chart15.xml"/><Relationship Id="rId6" Type="http://schemas.openxmlformats.org/officeDocument/2006/relationships/chart" Target="../charts/chart16.xml"/><Relationship Id="rId7" Type="http://schemas.openxmlformats.org/officeDocument/2006/relationships/chart" Target="../charts/chart17.xml"/><Relationship Id="rId8" Type="http://schemas.openxmlformats.org/officeDocument/2006/relationships/chart" Target="../charts/chart18.xml"/><Relationship Id="rId9" Type="http://schemas.openxmlformats.org/officeDocument/2006/relationships/chart" Target="../charts/chart19.xml"/><Relationship Id="rId10" Type="http://schemas.openxmlformats.org/officeDocument/2006/relationships/chart" Target="../charts/chart20.xml"/><Relationship Id="rId1" Type="http://schemas.openxmlformats.org/officeDocument/2006/relationships/chart" Target="../charts/chart11.xml"/><Relationship Id="rId2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558800</xdr:colOff>
      <xdr:row>97</xdr:row>
      <xdr:rowOff>6350</xdr:rowOff>
    </xdr:from>
    <xdr:to>
      <xdr:col>16</xdr:col>
      <xdr:colOff>508000</xdr:colOff>
      <xdr:row>110</xdr:row>
      <xdr:rowOff>107950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228600</xdr:colOff>
      <xdr:row>129</xdr:row>
      <xdr:rowOff>57150</xdr:rowOff>
    </xdr:from>
    <xdr:to>
      <xdr:col>16</xdr:col>
      <xdr:colOff>177800</xdr:colOff>
      <xdr:row>142</xdr:row>
      <xdr:rowOff>146050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190500</xdr:colOff>
      <xdr:row>114</xdr:row>
      <xdr:rowOff>6350</xdr:rowOff>
    </xdr:from>
    <xdr:to>
      <xdr:col>16</xdr:col>
      <xdr:colOff>558800</xdr:colOff>
      <xdr:row>127</xdr:row>
      <xdr:rowOff>101600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247650</xdr:colOff>
      <xdr:row>124</xdr:row>
      <xdr:rowOff>44450</xdr:rowOff>
    </xdr:from>
    <xdr:to>
      <xdr:col>10</xdr:col>
      <xdr:colOff>1238250</xdr:colOff>
      <xdr:row>137</xdr:row>
      <xdr:rowOff>120650</xdr:rowOff>
    </xdr:to>
    <xdr:graphicFrame macro="">
      <xdr:nvGraphicFramePr>
        <xdr:cNvPr id="9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355600</xdr:colOff>
      <xdr:row>138</xdr:row>
      <xdr:rowOff>69850</xdr:rowOff>
    </xdr:from>
    <xdr:to>
      <xdr:col>11</xdr:col>
      <xdr:colOff>101600</xdr:colOff>
      <xdr:row>151</xdr:row>
      <xdr:rowOff>146050</xdr:rowOff>
    </xdr:to>
    <xdr:graphicFrame macro="">
      <xdr:nvGraphicFramePr>
        <xdr:cNvPr id="11" name="Graphique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285750</xdr:colOff>
      <xdr:row>152</xdr:row>
      <xdr:rowOff>146050</xdr:rowOff>
    </xdr:from>
    <xdr:to>
      <xdr:col>10</xdr:col>
      <xdr:colOff>209550</xdr:colOff>
      <xdr:row>166</xdr:row>
      <xdr:rowOff>31750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146050</xdr:colOff>
      <xdr:row>158</xdr:row>
      <xdr:rowOff>146050</xdr:rowOff>
    </xdr:from>
    <xdr:to>
      <xdr:col>3</xdr:col>
      <xdr:colOff>717550</xdr:colOff>
      <xdr:row>172</xdr:row>
      <xdr:rowOff>44450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107950</xdr:colOff>
      <xdr:row>173</xdr:row>
      <xdr:rowOff>171450</xdr:rowOff>
    </xdr:from>
    <xdr:to>
      <xdr:col>3</xdr:col>
      <xdr:colOff>679450</xdr:colOff>
      <xdr:row>187</xdr:row>
      <xdr:rowOff>69850</xdr:rowOff>
    </xdr:to>
    <xdr:graphicFrame macro="">
      <xdr:nvGraphicFramePr>
        <xdr:cNvPr id="10" name="Graphique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247650</xdr:colOff>
      <xdr:row>166</xdr:row>
      <xdr:rowOff>95250</xdr:rowOff>
    </xdr:from>
    <xdr:to>
      <xdr:col>9</xdr:col>
      <xdr:colOff>387350</xdr:colOff>
      <xdr:row>179</xdr:row>
      <xdr:rowOff>196850</xdr:rowOff>
    </xdr:to>
    <xdr:graphicFrame macro="">
      <xdr:nvGraphicFramePr>
        <xdr:cNvPr id="12" name="Graphique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463550</xdr:colOff>
      <xdr:row>76</xdr:row>
      <xdr:rowOff>120650</xdr:rowOff>
    </xdr:from>
    <xdr:to>
      <xdr:col>10</xdr:col>
      <xdr:colOff>387350</xdr:colOff>
      <xdr:row>89</xdr:row>
      <xdr:rowOff>171450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558800</xdr:colOff>
      <xdr:row>98</xdr:row>
      <xdr:rowOff>6350</xdr:rowOff>
    </xdr:from>
    <xdr:to>
      <xdr:col>16</xdr:col>
      <xdr:colOff>508000</xdr:colOff>
      <xdr:row>111</xdr:row>
      <xdr:rowOff>107950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228600</xdr:colOff>
      <xdr:row>130</xdr:row>
      <xdr:rowOff>57150</xdr:rowOff>
    </xdr:from>
    <xdr:to>
      <xdr:col>16</xdr:col>
      <xdr:colOff>177800</xdr:colOff>
      <xdr:row>143</xdr:row>
      <xdr:rowOff>146050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190500</xdr:colOff>
      <xdr:row>115</xdr:row>
      <xdr:rowOff>6350</xdr:rowOff>
    </xdr:from>
    <xdr:to>
      <xdr:col>16</xdr:col>
      <xdr:colOff>558800</xdr:colOff>
      <xdr:row>128</xdr:row>
      <xdr:rowOff>101600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247650</xdr:colOff>
      <xdr:row>125</xdr:row>
      <xdr:rowOff>44450</xdr:rowOff>
    </xdr:from>
    <xdr:to>
      <xdr:col>10</xdr:col>
      <xdr:colOff>1238250</xdr:colOff>
      <xdr:row>138</xdr:row>
      <xdr:rowOff>120650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355600</xdr:colOff>
      <xdr:row>139</xdr:row>
      <xdr:rowOff>69850</xdr:rowOff>
    </xdr:from>
    <xdr:to>
      <xdr:col>11</xdr:col>
      <xdr:colOff>101600</xdr:colOff>
      <xdr:row>152</xdr:row>
      <xdr:rowOff>146050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285750</xdr:colOff>
      <xdr:row>153</xdr:row>
      <xdr:rowOff>146050</xdr:rowOff>
    </xdr:from>
    <xdr:to>
      <xdr:col>10</xdr:col>
      <xdr:colOff>209550</xdr:colOff>
      <xdr:row>167</xdr:row>
      <xdr:rowOff>31750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146050</xdr:colOff>
      <xdr:row>159</xdr:row>
      <xdr:rowOff>146050</xdr:rowOff>
    </xdr:from>
    <xdr:to>
      <xdr:col>3</xdr:col>
      <xdr:colOff>717550</xdr:colOff>
      <xdr:row>173</xdr:row>
      <xdr:rowOff>44450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107950</xdr:colOff>
      <xdr:row>174</xdr:row>
      <xdr:rowOff>171450</xdr:rowOff>
    </xdr:from>
    <xdr:to>
      <xdr:col>3</xdr:col>
      <xdr:colOff>679450</xdr:colOff>
      <xdr:row>188</xdr:row>
      <xdr:rowOff>69850</xdr:rowOff>
    </xdr:to>
    <xdr:graphicFrame macro="">
      <xdr:nvGraphicFramePr>
        <xdr:cNvPr id="9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247650</xdr:colOff>
      <xdr:row>167</xdr:row>
      <xdr:rowOff>95250</xdr:rowOff>
    </xdr:from>
    <xdr:to>
      <xdr:col>9</xdr:col>
      <xdr:colOff>387350</xdr:colOff>
      <xdr:row>180</xdr:row>
      <xdr:rowOff>196850</xdr:rowOff>
    </xdr:to>
    <xdr:graphicFrame macro="">
      <xdr:nvGraphicFramePr>
        <xdr:cNvPr id="10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463550</xdr:colOff>
      <xdr:row>77</xdr:row>
      <xdr:rowOff>120650</xdr:rowOff>
    </xdr:from>
    <xdr:to>
      <xdr:col>10</xdr:col>
      <xdr:colOff>387350</xdr:colOff>
      <xdr:row>90</xdr:row>
      <xdr:rowOff>171450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3.vml"/><Relationship Id="rId3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theme="9"/>
  </sheetPr>
  <dimension ref="A1:R158"/>
  <sheetViews>
    <sheetView workbookViewId="0">
      <selection activeCell="A96" sqref="A96"/>
    </sheetView>
  </sheetViews>
  <sheetFormatPr baseColWidth="10" defaultRowHeight="16" x14ac:dyDescent="0.2"/>
  <cols>
    <col min="1" max="1" width="28.83203125" bestFit="1" customWidth="1"/>
    <col min="2" max="2" width="12.83203125" customWidth="1"/>
    <col min="4" max="4" width="11.5" bestFit="1" customWidth="1"/>
    <col min="5" max="5" width="13.33203125" customWidth="1"/>
    <col min="6" max="6" width="12.1640625" bestFit="1" customWidth="1"/>
    <col min="7" max="7" width="14" bestFit="1" customWidth="1"/>
    <col min="8" max="8" width="20.33203125" bestFit="1" customWidth="1"/>
    <col min="9" max="9" width="11.6640625" bestFit="1" customWidth="1"/>
    <col min="10" max="10" width="15" customWidth="1"/>
    <col min="11" max="11" width="16.33203125" customWidth="1"/>
    <col min="12" max="12" width="17.33203125" customWidth="1"/>
  </cols>
  <sheetData>
    <row r="1" spans="1:11" x14ac:dyDescent="0.2">
      <c r="A1" s="31" t="s">
        <v>0</v>
      </c>
      <c r="B1" s="26">
        <v>2018</v>
      </c>
      <c r="C1" s="26">
        <v>2019</v>
      </c>
      <c r="D1" s="23">
        <v>2020</v>
      </c>
      <c r="E1" s="34">
        <v>2021</v>
      </c>
      <c r="F1" s="33">
        <v>2022</v>
      </c>
    </row>
    <row r="2" spans="1:11" x14ac:dyDescent="0.2">
      <c r="A2" s="1" t="s">
        <v>93</v>
      </c>
      <c r="B2" s="67">
        <f>SUM(B3:B4)</f>
        <v>15000</v>
      </c>
      <c r="C2" s="67">
        <f t="shared" ref="C2:F2" si="0">SUM(C3:C4)</f>
        <v>15000</v>
      </c>
      <c r="D2" s="67">
        <f t="shared" si="0"/>
        <v>35000</v>
      </c>
      <c r="E2" s="67">
        <f t="shared" si="0"/>
        <v>15000</v>
      </c>
      <c r="F2" s="70">
        <f t="shared" si="0"/>
        <v>15000</v>
      </c>
    </row>
    <row r="3" spans="1:11" x14ac:dyDescent="0.2">
      <c r="A3" s="16" t="s">
        <v>131</v>
      </c>
      <c r="B3" s="146">
        <v>10000</v>
      </c>
      <c r="C3" s="146">
        <v>10000</v>
      </c>
      <c r="D3" s="147">
        <v>20000</v>
      </c>
      <c r="E3" s="148">
        <v>10000</v>
      </c>
      <c r="F3" s="149">
        <v>10000</v>
      </c>
      <c r="K3" s="81"/>
    </row>
    <row r="4" spans="1:11" x14ac:dyDescent="0.2">
      <c r="A4" s="16" t="s">
        <v>147</v>
      </c>
      <c r="B4" s="146">
        <v>5000</v>
      </c>
      <c r="C4" s="146">
        <v>5000</v>
      </c>
      <c r="D4" s="146">
        <v>15000</v>
      </c>
      <c r="E4" s="151">
        <v>5000</v>
      </c>
      <c r="F4" s="149">
        <v>5000</v>
      </c>
      <c r="K4" s="81"/>
    </row>
    <row r="5" spans="1:11" x14ac:dyDescent="0.2">
      <c r="A5" s="47" t="s">
        <v>1</v>
      </c>
      <c r="B5" s="68">
        <f>B2</f>
        <v>15000</v>
      </c>
      <c r="C5" s="68">
        <f>C2</f>
        <v>15000</v>
      </c>
      <c r="D5" s="68">
        <f>D2</f>
        <v>35000</v>
      </c>
      <c r="E5" s="68">
        <v>20000</v>
      </c>
      <c r="F5" s="74">
        <v>20000</v>
      </c>
      <c r="K5" s="81"/>
    </row>
    <row r="6" spans="1:11" x14ac:dyDescent="0.2">
      <c r="A6" s="4" t="s">
        <v>2</v>
      </c>
      <c r="B6" s="67"/>
      <c r="C6" s="67">
        <f>B5</f>
        <v>15000</v>
      </c>
      <c r="D6" s="69">
        <f>C6+C5</f>
        <v>30000</v>
      </c>
      <c r="E6" s="69">
        <f t="shared" ref="E6:F6" si="1">D6+D5</f>
        <v>65000</v>
      </c>
      <c r="F6" s="70">
        <f t="shared" si="1"/>
        <v>85000</v>
      </c>
    </row>
    <row r="7" spans="1:11" ht="17" thickBot="1" x14ac:dyDescent="0.25">
      <c r="A7" s="32" t="s">
        <v>3</v>
      </c>
      <c r="B7" s="51">
        <f>B5</f>
        <v>15000</v>
      </c>
      <c r="C7" s="51">
        <f>B5+C5</f>
        <v>30000</v>
      </c>
      <c r="D7" s="51">
        <f>B5+C5+D5</f>
        <v>65000</v>
      </c>
      <c r="E7" s="51">
        <f>B5+C5+D5+E5</f>
        <v>85000</v>
      </c>
      <c r="F7" s="71">
        <f>B5+C5+D5+E5+F5</f>
        <v>105000</v>
      </c>
    </row>
    <row r="8" spans="1:11" ht="17" thickBot="1" x14ac:dyDescent="0.25">
      <c r="H8" s="48"/>
    </row>
    <row r="9" spans="1:11" x14ac:dyDescent="0.2">
      <c r="A9" s="31" t="s">
        <v>5</v>
      </c>
      <c r="B9" s="26">
        <v>2018</v>
      </c>
      <c r="C9" s="26">
        <v>2019</v>
      </c>
      <c r="D9" s="23">
        <v>2020</v>
      </c>
      <c r="E9" s="34">
        <v>2021</v>
      </c>
      <c r="F9" s="33">
        <v>2022</v>
      </c>
      <c r="H9" s="48"/>
    </row>
    <row r="10" spans="1:11" x14ac:dyDescent="0.2">
      <c r="A10" s="1" t="s">
        <v>40</v>
      </c>
      <c r="B10" s="67">
        <f>SUM(B11:B13)</f>
        <v>30000</v>
      </c>
      <c r="C10" s="67"/>
      <c r="D10" s="69"/>
      <c r="E10" s="144"/>
      <c r="F10" s="145"/>
    </row>
    <row r="11" spans="1:11" x14ac:dyDescent="0.2">
      <c r="A11" s="16" t="s">
        <v>41</v>
      </c>
      <c r="B11" s="146">
        <v>10000</v>
      </c>
      <c r="C11" s="146"/>
      <c r="D11" s="147"/>
      <c r="E11" s="148"/>
      <c r="F11" s="149"/>
    </row>
    <row r="12" spans="1:11" x14ac:dyDescent="0.2">
      <c r="A12" s="16" t="s">
        <v>42</v>
      </c>
      <c r="B12" s="146">
        <v>10000</v>
      </c>
      <c r="C12" s="146"/>
      <c r="D12" s="147"/>
      <c r="E12" s="148"/>
      <c r="F12" s="149"/>
    </row>
    <row r="13" spans="1:11" x14ac:dyDescent="0.2">
      <c r="A13" s="16" t="s">
        <v>43</v>
      </c>
      <c r="B13" s="150">
        <v>10000</v>
      </c>
      <c r="C13" s="146"/>
      <c r="D13" s="147"/>
      <c r="E13" s="148"/>
      <c r="F13" s="149"/>
    </row>
    <row r="14" spans="1:11" x14ac:dyDescent="0.2">
      <c r="A14" s="1" t="s">
        <v>39</v>
      </c>
      <c r="B14" s="67">
        <f>SUM(B15:B18)</f>
        <v>250000</v>
      </c>
      <c r="C14" s="67">
        <f t="shared" ref="C14:D14" si="2">SUM(C15:C18)</f>
        <v>550000</v>
      </c>
      <c r="D14" s="67">
        <f t="shared" si="2"/>
        <v>550000</v>
      </c>
      <c r="E14" s="67"/>
      <c r="F14" s="70"/>
    </row>
    <row r="15" spans="1:11" x14ac:dyDescent="0.2">
      <c r="A15" s="16" t="s">
        <v>164</v>
      </c>
      <c r="B15" s="146">
        <v>250000</v>
      </c>
      <c r="C15" s="146"/>
      <c r="D15" s="147"/>
      <c r="E15" s="148"/>
      <c r="F15" s="149"/>
    </row>
    <row r="16" spans="1:11" x14ac:dyDescent="0.2">
      <c r="A16" s="16" t="s">
        <v>165</v>
      </c>
      <c r="B16" s="146"/>
      <c r="C16" s="146">
        <v>550000</v>
      </c>
      <c r="D16" s="147"/>
      <c r="E16" s="148"/>
      <c r="F16" s="149"/>
    </row>
    <row r="17" spans="1:8" x14ac:dyDescent="0.2">
      <c r="A17" s="16" t="s">
        <v>176</v>
      </c>
      <c r="B17" s="146"/>
      <c r="C17" s="146"/>
      <c r="D17" s="147">
        <v>150000</v>
      </c>
      <c r="E17" s="148"/>
      <c r="F17" s="149"/>
    </row>
    <row r="18" spans="1:8" x14ac:dyDescent="0.2">
      <c r="A18" s="16" t="s">
        <v>162</v>
      </c>
      <c r="B18" s="146"/>
      <c r="C18" s="146"/>
      <c r="D18" s="147">
        <v>400000</v>
      </c>
      <c r="E18" s="148"/>
      <c r="F18" s="149"/>
    </row>
    <row r="19" spans="1:8" ht="17" thickBot="1" x14ac:dyDescent="0.25">
      <c r="A19" s="32" t="s">
        <v>4</v>
      </c>
      <c r="B19" s="51">
        <f>B10+B14</f>
        <v>280000</v>
      </c>
      <c r="C19" s="51">
        <f t="shared" ref="C19:D19" si="3">C10+C14</f>
        <v>550000</v>
      </c>
      <c r="D19" s="51">
        <f t="shared" si="3"/>
        <v>550000</v>
      </c>
      <c r="E19" s="51"/>
      <c r="F19" s="71"/>
    </row>
    <row r="20" spans="1:8" ht="17" thickBot="1" x14ac:dyDescent="0.25"/>
    <row r="21" spans="1:8" x14ac:dyDescent="0.2">
      <c r="A21" s="31" t="s">
        <v>166</v>
      </c>
      <c r="B21" s="26">
        <v>2018</v>
      </c>
      <c r="C21" s="26">
        <v>2019</v>
      </c>
      <c r="D21" s="23">
        <v>2020</v>
      </c>
      <c r="E21" s="34">
        <v>2021</v>
      </c>
      <c r="F21" s="33">
        <v>2022</v>
      </c>
      <c r="H21" s="162"/>
    </row>
    <row r="22" spans="1:8" x14ac:dyDescent="0.2">
      <c r="A22" s="4" t="s">
        <v>6</v>
      </c>
      <c r="B22" s="67">
        <f>((18437+61)/2)*5</f>
        <v>46245</v>
      </c>
      <c r="C22" s="67">
        <f>((19188+61)/2)*5</f>
        <v>48122.5</v>
      </c>
      <c r="D22" s="67">
        <f>((19939+61)/2)*5</f>
        <v>50000</v>
      </c>
      <c r="E22" s="67">
        <f>((20690+61)/2)*5</f>
        <v>51877.5</v>
      </c>
      <c r="F22" s="70">
        <f>((21441+61)/2)*5</f>
        <v>53755</v>
      </c>
    </row>
    <row r="23" spans="1:8" x14ac:dyDescent="0.2">
      <c r="A23" s="4" t="s">
        <v>7</v>
      </c>
      <c r="B23" s="67">
        <f>(3661/2)*5</f>
        <v>9152.5</v>
      </c>
      <c r="C23" s="67">
        <f>(2910/2)*5</f>
        <v>7275</v>
      </c>
      <c r="D23" s="67">
        <f>(2159/2)*5</f>
        <v>5397.5</v>
      </c>
      <c r="E23" s="67">
        <f>(1408/2)*5</f>
        <v>3520</v>
      </c>
      <c r="F23" s="70">
        <f>(657/2)*5</f>
        <v>1642.5</v>
      </c>
    </row>
    <row r="24" spans="1:8" x14ac:dyDescent="0.2">
      <c r="A24" s="35" t="s">
        <v>8</v>
      </c>
      <c r="B24" s="60">
        <f>B22+B23</f>
        <v>55397.5</v>
      </c>
      <c r="C24" s="60">
        <f t="shared" ref="C24:F24" si="4">C22+C23</f>
        <v>55397.5</v>
      </c>
      <c r="D24" s="61">
        <f t="shared" si="4"/>
        <v>55397.5</v>
      </c>
      <c r="E24" s="139">
        <f t="shared" si="4"/>
        <v>55397.5</v>
      </c>
      <c r="F24" s="140">
        <f t="shared" si="4"/>
        <v>55397.5</v>
      </c>
    </row>
    <row r="25" spans="1:8" ht="17" thickBot="1" x14ac:dyDescent="0.25">
      <c r="A25" s="3" t="s">
        <v>9</v>
      </c>
      <c r="B25" s="141">
        <f>(B24*5)-B24</f>
        <v>221590</v>
      </c>
      <c r="C25" s="141">
        <f>B25-C24</f>
        <v>166192.5</v>
      </c>
      <c r="D25" s="141">
        <f t="shared" ref="D25:F25" si="5">C25-D24</f>
        <v>110795</v>
      </c>
      <c r="E25" s="141">
        <f t="shared" si="5"/>
        <v>55397.5</v>
      </c>
      <c r="F25" s="142">
        <f t="shared" si="5"/>
        <v>0</v>
      </c>
    </row>
    <row r="26" spans="1:8" ht="17" thickBot="1" x14ac:dyDescent="0.25">
      <c r="A26" s="2"/>
      <c r="B26" s="143"/>
      <c r="C26" s="143"/>
      <c r="D26" s="143"/>
      <c r="E26" s="143"/>
      <c r="F26" s="143"/>
    </row>
    <row r="27" spans="1:8" x14ac:dyDescent="0.2">
      <c r="A27" s="31" t="s">
        <v>167</v>
      </c>
      <c r="B27" s="26">
        <v>2018</v>
      </c>
      <c r="C27" s="26">
        <v>2019</v>
      </c>
      <c r="D27" s="23">
        <v>2020</v>
      </c>
      <c r="E27" s="34">
        <v>2021</v>
      </c>
      <c r="F27" s="33">
        <v>2022</v>
      </c>
    </row>
    <row r="28" spans="1:8" x14ac:dyDescent="0.2">
      <c r="A28" s="4" t="s">
        <v>6</v>
      </c>
      <c r="B28" s="67"/>
      <c r="C28" s="67">
        <v>97266</v>
      </c>
      <c r="D28" s="67">
        <v>103260</v>
      </c>
      <c r="E28" s="67">
        <v>109254</v>
      </c>
      <c r="F28" s="70">
        <v>115248</v>
      </c>
    </row>
    <row r="29" spans="1:8" x14ac:dyDescent="0.2">
      <c r="A29" s="4" t="s">
        <v>7</v>
      </c>
      <c r="B29" s="67"/>
      <c r="C29" s="67">
        <v>30330</v>
      </c>
      <c r="D29" s="67">
        <v>24336</v>
      </c>
      <c r="E29" s="67">
        <v>18342</v>
      </c>
      <c r="F29" s="70">
        <v>12348</v>
      </c>
    </row>
    <row r="30" spans="1:8" x14ac:dyDescent="0.2">
      <c r="A30" s="35" t="s">
        <v>8</v>
      </c>
      <c r="B30" s="60"/>
      <c r="C30" s="60">
        <f>SUM(C28:C29)</f>
        <v>127596</v>
      </c>
      <c r="D30" s="61">
        <f>SUM(D28:D29)</f>
        <v>127596</v>
      </c>
      <c r="E30" s="61">
        <f t="shared" ref="E30:F30" si="6">SUM(E28:E29)</f>
        <v>127596</v>
      </c>
      <c r="F30" s="63">
        <f t="shared" si="6"/>
        <v>127596</v>
      </c>
    </row>
    <row r="31" spans="1:8" ht="17" thickBot="1" x14ac:dyDescent="0.25">
      <c r="A31" s="3" t="s">
        <v>9</v>
      </c>
      <c r="B31" s="141"/>
      <c r="C31" s="141">
        <f>(C30*5)-C30</f>
        <v>510384</v>
      </c>
      <c r="D31" s="141">
        <f>C31-D30</f>
        <v>382788</v>
      </c>
      <c r="E31" s="141">
        <f t="shared" ref="E31:F31" si="7">D31-E30</f>
        <v>255192</v>
      </c>
      <c r="F31" s="142">
        <f t="shared" si="7"/>
        <v>127596</v>
      </c>
    </row>
    <row r="32" spans="1:8" ht="17" thickBot="1" x14ac:dyDescent="0.25">
      <c r="A32" s="2"/>
      <c r="B32" s="143"/>
      <c r="C32" s="143"/>
      <c r="D32" s="143"/>
      <c r="E32" s="143"/>
      <c r="F32" s="143"/>
    </row>
    <row r="33" spans="1:11" x14ac:dyDescent="0.2">
      <c r="A33" s="31" t="s">
        <v>177</v>
      </c>
      <c r="B33" s="26">
        <v>2018</v>
      </c>
      <c r="C33" s="26">
        <v>2019</v>
      </c>
      <c r="D33" s="23">
        <v>2020</v>
      </c>
      <c r="E33" s="34">
        <v>2021</v>
      </c>
      <c r="F33" s="33">
        <v>2022</v>
      </c>
    </row>
    <row r="34" spans="1:11" x14ac:dyDescent="0.2">
      <c r="A34" s="4" t="s">
        <v>6</v>
      </c>
      <c r="B34" s="67"/>
      <c r="C34" s="67"/>
      <c r="D34" s="67">
        <f>SUM('Amortization Credit 3'!D2:'Amortization Credit 3'!D13)</f>
        <v>27672</v>
      </c>
      <c r="E34" s="67">
        <f>SUM('Amortization Credit 3'!D14:D25)</f>
        <v>28824</v>
      </c>
      <c r="F34" s="70">
        <f>SUM('Amortization Credit 3'!D26:D37)</f>
        <v>29976</v>
      </c>
    </row>
    <row r="35" spans="1:11" x14ac:dyDescent="0.2">
      <c r="A35" s="4" t="s">
        <v>7</v>
      </c>
      <c r="B35" s="67"/>
      <c r="C35" s="67"/>
      <c r="D35" s="67">
        <f>SUM('Amortization Credit 3'!E2:E13)</f>
        <v>5472</v>
      </c>
      <c r="E35" s="67">
        <f>SUM('Amortization Credit 3'!E14:E25)</f>
        <v>4320</v>
      </c>
      <c r="F35" s="70">
        <f>SUM('Amortization Credit 3'!E26:E37)</f>
        <v>3168</v>
      </c>
    </row>
    <row r="36" spans="1:11" x14ac:dyDescent="0.2">
      <c r="A36" s="35" t="s">
        <v>8</v>
      </c>
      <c r="B36" s="60"/>
      <c r="C36" s="60"/>
      <c r="D36" s="61">
        <f>SUM(D34:D35)</f>
        <v>33144</v>
      </c>
      <c r="E36" s="61">
        <f t="shared" ref="E36:F36" si="8">SUM(E34:E35)</f>
        <v>33144</v>
      </c>
      <c r="F36" s="63">
        <f t="shared" si="8"/>
        <v>33144</v>
      </c>
    </row>
    <row r="37" spans="1:11" ht="17" thickBot="1" x14ac:dyDescent="0.25">
      <c r="A37" s="3" t="s">
        <v>9</v>
      </c>
      <c r="B37" s="141"/>
      <c r="C37" s="141"/>
      <c r="D37" s="141">
        <f>(D36*5)-D36</f>
        <v>132576</v>
      </c>
      <c r="E37" s="141">
        <f>D37-D36</f>
        <v>99432</v>
      </c>
      <c r="F37" s="142">
        <f>E37-E36</f>
        <v>66288</v>
      </c>
    </row>
    <row r="38" spans="1:11" ht="17" thickBot="1" x14ac:dyDescent="0.25">
      <c r="A38" s="2"/>
      <c r="B38" s="143"/>
      <c r="C38" s="143"/>
      <c r="D38" s="143"/>
      <c r="E38" s="143"/>
      <c r="F38" s="143"/>
    </row>
    <row r="39" spans="1:11" x14ac:dyDescent="0.2">
      <c r="A39" s="31" t="s">
        <v>163</v>
      </c>
      <c r="B39" s="26">
        <v>2018</v>
      </c>
      <c r="C39" s="26">
        <v>2019</v>
      </c>
      <c r="D39" s="23">
        <v>2020</v>
      </c>
      <c r="E39" s="34">
        <v>2021</v>
      </c>
      <c r="F39" s="33">
        <v>2022</v>
      </c>
    </row>
    <row r="40" spans="1:11" x14ac:dyDescent="0.2">
      <c r="A40" s="4" t="s">
        <v>6</v>
      </c>
      <c r="B40" s="67"/>
      <c r="C40" s="67"/>
      <c r="D40" s="67">
        <v>400000</v>
      </c>
      <c r="E40" s="67"/>
      <c r="F40" s="70"/>
    </row>
    <row r="41" spans="1:11" x14ac:dyDescent="0.2">
      <c r="A41" s="4" t="s">
        <v>7</v>
      </c>
      <c r="B41" s="67"/>
      <c r="C41" s="67"/>
      <c r="D41" s="67">
        <f>D40*8%</f>
        <v>32000</v>
      </c>
      <c r="E41" s="67"/>
      <c r="F41" s="70"/>
    </row>
    <row r="42" spans="1:11" x14ac:dyDescent="0.2">
      <c r="A42" s="35" t="s">
        <v>8</v>
      </c>
      <c r="B42" s="60"/>
      <c r="C42" s="60"/>
      <c r="D42" s="61">
        <f>SUM(D40:D41)</f>
        <v>432000</v>
      </c>
      <c r="E42" s="61"/>
      <c r="F42" s="63"/>
    </row>
    <row r="43" spans="1:11" ht="17" thickBot="1" x14ac:dyDescent="0.25">
      <c r="A43" s="3" t="s">
        <v>9</v>
      </c>
      <c r="B43" s="141"/>
      <c r="C43" s="141"/>
      <c r="D43" s="141">
        <v>0</v>
      </c>
      <c r="E43" s="141"/>
      <c r="F43" s="142"/>
    </row>
    <row r="44" spans="1:11" ht="17" thickBot="1" x14ac:dyDescent="0.25"/>
    <row r="45" spans="1:11" x14ac:dyDescent="0.2">
      <c r="A45" s="27" t="s">
        <v>14</v>
      </c>
      <c r="B45" s="26">
        <v>2018</v>
      </c>
      <c r="C45" s="26">
        <v>2019</v>
      </c>
      <c r="D45" s="23">
        <v>2020</v>
      </c>
      <c r="E45" s="34">
        <v>2021</v>
      </c>
      <c r="F45" s="42">
        <v>2022</v>
      </c>
      <c r="G45" s="27" t="s">
        <v>16</v>
      </c>
      <c r="H45" s="30" t="s">
        <v>17</v>
      </c>
      <c r="J45" s="88" t="s">
        <v>116</v>
      </c>
      <c r="K45" s="89">
        <v>1</v>
      </c>
    </row>
    <row r="46" spans="1:11" x14ac:dyDescent="0.2">
      <c r="A46" s="15" t="s">
        <v>94</v>
      </c>
      <c r="B46" s="152">
        <f>B47</f>
        <v>17763.239999999998</v>
      </c>
      <c r="C46" s="152">
        <f t="shared" ref="C46:F46" si="9">C47</f>
        <v>71052.959999999992</v>
      </c>
      <c r="D46" s="152">
        <f t="shared" si="9"/>
        <v>213158.87999999998</v>
      </c>
      <c r="E46" s="152">
        <f t="shared" si="9"/>
        <v>319738.31999999995</v>
      </c>
      <c r="F46" s="152">
        <f t="shared" si="9"/>
        <v>373028.04</v>
      </c>
      <c r="G46" s="28">
        <v>0.22</v>
      </c>
      <c r="H46" s="6">
        <v>0.64</v>
      </c>
      <c r="J46" s="19" t="s">
        <v>117</v>
      </c>
      <c r="K46" s="90">
        <v>4</v>
      </c>
    </row>
    <row r="47" spans="1:11" x14ac:dyDescent="0.2">
      <c r="A47" s="9" t="s">
        <v>10</v>
      </c>
      <c r="B47" s="146">
        <f>1480.27*12</f>
        <v>17763.239999999998</v>
      </c>
      <c r="C47" s="146">
        <f>B47*K46</f>
        <v>71052.959999999992</v>
      </c>
      <c r="D47" s="147">
        <f>B47*K47</f>
        <v>213158.87999999998</v>
      </c>
      <c r="E47" s="148">
        <f>B47*K48</f>
        <v>319738.31999999995</v>
      </c>
      <c r="F47" s="151">
        <f>B47*K49</f>
        <v>373028.04</v>
      </c>
      <c r="G47" s="28">
        <v>0.22</v>
      </c>
      <c r="H47" s="6">
        <v>0.64</v>
      </c>
      <c r="J47" s="19" t="s">
        <v>118</v>
      </c>
      <c r="K47" s="90">
        <v>12</v>
      </c>
    </row>
    <row r="48" spans="1:11" x14ac:dyDescent="0.2">
      <c r="A48" s="4" t="s">
        <v>15</v>
      </c>
      <c r="B48" s="67">
        <f>SUM(B49:B51)</f>
        <v>0</v>
      </c>
      <c r="C48" s="67">
        <f>SUM(C49:C51)</f>
        <v>0</v>
      </c>
      <c r="D48" s="69">
        <f>SUM(D49:D51)</f>
        <v>53289.719999999994</v>
      </c>
      <c r="E48" s="144">
        <f>SUM(E49:E51)</f>
        <v>53289.719999999994</v>
      </c>
      <c r="F48" s="143">
        <f>SUM(F49:F51)</f>
        <v>53289.719999999994</v>
      </c>
      <c r="G48" s="28">
        <v>0.22</v>
      </c>
      <c r="H48" s="6">
        <v>0.64</v>
      </c>
      <c r="J48" s="19" t="s">
        <v>119</v>
      </c>
      <c r="K48" s="90">
        <v>18</v>
      </c>
    </row>
    <row r="49" spans="1:11" ht="17" thickBot="1" x14ac:dyDescent="0.25">
      <c r="A49" s="9" t="s">
        <v>106</v>
      </c>
      <c r="B49" s="146">
        <v>0</v>
      </c>
      <c r="C49" s="146">
        <v>0</v>
      </c>
      <c r="D49" s="147">
        <f>1480.27*12</f>
        <v>17763.239999999998</v>
      </c>
      <c r="E49" s="148">
        <f t="shared" ref="E49:F49" si="10">1480.27*12</f>
        <v>17763.239999999998</v>
      </c>
      <c r="F49" s="151">
        <f t="shared" si="10"/>
        <v>17763.239999999998</v>
      </c>
      <c r="G49" s="28">
        <v>0.22</v>
      </c>
      <c r="H49" s="6">
        <v>0.64</v>
      </c>
      <c r="J49" s="91" t="s">
        <v>120</v>
      </c>
      <c r="K49" s="92">
        <v>21</v>
      </c>
    </row>
    <row r="50" spans="1:11" x14ac:dyDescent="0.2">
      <c r="A50" s="9" t="s">
        <v>107</v>
      </c>
      <c r="B50" s="146">
        <v>0</v>
      </c>
      <c r="C50" s="146">
        <v>0</v>
      </c>
      <c r="D50" s="147">
        <f t="shared" ref="D50:F51" si="11">1480.27*12</f>
        <v>17763.239999999998</v>
      </c>
      <c r="E50" s="148">
        <f t="shared" si="11"/>
        <v>17763.239999999998</v>
      </c>
      <c r="F50" s="151">
        <f t="shared" si="11"/>
        <v>17763.239999999998</v>
      </c>
      <c r="G50" s="28">
        <v>0.22</v>
      </c>
      <c r="H50" s="6">
        <v>0.64</v>
      </c>
    </row>
    <row r="51" spans="1:11" ht="17" thickBot="1" x14ac:dyDescent="0.25">
      <c r="A51" s="10" t="s">
        <v>12</v>
      </c>
      <c r="B51" s="153">
        <v>0</v>
      </c>
      <c r="C51" s="153">
        <v>0</v>
      </c>
      <c r="D51" s="154">
        <f t="shared" si="11"/>
        <v>17763.239999999998</v>
      </c>
      <c r="E51" s="155">
        <f t="shared" si="11"/>
        <v>17763.239999999998</v>
      </c>
      <c r="F51" s="156">
        <f t="shared" si="11"/>
        <v>17763.239999999998</v>
      </c>
      <c r="G51" s="29">
        <v>0.22</v>
      </c>
      <c r="H51" s="7">
        <v>0.64</v>
      </c>
    </row>
    <row r="52" spans="1:11" ht="17" thickBot="1" x14ac:dyDescent="0.25">
      <c r="A52" s="10" t="s">
        <v>115</v>
      </c>
      <c r="B52" s="153">
        <f>B46+B48</f>
        <v>17763.239999999998</v>
      </c>
      <c r="C52" s="153">
        <f t="shared" ref="C52:F52" si="12">C46+C48</f>
        <v>71052.959999999992</v>
      </c>
      <c r="D52" s="153">
        <f t="shared" si="12"/>
        <v>266448.59999999998</v>
      </c>
      <c r="E52" s="153">
        <f t="shared" si="12"/>
        <v>373028.03999999992</v>
      </c>
      <c r="F52" s="153">
        <f t="shared" si="12"/>
        <v>426317.75999999995</v>
      </c>
      <c r="G52" s="29">
        <v>0.22</v>
      </c>
      <c r="H52" s="7">
        <v>0.64</v>
      </c>
    </row>
    <row r="53" spans="1:11" ht="17" thickBot="1" x14ac:dyDescent="0.25"/>
    <row r="54" spans="1:11" x14ac:dyDescent="0.2">
      <c r="A54" s="27" t="s">
        <v>13</v>
      </c>
      <c r="B54" s="26">
        <v>2018</v>
      </c>
      <c r="C54" s="26">
        <v>2019</v>
      </c>
      <c r="D54" s="23">
        <v>2020</v>
      </c>
      <c r="E54" s="34">
        <v>2021</v>
      </c>
      <c r="F54" s="33">
        <v>2022</v>
      </c>
      <c r="I54" s="5"/>
    </row>
    <row r="55" spans="1:11" x14ac:dyDescent="0.2">
      <c r="A55" s="15" t="s">
        <v>94</v>
      </c>
      <c r="B55" s="152">
        <f>B56</f>
        <v>11368.473599999999</v>
      </c>
      <c r="C55" s="152">
        <f>C56</f>
        <v>45473.894399999997</v>
      </c>
      <c r="D55" s="152">
        <f t="shared" ref="D55:F55" si="13">D56</f>
        <v>136421.6832</v>
      </c>
      <c r="E55" s="152">
        <f t="shared" si="13"/>
        <v>204632.52479999998</v>
      </c>
      <c r="F55" s="157">
        <f t="shared" si="13"/>
        <v>238737.94559999998</v>
      </c>
      <c r="I55" s="5"/>
    </row>
    <row r="56" spans="1:11" x14ac:dyDescent="0.2">
      <c r="A56" s="43" t="s">
        <v>10</v>
      </c>
      <c r="B56" s="146">
        <f>B47*$H$47</f>
        <v>11368.473599999999</v>
      </c>
      <c r="C56" s="146">
        <f>C47*$H$47</f>
        <v>45473.894399999997</v>
      </c>
      <c r="D56" s="147">
        <f t="shared" ref="D56:F56" si="14">D47*$H$47</f>
        <v>136421.6832</v>
      </c>
      <c r="E56" s="148">
        <f t="shared" si="14"/>
        <v>204632.52479999998</v>
      </c>
      <c r="F56" s="149">
        <f t="shared" si="14"/>
        <v>238737.94559999998</v>
      </c>
    </row>
    <row r="57" spans="1:11" x14ac:dyDescent="0.2">
      <c r="A57" s="4" t="s">
        <v>15</v>
      </c>
      <c r="B57" s="67">
        <f>B48*$H$47</f>
        <v>0</v>
      </c>
      <c r="C57" s="67">
        <f t="shared" ref="C57:F57" si="15">C48*$H$47</f>
        <v>0</v>
      </c>
      <c r="D57" s="69">
        <f t="shared" si="15"/>
        <v>34105.4208</v>
      </c>
      <c r="E57" s="144">
        <f t="shared" si="15"/>
        <v>34105.4208</v>
      </c>
      <c r="F57" s="145">
        <f t="shared" si="15"/>
        <v>34105.4208</v>
      </c>
    </row>
    <row r="58" spans="1:11" x14ac:dyDescent="0.2">
      <c r="A58" s="43" t="s">
        <v>11</v>
      </c>
      <c r="B58" s="146">
        <f t="shared" ref="B58:F58" si="16">B49*$H$47</f>
        <v>0</v>
      </c>
      <c r="C58" s="146">
        <f t="shared" si="16"/>
        <v>0</v>
      </c>
      <c r="D58" s="147">
        <f t="shared" si="16"/>
        <v>11368.473599999999</v>
      </c>
      <c r="E58" s="148">
        <f t="shared" si="16"/>
        <v>11368.473599999999</v>
      </c>
      <c r="F58" s="149">
        <f t="shared" si="16"/>
        <v>11368.473599999999</v>
      </c>
    </row>
    <row r="59" spans="1:11" x14ac:dyDescent="0.2">
      <c r="A59" s="43" t="s">
        <v>107</v>
      </c>
      <c r="B59" s="146">
        <f t="shared" ref="B59:F59" si="17">B50*$H$47</f>
        <v>0</v>
      </c>
      <c r="C59" s="146">
        <f t="shared" si="17"/>
        <v>0</v>
      </c>
      <c r="D59" s="147">
        <f t="shared" si="17"/>
        <v>11368.473599999999</v>
      </c>
      <c r="E59" s="148">
        <f t="shared" si="17"/>
        <v>11368.473599999999</v>
      </c>
      <c r="F59" s="149">
        <f t="shared" si="17"/>
        <v>11368.473599999999</v>
      </c>
    </row>
    <row r="60" spans="1:11" ht="17" thickBot="1" x14ac:dyDescent="0.25">
      <c r="A60" s="44" t="s">
        <v>12</v>
      </c>
      <c r="B60" s="153">
        <f>B51*$H$47</f>
        <v>0</v>
      </c>
      <c r="C60" s="153">
        <f>C51*$H$47</f>
        <v>0</v>
      </c>
      <c r="D60" s="154">
        <f>D51*$H$47</f>
        <v>11368.473599999999</v>
      </c>
      <c r="E60" s="155">
        <f>E51*$H$47</f>
        <v>11368.473599999999</v>
      </c>
      <c r="F60" s="158">
        <f>F51*$H$47</f>
        <v>11368.473599999999</v>
      </c>
    </row>
    <row r="61" spans="1:11" ht="17" thickBot="1" x14ac:dyDescent="0.25">
      <c r="A61" s="44" t="s">
        <v>115</v>
      </c>
      <c r="B61" s="153">
        <f>B55+B57</f>
        <v>11368.473599999999</v>
      </c>
      <c r="C61" s="153">
        <f t="shared" ref="C61:F61" si="18">C55+C57</f>
        <v>45473.894399999997</v>
      </c>
      <c r="D61" s="153">
        <f t="shared" si="18"/>
        <v>170527.10399999999</v>
      </c>
      <c r="E61" s="153">
        <f t="shared" si="18"/>
        <v>238737.94559999998</v>
      </c>
      <c r="F61" s="159">
        <f t="shared" si="18"/>
        <v>272843.3664</v>
      </c>
    </row>
    <row r="62" spans="1:11" ht="17" thickBot="1" x14ac:dyDescent="0.25"/>
    <row r="63" spans="1:11" x14ac:dyDescent="0.2">
      <c r="A63" s="27" t="s">
        <v>18</v>
      </c>
      <c r="B63" s="26">
        <v>2018</v>
      </c>
      <c r="C63" s="26">
        <v>2019</v>
      </c>
      <c r="D63" s="23">
        <v>2020</v>
      </c>
      <c r="E63" s="34">
        <v>2021</v>
      </c>
      <c r="F63" s="33">
        <v>2022</v>
      </c>
    </row>
    <row r="64" spans="1:11" x14ac:dyDescent="0.2">
      <c r="A64" s="8" t="s">
        <v>19</v>
      </c>
      <c r="B64" s="67">
        <f>SUM(B65:B70)</f>
        <v>288900</v>
      </c>
      <c r="C64" s="67">
        <f t="shared" ref="C64:F64" si="19">SUM(C65:C70)</f>
        <v>1153700</v>
      </c>
      <c r="D64" s="67">
        <f t="shared" si="19"/>
        <v>2405100</v>
      </c>
      <c r="E64" s="67">
        <f t="shared" si="19"/>
        <v>2501400</v>
      </c>
      <c r="F64" s="70">
        <f t="shared" si="19"/>
        <v>2789500</v>
      </c>
    </row>
    <row r="65" spans="1:8" x14ac:dyDescent="0.2">
      <c r="A65" s="9" t="s">
        <v>20</v>
      </c>
      <c r="B65" s="146">
        <f>100*Reference!F16</f>
        <v>90000</v>
      </c>
      <c r="C65" s="146">
        <f>100*Reference!F17</f>
        <v>360000</v>
      </c>
      <c r="D65" s="146">
        <f>100*Reference!F18</f>
        <v>750000</v>
      </c>
      <c r="E65" s="146">
        <f>100*Reference!F19</f>
        <v>780000</v>
      </c>
      <c r="F65" s="160">
        <f>100*Reference!F20</f>
        <v>870000</v>
      </c>
    </row>
    <row r="66" spans="1:8" x14ac:dyDescent="0.2">
      <c r="A66" s="9" t="s">
        <v>21</v>
      </c>
      <c r="B66" s="146">
        <f>20*Reference!F16</f>
        <v>18000</v>
      </c>
      <c r="C66" s="146">
        <f>20*Reference!F17</f>
        <v>72000</v>
      </c>
      <c r="D66" s="146">
        <f>20*Reference!F18</f>
        <v>150000</v>
      </c>
      <c r="E66" s="146">
        <f>20*Reference!F19</f>
        <v>156000</v>
      </c>
      <c r="F66" s="160">
        <f>20*Reference!F20</f>
        <v>174000</v>
      </c>
    </row>
    <row r="67" spans="1:8" x14ac:dyDescent="0.2">
      <c r="A67" s="9" t="s">
        <v>22</v>
      </c>
      <c r="B67" s="146">
        <f>150*Reference!F16</f>
        <v>135000</v>
      </c>
      <c r="C67" s="146">
        <f>150*Reference!F17</f>
        <v>540000</v>
      </c>
      <c r="D67" s="146">
        <f>150*Reference!F18</f>
        <v>1125000</v>
      </c>
      <c r="E67" s="146">
        <f>150*Reference!F19</f>
        <v>1170000</v>
      </c>
      <c r="F67" s="160">
        <f>150*Reference!F20</f>
        <v>1305000</v>
      </c>
    </row>
    <row r="68" spans="1:8" ht="32" x14ac:dyDescent="0.2">
      <c r="A68" s="11" t="s">
        <v>24</v>
      </c>
      <c r="B68" s="146">
        <f>50*Reference!F16</f>
        <v>45000</v>
      </c>
      <c r="C68" s="146">
        <f>50*Reference!F17</f>
        <v>180000</v>
      </c>
      <c r="D68" s="146">
        <f>50*Reference!F18</f>
        <v>375000</v>
      </c>
      <c r="E68" s="146">
        <f>50*Reference!F19</f>
        <v>390000</v>
      </c>
      <c r="F68" s="160">
        <f>50*Reference!F20</f>
        <v>435000</v>
      </c>
      <c r="H68" s="78"/>
    </row>
    <row r="69" spans="1:8" x14ac:dyDescent="0.2">
      <c r="A69" s="9" t="s">
        <v>23</v>
      </c>
      <c r="B69" s="146">
        <v>800</v>
      </c>
      <c r="C69" s="146">
        <v>1500</v>
      </c>
      <c r="D69" s="147">
        <v>4500</v>
      </c>
      <c r="E69" s="148">
        <v>4500</v>
      </c>
      <c r="F69" s="149">
        <v>4500</v>
      </c>
    </row>
    <row r="70" spans="1:8" x14ac:dyDescent="0.2">
      <c r="A70" s="9" t="s">
        <v>121</v>
      </c>
      <c r="B70" s="146">
        <v>100</v>
      </c>
      <c r="C70" s="146">
        <v>200</v>
      </c>
      <c r="D70" s="147">
        <v>600</v>
      </c>
      <c r="E70" s="148">
        <v>900</v>
      </c>
      <c r="F70" s="149">
        <v>1000</v>
      </c>
    </row>
    <row r="71" spans="1:8" x14ac:dyDescent="0.2">
      <c r="A71" s="8" t="s">
        <v>25</v>
      </c>
      <c r="B71" s="67">
        <f>SUM(B72:B79)</f>
        <v>526080</v>
      </c>
      <c r="C71" s="67">
        <f t="shared" ref="C71:F71" si="20">SUM(C72:C79)</f>
        <v>1855990</v>
      </c>
      <c r="D71" s="67">
        <f t="shared" si="20"/>
        <v>3830153.2</v>
      </c>
      <c r="E71" s="67">
        <f t="shared" si="20"/>
        <v>3980319.6639999999</v>
      </c>
      <c r="F71" s="70">
        <f t="shared" si="20"/>
        <v>4430489.4572799997</v>
      </c>
    </row>
    <row r="72" spans="1:8" ht="32" x14ac:dyDescent="0.2">
      <c r="A72" s="11" t="s">
        <v>26</v>
      </c>
      <c r="B72" s="146">
        <f>500*Reference!F16</f>
        <v>450000</v>
      </c>
      <c r="C72" s="146">
        <f>500*Reference!F17</f>
        <v>1800000</v>
      </c>
      <c r="D72" s="146">
        <f>500*Reference!F18</f>
        <v>3750000</v>
      </c>
      <c r="E72" s="146">
        <f>500*Reference!F19</f>
        <v>3900000</v>
      </c>
      <c r="F72" s="160">
        <f>500*Reference!F20</f>
        <v>4350000</v>
      </c>
    </row>
    <row r="73" spans="1:8" x14ac:dyDescent="0.2">
      <c r="A73" s="9" t="s">
        <v>27</v>
      </c>
      <c r="B73" s="146">
        <f>500*12</f>
        <v>6000</v>
      </c>
      <c r="C73" s="146">
        <f>1000*12</f>
        <v>12000</v>
      </c>
      <c r="D73" s="147">
        <f>3000*12</f>
        <v>36000</v>
      </c>
      <c r="E73" s="147">
        <f>3000*12</f>
        <v>36000</v>
      </c>
      <c r="F73" s="160">
        <f>3000*12</f>
        <v>36000</v>
      </c>
    </row>
    <row r="74" spans="1:8" x14ac:dyDescent="0.2">
      <c r="A74" s="12" t="s">
        <v>28</v>
      </c>
      <c r="B74" s="150">
        <v>300</v>
      </c>
      <c r="C74" s="150">
        <v>300</v>
      </c>
      <c r="D74" s="150">
        <v>300</v>
      </c>
      <c r="E74" s="150">
        <v>300</v>
      </c>
      <c r="F74" s="161">
        <v>300</v>
      </c>
    </row>
    <row r="75" spans="1:8" x14ac:dyDescent="0.2">
      <c r="A75" s="12" t="s">
        <v>29</v>
      </c>
      <c r="B75" s="146">
        <v>30</v>
      </c>
      <c r="C75" s="146">
        <v>30</v>
      </c>
      <c r="D75" s="146">
        <v>30</v>
      </c>
      <c r="E75" s="146">
        <v>30</v>
      </c>
      <c r="F75" s="160">
        <v>30</v>
      </c>
    </row>
    <row r="76" spans="1:8" x14ac:dyDescent="0.2">
      <c r="A76" s="12" t="s">
        <v>30</v>
      </c>
      <c r="B76" s="146">
        <v>250</v>
      </c>
      <c r="C76" s="146">
        <v>0</v>
      </c>
      <c r="D76" s="147">
        <v>0</v>
      </c>
      <c r="E76" s="148">
        <v>0</v>
      </c>
      <c r="F76" s="149">
        <v>0</v>
      </c>
    </row>
    <row r="77" spans="1:8" x14ac:dyDescent="0.2">
      <c r="A77" s="12" t="s">
        <v>31</v>
      </c>
      <c r="B77" s="146">
        <v>8000</v>
      </c>
      <c r="C77" s="146">
        <f>B77*1.02</f>
        <v>8160</v>
      </c>
      <c r="D77" s="147">
        <f t="shared" ref="D77:F77" si="21">C77*1.02</f>
        <v>8323.2000000000007</v>
      </c>
      <c r="E77" s="148">
        <f t="shared" si="21"/>
        <v>8489.6640000000007</v>
      </c>
      <c r="F77" s="149">
        <f t="shared" si="21"/>
        <v>8659.4572800000005</v>
      </c>
    </row>
    <row r="78" spans="1:8" x14ac:dyDescent="0.2">
      <c r="A78" s="12" t="s">
        <v>57</v>
      </c>
      <c r="B78" s="146">
        <v>60000</v>
      </c>
      <c r="C78" s="146">
        <v>35000</v>
      </c>
      <c r="D78" s="147">
        <v>35000</v>
      </c>
      <c r="E78" s="146">
        <v>35000</v>
      </c>
      <c r="F78" s="160">
        <v>35000</v>
      </c>
    </row>
    <row r="79" spans="1:8" x14ac:dyDescent="0.2">
      <c r="A79" s="12" t="s">
        <v>32</v>
      </c>
      <c r="B79" s="146">
        <v>1500</v>
      </c>
      <c r="C79" s="146">
        <v>500</v>
      </c>
      <c r="D79" s="147">
        <v>500</v>
      </c>
      <c r="E79" s="148">
        <v>500</v>
      </c>
      <c r="F79" s="149">
        <v>500</v>
      </c>
    </row>
    <row r="80" spans="1:8" ht="17" thickBot="1" x14ac:dyDescent="0.25">
      <c r="A80" s="36" t="s">
        <v>33</v>
      </c>
      <c r="B80" s="51">
        <f>B64+B71</f>
        <v>814980</v>
      </c>
      <c r="C80" s="51">
        <f t="shared" ref="C80:F80" si="22">C64+C71</f>
        <v>3009690</v>
      </c>
      <c r="D80" s="51">
        <f t="shared" si="22"/>
        <v>6235253.2000000002</v>
      </c>
      <c r="E80" s="51">
        <f t="shared" si="22"/>
        <v>6481719.6639999999</v>
      </c>
      <c r="F80" s="71">
        <f t="shared" si="22"/>
        <v>7219989.4572799997</v>
      </c>
    </row>
    <row r="81" spans="1:11" ht="17" thickBot="1" x14ac:dyDescent="0.25"/>
    <row r="82" spans="1:11" x14ac:dyDescent="0.2">
      <c r="A82" s="37" t="s">
        <v>34</v>
      </c>
      <c r="B82" s="23">
        <v>2018</v>
      </c>
      <c r="C82" s="26">
        <v>2019</v>
      </c>
      <c r="D82" s="23">
        <v>2020</v>
      </c>
      <c r="E82" s="34">
        <v>2021</v>
      </c>
      <c r="F82" s="33">
        <v>2022</v>
      </c>
    </row>
    <row r="83" spans="1:11" x14ac:dyDescent="0.2">
      <c r="A83" s="4" t="s">
        <v>148</v>
      </c>
      <c r="B83" s="83">
        <f>B93*0.5%</f>
        <v>4612.5</v>
      </c>
      <c r="C83" s="50">
        <f>D93*1.1%</f>
        <v>40590.000000000007</v>
      </c>
      <c r="D83" s="50">
        <f>F93*1.4%</f>
        <v>107624.99999999999</v>
      </c>
      <c r="E83" s="50">
        <f>H93*1.1%</f>
        <v>87945.000000000015</v>
      </c>
      <c r="F83" s="84">
        <f>J93*1.1%</f>
        <v>98092.500000000015</v>
      </c>
    </row>
    <row r="84" spans="1:11" ht="17" thickBot="1" x14ac:dyDescent="0.25">
      <c r="A84" s="32" t="s">
        <v>33</v>
      </c>
      <c r="B84" s="56">
        <f>SUM(B83:B83)</f>
        <v>4612.5</v>
      </c>
      <c r="C84" s="51">
        <f>SUM(C83:C83)</f>
        <v>40590.000000000007</v>
      </c>
      <c r="D84" s="51">
        <f>SUM(D83:D83)</f>
        <v>107624.99999999999</v>
      </c>
      <c r="E84" s="51">
        <f>SUM(E83:E83)</f>
        <v>87945.000000000015</v>
      </c>
      <c r="F84" s="71">
        <f>SUM(F83:F83)</f>
        <v>98092.500000000015</v>
      </c>
    </row>
    <row r="85" spans="1:11" ht="17" thickBot="1" x14ac:dyDescent="0.25"/>
    <row r="86" spans="1:11" x14ac:dyDescent="0.2">
      <c r="A86" s="85" t="s">
        <v>35</v>
      </c>
      <c r="B86" s="23">
        <v>2018</v>
      </c>
      <c r="C86" s="23">
        <v>2019</v>
      </c>
      <c r="D86" s="23">
        <v>2020</v>
      </c>
      <c r="E86" s="23">
        <v>2021</v>
      </c>
      <c r="F86" s="24">
        <v>2022</v>
      </c>
    </row>
    <row r="87" spans="1:11" x14ac:dyDescent="0.2">
      <c r="A87" s="19" t="s">
        <v>36</v>
      </c>
      <c r="B87" s="52">
        <f>SUM(B88:B89)/3</f>
        <v>5000</v>
      </c>
      <c r="C87" s="52">
        <f t="shared" ref="C87:F87" si="23">SUM(C88:C89)/3</f>
        <v>5000</v>
      </c>
      <c r="D87" s="52">
        <f>SUM(D88:D89)/3</f>
        <v>11666.666666666666</v>
      </c>
      <c r="E87" s="52">
        <f t="shared" si="23"/>
        <v>5000</v>
      </c>
      <c r="F87" s="53">
        <f t="shared" si="23"/>
        <v>5000</v>
      </c>
    </row>
    <row r="88" spans="1:11" x14ac:dyDescent="0.2">
      <c r="A88" s="86" t="s">
        <v>131</v>
      </c>
      <c r="B88" s="54">
        <v>10000</v>
      </c>
      <c r="C88" s="54">
        <v>10000</v>
      </c>
      <c r="D88" s="54">
        <v>20000</v>
      </c>
      <c r="E88" s="54">
        <v>10000</v>
      </c>
      <c r="F88" s="55">
        <v>10000</v>
      </c>
    </row>
    <row r="89" spans="1:11" x14ac:dyDescent="0.2">
      <c r="A89" s="86" t="s">
        <v>130</v>
      </c>
      <c r="B89" s="54">
        <v>5000</v>
      </c>
      <c r="C89" s="54">
        <v>5000</v>
      </c>
      <c r="D89" s="54">
        <v>15000</v>
      </c>
      <c r="E89" s="54">
        <v>5000</v>
      </c>
      <c r="F89" s="55">
        <v>5000</v>
      </c>
    </row>
    <row r="90" spans="1:11" ht="17" thickBot="1" x14ac:dyDescent="0.25">
      <c r="A90" s="87" t="s">
        <v>33</v>
      </c>
      <c r="B90" s="56">
        <f>B87</f>
        <v>5000</v>
      </c>
      <c r="C90" s="56">
        <f>B87+C87</f>
        <v>10000</v>
      </c>
      <c r="D90" s="56">
        <f>B87+C87+D87</f>
        <v>21666.666666666664</v>
      </c>
      <c r="E90" s="56">
        <f>C87+D87+E87</f>
        <v>21666.666666666664</v>
      </c>
      <c r="F90" s="71">
        <f>D87+E87+F87</f>
        <v>21666.666666666664</v>
      </c>
    </row>
    <row r="91" spans="1:11" ht="17" thickBot="1" x14ac:dyDescent="0.25"/>
    <row r="92" spans="1:11" x14ac:dyDescent="0.2">
      <c r="A92" s="20" t="s">
        <v>37</v>
      </c>
      <c r="B92" s="82">
        <v>2018</v>
      </c>
      <c r="C92" s="58" t="s">
        <v>38</v>
      </c>
      <c r="D92" s="82">
        <v>2019</v>
      </c>
      <c r="E92" s="39" t="s">
        <v>38</v>
      </c>
      <c r="F92" s="82">
        <v>2020</v>
      </c>
      <c r="G92" s="40" t="s">
        <v>38</v>
      </c>
      <c r="H92" s="40">
        <v>2021</v>
      </c>
      <c r="I92" s="40" t="s">
        <v>38</v>
      </c>
      <c r="J92" s="40">
        <v>2022</v>
      </c>
      <c r="K92" s="21" t="s">
        <v>38</v>
      </c>
    </row>
    <row r="93" spans="1:11" x14ac:dyDescent="0.2">
      <c r="A93" s="126" t="s">
        <v>108</v>
      </c>
      <c r="B93" s="72">
        <f>(820*125%)*Reference!F16</f>
        <v>922500</v>
      </c>
      <c r="C93" s="94">
        <f>B93/B96</f>
        <v>0.95925281224848857</v>
      </c>
      <c r="D93" s="93">
        <f>(820*125%)*Reference!F17</f>
        <v>3690000</v>
      </c>
      <c r="E93" s="94">
        <f>D93/D96</f>
        <v>0.93388404652716617</v>
      </c>
      <c r="F93" s="93">
        <f>(820*125%)*Reference!F18</f>
        <v>7687500</v>
      </c>
      <c r="G93" s="94">
        <f>F93/F96</f>
        <v>0.91690978442630966</v>
      </c>
      <c r="H93" s="93">
        <f>(820*125%)*Reference!F19</f>
        <v>7995000</v>
      </c>
      <c r="I93" s="94">
        <f>H93/H96</f>
        <v>0.87430023174697324</v>
      </c>
      <c r="J93" s="93">
        <f>(820*125%)*Reference!F20</f>
        <v>8917500</v>
      </c>
      <c r="K93" s="123">
        <f>J93/J96</f>
        <v>0.84350010688591204</v>
      </c>
    </row>
    <row r="94" spans="1:11" x14ac:dyDescent="0.2">
      <c r="A94" s="126" t="s">
        <v>109</v>
      </c>
      <c r="B94" s="72">
        <f>(((((Reference!F4*Reference!E6)*Reference!E12)*Reference!E14)*Reference!E16)*Reference!E22)*Reference!E24</f>
        <v>156744</v>
      </c>
      <c r="C94" s="95"/>
      <c r="D94" s="93">
        <f>(((((Reference!F4*Reference!E6)*Reference!E12)*Reference!E14)*Reference!E17)*Reference!E22)*Reference!E24</f>
        <v>1044960</v>
      </c>
      <c r="E94" s="95"/>
      <c r="F94" s="93">
        <f>(((((Reference!F4*Reference!E6)*Reference!E12)*Reference!E14)*Reference!E18)*Reference!E22)*Reference!E24</f>
        <v>2786560</v>
      </c>
      <c r="G94" s="95"/>
      <c r="H94" s="93">
        <f>(((((Reference!F4*Reference!E6)*Reference!E12)*Reference!E14)*Reference!E19)*Reference!E22)*Reference!E24</f>
        <v>4597824</v>
      </c>
      <c r="I94" s="95"/>
      <c r="J94" s="93">
        <f>(((((Reference!F4*Reference!E6)*Reference!E12)*Reference!E14)*Reference!E20)*Reference!E22)*Reference!E24</f>
        <v>6618080</v>
      </c>
      <c r="K94" s="124"/>
    </row>
    <row r="95" spans="1:11" x14ac:dyDescent="0.2">
      <c r="A95" s="126" t="s">
        <v>185</v>
      </c>
      <c r="B95" s="72">
        <f>B94*25%</f>
        <v>39186</v>
      </c>
      <c r="C95" s="96">
        <f>B95/B96</f>
        <v>4.0747187751511406E-2</v>
      </c>
      <c r="D95" s="93">
        <f>D94*25%</f>
        <v>261240</v>
      </c>
      <c r="E95" s="96">
        <f>D95/D96</f>
        <v>6.6115953472833847E-2</v>
      </c>
      <c r="F95" s="93">
        <f>F94*25%</f>
        <v>696640</v>
      </c>
      <c r="G95" s="96">
        <f>F95/F96</f>
        <v>8.3090215573690326E-2</v>
      </c>
      <c r="H95" s="93">
        <f>H94*25%</f>
        <v>1149456</v>
      </c>
      <c r="I95" s="96">
        <f>H95/H96</f>
        <v>0.12569976825302676</v>
      </c>
      <c r="J95" s="93">
        <f>J94*25%</f>
        <v>1654520</v>
      </c>
      <c r="K95" s="125">
        <f>J95/J96</f>
        <v>0.15649989311408793</v>
      </c>
    </row>
    <row r="96" spans="1:11" x14ac:dyDescent="0.2">
      <c r="A96" s="127" t="s">
        <v>44</v>
      </c>
      <c r="B96" s="59">
        <f>B93+B95</f>
        <v>961686</v>
      </c>
      <c r="C96" s="97">
        <v>1</v>
      </c>
      <c r="D96" s="59">
        <f>D93+D95</f>
        <v>3951240</v>
      </c>
      <c r="E96" s="103">
        <v>1</v>
      </c>
      <c r="F96" s="59">
        <f>F93+F95</f>
        <v>8384140</v>
      </c>
      <c r="G96" s="106">
        <v>1</v>
      </c>
      <c r="H96" s="59">
        <f>H93+H95</f>
        <v>9144456</v>
      </c>
      <c r="I96" s="106">
        <v>1</v>
      </c>
      <c r="J96" s="59">
        <f>J93+J95</f>
        <v>10572020</v>
      </c>
      <c r="K96" s="109">
        <v>1</v>
      </c>
    </row>
    <row r="97" spans="1:11" x14ac:dyDescent="0.2">
      <c r="A97" s="128" t="s">
        <v>45</v>
      </c>
      <c r="B97" s="57">
        <f>B65+B66+B67+B68+B72</f>
        <v>738000</v>
      </c>
      <c r="C97" s="98">
        <f t="shared" ref="C97:C115" si="24">B97/$B$96</f>
        <v>0.7674022497987909</v>
      </c>
      <c r="D97" s="57">
        <f>C65+C66+C67+C68+C72</f>
        <v>2952000</v>
      </c>
      <c r="E97" s="104">
        <f>D97/$D$96</f>
        <v>0.74710723722173289</v>
      </c>
      <c r="F97" s="57">
        <f>D65+D66+D67+D68+D72</f>
        <v>6150000</v>
      </c>
      <c r="G97" s="107">
        <f>F97/$F$96</f>
        <v>0.73352782754104773</v>
      </c>
      <c r="H97" s="57">
        <f>E65+E66+E67+E68+E72</f>
        <v>6396000</v>
      </c>
      <c r="I97" s="107">
        <f>H97/$H$96</f>
        <v>0.69944018539757857</v>
      </c>
      <c r="J97" s="57">
        <f>F65+F66+F67+F68+F72</f>
        <v>7134000</v>
      </c>
      <c r="K97" s="110">
        <f>J97/$J$96</f>
        <v>0.67480008550872961</v>
      </c>
    </row>
    <row r="98" spans="1:11" x14ac:dyDescent="0.2">
      <c r="A98" s="129" t="s">
        <v>46</v>
      </c>
      <c r="B98" s="112">
        <f>B96-B97</f>
        <v>223686</v>
      </c>
      <c r="C98" s="113">
        <f t="shared" si="24"/>
        <v>0.23259775020120912</v>
      </c>
      <c r="D98" s="112">
        <f>D96-D97</f>
        <v>999240</v>
      </c>
      <c r="E98" s="114">
        <f>D98/$D$96</f>
        <v>0.25289276277826706</v>
      </c>
      <c r="F98" s="112">
        <f>F96-F97</f>
        <v>2234140</v>
      </c>
      <c r="G98" s="115">
        <f t="shared" ref="G98:G115" si="25">F98/$F$96</f>
        <v>0.26647217245895227</v>
      </c>
      <c r="H98" s="112">
        <f>H96-H97</f>
        <v>2748456</v>
      </c>
      <c r="I98" s="115">
        <f t="shared" ref="I98:I115" si="26">H98/$H$96</f>
        <v>0.30055981460242143</v>
      </c>
      <c r="J98" s="112">
        <f>J96-J97</f>
        <v>3438020</v>
      </c>
      <c r="K98" s="116">
        <f t="shared" ref="K98:K115" si="27">J98/$J$96</f>
        <v>0.32519991449127034</v>
      </c>
    </row>
    <row r="99" spans="1:11" x14ac:dyDescent="0.2">
      <c r="A99" s="128" t="s">
        <v>57</v>
      </c>
      <c r="B99" s="57">
        <f>B78</f>
        <v>60000</v>
      </c>
      <c r="C99" s="99">
        <f t="shared" si="24"/>
        <v>6.2390426812909829E-2</v>
      </c>
      <c r="D99" s="57">
        <f>C78</f>
        <v>35000</v>
      </c>
      <c r="E99" s="104">
        <f t="shared" ref="E99:E115" si="28">D99/$D$96</f>
        <v>8.8579787610977827E-3</v>
      </c>
      <c r="F99" s="57">
        <f>D78</f>
        <v>35000</v>
      </c>
      <c r="G99" s="107">
        <f t="shared" si="25"/>
        <v>4.174548612022223E-3</v>
      </c>
      <c r="H99" s="57">
        <f>E78</f>
        <v>35000</v>
      </c>
      <c r="I99" s="107">
        <f t="shared" si="26"/>
        <v>3.8274556736890637E-3</v>
      </c>
      <c r="J99" s="57">
        <f>F78</f>
        <v>35000</v>
      </c>
      <c r="K99" s="110">
        <f t="shared" si="27"/>
        <v>3.3106255947302409E-3</v>
      </c>
    </row>
    <row r="100" spans="1:11" x14ac:dyDescent="0.2">
      <c r="A100" s="128" t="s">
        <v>128</v>
      </c>
      <c r="B100" s="57">
        <f>B74+B75+B76+B77+B79</f>
        <v>10080</v>
      </c>
      <c r="C100" s="99">
        <f t="shared" si="24"/>
        <v>1.0481591704568851E-2</v>
      </c>
      <c r="D100" s="57">
        <f>C74+C75+C76+C77+C79</f>
        <v>8990</v>
      </c>
      <c r="E100" s="104">
        <f>D100/$D$96</f>
        <v>2.2752351160648301E-3</v>
      </c>
      <c r="F100" s="57">
        <f>D74+D75+D76+D77+D79</f>
        <v>9153.2000000000007</v>
      </c>
      <c r="G100" s="107">
        <f t="shared" si="25"/>
        <v>1.0917279530160517E-3</v>
      </c>
      <c r="H100" s="57">
        <f>E74+E75+E76+E77+E79</f>
        <v>9319.6640000000007</v>
      </c>
      <c r="I100" s="107">
        <f t="shared" si="26"/>
        <v>1.0191600243907347E-3</v>
      </c>
      <c r="J100" s="57">
        <f>F74+F75+F76+F77+F79</f>
        <v>9489.4572800000005</v>
      </c>
      <c r="K100" s="110">
        <f t="shared" si="27"/>
        <v>8.9760114717906325E-4</v>
      </c>
    </row>
    <row r="101" spans="1:11" x14ac:dyDescent="0.2">
      <c r="A101" s="127" t="s">
        <v>47</v>
      </c>
      <c r="B101" s="59">
        <f>B99+B100</f>
        <v>70080</v>
      </c>
      <c r="C101" s="100">
        <f t="shared" si="24"/>
        <v>7.2872018517478682E-2</v>
      </c>
      <c r="D101" s="59">
        <f>D99+D100</f>
        <v>43990</v>
      </c>
      <c r="E101" s="105">
        <f t="shared" si="28"/>
        <v>1.1133213877162613E-2</v>
      </c>
      <c r="F101" s="59">
        <f>F99+F100</f>
        <v>44153.2</v>
      </c>
      <c r="G101" s="108">
        <f t="shared" si="25"/>
        <v>5.2662765650382743E-3</v>
      </c>
      <c r="H101" s="59">
        <f>H99+H100</f>
        <v>44319.664000000004</v>
      </c>
      <c r="I101" s="108">
        <f t="shared" si="26"/>
        <v>4.8466156980797991E-3</v>
      </c>
      <c r="J101" s="59">
        <f>SUM(J99+J100)</f>
        <v>44489.457280000002</v>
      </c>
      <c r="K101" s="111">
        <f t="shared" si="27"/>
        <v>4.2082267419093046E-3</v>
      </c>
    </row>
    <row r="102" spans="1:11" x14ac:dyDescent="0.2">
      <c r="A102" s="128" t="s">
        <v>58</v>
      </c>
      <c r="B102" s="57">
        <f>500*12</f>
        <v>6000</v>
      </c>
      <c r="C102" s="99">
        <f t="shared" si="24"/>
        <v>6.239042681290983E-3</v>
      </c>
      <c r="D102" s="57">
        <f>1000*12</f>
        <v>12000</v>
      </c>
      <c r="E102" s="104">
        <f t="shared" si="28"/>
        <v>3.0370212895192397E-3</v>
      </c>
      <c r="F102" s="57">
        <f>3000*12</f>
        <v>36000</v>
      </c>
      <c r="G102" s="107">
        <f t="shared" si="25"/>
        <v>4.2938214295085726E-3</v>
      </c>
      <c r="H102" s="57">
        <f>3000*12</f>
        <v>36000</v>
      </c>
      <c r="I102" s="107">
        <f t="shared" si="26"/>
        <v>3.9368115500801795E-3</v>
      </c>
      <c r="J102" s="57">
        <f>3000*12</f>
        <v>36000</v>
      </c>
      <c r="K102" s="110">
        <f t="shared" si="27"/>
        <v>3.405214897436819E-3</v>
      </c>
    </row>
    <row r="103" spans="1:11" x14ac:dyDescent="0.2">
      <c r="A103" s="128" t="s">
        <v>129</v>
      </c>
      <c r="B103" s="57">
        <f>B69+B70</f>
        <v>900</v>
      </c>
      <c r="C103" s="99">
        <f t="shared" si="24"/>
        <v>9.3585640219364741E-4</v>
      </c>
      <c r="D103" s="57">
        <f>C69+C70</f>
        <v>1700</v>
      </c>
      <c r="E103" s="104">
        <f t="shared" si="28"/>
        <v>4.3024468268189228E-4</v>
      </c>
      <c r="F103" s="57">
        <f>D69+D70</f>
        <v>5100</v>
      </c>
      <c r="G103" s="107">
        <f t="shared" si="25"/>
        <v>6.082913691803811E-4</v>
      </c>
      <c r="H103" s="57">
        <f>E69+E70</f>
        <v>5400</v>
      </c>
      <c r="I103" s="107">
        <f t="shared" si="26"/>
        <v>5.9052173251202694E-4</v>
      </c>
      <c r="J103" s="57">
        <f>F69+F70</f>
        <v>5500</v>
      </c>
      <c r="K103" s="110">
        <f t="shared" si="27"/>
        <v>5.2024116488618073E-4</v>
      </c>
    </row>
    <row r="104" spans="1:11" x14ac:dyDescent="0.2">
      <c r="A104" s="128" t="s">
        <v>55</v>
      </c>
      <c r="B104" s="57">
        <f>B52</f>
        <v>17763.239999999998</v>
      </c>
      <c r="C104" s="99">
        <f t="shared" si="24"/>
        <v>1.8470935419669203E-2</v>
      </c>
      <c r="D104" s="57">
        <f>C52</f>
        <v>71052.959999999992</v>
      </c>
      <c r="E104" s="104">
        <f t="shared" si="28"/>
        <v>1.7982446016946575E-2</v>
      </c>
      <c r="F104" s="57">
        <f>D52</f>
        <v>266448.59999999998</v>
      </c>
      <c r="G104" s="107">
        <f t="shared" si="25"/>
        <v>3.1780075237293266E-2</v>
      </c>
      <c r="H104" s="57">
        <f>E52</f>
        <v>373028.03999999992</v>
      </c>
      <c r="I104" s="107">
        <f t="shared" si="26"/>
        <v>4.0792808232660308E-2</v>
      </c>
      <c r="J104" s="57">
        <f>F52</f>
        <v>426317.75999999995</v>
      </c>
      <c r="K104" s="110">
        <f t="shared" si="27"/>
        <v>4.0325099649830394E-2</v>
      </c>
    </row>
    <row r="105" spans="1:11" x14ac:dyDescent="0.2">
      <c r="A105" s="128" t="s">
        <v>56</v>
      </c>
      <c r="B105" s="57">
        <f>B61</f>
        <v>11368.473599999999</v>
      </c>
      <c r="C105" s="99">
        <f t="shared" si="24"/>
        <v>1.1821398668588291E-2</v>
      </c>
      <c r="D105" s="57">
        <f>C61</f>
        <v>45473.894399999997</v>
      </c>
      <c r="E105" s="104">
        <f t="shared" si="28"/>
        <v>1.1508765450845809E-2</v>
      </c>
      <c r="F105" s="57">
        <f>D61</f>
        <v>170527.10399999999</v>
      </c>
      <c r="G105" s="107">
        <f t="shared" si="25"/>
        <v>2.0339248151867693E-2</v>
      </c>
      <c r="H105" s="57">
        <f>E61</f>
        <v>238737.94559999998</v>
      </c>
      <c r="I105" s="107">
        <f t="shared" si="26"/>
        <v>2.6107397268902599E-2</v>
      </c>
      <c r="J105" s="57">
        <f>F61</f>
        <v>272843.3664</v>
      </c>
      <c r="K105" s="110">
        <f t="shared" si="27"/>
        <v>2.5808063775891458E-2</v>
      </c>
    </row>
    <row r="106" spans="1:11" x14ac:dyDescent="0.2">
      <c r="A106" s="128" t="s">
        <v>135</v>
      </c>
      <c r="B106" s="57">
        <f>B84</f>
        <v>4612.5</v>
      </c>
      <c r="C106" s="99">
        <f t="shared" si="24"/>
        <v>4.7962640612424431E-3</v>
      </c>
      <c r="D106" s="57">
        <f>C84</f>
        <v>40590.000000000007</v>
      </c>
      <c r="E106" s="104">
        <f t="shared" si="28"/>
        <v>1.0272724511798829E-2</v>
      </c>
      <c r="F106" s="57">
        <f>D84</f>
        <v>107624.99999999999</v>
      </c>
      <c r="G106" s="107">
        <f t="shared" si="25"/>
        <v>1.2836736981968334E-2</v>
      </c>
      <c r="H106" s="57">
        <f>E84</f>
        <v>87945.000000000015</v>
      </c>
      <c r="I106" s="107">
        <f t="shared" si="26"/>
        <v>9.617302549216708E-3</v>
      </c>
      <c r="J106" s="57">
        <f>F84</f>
        <v>98092.500000000015</v>
      </c>
      <c r="K106" s="110">
        <f t="shared" si="27"/>
        <v>9.2785011757450346E-3</v>
      </c>
    </row>
    <row r="107" spans="1:11" x14ac:dyDescent="0.2">
      <c r="A107" s="127" t="s">
        <v>48</v>
      </c>
      <c r="B107" s="59">
        <f>SUM(B102:B106)</f>
        <v>40644.213599999995</v>
      </c>
      <c r="C107" s="100">
        <f t="shared" si="24"/>
        <v>4.2263497232984566E-2</v>
      </c>
      <c r="D107" s="59">
        <f>SUM(D102:D106)</f>
        <v>170816.85439999998</v>
      </c>
      <c r="E107" s="105">
        <f t="shared" si="28"/>
        <v>4.3231201951792343E-2</v>
      </c>
      <c r="F107" s="59">
        <f>SUM(F102:F106)</f>
        <v>585700.70399999991</v>
      </c>
      <c r="G107" s="108">
        <f t="shared" si="25"/>
        <v>6.9858173169818238E-2</v>
      </c>
      <c r="H107" s="59">
        <f>SUM(H102:H106)</f>
        <v>741110.9855999999</v>
      </c>
      <c r="I107" s="108">
        <f t="shared" si="26"/>
        <v>8.1044841333371809E-2</v>
      </c>
      <c r="J107" s="59">
        <f>SUM(J102:J106)</f>
        <v>838753.62639999995</v>
      </c>
      <c r="K107" s="111">
        <f t="shared" si="27"/>
        <v>7.9337120663789881E-2</v>
      </c>
    </row>
    <row r="108" spans="1:11" s="13" customFormat="1" x14ac:dyDescent="0.2">
      <c r="A108" s="129" t="s">
        <v>49</v>
      </c>
      <c r="B108" s="112">
        <f>B101+B107</f>
        <v>110724.21359999999</v>
      </c>
      <c r="C108" s="113">
        <f t="shared" si="24"/>
        <v>0.11513551575046324</v>
      </c>
      <c r="D108" s="112">
        <f>D101+D107</f>
        <v>214806.85439999998</v>
      </c>
      <c r="E108" s="114">
        <f t="shared" si="28"/>
        <v>5.4364415828954959E-2</v>
      </c>
      <c r="F108" s="112">
        <f>F101+F107</f>
        <v>629853.90399999986</v>
      </c>
      <c r="G108" s="115">
        <f t="shared" si="25"/>
        <v>7.5124449734856505E-2</v>
      </c>
      <c r="H108" s="112">
        <f>H101+H107</f>
        <v>785430.64959999989</v>
      </c>
      <c r="I108" s="115">
        <f t="shared" si="26"/>
        <v>8.589145703145161E-2</v>
      </c>
      <c r="J108" s="112">
        <f>J101+J107</f>
        <v>883243.08367999992</v>
      </c>
      <c r="K108" s="116">
        <f t="shared" si="27"/>
        <v>8.3545347405699188E-2</v>
      </c>
    </row>
    <row r="109" spans="1:11" x14ac:dyDescent="0.2">
      <c r="A109" s="129" t="s">
        <v>50</v>
      </c>
      <c r="B109" s="112">
        <f>B98-B108</f>
        <v>112961.78640000001</v>
      </c>
      <c r="C109" s="113">
        <f t="shared" si="24"/>
        <v>0.11746223445074588</v>
      </c>
      <c r="D109" s="112">
        <f>D98-D108</f>
        <v>784433.14560000005</v>
      </c>
      <c r="E109" s="114">
        <f t="shared" si="28"/>
        <v>0.19852834694931212</v>
      </c>
      <c r="F109" s="112">
        <f>F98-F108</f>
        <v>1604286.0960000001</v>
      </c>
      <c r="G109" s="115">
        <f t="shared" si="25"/>
        <v>0.19134772272409575</v>
      </c>
      <c r="H109" s="112">
        <f>H98-H108</f>
        <v>1963025.3504000001</v>
      </c>
      <c r="I109" s="115">
        <f t="shared" si="26"/>
        <v>0.21466835757096978</v>
      </c>
      <c r="J109" s="112">
        <f>J98-J108</f>
        <v>2554776.9163199998</v>
      </c>
      <c r="K109" s="116">
        <f t="shared" si="27"/>
        <v>0.24165456708557115</v>
      </c>
    </row>
    <row r="110" spans="1:11" x14ac:dyDescent="0.2">
      <c r="A110" s="130" t="s">
        <v>61</v>
      </c>
      <c r="B110" s="57">
        <f>B90</f>
        <v>5000</v>
      </c>
      <c r="C110" s="98">
        <f t="shared" si="24"/>
        <v>5.1992022344091527E-3</v>
      </c>
      <c r="D110" s="57">
        <f>C90</f>
        <v>10000</v>
      </c>
      <c r="E110" s="104">
        <f t="shared" si="28"/>
        <v>2.5308510745993664E-3</v>
      </c>
      <c r="F110" s="57">
        <f>D90</f>
        <v>21666.666666666664</v>
      </c>
      <c r="G110" s="107">
        <f t="shared" si="25"/>
        <v>2.5842443788708998E-3</v>
      </c>
      <c r="H110" s="57">
        <f>E90</f>
        <v>21666.666666666664</v>
      </c>
      <c r="I110" s="107">
        <f t="shared" si="26"/>
        <v>2.3693773218075153E-3</v>
      </c>
      <c r="J110" s="57">
        <f>F90</f>
        <v>21666.666666666664</v>
      </c>
      <c r="K110" s="110">
        <f t="shared" si="27"/>
        <v>2.0494348919758631E-3</v>
      </c>
    </row>
    <row r="111" spans="1:11" x14ac:dyDescent="0.2">
      <c r="A111" s="18" t="s">
        <v>59</v>
      </c>
      <c r="B111" s="61">
        <f>B109-B110</f>
        <v>107961.78640000001</v>
      </c>
      <c r="C111" s="101">
        <f t="shared" si="24"/>
        <v>0.11226303221633674</v>
      </c>
      <c r="D111" s="61">
        <f>D109-D110</f>
        <v>774433.14560000005</v>
      </c>
      <c r="E111" s="117">
        <f t="shared" si="28"/>
        <v>0.19599749587471277</v>
      </c>
      <c r="F111" s="61">
        <f>F109-F110</f>
        <v>1582619.4293333334</v>
      </c>
      <c r="G111" s="118">
        <f t="shared" si="25"/>
        <v>0.18876347834522483</v>
      </c>
      <c r="H111" s="61">
        <f>H109-H110</f>
        <v>1941358.6837333334</v>
      </c>
      <c r="I111" s="118">
        <f t="shared" si="26"/>
        <v>0.21229898024916227</v>
      </c>
      <c r="J111" s="61">
        <f>J109-J110</f>
        <v>2533110.2496533333</v>
      </c>
      <c r="K111" s="119">
        <f t="shared" si="27"/>
        <v>0.2396051321935953</v>
      </c>
    </row>
    <row r="112" spans="1:11" x14ac:dyDescent="0.2">
      <c r="A112" s="19" t="s">
        <v>51</v>
      </c>
      <c r="B112" s="57">
        <f>B23</f>
        <v>9152.5</v>
      </c>
      <c r="C112" s="98">
        <f t="shared" si="24"/>
        <v>9.5171396900859528E-3</v>
      </c>
      <c r="D112" s="57">
        <f>C23+C29</f>
        <v>37605</v>
      </c>
      <c r="E112" s="104">
        <f t="shared" si="28"/>
        <v>9.5172654660309174E-3</v>
      </c>
      <c r="F112" s="57">
        <f>D23+D29+D35+D41</f>
        <v>67205.5</v>
      </c>
      <c r="G112" s="107">
        <f t="shared" si="25"/>
        <v>8.0157893355788431E-3</v>
      </c>
      <c r="H112" s="57">
        <f>E23+E29+E35</f>
        <v>26182</v>
      </c>
      <c r="I112" s="107">
        <f t="shared" si="26"/>
        <v>2.8631555556722019E-3</v>
      </c>
      <c r="J112" s="57">
        <f>F23+F29+F35</f>
        <v>17158.5</v>
      </c>
      <c r="K112" s="110">
        <f t="shared" si="27"/>
        <v>1.623010550490824E-3</v>
      </c>
    </row>
    <row r="113" spans="1:11" x14ac:dyDescent="0.2">
      <c r="A113" s="18" t="s">
        <v>52</v>
      </c>
      <c r="B113" s="61">
        <f>B111-B112</f>
        <v>98809.286400000012</v>
      </c>
      <c r="C113" s="101">
        <f t="shared" si="24"/>
        <v>0.10274589252625078</v>
      </c>
      <c r="D113" s="61">
        <f>D111-D112</f>
        <v>736828.14560000005</v>
      </c>
      <c r="E113" s="117">
        <f t="shared" si="28"/>
        <v>0.18648023040868184</v>
      </c>
      <c r="F113" s="61">
        <f>F111-F112</f>
        <v>1515413.9293333334</v>
      </c>
      <c r="G113" s="118">
        <f t="shared" si="25"/>
        <v>0.180747689009646</v>
      </c>
      <c r="H113" s="61">
        <f>H111-H112</f>
        <v>1915176.6837333334</v>
      </c>
      <c r="I113" s="118">
        <f t="shared" si="26"/>
        <v>0.20943582469349006</v>
      </c>
      <c r="J113" s="61">
        <f>J111-J112</f>
        <v>2515951.7496533333</v>
      </c>
      <c r="K113" s="119">
        <f t="shared" si="27"/>
        <v>0.23798212164310448</v>
      </c>
    </row>
    <row r="114" spans="1:11" x14ac:dyDescent="0.2">
      <c r="A114" s="19" t="s">
        <v>53</v>
      </c>
      <c r="B114" s="57">
        <f>IF(B113&gt;0,B113*30%,0)</f>
        <v>29642.785920000002</v>
      </c>
      <c r="C114" s="98">
        <f t="shared" si="24"/>
        <v>3.0823767757875233E-2</v>
      </c>
      <c r="D114" s="57">
        <f>IF(D113&gt;0,(D113*30%)+B113,0)</f>
        <v>319857.73008000001</v>
      </c>
      <c r="E114" s="104">
        <f t="shared" si="28"/>
        <v>8.0951227989188204E-2</v>
      </c>
      <c r="F114" s="57">
        <f>IF(F113&gt;0,F113*30%,0)</f>
        <v>454624.17879999999</v>
      </c>
      <c r="G114" s="107">
        <f t="shared" si="25"/>
        <v>5.4224306702893799E-2</v>
      </c>
      <c r="H114" s="57">
        <f>IF(H113&gt;0,H113*30%,0)</f>
        <v>574553.00511999999</v>
      </c>
      <c r="I114" s="107">
        <f t="shared" si="26"/>
        <v>6.2830747408047019E-2</v>
      </c>
      <c r="J114" s="57">
        <f>IF(J113&gt;0,J113*30%,0)</f>
        <v>754785.52489599993</v>
      </c>
      <c r="K114" s="110">
        <f t="shared" si="27"/>
        <v>7.1394636492931332E-2</v>
      </c>
    </row>
    <row r="115" spans="1:11" ht="17" thickBot="1" x14ac:dyDescent="0.25">
      <c r="A115" s="17" t="s">
        <v>54</v>
      </c>
      <c r="B115" s="56">
        <f>B113-B114</f>
        <v>69166.500480000017</v>
      </c>
      <c r="C115" s="102">
        <f t="shared" si="24"/>
        <v>7.1922124768375562E-2</v>
      </c>
      <c r="D115" s="56">
        <f>D113-D114</f>
        <v>416970.41552000004</v>
      </c>
      <c r="E115" s="120">
        <f t="shared" si="28"/>
        <v>0.10552900241949363</v>
      </c>
      <c r="F115" s="56">
        <f>F113-F114</f>
        <v>1060789.7505333335</v>
      </c>
      <c r="G115" s="121">
        <f t="shared" si="25"/>
        <v>0.12652338230675222</v>
      </c>
      <c r="H115" s="56">
        <f>H113-H114</f>
        <v>1340623.6786133335</v>
      </c>
      <c r="I115" s="121">
        <f t="shared" si="26"/>
        <v>0.14660507728544306</v>
      </c>
      <c r="J115" s="56">
        <f>J113-J114</f>
        <v>1761166.2247573333</v>
      </c>
      <c r="K115" s="122">
        <f t="shared" si="27"/>
        <v>0.16658748515017313</v>
      </c>
    </row>
    <row r="117" spans="1:11" ht="17" thickBot="1" x14ac:dyDescent="0.25"/>
    <row r="118" spans="1:11" x14ac:dyDescent="0.2">
      <c r="A118" s="22" t="s">
        <v>64</v>
      </c>
      <c r="B118" s="23">
        <v>2018</v>
      </c>
      <c r="C118" s="23">
        <v>2019</v>
      </c>
      <c r="D118" s="23">
        <v>2020</v>
      </c>
      <c r="E118" s="23">
        <v>2021</v>
      </c>
      <c r="F118" s="24">
        <v>2022</v>
      </c>
    </row>
    <row r="119" spans="1:11" x14ac:dyDescent="0.2">
      <c r="A119" s="25" t="s">
        <v>65</v>
      </c>
      <c r="B119" s="61">
        <f>B96</f>
        <v>961686</v>
      </c>
      <c r="C119" s="61">
        <f>D96</f>
        <v>3951240</v>
      </c>
      <c r="D119" s="61">
        <f>F96</f>
        <v>8384140</v>
      </c>
      <c r="E119" s="61">
        <f>H96</f>
        <v>9144456</v>
      </c>
      <c r="F119" s="63">
        <f>J96</f>
        <v>10572020</v>
      </c>
    </row>
    <row r="120" spans="1:11" x14ac:dyDescent="0.2">
      <c r="A120" s="19" t="s">
        <v>66</v>
      </c>
      <c r="B120" s="57">
        <f>B102+B104+B105+B69+B74+B75+B76+B24+B70+B77+B79+B78</f>
        <v>161509.21359999999</v>
      </c>
      <c r="C120" s="57">
        <f>D102+D104+D105+C69+C74+C75+C76+C24+C77+C79+C70+C78</f>
        <v>229614.35439999998</v>
      </c>
      <c r="D120" s="57">
        <f>F102+F104+F105+D69+D74+D75+D76+D24+D70+D77+D79+D78</f>
        <v>577626.40399999986</v>
      </c>
      <c r="E120" s="57">
        <f>H102+H104+H105+E69+E74+E75+E76+E24+E70+E77+E79+E78</f>
        <v>752883.14959999989</v>
      </c>
      <c r="F120" s="62">
        <f>J102+J104+J105+F69+F74+F75+F76+F24+F70+F77+F79+F78</f>
        <v>840548.08367999992</v>
      </c>
    </row>
    <row r="121" spans="1:11" x14ac:dyDescent="0.2">
      <c r="A121" s="19" t="s">
        <v>67</v>
      </c>
      <c r="B121" s="57">
        <f>B97+B83</f>
        <v>742612.5</v>
      </c>
      <c r="C121" s="57">
        <f>D97+C83</f>
        <v>2992590</v>
      </c>
      <c r="D121" s="57">
        <f>F97+D83</f>
        <v>6257625</v>
      </c>
      <c r="E121" s="57">
        <f>H97+E83</f>
        <v>6483945</v>
      </c>
      <c r="F121" s="62">
        <f>J97+F83+F78</f>
        <v>7267092.5</v>
      </c>
    </row>
    <row r="122" spans="1:11" x14ac:dyDescent="0.2">
      <c r="A122" s="18" t="s">
        <v>64</v>
      </c>
      <c r="B122" s="61">
        <f>B120/((B96-B121)/B96)</f>
        <v>708991.04451304965</v>
      </c>
      <c r="C122" s="61">
        <f>C120/((D96-C121)/D96)</f>
        <v>946394.84867204505</v>
      </c>
      <c r="D122" s="61">
        <f>D120/((F96-D121)/F96)</f>
        <v>2277388.4213525695</v>
      </c>
      <c r="E122" s="61">
        <f>E120/((H96-E121)/H96)</f>
        <v>2587738.533935254</v>
      </c>
      <c r="F122" s="63">
        <f>F120/((J96-F121)/J96)</f>
        <v>2688800.6322760885</v>
      </c>
    </row>
    <row r="123" spans="1:11" ht="17" thickBot="1" x14ac:dyDescent="0.25">
      <c r="A123" s="17" t="s">
        <v>68</v>
      </c>
      <c r="B123" s="66">
        <f>B122/(B96/360)</f>
        <v>265.40552324219954</v>
      </c>
      <c r="C123" s="66">
        <f>C122/(D96/360)</f>
        <v>86.226639111250194</v>
      </c>
      <c r="D123" s="66">
        <f>D122/(F96/360)</f>
        <v>97.786992069183611</v>
      </c>
      <c r="E123" s="66">
        <f>E122/(H96/360)</f>
        <v>101.87438948983859</v>
      </c>
      <c r="F123" s="131">
        <f>F122/(J96/360)</f>
        <v>91.559439692640751</v>
      </c>
    </row>
    <row r="124" spans="1:11" ht="17" thickBot="1" x14ac:dyDescent="0.25"/>
    <row r="125" spans="1:11" x14ac:dyDescent="0.2">
      <c r="A125" s="41" t="s">
        <v>75</v>
      </c>
      <c r="B125" s="26" t="s">
        <v>134</v>
      </c>
      <c r="C125" s="26">
        <v>2018</v>
      </c>
      <c r="D125" s="26">
        <v>2019</v>
      </c>
      <c r="E125" s="23">
        <v>2020</v>
      </c>
      <c r="F125" s="34">
        <v>2021</v>
      </c>
      <c r="G125" s="33">
        <v>2022</v>
      </c>
    </row>
    <row r="126" spans="1:11" x14ac:dyDescent="0.2">
      <c r="A126" s="4" t="s">
        <v>70</v>
      </c>
      <c r="B126" s="67">
        <f>B143+B144-B134</f>
        <v>291987.5</v>
      </c>
      <c r="C126" s="67">
        <f t="shared" ref="C126:G126" si="29">C143+C144-C134</f>
        <v>379923.00096000003</v>
      </c>
      <c r="D126" s="67">
        <f t="shared" si="29"/>
        <v>1177713.4160000002</v>
      </c>
      <c r="E126" s="67">
        <f t="shared" si="29"/>
        <v>2174752.3332000002</v>
      </c>
      <c r="F126" s="67">
        <f t="shared" si="29"/>
        <v>3305905.1784800007</v>
      </c>
      <c r="G126" s="70">
        <f t="shared" si="29"/>
        <v>4857600.5699040005</v>
      </c>
    </row>
    <row r="127" spans="1:11" x14ac:dyDescent="0.2">
      <c r="A127" s="38" t="s">
        <v>69</v>
      </c>
      <c r="B127" s="72">
        <f>B135+B136-B145-B147</f>
        <v>-181234</v>
      </c>
      <c r="C127" s="72">
        <f t="shared" ref="C127:F127" si="30">C135+C136-C145-C147</f>
        <v>49006.125</v>
      </c>
      <c r="D127" s="72">
        <f>D135+D136-D145-D147</f>
        <v>202887.5</v>
      </c>
      <c r="E127" s="72">
        <f>E135+E136-E145-E147</f>
        <v>433459.58333333326</v>
      </c>
      <c r="F127" s="72">
        <f t="shared" si="30"/>
        <v>488209.25</v>
      </c>
      <c r="G127" s="62">
        <f>G135+G136-G145-G147</f>
        <v>575577.29166666651</v>
      </c>
    </row>
    <row r="128" spans="1:11" ht="17" thickBot="1" x14ac:dyDescent="0.25">
      <c r="A128" s="36" t="s">
        <v>74</v>
      </c>
      <c r="B128" s="51">
        <f>B126-B127</f>
        <v>473221.5</v>
      </c>
      <c r="C128" s="51">
        <f t="shared" ref="C128:F128" si="31">C126-C127</f>
        <v>330916.87596000003</v>
      </c>
      <c r="D128" s="51">
        <f t="shared" si="31"/>
        <v>974825.9160000002</v>
      </c>
      <c r="E128" s="51">
        <f t="shared" si="31"/>
        <v>1741292.749866667</v>
      </c>
      <c r="F128" s="51">
        <f t="shared" si="31"/>
        <v>2817695.9284800007</v>
      </c>
      <c r="G128" s="71">
        <f>G126-G127</f>
        <v>4282023.2782373335</v>
      </c>
    </row>
    <row r="130" spans="1:18" ht="17" thickBot="1" x14ac:dyDescent="0.25"/>
    <row r="131" spans="1:18" x14ac:dyDescent="0.2">
      <c r="A131" s="41" t="s">
        <v>76</v>
      </c>
      <c r="B131" s="26" t="s">
        <v>142</v>
      </c>
      <c r="C131" s="185">
        <v>43435</v>
      </c>
      <c r="D131" s="185">
        <v>43800</v>
      </c>
      <c r="E131" s="185">
        <v>44166</v>
      </c>
      <c r="F131" s="185">
        <v>44531</v>
      </c>
      <c r="G131" s="186">
        <v>44896</v>
      </c>
    </row>
    <row r="132" spans="1:18" x14ac:dyDescent="0.2">
      <c r="A132" s="4" t="s">
        <v>73</v>
      </c>
      <c r="B132" s="67">
        <v>15000</v>
      </c>
      <c r="C132" s="67">
        <f>B2</f>
        <v>15000</v>
      </c>
      <c r="D132" s="67">
        <f>C2</f>
        <v>15000</v>
      </c>
      <c r="E132" s="67">
        <f>D2</f>
        <v>35000</v>
      </c>
      <c r="F132" s="67">
        <f>E2</f>
        <v>15000</v>
      </c>
      <c r="G132" s="70">
        <f>F2</f>
        <v>15000</v>
      </c>
    </row>
    <row r="133" spans="1:18" x14ac:dyDescent="0.2">
      <c r="A133" s="4" t="s">
        <v>77</v>
      </c>
      <c r="B133" s="67">
        <v>0</v>
      </c>
      <c r="C133" s="67">
        <f>B90</f>
        <v>5000</v>
      </c>
      <c r="D133" s="67">
        <f>C90</f>
        <v>10000</v>
      </c>
      <c r="E133" s="67">
        <f>D90</f>
        <v>21666.666666666664</v>
      </c>
      <c r="F133" s="67">
        <f>E90</f>
        <v>21666.666666666664</v>
      </c>
      <c r="G133" s="70">
        <f>F90</f>
        <v>21666.666666666664</v>
      </c>
    </row>
    <row r="134" spans="1:18" x14ac:dyDescent="0.2">
      <c r="A134" s="45" t="s">
        <v>78</v>
      </c>
      <c r="B134" s="68">
        <f>B132-B133</f>
        <v>15000</v>
      </c>
      <c r="C134" s="68">
        <f>C132-C133</f>
        <v>10000</v>
      </c>
      <c r="D134" s="68">
        <f>C134+D132-D133</f>
        <v>15000</v>
      </c>
      <c r="E134" s="68">
        <f>D134+E132-E133</f>
        <v>28333.333333333336</v>
      </c>
      <c r="F134" s="68">
        <f t="shared" ref="F134" si="32">E134+F132-F133</f>
        <v>21666.666666666672</v>
      </c>
      <c r="G134" s="74">
        <f>F134+G132-G133</f>
        <v>15000.000000000007</v>
      </c>
    </row>
    <row r="135" spans="1:18" x14ac:dyDescent="0.2">
      <c r="A135" s="4" t="s">
        <v>79</v>
      </c>
      <c r="B135" s="67">
        <v>3266</v>
      </c>
      <c r="C135" s="67">
        <f>'Cash Flow Statement'!L3+'Cash Flow Statement'!L4</f>
        <v>233890.5</v>
      </c>
      <c r="D135" s="67">
        <f>'Cash Flow Statement'!L22+'Cash Flow Statement'!L23</f>
        <v>944270</v>
      </c>
      <c r="E135" s="67">
        <f>'Cash Flow Statement'!L42+'Cash Flow Statement'!L43</f>
        <v>1979928.3333333333</v>
      </c>
      <c r="F135" s="67">
        <f>'Cash Flow Statement'!L63+'Cash Flow Statement'!L64</f>
        <v>2094538</v>
      </c>
      <c r="G135" s="70">
        <f>'Cash Flow Statement'!L84+'Cash Flow Statement'!L85</f>
        <v>2367251.6666666665</v>
      </c>
    </row>
    <row r="136" spans="1:18" x14ac:dyDescent="0.2">
      <c r="A136" s="4" t="s">
        <v>141</v>
      </c>
      <c r="B136" s="67">
        <v>0</v>
      </c>
      <c r="C136" s="67">
        <v>0</v>
      </c>
      <c r="D136" s="67">
        <v>0</v>
      </c>
      <c r="E136" s="67">
        <v>0</v>
      </c>
      <c r="F136" s="67">
        <v>0</v>
      </c>
      <c r="G136" s="70">
        <v>0</v>
      </c>
    </row>
    <row r="137" spans="1:18" x14ac:dyDescent="0.2">
      <c r="A137" s="4" t="s">
        <v>80</v>
      </c>
      <c r="B137" s="67">
        <v>473222</v>
      </c>
      <c r="C137" s="67">
        <v>330917</v>
      </c>
      <c r="D137" s="67">
        <v>974826</v>
      </c>
      <c r="E137" s="67">
        <v>1741292</v>
      </c>
      <c r="F137" s="67">
        <v>2817696</v>
      </c>
      <c r="G137" s="70">
        <v>4282023</v>
      </c>
    </row>
    <row r="138" spans="1:18" x14ac:dyDescent="0.2">
      <c r="A138" s="45" t="s">
        <v>81</v>
      </c>
      <c r="B138" s="68">
        <f>SUM(B135:B137)</f>
        <v>476488</v>
      </c>
      <c r="C138" s="68">
        <f>SUM(C135:C137)</f>
        <v>564807.5</v>
      </c>
      <c r="D138" s="68">
        <f>SUM(D135:D137)</f>
        <v>1919096</v>
      </c>
      <c r="E138" s="68">
        <f t="shared" ref="E138:G138" si="33">SUM(E135:E137)</f>
        <v>3721220.333333333</v>
      </c>
      <c r="F138" s="68">
        <f t="shared" si="33"/>
        <v>4912234</v>
      </c>
      <c r="G138" s="74">
        <f t="shared" si="33"/>
        <v>6649274.666666666</v>
      </c>
    </row>
    <row r="139" spans="1:18" x14ac:dyDescent="0.2">
      <c r="A139" s="35" t="s">
        <v>82</v>
      </c>
      <c r="B139" s="60">
        <f>B134+B138</f>
        <v>491488</v>
      </c>
      <c r="C139" s="60">
        <f>C134+C138</f>
        <v>574807.5</v>
      </c>
      <c r="D139" s="60">
        <f>D134+D138</f>
        <v>1934096</v>
      </c>
      <c r="E139" s="60">
        <f t="shared" ref="E139:G139" si="34">E134+E138</f>
        <v>3749553.6666666665</v>
      </c>
      <c r="F139" s="60">
        <f t="shared" si="34"/>
        <v>4933900.666666667</v>
      </c>
      <c r="G139" s="63">
        <f t="shared" si="34"/>
        <v>6664274.666666666</v>
      </c>
      <c r="I139" s="78"/>
    </row>
    <row r="140" spans="1:18" x14ac:dyDescent="0.2">
      <c r="A140" s="14" t="s">
        <v>83</v>
      </c>
      <c r="B140" s="67">
        <f>B10</f>
        <v>30000</v>
      </c>
      <c r="C140" s="67">
        <f>B10</f>
        <v>30000</v>
      </c>
      <c r="D140" s="67">
        <f>C10+C140</f>
        <v>30000</v>
      </c>
      <c r="E140" s="67">
        <f>D10+D140</f>
        <v>30000</v>
      </c>
      <c r="F140" s="67">
        <f>E10+E140</f>
        <v>30000</v>
      </c>
      <c r="G140" s="70">
        <f>F10+F140</f>
        <v>30000</v>
      </c>
      <c r="M140" s="78"/>
      <c r="N140" s="78"/>
      <c r="O140" s="78"/>
      <c r="P140" s="78"/>
    </row>
    <row r="141" spans="1:18" x14ac:dyDescent="0.2">
      <c r="A141" s="14" t="s">
        <v>84</v>
      </c>
      <c r="B141" s="67">
        <v>0</v>
      </c>
      <c r="C141" s="67">
        <f>IF(C142&gt;0,C142,0)</f>
        <v>69166.500480000017</v>
      </c>
      <c r="D141" s="67">
        <f>C142</f>
        <v>69166.500480000017</v>
      </c>
      <c r="E141" s="69">
        <f>D142+D141</f>
        <v>486136.91600000008</v>
      </c>
      <c r="F141" s="69">
        <f t="shared" ref="F141:G141" si="35">E142+E141</f>
        <v>1546926.6665333337</v>
      </c>
      <c r="G141" s="70">
        <f t="shared" si="35"/>
        <v>2887550.3451466672</v>
      </c>
    </row>
    <row r="142" spans="1:18" x14ac:dyDescent="0.2">
      <c r="A142" s="14" t="s">
        <v>85</v>
      </c>
      <c r="B142" s="67">
        <v>0</v>
      </c>
      <c r="C142" s="67">
        <f>B115</f>
        <v>69166.500480000017</v>
      </c>
      <c r="D142" s="67">
        <f>D115</f>
        <v>416970.41552000004</v>
      </c>
      <c r="E142" s="67">
        <f>F115</f>
        <v>1060789.7505333335</v>
      </c>
      <c r="F142" s="67">
        <f>H115</f>
        <v>1340623.6786133335</v>
      </c>
      <c r="G142" s="70">
        <f>J115</f>
        <v>1761166.2247573333</v>
      </c>
      <c r="I142" s="78"/>
      <c r="J142" s="78"/>
      <c r="K142" s="78"/>
      <c r="L142" s="78"/>
      <c r="M142" s="78"/>
      <c r="N142" s="78"/>
      <c r="O142" s="78"/>
      <c r="P142" s="78"/>
      <c r="Q142" s="78"/>
      <c r="R142" s="78"/>
    </row>
    <row r="143" spans="1:18" x14ac:dyDescent="0.2">
      <c r="A143" s="45" t="s">
        <v>86</v>
      </c>
      <c r="B143" s="68">
        <f>SUM(B140:B142)</f>
        <v>30000</v>
      </c>
      <c r="C143" s="68">
        <f t="shared" ref="C143:G143" si="36">SUM(C140:C142)</f>
        <v>168333.00096000003</v>
      </c>
      <c r="D143" s="68">
        <f t="shared" si="36"/>
        <v>516136.91600000008</v>
      </c>
      <c r="E143" s="68">
        <f t="shared" si="36"/>
        <v>1576926.6665333337</v>
      </c>
      <c r="F143" s="68">
        <f>SUM(F140:F142)</f>
        <v>2917550.3451466672</v>
      </c>
      <c r="G143" s="74">
        <f t="shared" si="36"/>
        <v>4678716.5699040005</v>
      </c>
    </row>
    <row r="144" spans="1:18" x14ac:dyDescent="0.2">
      <c r="A144" s="14" t="s">
        <v>143</v>
      </c>
      <c r="B144" s="67">
        <f>B25+B24</f>
        <v>276987.5</v>
      </c>
      <c r="C144" s="67">
        <f>SUM(C24:$F$24)</f>
        <v>221590</v>
      </c>
      <c r="D144" s="67">
        <f>SUM(D24:$F$24)+(D30*4)</f>
        <v>676576.5</v>
      </c>
      <c r="E144" s="67">
        <f>SUM(E24:$F$24)+(E30*3)+(E36*4)</f>
        <v>626159</v>
      </c>
      <c r="F144" s="67">
        <f>SUM(F24:$F$24)++(E30*2)+(E36*3)</f>
        <v>410021.5</v>
      </c>
      <c r="G144" s="70">
        <f>E30+(E36*2)</f>
        <v>193884</v>
      </c>
      <c r="M144" s="78"/>
      <c r="N144" s="78"/>
      <c r="O144" s="78"/>
      <c r="P144" s="78"/>
      <c r="Q144" s="78"/>
    </row>
    <row r="145" spans="1:18" x14ac:dyDescent="0.2">
      <c r="A145" s="14" t="s">
        <v>71</v>
      </c>
      <c r="B145" s="67">
        <v>184500</v>
      </c>
      <c r="C145" s="67">
        <v>184500</v>
      </c>
      <c r="D145" s="67">
        <v>738000</v>
      </c>
      <c r="E145" s="67">
        <v>1537500</v>
      </c>
      <c r="F145" s="67">
        <v>1599000</v>
      </c>
      <c r="G145" s="70">
        <v>1783500</v>
      </c>
    </row>
    <row r="146" spans="1:18" x14ac:dyDescent="0.2">
      <c r="A146" s="14" t="s">
        <v>144</v>
      </c>
      <c r="B146" s="67">
        <v>0</v>
      </c>
      <c r="C146" s="67">
        <v>0</v>
      </c>
      <c r="D146" s="67">
        <v>0</v>
      </c>
      <c r="E146" s="67">
        <v>0</v>
      </c>
      <c r="F146" s="67">
        <v>0</v>
      </c>
      <c r="G146" s="70">
        <v>0</v>
      </c>
      <c r="I146" s="78"/>
      <c r="M146" s="78"/>
      <c r="N146" s="78"/>
      <c r="O146" s="78"/>
      <c r="P146" s="78"/>
      <c r="Q146" s="78"/>
      <c r="R146" s="78"/>
    </row>
    <row r="147" spans="1:18" x14ac:dyDescent="0.2">
      <c r="A147" s="4" t="s">
        <v>72</v>
      </c>
      <c r="B147" s="67">
        <v>0</v>
      </c>
      <c r="C147" s="67">
        <f>B84/12</f>
        <v>384.375</v>
      </c>
      <c r="D147" s="67">
        <f>C84/12</f>
        <v>3382.5000000000005</v>
      </c>
      <c r="E147" s="67">
        <f>D84/12</f>
        <v>8968.7499999999982</v>
      </c>
      <c r="F147" s="67">
        <f>E84/12</f>
        <v>7328.7500000000009</v>
      </c>
      <c r="G147" s="70">
        <f>F84/12</f>
        <v>8174.3750000000009</v>
      </c>
    </row>
    <row r="148" spans="1:18" x14ac:dyDescent="0.2">
      <c r="A148" s="45" t="s">
        <v>88</v>
      </c>
      <c r="B148" s="68">
        <f>SUM(B144:B147)</f>
        <v>461487.5</v>
      </c>
      <c r="C148" s="68">
        <f>SUM(C144:C147)</f>
        <v>406474.375</v>
      </c>
      <c r="D148" s="68">
        <f>SUM(D144:D147)</f>
        <v>1417959</v>
      </c>
      <c r="E148" s="68">
        <f>SUM(E144:E147)</f>
        <v>2172627.75</v>
      </c>
      <c r="F148" s="68">
        <f t="shared" ref="F148" si="37">SUM(F144:F147)</f>
        <v>2016350.25</v>
      </c>
      <c r="G148" s="74">
        <f>SUM(G144:G147)</f>
        <v>1985558.375</v>
      </c>
      <c r="M148" s="78"/>
    </row>
    <row r="149" spans="1:18" ht="17" thickBot="1" x14ac:dyDescent="0.25">
      <c r="A149" s="36" t="s">
        <v>87</v>
      </c>
      <c r="B149" s="51">
        <f>B143+B148</f>
        <v>491487.5</v>
      </c>
      <c r="C149" s="51">
        <f>C143+C148</f>
        <v>574807.37596000009</v>
      </c>
      <c r="D149" s="51">
        <f>D143+D148</f>
        <v>1934095.9160000002</v>
      </c>
      <c r="E149" s="51">
        <f t="shared" ref="E149:G149" si="38">E143+E148</f>
        <v>3749554.4165333337</v>
      </c>
      <c r="F149" s="51">
        <f t="shared" si="38"/>
        <v>4933900.5951466672</v>
      </c>
      <c r="G149" s="71">
        <f t="shared" si="38"/>
        <v>6664274.9449040005</v>
      </c>
      <c r="I149" s="78"/>
    </row>
    <row r="150" spans="1:18" ht="17" thickBot="1" x14ac:dyDescent="0.25"/>
    <row r="151" spans="1:18" x14ac:dyDescent="0.2">
      <c r="A151" s="41" t="s">
        <v>89</v>
      </c>
      <c r="B151" s="26">
        <v>2018</v>
      </c>
      <c r="C151" s="26">
        <v>2019</v>
      </c>
      <c r="D151" s="23">
        <v>2020</v>
      </c>
      <c r="E151" s="34">
        <v>2021</v>
      </c>
      <c r="F151" s="33">
        <v>2022</v>
      </c>
    </row>
    <row r="152" spans="1:18" x14ac:dyDescent="0.2">
      <c r="A152" s="4" t="s">
        <v>90</v>
      </c>
      <c r="B152" s="187" t="s">
        <v>91</v>
      </c>
      <c r="C152" s="187" t="s">
        <v>91</v>
      </c>
      <c r="D152" s="188" t="s">
        <v>91</v>
      </c>
      <c r="E152" s="189" t="s">
        <v>91</v>
      </c>
      <c r="F152" s="190" t="s">
        <v>91</v>
      </c>
      <c r="G152" s="78"/>
    </row>
    <row r="153" spans="1:18" x14ac:dyDescent="0.2">
      <c r="A153" s="4" t="s">
        <v>92</v>
      </c>
      <c r="B153" s="187" t="s">
        <v>133</v>
      </c>
      <c r="C153" s="187" t="s">
        <v>133</v>
      </c>
      <c r="D153" s="187" t="s">
        <v>133</v>
      </c>
      <c r="E153" s="187" t="s">
        <v>133</v>
      </c>
      <c r="F153" s="191" t="s">
        <v>133</v>
      </c>
      <c r="G153" s="78"/>
    </row>
    <row r="154" spans="1:18" x14ac:dyDescent="0.2">
      <c r="A154" s="4" t="s">
        <v>136</v>
      </c>
      <c r="B154" s="73">
        <f>C138/(C145+C147)</f>
        <v>3.0549228402886941</v>
      </c>
      <c r="C154" s="73">
        <f>D138/(D145+D147)</f>
        <v>2.5885369562944902</v>
      </c>
      <c r="D154" s="73">
        <f>E138/(E145+E147)</f>
        <v>2.406269336728164</v>
      </c>
      <c r="E154" s="73">
        <f>F138/(F145+F147)</f>
        <v>3.05805022788766</v>
      </c>
      <c r="F154" s="76">
        <f>G138/(G145+G147)</f>
        <v>3.7112071029461848</v>
      </c>
      <c r="G154" s="78"/>
      <c r="L154" s="78"/>
      <c r="M154" s="78"/>
      <c r="N154" s="78"/>
    </row>
    <row r="155" spans="1:18" x14ac:dyDescent="0.2">
      <c r="A155" s="4" t="s">
        <v>137</v>
      </c>
      <c r="B155" s="73">
        <f>(C135+C137)/(C145+C147)</f>
        <v>3.0549228402886941</v>
      </c>
      <c r="C155" s="73">
        <f>(D135+D137)/(D145+D147)</f>
        <v>2.5885369562944902</v>
      </c>
      <c r="D155" s="73">
        <f>(E135+E137)/(E145+E147)</f>
        <v>2.406269336728164</v>
      </c>
      <c r="E155" s="73">
        <f>(F135+F137)/(F145+F147)</f>
        <v>3.05805022788766</v>
      </c>
      <c r="F155" s="76">
        <f>(G135+G137)/(G145+G147)</f>
        <v>3.7112071029461848</v>
      </c>
      <c r="L155" s="78"/>
      <c r="M155" s="78"/>
      <c r="N155" s="78"/>
      <c r="O155" s="78"/>
      <c r="P155" s="78"/>
    </row>
    <row r="156" spans="1:18" x14ac:dyDescent="0.2">
      <c r="A156" s="4" t="s">
        <v>138</v>
      </c>
      <c r="B156" s="75">
        <f>C148/C139</f>
        <v>0.70714869760745991</v>
      </c>
      <c r="C156" s="75">
        <f>D148/D139</f>
        <v>0.73313785872055992</v>
      </c>
      <c r="D156" s="75">
        <f>E148/E139</f>
        <v>0.57943636580389435</v>
      </c>
      <c r="E156" s="75">
        <f>F148/F139</f>
        <v>0.40867264791575991</v>
      </c>
      <c r="F156" s="77">
        <f>G148/G139</f>
        <v>0.29794065735786002</v>
      </c>
      <c r="L156" s="78"/>
      <c r="M156" s="78"/>
      <c r="N156" s="78"/>
      <c r="O156" s="78"/>
      <c r="P156" s="78"/>
      <c r="Q156" s="78"/>
    </row>
    <row r="157" spans="1:18" x14ac:dyDescent="0.2">
      <c r="A157" s="4" t="s">
        <v>139</v>
      </c>
      <c r="B157" s="75">
        <f>B115/B96</f>
        <v>7.1922124768375562E-2</v>
      </c>
      <c r="C157" s="75">
        <f>D115/D96</f>
        <v>0.10552900241949363</v>
      </c>
      <c r="D157" s="75">
        <f>F115/F96</f>
        <v>0.12652338230675222</v>
      </c>
      <c r="E157" s="75">
        <f>H115/H96</f>
        <v>0.14660507728544306</v>
      </c>
      <c r="F157" s="77">
        <f>J115/J96</f>
        <v>0.16658748515017313</v>
      </c>
    </row>
    <row r="158" spans="1:18" ht="17" thickBot="1" x14ac:dyDescent="0.25">
      <c r="A158" s="3" t="s">
        <v>140</v>
      </c>
      <c r="B158" s="79">
        <f>B115/C140</f>
        <v>2.3055500160000006</v>
      </c>
      <c r="C158" s="79">
        <f>D115/D140</f>
        <v>13.899013850666668</v>
      </c>
      <c r="D158" s="79">
        <f>F115/E140</f>
        <v>35.359658351111115</v>
      </c>
      <c r="E158" s="79">
        <f>H115/F140</f>
        <v>44.687455953777786</v>
      </c>
      <c r="F158" s="80">
        <f>J115/G140</f>
        <v>58.705540825244441</v>
      </c>
    </row>
  </sheetData>
  <pageMargins left="0.7" right="0.7" top="0.75" bottom="0.75" header="0.3" footer="0.3"/>
  <pageSetup paperSize="9" orientation="portrait" horizontalDpi="0" verticalDpi="0"/>
  <ignoredErrors>
    <ignoredError sqref="C108:C109" formula="1"/>
  </ignoredErrors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1:E121"/>
  <sheetViews>
    <sheetView topLeftCell="A88" workbookViewId="0">
      <selection activeCell="J127" sqref="J127"/>
    </sheetView>
  </sheetViews>
  <sheetFormatPr baseColWidth="10" defaultRowHeight="16" x14ac:dyDescent="0.2"/>
  <cols>
    <col min="1" max="1" width="12.6640625" bestFit="1" customWidth="1"/>
    <col min="2" max="2" width="17.1640625" bestFit="1" customWidth="1"/>
    <col min="3" max="3" width="15.6640625" bestFit="1" customWidth="1"/>
    <col min="4" max="4" width="14.33203125" bestFit="1" customWidth="1"/>
    <col min="5" max="5" width="11.83203125" bestFit="1" customWidth="1"/>
  </cols>
  <sheetData>
    <row r="1" spans="1:5" ht="17" thickBot="1" x14ac:dyDescent="0.25">
      <c r="A1" s="199" t="s">
        <v>172</v>
      </c>
      <c r="B1" s="200" t="s">
        <v>9</v>
      </c>
      <c r="C1" s="200" t="s">
        <v>173</v>
      </c>
      <c r="D1" s="200" t="s">
        <v>174</v>
      </c>
      <c r="E1" s="201" t="s">
        <v>175</v>
      </c>
    </row>
    <row r="2" spans="1:5" x14ac:dyDescent="0.2">
      <c r="A2" s="197">
        <v>44562</v>
      </c>
      <c r="B2" s="193">
        <f>SUM(C2:C121)-C2</f>
        <v>602973</v>
      </c>
      <c r="C2" s="193">
        <f>D2+E2</f>
        <v>5067</v>
      </c>
      <c r="D2" s="193">
        <v>2067</v>
      </c>
      <c r="E2" s="192">
        <v>3000</v>
      </c>
    </row>
    <row r="3" spans="1:5" x14ac:dyDescent="0.2">
      <c r="A3" s="215">
        <v>44593</v>
      </c>
      <c r="B3" s="57">
        <f>B2-C3</f>
        <v>597906</v>
      </c>
      <c r="C3" s="57">
        <f>D3+E3</f>
        <v>5067</v>
      </c>
      <c r="D3" s="57">
        <v>2083</v>
      </c>
      <c r="E3" s="62">
        <v>2984</v>
      </c>
    </row>
    <row r="4" spans="1:5" x14ac:dyDescent="0.2">
      <c r="A4" s="197">
        <v>44621</v>
      </c>
      <c r="B4" s="57">
        <f t="shared" ref="B4:B67" si="0">B3-C4</f>
        <v>592839</v>
      </c>
      <c r="C4" s="57">
        <f t="shared" ref="C4:C67" si="1">D4+E4</f>
        <v>5067</v>
      </c>
      <c r="D4" s="193">
        <v>2099</v>
      </c>
      <c r="E4" s="192">
        <v>2968</v>
      </c>
    </row>
    <row r="5" spans="1:5" x14ac:dyDescent="0.2">
      <c r="A5" s="215">
        <v>44652</v>
      </c>
      <c r="B5" s="57">
        <f t="shared" si="0"/>
        <v>587772</v>
      </c>
      <c r="C5" s="57">
        <f t="shared" si="1"/>
        <v>5067</v>
      </c>
      <c r="D5" s="57">
        <v>2115</v>
      </c>
      <c r="E5" s="62">
        <v>2952</v>
      </c>
    </row>
    <row r="6" spans="1:5" x14ac:dyDescent="0.2">
      <c r="A6" s="197">
        <v>44682</v>
      </c>
      <c r="B6" s="57">
        <f t="shared" si="0"/>
        <v>582705</v>
      </c>
      <c r="C6" s="57">
        <f t="shared" si="1"/>
        <v>5067</v>
      </c>
      <c r="D6" s="193">
        <v>2131</v>
      </c>
      <c r="E6" s="192">
        <v>2936</v>
      </c>
    </row>
    <row r="7" spans="1:5" x14ac:dyDescent="0.2">
      <c r="A7" s="215">
        <v>44713</v>
      </c>
      <c r="B7" s="57">
        <f t="shared" si="0"/>
        <v>577638</v>
      </c>
      <c r="C7" s="57">
        <f t="shared" si="1"/>
        <v>5067</v>
      </c>
      <c r="D7" s="57">
        <v>2147</v>
      </c>
      <c r="E7" s="62">
        <v>2920</v>
      </c>
    </row>
    <row r="8" spans="1:5" x14ac:dyDescent="0.2">
      <c r="A8" s="197">
        <v>44743</v>
      </c>
      <c r="B8" s="57">
        <f t="shared" si="0"/>
        <v>572571</v>
      </c>
      <c r="C8" s="57">
        <f t="shared" si="1"/>
        <v>5067</v>
      </c>
      <c r="D8" s="193">
        <v>2163</v>
      </c>
      <c r="E8" s="192">
        <v>2904</v>
      </c>
    </row>
    <row r="9" spans="1:5" x14ac:dyDescent="0.2">
      <c r="A9" s="215">
        <v>44774</v>
      </c>
      <c r="B9" s="57">
        <f t="shared" si="0"/>
        <v>567504</v>
      </c>
      <c r="C9" s="57">
        <f t="shared" si="1"/>
        <v>5067</v>
      </c>
      <c r="D9" s="57">
        <v>2179</v>
      </c>
      <c r="E9" s="62">
        <v>2888</v>
      </c>
    </row>
    <row r="10" spans="1:5" x14ac:dyDescent="0.2">
      <c r="A10" s="197">
        <v>44805</v>
      </c>
      <c r="B10" s="57">
        <f t="shared" si="0"/>
        <v>562437</v>
      </c>
      <c r="C10" s="57">
        <f t="shared" si="1"/>
        <v>5067</v>
      </c>
      <c r="D10" s="193">
        <v>2195</v>
      </c>
      <c r="E10" s="192">
        <v>2872</v>
      </c>
    </row>
    <row r="11" spans="1:5" x14ac:dyDescent="0.2">
      <c r="A11" s="215">
        <v>44835</v>
      </c>
      <c r="B11" s="57">
        <f t="shared" si="0"/>
        <v>557370</v>
      </c>
      <c r="C11" s="57">
        <f t="shared" si="1"/>
        <v>5067</v>
      </c>
      <c r="D11" s="57">
        <v>2211</v>
      </c>
      <c r="E11" s="62">
        <v>2856</v>
      </c>
    </row>
    <row r="12" spans="1:5" x14ac:dyDescent="0.2">
      <c r="A12" s="197">
        <v>44866</v>
      </c>
      <c r="B12" s="57">
        <f t="shared" si="0"/>
        <v>552303</v>
      </c>
      <c r="C12" s="57">
        <f t="shared" si="1"/>
        <v>5067</v>
      </c>
      <c r="D12" s="193">
        <v>2227</v>
      </c>
      <c r="E12" s="192">
        <v>2840</v>
      </c>
    </row>
    <row r="13" spans="1:5" x14ac:dyDescent="0.2">
      <c r="A13" s="215">
        <v>44896</v>
      </c>
      <c r="B13" s="57">
        <f t="shared" si="0"/>
        <v>547236</v>
      </c>
      <c r="C13" s="57">
        <f t="shared" si="1"/>
        <v>5067</v>
      </c>
      <c r="D13" s="57">
        <v>2243</v>
      </c>
      <c r="E13" s="62">
        <v>2824</v>
      </c>
    </row>
    <row r="14" spans="1:5" x14ac:dyDescent="0.2">
      <c r="A14" s="197">
        <v>44927</v>
      </c>
      <c r="B14" s="57">
        <f t="shared" si="0"/>
        <v>542169</v>
      </c>
      <c r="C14" s="57">
        <f t="shared" si="1"/>
        <v>5067</v>
      </c>
      <c r="D14" s="193">
        <v>2259</v>
      </c>
      <c r="E14" s="192">
        <v>2808</v>
      </c>
    </row>
    <row r="15" spans="1:5" x14ac:dyDescent="0.2">
      <c r="A15" s="215">
        <v>44958</v>
      </c>
      <c r="B15" s="57">
        <f t="shared" si="0"/>
        <v>537102</v>
      </c>
      <c r="C15" s="57">
        <f t="shared" si="1"/>
        <v>5067</v>
      </c>
      <c r="D15" s="57">
        <v>2275</v>
      </c>
      <c r="E15" s="62">
        <v>2792</v>
      </c>
    </row>
    <row r="16" spans="1:5" x14ac:dyDescent="0.2">
      <c r="A16" s="197">
        <v>44986</v>
      </c>
      <c r="B16" s="57">
        <f t="shared" si="0"/>
        <v>532035</v>
      </c>
      <c r="C16" s="57">
        <f t="shared" si="1"/>
        <v>5067</v>
      </c>
      <c r="D16" s="193">
        <v>2291</v>
      </c>
      <c r="E16" s="192">
        <v>2776</v>
      </c>
    </row>
    <row r="17" spans="1:5" x14ac:dyDescent="0.2">
      <c r="A17" s="215">
        <v>45017</v>
      </c>
      <c r="B17" s="57">
        <f t="shared" si="0"/>
        <v>526968</v>
      </c>
      <c r="C17" s="57">
        <f t="shared" si="1"/>
        <v>5067</v>
      </c>
      <c r="D17" s="57">
        <v>2307</v>
      </c>
      <c r="E17" s="62">
        <v>2760</v>
      </c>
    </row>
    <row r="18" spans="1:5" x14ac:dyDescent="0.2">
      <c r="A18" s="197">
        <v>45047</v>
      </c>
      <c r="B18" s="57">
        <f t="shared" si="0"/>
        <v>521901</v>
      </c>
      <c r="C18" s="57">
        <f t="shared" si="1"/>
        <v>5067</v>
      </c>
      <c r="D18" s="193">
        <v>2323</v>
      </c>
      <c r="E18" s="192">
        <v>2744</v>
      </c>
    </row>
    <row r="19" spans="1:5" x14ac:dyDescent="0.2">
      <c r="A19" s="215">
        <v>45078</v>
      </c>
      <c r="B19" s="57">
        <f t="shared" si="0"/>
        <v>516834</v>
      </c>
      <c r="C19" s="57">
        <f t="shared" si="1"/>
        <v>5067</v>
      </c>
      <c r="D19" s="57">
        <v>2339</v>
      </c>
      <c r="E19" s="62">
        <v>2728</v>
      </c>
    </row>
    <row r="20" spans="1:5" x14ac:dyDescent="0.2">
      <c r="A20" s="197">
        <v>45108</v>
      </c>
      <c r="B20" s="57">
        <f t="shared" si="0"/>
        <v>511767</v>
      </c>
      <c r="C20" s="57">
        <f t="shared" si="1"/>
        <v>5067</v>
      </c>
      <c r="D20" s="193">
        <v>2355</v>
      </c>
      <c r="E20" s="192">
        <v>2712</v>
      </c>
    </row>
    <row r="21" spans="1:5" x14ac:dyDescent="0.2">
      <c r="A21" s="215">
        <v>45139</v>
      </c>
      <c r="B21" s="57">
        <f t="shared" si="0"/>
        <v>506700</v>
      </c>
      <c r="C21" s="57">
        <f t="shared" si="1"/>
        <v>5067</v>
      </c>
      <c r="D21" s="57">
        <v>2371</v>
      </c>
      <c r="E21" s="62">
        <v>2696</v>
      </c>
    </row>
    <row r="22" spans="1:5" x14ac:dyDescent="0.2">
      <c r="A22" s="197">
        <v>45170</v>
      </c>
      <c r="B22" s="57">
        <f t="shared" si="0"/>
        <v>501633</v>
      </c>
      <c r="C22" s="57">
        <f t="shared" si="1"/>
        <v>5067</v>
      </c>
      <c r="D22" s="193">
        <v>2387</v>
      </c>
      <c r="E22" s="192">
        <v>2680</v>
      </c>
    </row>
    <row r="23" spans="1:5" x14ac:dyDescent="0.2">
      <c r="A23" s="215">
        <v>45200</v>
      </c>
      <c r="B23" s="57">
        <f t="shared" si="0"/>
        <v>496566</v>
      </c>
      <c r="C23" s="57">
        <f t="shared" si="1"/>
        <v>5067</v>
      </c>
      <c r="D23" s="57">
        <v>2403</v>
      </c>
      <c r="E23" s="62">
        <v>2664</v>
      </c>
    </row>
    <row r="24" spans="1:5" x14ac:dyDescent="0.2">
      <c r="A24" s="197">
        <v>45231</v>
      </c>
      <c r="B24" s="57">
        <f t="shared" si="0"/>
        <v>491499</v>
      </c>
      <c r="C24" s="57">
        <f t="shared" si="1"/>
        <v>5067</v>
      </c>
      <c r="D24" s="193">
        <v>2419</v>
      </c>
      <c r="E24" s="192">
        <v>2648</v>
      </c>
    </row>
    <row r="25" spans="1:5" x14ac:dyDescent="0.2">
      <c r="A25" s="215">
        <v>45261</v>
      </c>
      <c r="B25" s="57">
        <f t="shared" si="0"/>
        <v>486432</v>
      </c>
      <c r="C25" s="57">
        <f t="shared" si="1"/>
        <v>5067</v>
      </c>
      <c r="D25" s="57">
        <v>2435</v>
      </c>
      <c r="E25" s="62">
        <v>2632</v>
      </c>
    </row>
    <row r="26" spans="1:5" x14ac:dyDescent="0.2">
      <c r="A26" s="197">
        <v>45292</v>
      </c>
      <c r="B26" s="57">
        <f t="shared" si="0"/>
        <v>481365</v>
      </c>
      <c r="C26" s="57">
        <f t="shared" si="1"/>
        <v>5067</v>
      </c>
      <c r="D26" s="193">
        <v>2451</v>
      </c>
      <c r="E26" s="192">
        <v>2616</v>
      </c>
    </row>
    <row r="27" spans="1:5" x14ac:dyDescent="0.2">
      <c r="A27" s="215">
        <v>45323</v>
      </c>
      <c r="B27" s="57">
        <f t="shared" si="0"/>
        <v>476298</v>
      </c>
      <c r="C27" s="57">
        <f t="shared" si="1"/>
        <v>5067</v>
      </c>
      <c r="D27" s="57">
        <v>2467</v>
      </c>
      <c r="E27" s="62">
        <v>2600</v>
      </c>
    </row>
    <row r="28" spans="1:5" x14ac:dyDescent="0.2">
      <c r="A28" s="197">
        <v>45352</v>
      </c>
      <c r="B28" s="57">
        <f t="shared" si="0"/>
        <v>471231</v>
      </c>
      <c r="C28" s="57">
        <f t="shared" si="1"/>
        <v>5067</v>
      </c>
      <c r="D28" s="193">
        <v>2483</v>
      </c>
      <c r="E28" s="192">
        <v>2584</v>
      </c>
    </row>
    <row r="29" spans="1:5" x14ac:dyDescent="0.2">
      <c r="A29" s="215">
        <v>45383</v>
      </c>
      <c r="B29" s="57">
        <f t="shared" si="0"/>
        <v>466164</v>
      </c>
      <c r="C29" s="57">
        <f t="shared" si="1"/>
        <v>5067</v>
      </c>
      <c r="D29" s="57">
        <v>2499</v>
      </c>
      <c r="E29" s="62">
        <v>2568</v>
      </c>
    </row>
    <row r="30" spans="1:5" x14ac:dyDescent="0.2">
      <c r="A30" s="197">
        <v>45413</v>
      </c>
      <c r="B30" s="57">
        <f t="shared" si="0"/>
        <v>461097</v>
      </c>
      <c r="C30" s="57">
        <f t="shared" si="1"/>
        <v>5067</v>
      </c>
      <c r="D30" s="193">
        <v>2515</v>
      </c>
      <c r="E30" s="192">
        <v>2552</v>
      </c>
    </row>
    <row r="31" spans="1:5" x14ac:dyDescent="0.2">
      <c r="A31" s="215">
        <v>45444</v>
      </c>
      <c r="B31" s="57">
        <f t="shared" si="0"/>
        <v>456030</v>
      </c>
      <c r="C31" s="57">
        <f t="shared" si="1"/>
        <v>5067</v>
      </c>
      <c r="D31" s="57">
        <v>2531</v>
      </c>
      <c r="E31" s="62">
        <v>2536</v>
      </c>
    </row>
    <row r="32" spans="1:5" x14ac:dyDescent="0.2">
      <c r="A32" s="197">
        <v>45474</v>
      </c>
      <c r="B32" s="57">
        <f t="shared" si="0"/>
        <v>450963</v>
      </c>
      <c r="C32" s="57">
        <f t="shared" si="1"/>
        <v>5067</v>
      </c>
      <c r="D32" s="193">
        <v>2547</v>
      </c>
      <c r="E32" s="192">
        <v>2520</v>
      </c>
    </row>
    <row r="33" spans="1:5" x14ac:dyDescent="0.2">
      <c r="A33" s="215">
        <v>45505</v>
      </c>
      <c r="B33" s="57">
        <f t="shared" si="0"/>
        <v>445896</v>
      </c>
      <c r="C33" s="57">
        <f t="shared" si="1"/>
        <v>5067</v>
      </c>
      <c r="D33" s="57">
        <v>2563</v>
      </c>
      <c r="E33" s="192">
        <v>2504</v>
      </c>
    </row>
    <row r="34" spans="1:5" x14ac:dyDescent="0.2">
      <c r="A34" s="197">
        <v>45536</v>
      </c>
      <c r="B34" s="57">
        <f t="shared" si="0"/>
        <v>440829</v>
      </c>
      <c r="C34" s="57">
        <f t="shared" si="1"/>
        <v>5067</v>
      </c>
      <c r="D34" s="193">
        <v>2579</v>
      </c>
      <c r="E34" s="62">
        <v>2488</v>
      </c>
    </row>
    <row r="35" spans="1:5" x14ac:dyDescent="0.2">
      <c r="A35" s="215">
        <v>45566</v>
      </c>
      <c r="B35" s="57">
        <f t="shared" si="0"/>
        <v>435762</v>
      </c>
      <c r="C35" s="57">
        <f t="shared" si="1"/>
        <v>5067</v>
      </c>
      <c r="D35" s="57">
        <v>2595</v>
      </c>
      <c r="E35" s="192">
        <v>2472</v>
      </c>
    </row>
    <row r="36" spans="1:5" x14ac:dyDescent="0.2">
      <c r="A36" s="197">
        <v>45597</v>
      </c>
      <c r="B36" s="57">
        <f t="shared" si="0"/>
        <v>430695</v>
      </c>
      <c r="C36" s="57">
        <f t="shared" si="1"/>
        <v>5067</v>
      </c>
      <c r="D36" s="193">
        <v>2611</v>
      </c>
      <c r="E36" s="62">
        <v>2456</v>
      </c>
    </row>
    <row r="37" spans="1:5" x14ac:dyDescent="0.2">
      <c r="A37" s="215">
        <v>45627</v>
      </c>
      <c r="B37" s="57">
        <f t="shared" si="0"/>
        <v>425628</v>
      </c>
      <c r="C37" s="57">
        <f t="shared" si="1"/>
        <v>5067</v>
      </c>
      <c r="D37" s="57">
        <v>2627</v>
      </c>
      <c r="E37" s="192">
        <v>2440</v>
      </c>
    </row>
    <row r="38" spans="1:5" x14ac:dyDescent="0.2">
      <c r="A38" s="197">
        <v>45658</v>
      </c>
      <c r="B38" s="57">
        <f t="shared" si="0"/>
        <v>420561</v>
      </c>
      <c r="C38" s="57">
        <f t="shared" si="1"/>
        <v>5067</v>
      </c>
      <c r="D38" s="193">
        <v>2643</v>
      </c>
      <c r="E38" s="62">
        <v>2424</v>
      </c>
    </row>
    <row r="39" spans="1:5" x14ac:dyDescent="0.2">
      <c r="A39" s="197">
        <v>45689</v>
      </c>
      <c r="B39" s="57">
        <f>B38-C39</f>
        <v>415494</v>
      </c>
      <c r="C39" s="57">
        <f t="shared" si="1"/>
        <v>5067</v>
      </c>
      <c r="D39" s="57">
        <v>2659</v>
      </c>
      <c r="E39" s="192">
        <v>2408</v>
      </c>
    </row>
    <row r="40" spans="1:5" x14ac:dyDescent="0.2">
      <c r="A40" s="215">
        <v>45717</v>
      </c>
      <c r="B40" s="57">
        <f t="shared" si="0"/>
        <v>410427</v>
      </c>
      <c r="C40" s="57">
        <f t="shared" si="1"/>
        <v>5067</v>
      </c>
      <c r="D40" s="193">
        <v>2675</v>
      </c>
      <c r="E40" s="62">
        <v>2392</v>
      </c>
    </row>
    <row r="41" spans="1:5" x14ac:dyDescent="0.2">
      <c r="A41" s="197">
        <v>45748</v>
      </c>
      <c r="B41" s="57">
        <f t="shared" si="0"/>
        <v>405360</v>
      </c>
      <c r="C41" s="57">
        <f t="shared" si="1"/>
        <v>5067</v>
      </c>
      <c r="D41" s="57">
        <v>2691</v>
      </c>
      <c r="E41" s="192">
        <v>2376</v>
      </c>
    </row>
    <row r="42" spans="1:5" x14ac:dyDescent="0.2">
      <c r="A42" s="215">
        <v>45778</v>
      </c>
      <c r="B42" s="57">
        <f t="shared" si="0"/>
        <v>400293</v>
      </c>
      <c r="C42" s="57">
        <f t="shared" si="1"/>
        <v>5067</v>
      </c>
      <c r="D42" s="193">
        <v>2707</v>
      </c>
      <c r="E42" s="62">
        <v>2360</v>
      </c>
    </row>
    <row r="43" spans="1:5" x14ac:dyDescent="0.2">
      <c r="A43" s="197">
        <v>45809</v>
      </c>
      <c r="B43" s="57">
        <f t="shared" si="0"/>
        <v>395226</v>
      </c>
      <c r="C43" s="57">
        <f t="shared" si="1"/>
        <v>5067</v>
      </c>
      <c r="D43" s="57">
        <v>2723</v>
      </c>
      <c r="E43" s="192">
        <v>2344</v>
      </c>
    </row>
    <row r="44" spans="1:5" x14ac:dyDescent="0.2">
      <c r="A44" s="215">
        <v>45839</v>
      </c>
      <c r="B44" s="57">
        <f t="shared" si="0"/>
        <v>390159</v>
      </c>
      <c r="C44" s="57">
        <f t="shared" si="1"/>
        <v>5067</v>
      </c>
      <c r="D44" s="193">
        <v>2739</v>
      </c>
      <c r="E44" s="62">
        <v>2328</v>
      </c>
    </row>
    <row r="45" spans="1:5" x14ac:dyDescent="0.2">
      <c r="A45" s="197">
        <v>45870</v>
      </c>
      <c r="B45" s="57">
        <f t="shared" si="0"/>
        <v>385092</v>
      </c>
      <c r="C45" s="57">
        <f t="shared" si="1"/>
        <v>5067</v>
      </c>
      <c r="D45" s="57">
        <v>2755</v>
      </c>
      <c r="E45" s="192">
        <v>2312</v>
      </c>
    </row>
    <row r="46" spans="1:5" x14ac:dyDescent="0.2">
      <c r="A46" s="215">
        <v>45901</v>
      </c>
      <c r="B46" s="57">
        <f t="shared" si="0"/>
        <v>380025</v>
      </c>
      <c r="C46" s="57">
        <f t="shared" si="1"/>
        <v>5067</v>
      </c>
      <c r="D46" s="193">
        <v>2771</v>
      </c>
      <c r="E46" s="62">
        <v>2296</v>
      </c>
    </row>
    <row r="47" spans="1:5" x14ac:dyDescent="0.2">
      <c r="A47" s="197">
        <v>45931</v>
      </c>
      <c r="B47" s="57">
        <f t="shared" si="0"/>
        <v>374958</v>
      </c>
      <c r="C47" s="57">
        <f t="shared" si="1"/>
        <v>5067</v>
      </c>
      <c r="D47" s="57">
        <v>2787</v>
      </c>
      <c r="E47" s="192">
        <v>2280</v>
      </c>
    </row>
    <row r="48" spans="1:5" x14ac:dyDescent="0.2">
      <c r="A48" s="215">
        <v>45962</v>
      </c>
      <c r="B48" s="57">
        <f t="shared" si="0"/>
        <v>369891</v>
      </c>
      <c r="C48" s="57">
        <f t="shared" si="1"/>
        <v>5067</v>
      </c>
      <c r="D48" s="193">
        <v>2803</v>
      </c>
      <c r="E48" s="62">
        <v>2264</v>
      </c>
    </row>
    <row r="49" spans="1:5" x14ac:dyDescent="0.2">
      <c r="A49" s="197">
        <v>45992</v>
      </c>
      <c r="B49" s="57">
        <f t="shared" si="0"/>
        <v>364824</v>
      </c>
      <c r="C49" s="57">
        <f t="shared" si="1"/>
        <v>5067</v>
      </c>
      <c r="D49" s="57">
        <v>2819</v>
      </c>
      <c r="E49" s="192">
        <v>2248</v>
      </c>
    </row>
    <row r="50" spans="1:5" x14ac:dyDescent="0.2">
      <c r="A50" s="215">
        <v>46023</v>
      </c>
      <c r="B50" s="57">
        <f t="shared" si="0"/>
        <v>359757</v>
      </c>
      <c r="C50" s="57">
        <f t="shared" si="1"/>
        <v>5067</v>
      </c>
      <c r="D50" s="193">
        <v>2835</v>
      </c>
      <c r="E50" s="62">
        <v>2232</v>
      </c>
    </row>
    <row r="51" spans="1:5" x14ac:dyDescent="0.2">
      <c r="A51" s="197">
        <v>46054</v>
      </c>
      <c r="B51" s="57">
        <f t="shared" si="0"/>
        <v>354690</v>
      </c>
      <c r="C51" s="57">
        <f t="shared" si="1"/>
        <v>5067</v>
      </c>
      <c r="D51" s="57">
        <v>2851</v>
      </c>
      <c r="E51" s="192">
        <v>2216</v>
      </c>
    </row>
    <row r="52" spans="1:5" x14ac:dyDescent="0.2">
      <c r="A52" s="215">
        <v>46082</v>
      </c>
      <c r="B52" s="57">
        <f t="shared" si="0"/>
        <v>349623</v>
      </c>
      <c r="C52" s="57">
        <f t="shared" si="1"/>
        <v>5067</v>
      </c>
      <c r="D52" s="193">
        <v>2867</v>
      </c>
      <c r="E52" s="62">
        <v>2200</v>
      </c>
    </row>
    <row r="53" spans="1:5" x14ac:dyDescent="0.2">
      <c r="A53" s="197">
        <v>46113</v>
      </c>
      <c r="B53" s="57">
        <f t="shared" si="0"/>
        <v>344556</v>
      </c>
      <c r="C53" s="57">
        <f t="shared" si="1"/>
        <v>5067</v>
      </c>
      <c r="D53" s="57">
        <v>2883</v>
      </c>
      <c r="E53" s="192">
        <v>2184</v>
      </c>
    </row>
    <row r="54" spans="1:5" x14ac:dyDescent="0.2">
      <c r="A54" s="215">
        <v>46143</v>
      </c>
      <c r="B54" s="57">
        <f t="shared" si="0"/>
        <v>339489</v>
      </c>
      <c r="C54" s="57">
        <f t="shared" si="1"/>
        <v>5067</v>
      </c>
      <c r="D54" s="193">
        <v>2899</v>
      </c>
      <c r="E54" s="62">
        <v>2168</v>
      </c>
    </row>
    <row r="55" spans="1:5" x14ac:dyDescent="0.2">
      <c r="A55" s="197">
        <v>46174</v>
      </c>
      <c r="B55" s="57">
        <f t="shared" si="0"/>
        <v>334422</v>
      </c>
      <c r="C55" s="57">
        <f t="shared" si="1"/>
        <v>5067</v>
      </c>
      <c r="D55" s="57">
        <v>2915</v>
      </c>
      <c r="E55" s="192">
        <v>2152</v>
      </c>
    </row>
    <row r="56" spans="1:5" x14ac:dyDescent="0.2">
      <c r="A56" s="215">
        <v>46204</v>
      </c>
      <c r="B56" s="57">
        <f t="shared" si="0"/>
        <v>329355</v>
      </c>
      <c r="C56" s="57">
        <f t="shared" si="1"/>
        <v>5067</v>
      </c>
      <c r="D56" s="193">
        <v>2931</v>
      </c>
      <c r="E56" s="62">
        <v>2136</v>
      </c>
    </row>
    <row r="57" spans="1:5" x14ac:dyDescent="0.2">
      <c r="A57" s="197">
        <v>46235</v>
      </c>
      <c r="B57" s="57">
        <f t="shared" si="0"/>
        <v>324288</v>
      </c>
      <c r="C57" s="57">
        <f t="shared" si="1"/>
        <v>5067</v>
      </c>
      <c r="D57" s="57">
        <v>2947</v>
      </c>
      <c r="E57" s="192">
        <v>2120</v>
      </c>
    </row>
    <row r="58" spans="1:5" x14ac:dyDescent="0.2">
      <c r="A58" s="215">
        <v>46266</v>
      </c>
      <c r="B58" s="57">
        <f t="shared" si="0"/>
        <v>319221</v>
      </c>
      <c r="C58" s="57">
        <f t="shared" si="1"/>
        <v>5067</v>
      </c>
      <c r="D58" s="193">
        <v>2963</v>
      </c>
      <c r="E58" s="62">
        <v>2104</v>
      </c>
    </row>
    <row r="59" spans="1:5" x14ac:dyDescent="0.2">
      <c r="A59" s="197">
        <v>46296</v>
      </c>
      <c r="B59" s="57">
        <f t="shared" si="0"/>
        <v>314154</v>
      </c>
      <c r="C59" s="57">
        <f t="shared" si="1"/>
        <v>5067</v>
      </c>
      <c r="D59" s="57">
        <v>2979</v>
      </c>
      <c r="E59" s="192">
        <v>2088</v>
      </c>
    </row>
    <row r="60" spans="1:5" x14ac:dyDescent="0.2">
      <c r="A60" s="215">
        <v>46327</v>
      </c>
      <c r="B60" s="57">
        <f t="shared" si="0"/>
        <v>309087</v>
      </c>
      <c r="C60" s="57">
        <f t="shared" si="1"/>
        <v>5067</v>
      </c>
      <c r="D60" s="193">
        <v>2995</v>
      </c>
      <c r="E60" s="62">
        <v>2072</v>
      </c>
    </row>
    <row r="61" spans="1:5" x14ac:dyDescent="0.2">
      <c r="A61" s="197">
        <v>46357</v>
      </c>
      <c r="B61" s="57">
        <f t="shared" si="0"/>
        <v>304020</v>
      </c>
      <c r="C61" s="57">
        <f t="shared" si="1"/>
        <v>5067</v>
      </c>
      <c r="D61" s="57">
        <v>3011</v>
      </c>
      <c r="E61" s="192">
        <v>2056</v>
      </c>
    </row>
    <row r="62" spans="1:5" x14ac:dyDescent="0.2">
      <c r="A62" s="215">
        <v>46388</v>
      </c>
      <c r="B62" s="57">
        <f t="shared" si="0"/>
        <v>298953</v>
      </c>
      <c r="C62" s="57">
        <f t="shared" si="1"/>
        <v>5067</v>
      </c>
      <c r="D62" s="193">
        <v>3027</v>
      </c>
      <c r="E62" s="62">
        <v>2040</v>
      </c>
    </row>
    <row r="63" spans="1:5" x14ac:dyDescent="0.2">
      <c r="A63" s="197">
        <v>46419</v>
      </c>
      <c r="B63" s="57">
        <f t="shared" si="0"/>
        <v>293886</v>
      </c>
      <c r="C63" s="57">
        <f t="shared" si="1"/>
        <v>5067</v>
      </c>
      <c r="D63" s="57">
        <v>3043</v>
      </c>
      <c r="E63" s="192">
        <v>2024</v>
      </c>
    </row>
    <row r="64" spans="1:5" x14ac:dyDescent="0.2">
      <c r="A64" s="215">
        <v>46447</v>
      </c>
      <c r="B64" s="57">
        <f t="shared" si="0"/>
        <v>288819</v>
      </c>
      <c r="C64" s="57">
        <f t="shared" si="1"/>
        <v>5067</v>
      </c>
      <c r="D64" s="193">
        <v>3059</v>
      </c>
      <c r="E64" s="62">
        <v>2008</v>
      </c>
    </row>
    <row r="65" spans="1:5" x14ac:dyDescent="0.2">
      <c r="A65" s="197">
        <v>46478</v>
      </c>
      <c r="B65" s="57">
        <f t="shared" si="0"/>
        <v>283752</v>
      </c>
      <c r="C65" s="57">
        <f t="shared" si="1"/>
        <v>5067</v>
      </c>
      <c r="D65" s="57">
        <v>3075</v>
      </c>
      <c r="E65" s="192">
        <v>1992</v>
      </c>
    </row>
    <row r="66" spans="1:5" x14ac:dyDescent="0.2">
      <c r="A66" s="215">
        <v>46508</v>
      </c>
      <c r="B66" s="57">
        <f t="shared" si="0"/>
        <v>278685</v>
      </c>
      <c r="C66" s="57">
        <f t="shared" si="1"/>
        <v>5067</v>
      </c>
      <c r="D66" s="193">
        <v>3091</v>
      </c>
      <c r="E66" s="62">
        <v>1976</v>
      </c>
    </row>
    <row r="67" spans="1:5" x14ac:dyDescent="0.2">
      <c r="A67" s="197">
        <v>46539</v>
      </c>
      <c r="B67" s="57">
        <f t="shared" si="0"/>
        <v>273618</v>
      </c>
      <c r="C67" s="57">
        <f t="shared" si="1"/>
        <v>5067</v>
      </c>
      <c r="D67" s="57">
        <v>3107</v>
      </c>
      <c r="E67" s="192">
        <v>1960</v>
      </c>
    </row>
    <row r="68" spans="1:5" x14ac:dyDescent="0.2">
      <c r="A68" s="215">
        <v>46569</v>
      </c>
      <c r="B68" s="57">
        <f t="shared" ref="B68:B121" si="2">B67-C68</f>
        <v>268551</v>
      </c>
      <c r="C68" s="57">
        <f t="shared" ref="C68:C121" si="3">D68+E68</f>
        <v>5067</v>
      </c>
      <c r="D68" s="193">
        <v>3123</v>
      </c>
      <c r="E68" s="62">
        <v>1944</v>
      </c>
    </row>
    <row r="69" spans="1:5" x14ac:dyDescent="0.2">
      <c r="A69" s="197">
        <v>46600</v>
      </c>
      <c r="B69" s="57">
        <f t="shared" si="2"/>
        <v>263484</v>
      </c>
      <c r="C69" s="57">
        <f t="shared" si="3"/>
        <v>5067</v>
      </c>
      <c r="D69" s="57">
        <v>3139</v>
      </c>
      <c r="E69" s="192">
        <v>1928</v>
      </c>
    </row>
    <row r="70" spans="1:5" x14ac:dyDescent="0.2">
      <c r="A70" s="215">
        <v>46631</v>
      </c>
      <c r="B70" s="57">
        <f t="shared" si="2"/>
        <v>258417</v>
      </c>
      <c r="C70" s="57">
        <f t="shared" si="3"/>
        <v>5067</v>
      </c>
      <c r="D70" s="193">
        <v>3155</v>
      </c>
      <c r="E70" s="62">
        <v>1912</v>
      </c>
    </row>
    <row r="71" spans="1:5" x14ac:dyDescent="0.2">
      <c r="A71" s="197">
        <v>46661</v>
      </c>
      <c r="B71" s="57">
        <f t="shared" si="2"/>
        <v>253350</v>
      </c>
      <c r="C71" s="57">
        <f t="shared" si="3"/>
        <v>5067</v>
      </c>
      <c r="D71" s="193">
        <v>3171</v>
      </c>
      <c r="E71" s="192">
        <v>1896</v>
      </c>
    </row>
    <row r="72" spans="1:5" x14ac:dyDescent="0.2">
      <c r="A72" s="215">
        <v>46692</v>
      </c>
      <c r="B72" s="57">
        <f t="shared" si="2"/>
        <v>248283</v>
      </c>
      <c r="C72" s="57">
        <f t="shared" si="3"/>
        <v>5067</v>
      </c>
      <c r="D72" s="57">
        <v>3187</v>
      </c>
      <c r="E72" s="62">
        <v>1880</v>
      </c>
    </row>
    <row r="73" spans="1:5" x14ac:dyDescent="0.2">
      <c r="A73" s="197">
        <v>46722</v>
      </c>
      <c r="B73" s="57">
        <f t="shared" si="2"/>
        <v>243216</v>
      </c>
      <c r="C73" s="57">
        <f t="shared" si="3"/>
        <v>5067</v>
      </c>
      <c r="D73" s="193">
        <v>3203</v>
      </c>
      <c r="E73" s="192">
        <v>1864</v>
      </c>
    </row>
    <row r="74" spans="1:5" x14ac:dyDescent="0.2">
      <c r="A74" s="197">
        <v>46753</v>
      </c>
      <c r="B74" s="57">
        <f t="shared" si="2"/>
        <v>238149</v>
      </c>
      <c r="C74" s="57">
        <f t="shared" si="3"/>
        <v>5067</v>
      </c>
      <c r="D74" s="57">
        <v>3219</v>
      </c>
      <c r="E74" s="62">
        <v>1848</v>
      </c>
    </row>
    <row r="75" spans="1:5" x14ac:dyDescent="0.2">
      <c r="A75" s="215">
        <v>46784</v>
      </c>
      <c r="B75" s="57">
        <f t="shared" si="2"/>
        <v>233082</v>
      </c>
      <c r="C75" s="57">
        <f t="shared" si="3"/>
        <v>5067</v>
      </c>
      <c r="D75" s="193">
        <v>3235</v>
      </c>
      <c r="E75" s="192">
        <v>1832</v>
      </c>
    </row>
    <row r="76" spans="1:5" x14ac:dyDescent="0.2">
      <c r="A76" s="197">
        <v>46813</v>
      </c>
      <c r="B76" s="57">
        <f t="shared" si="2"/>
        <v>228015</v>
      </c>
      <c r="C76" s="57">
        <f t="shared" si="3"/>
        <v>5067</v>
      </c>
      <c r="D76" s="57">
        <v>3251</v>
      </c>
      <c r="E76" s="62">
        <v>1816</v>
      </c>
    </row>
    <row r="77" spans="1:5" x14ac:dyDescent="0.2">
      <c r="A77" s="215">
        <v>46844</v>
      </c>
      <c r="B77" s="57">
        <f t="shared" si="2"/>
        <v>222948</v>
      </c>
      <c r="C77" s="57">
        <f t="shared" si="3"/>
        <v>5067</v>
      </c>
      <c r="D77" s="193">
        <v>3267</v>
      </c>
      <c r="E77" s="192">
        <v>1800</v>
      </c>
    </row>
    <row r="78" spans="1:5" x14ac:dyDescent="0.2">
      <c r="A78" s="197">
        <v>46874</v>
      </c>
      <c r="B78" s="57">
        <f t="shared" si="2"/>
        <v>217881</v>
      </c>
      <c r="C78" s="57">
        <f t="shared" si="3"/>
        <v>5067</v>
      </c>
      <c r="D78" s="57">
        <v>3283</v>
      </c>
      <c r="E78" s="62">
        <v>1784</v>
      </c>
    </row>
    <row r="79" spans="1:5" x14ac:dyDescent="0.2">
      <c r="A79" s="215">
        <v>46905</v>
      </c>
      <c r="B79" s="57">
        <f t="shared" si="2"/>
        <v>212814</v>
      </c>
      <c r="C79" s="57">
        <f t="shared" si="3"/>
        <v>5067</v>
      </c>
      <c r="D79" s="193">
        <v>3299</v>
      </c>
      <c r="E79" s="192">
        <v>1768</v>
      </c>
    </row>
    <row r="80" spans="1:5" x14ac:dyDescent="0.2">
      <c r="A80" s="197">
        <v>46935</v>
      </c>
      <c r="B80" s="57">
        <f t="shared" si="2"/>
        <v>207747</v>
      </c>
      <c r="C80" s="57">
        <f t="shared" si="3"/>
        <v>5067</v>
      </c>
      <c r="D80" s="57">
        <v>3315</v>
      </c>
      <c r="E80" s="62">
        <v>1752</v>
      </c>
    </row>
    <row r="81" spans="1:5" x14ac:dyDescent="0.2">
      <c r="A81" s="215">
        <v>46966</v>
      </c>
      <c r="B81" s="57">
        <f t="shared" si="2"/>
        <v>202680</v>
      </c>
      <c r="C81" s="57">
        <f t="shared" si="3"/>
        <v>5067</v>
      </c>
      <c r="D81" s="193">
        <v>3331</v>
      </c>
      <c r="E81" s="192">
        <v>1736</v>
      </c>
    </row>
    <row r="82" spans="1:5" x14ac:dyDescent="0.2">
      <c r="A82" s="197">
        <v>46997</v>
      </c>
      <c r="B82" s="57">
        <f t="shared" si="2"/>
        <v>197613</v>
      </c>
      <c r="C82" s="57">
        <f t="shared" si="3"/>
        <v>5067</v>
      </c>
      <c r="D82" s="57">
        <v>3347</v>
      </c>
      <c r="E82" s="62">
        <v>1720</v>
      </c>
    </row>
    <row r="83" spans="1:5" x14ac:dyDescent="0.2">
      <c r="A83" s="215">
        <v>47027</v>
      </c>
      <c r="B83" s="57">
        <f t="shared" si="2"/>
        <v>192546</v>
      </c>
      <c r="C83" s="57">
        <f t="shared" si="3"/>
        <v>5067</v>
      </c>
      <c r="D83" s="193">
        <v>3363</v>
      </c>
      <c r="E83" s="192">
        <v>1704</v>
      </c>
    </row>
    <row r="84" spans="1:5" x14ac:dyDescent="0.2">
      <c r="A84" s="197">
        <v>47058</v>
      </c>
      <c r="B84" s="57">
        <f t="shared" si="2"/>
        <v>187479</v>
      </c>
      <c r="C84" s="57">
        <f t="shared" si="3"/>
        <v>5067</v>
      </c>
      <c r="D84" s="57">
        <v>3379</v>
      </c>
      <c r="E84" s="62">
        <v>1688</v>
      </c>
    </row>
    <row r="85" spans="1:5" x14ac:dyDescent="0.2">
      <c r="A85" s="215">
        <v>47088</v>
      </c>
      <c r="B85" s="57">
        <f t="shared" si="2"/>
        <v>182412</v>
      </c>
      <c r="C85" s="57">
        <f t="shared" si="3"/>
        <v>5067</v>
      </c>
      <c r="D85" s="193">
        <v>3395</v>
      </c>
      <c r="E85" s="192">
        <v>1672</v>
      </c>
    </row>
    <row r="86" spans="1:5" x14ac:dyDescent="0.2">
      <c r="A86" s="197">
        <v>47119</v>
      </c>
      <c r="B86" s="57">
        <f t="shared" si="2"/>
        <v>177345</v>
      </c>
      <c r="C86" s="57">
        <f t="shared" si="3"/>
        <v>5067</v>
      </c>
      <c r="D86" s="57">
        <v>3411</v>
      </c>
      <c r="E86" s="62">
        <v>1656</v>
      </c>
    </row>
    <row r="87" spans="1:5" x14ac:dyDescent="0.2">
      <c r="A87" s="215">
        <v>47150</v>
      </c>
      <c r="B87" s="57">
        <f t="shared" si="2"/>
        <v>172278</v>
      </c>
      <c r="C87" s="57">
        <f t="shared" si="3"/>
        <v>5067</v>
      </c>
      <c r="D87" s="193">
        <v>3427</v>
      </c>
      <c r="E87" s="192">
        <v>1640</v>
      </c>
    </row>
    <row r="88" spans="1:5" x14ac:dyDescent="0.2">
      <c r="A88" s="197">
        <v>47178</v>
      </c>
      <c r="B88" s="57">
        <f t="shared" si="2"/>
        <v>167211</v>
      </c>
      <c r="C88" s="57">
        <f t="shared" si="3"/>
        <v>5067</v>
      </c>
      <c r="D88" s="57">
        <v>3443</v>
      </c>
      <c r="E88" s="192">
        <v>1624</v>
      </c>
    </row>
    <row r="89" spans="1:5" x14ac:dyDescent="0.2">
      <c r="A89" s="215">
        <v>47209</v>
      </c>
      <c r="B89" s="57">
        <f t="shared" si="2"/>
        <v>162144</v>
      </c>
      <c r="C89" s="57">
        <f t="shared" si="3"/>
        <v>5067</v>
      </c>
      <c r="D89" s="193">
        <v>3459</v>
      </c>
      <c r="E89" s="62">
        <v>1608</v>
      </c>
    </row>
    <row r="90" spans="1:5" x14ac:dyDescent="0.2">
      <c r="A90" s="197">
        <v>47239</v>
      </c>
      <c r="B90" s="57">
        <f t="shared" si="2"/>
        <v>157077</v>
      </c>
      <c r="C90" s="57">
        <f t="shared" si="3"/>
        <v>5067</v>
      </c>
      <c r="D90" s="57">
        <v>3475</v>
      </c>
      <c r="E90" s="192">
        <v>1592</v>
      </c>
    </row>
    <row r="91" spans="1:5" x14ac:dyDescent="0.2">
      <c r="A91" s="215">
        <v>47270</v>
      </c>
      <c r="B91" s="57">
        <f t="shared" si="2"/>
        <v>152010</v>
      </c>
      <c r="C91" s="57">
        <f t="shared" si="3"/>
        <v>5067</v>
      </c>
      <c r="D91" s="193">
        <v>3491</v>
      </c>
      <c r="E91" s="62">
        <v>1576</v>
      </c>
    </row>
    <row r="92" spans="1:5" x14ac:dyDescent="0.2">
      <c r="A92" s="197">
        <v>47300</v>
      </c>
      <c r="B92" s="57">
        <f t="shared" si="2"/>
        <v>146943</v>
      </c>
      <c r="C92" s="57">
        <f t="shared" si="3"/>
        <v>5067</v>
      </c>
      <c r="D92" s="57">
        <v>3507</v>
      </c>
      <c r="E92" s="192">
        <v>1560</v>
      </c>
    </row>
    <row r="93" spans="1:5" x14ac:dyDescent="0.2">
      <c r="A93" s="215">
        <v>47331</v>
      </c>
      <c r="B93" s="57">
        <f t="shared" si="2"/>
        <v>141876</v>
      </c>
      <c r="C93" s="57">
        <f t="shared" si="3"/>
        <v>5067</v>
      </c>
      <c r="D93" s="193">
        <v>3523</v>
      </c>
      <c r="E93" s="62">
        <v>1544</v>
      </c>
    </row>
    <row r="94" spans="1:5" x14ac:dyDescent="0.2">
      <c r="A94" s="197">
        <v>47362</v>
      </c>
      <c r="B94" s="57">
        <f t="shared" si="2"/>
        <v>136809</v>
      </c>
      <c r="C94" s="57">
        <f t="shared" si="3"/>
        <v>5067</v>
      </c>
      <c r="D94" s="193">
        <v>3539</v>
      </c>
      <c r="E94" s="192">
        <v>1528</v>
      </c>
    </row>
    <row r="95" spans="1:5" x14ac:dyDescent="0.2">
      <c r="A95" s="197">
        <v>47392</v>
      </c>
      <c r="B95" s="57">
        <f t="shared" si="2"/>
        <v>131742</v>
      </c>
      <c r="C95" s="57">
        <f t="shared" si="3"/>
        <v>5067</v>
      </c>
      <c r="D95" s="57">
        <v>3555</v>
      </c>
      <c r="E95" s="62">
        <v>1512</v>
      </c>
    </row>
    <row r="96" spans="1:5" x14ac:dyDescent="0.2">
      <c r="A96" s="215">
        <v>47423</v>
      </c>
      <c r="B96" s="57">
        <f t="shared" si="2"/>
        <v>126675</v>
      </c>
      <c r="C96" s="57">
        <f t="shared" si="3"/>
        <v>5067</v>
      </c>
      <c r="D96" s="193">
        <v>3571</v>
      </c>
      <c r="E96" s="192">
        <v>1496</v>
      </c>
    </row>
    <row r="97" spans="1:5" x14ac:dyDescent="0.2">
      <c r="A97" s="197">
        <v>47453</v>
      </c>
      <c r="B97" s="57">
        <f t="shared" si="2"/>
        <v>121608</v>
      </c>
      <c r="C97" s="57">
        <f t="shared" si="3"/>
        <v>5067</v>
      </c>
      <c r="D97" s="57">
        <v>3587</v>
      </c>
      <c r="E97" s="62">
        <v>1480</v>
      </c>
    </row>
    <row r="98" spans="1:5" x14ac:dyDescent="0.2">
      <c r="A98" s="215">
        <v>47484</v>
      </c>
      <c r="B98" s="57">
        <f t="shared" si="2"/>
        <v>116541</v>
      </c>
      <c r="C98" s="57">
        <f t="shared" si="3"/>
        <v>5067</v>
      </c>
      <c r="D98" s="193">
        <v>3603</v>
      </c>
      <c r="E98" s="192">
        <v>1464</v>
      </c>
    </row>
    <row r="99" spans="1:5" x14ac:dyDescent="0.2">
      <c r="A99" s="197">
        <v>47515</v>
      </c>
      <c r="B99" s="57">
        <f t="shared" si="2"/>
        <v>111474</v>
      </c>
      <c r="C99" s="57">
        <f t="shared" si="3"/>
        <v>5067</v>
      </c>
      <c r="D99" s="57">
        <v>3619</v>
      </c>
      <c r="E99" s="62">
        <v>1448</v>
      </c>
    </row>
    <row r="100" spans="1:5" x14ac:dyDescent="0.2">
      <c r="A100" s="215">
        <v>47543</v>
      </c>
      <c r="B100" s="57">
        <f t="shared" si="2"/>
        <v>106407</v>
      </c>
      <c r="C100" s="57">
        <f t="shared" si="3"/>
        <v>5067</v>
      </c>
      <c r="D100" s="193">
        <v>3635</v>
      </c>
      <c r="E100" s="192">
        <v>1432</v>
      </c>
    </row>
    <row r="101" spans="1:5" x14ac:dyDescent="0.2">
      <c r="A101" s="197">
        <v>47574</v>
      </c>
      <c r="B101" s="57">
        <f t="shared" si="2"/>
        <v>101340</v>
      </c>
      <c r="C101" s="57">
        <f t="shared" si="3"/>
        <v>5067</v>
      </c>
      <c r="D101" s="57">
        <v>3651</v>
      </c>
      <c r="E101" s="62">
        <v>1416</v>
      </c>
    </row>
    <row r="102" spans="1:5" x14ac:dyDescent="0.2">
      <c r="A102" s="215">
        <v>47604</v>
      </c>
      <c r="B102" s="57">
        <f t="shared" si="2"/>
        <v>96273</v>
      </c>
      <c r="C102" s="57">
        <f t="shared" si="3"/>
        <v>5067</v>
      </c>
      <c r="D102" s="193">
        <v>3667</v>
      </c>
      <c r="E102" s="192">
        <v>1400</v>
      </c>
    </row>
    <row r="103" spans="1:5" x14ac:dyDescent="0.2">
      <c r="A103" s="197">
        <v>47635</v>
      </c>
      <c r="B103" s="57">
        <f t="shared" si="2"/>
        <v>91206</v>
      </c>
      <c r="C103" s="57">
        <f t="shared" si="3"/>
        <v>5067</v>
      </c>
      <c r="D103" s="57">
        <v>3683</v>
      </c>
      <c r="E103" s="62">
        <v>1384</v>
      </c>
    </row>
    <row r="104" spans="1:5" x14ac:dyDescent="0.2">
      <c r="A104" s="215">
        <v>47665</v>
      </c>
      <c r="B104" s="57">
        <f t="shared" si="2"/>
        <v>86139</v>
      </c>
      <c r="C104" s="57">
        <f t="shared" si="3"/>
        <v>5067</v>
      </c>
      <c r="D104" s="193">
        <v>3699</v>
      </c>
      <c r="E104" s="192">
        <v>1368</v>
      </c>
    </row>
    <row r="105" spans="1:5" x14ac:dyDescent="0.2">
      <c r="A105" s="197">
        <v>47696</v>
      </c>
      <c r="B105" s="57">
        <f t="shared" si="2"/>
        <v>81072</v>
      </c>
      <c r="C105" s="57">
        <f t="shared" si="3"/>
        <v>5067</v>
      </c>
      <c r="D105" s="57">
        <v>3715</v>
      </c>
      <c r="E105" s="62">
        <v>1352</v>
      </c>
    </row>
    <row r="106" spans="1:5" x14ac:dyDescent="0.2">
      <c r="A106" s="215">
        <v>47727</v>
      </c>
      <c r="B106" s="57">
        <f t="shared" si="2"/>
        <v>76005</v>
      </c>
      <c r="C106" s="57">
        <f t="shared" si="3"/>
        <v>5067</v>
      </c>
      <c r="D106" s="193">
        <v>3731</v>
      </c>
      <c r="E106" s="192">
        <v>1336</v>
      </c>
    </row>
    <row r="107" spans="1:5" x14ac:dyDescent="0.2">
      <c r="A107" s="197">
        <v>47757</v>
      </c>
      <c r="B107" s="57">
        <f t="shared" si="2"/>
        <v>70938</v>
      </c>
      <c r="C107" s="57">
        <f t="shared" si="3"/>
        <v>5067</v>
      </c>
      <c r="D107" s="57">
        <v>3747</v>
      </c>
      <c r="E107" s="62">
        <v>1320</v>
      </c>
    </row>
    <row r="108" spans="1:5" x14ac:dyDescent="0.2">
      <c r="A108" s="215">
        <v>47788</v>
      </c>
      <c r="B108" s="57">
        <f t="shared" si="2"/>
        <v>65871</v>
      </c>
      <c r="C108" s="57">
        <f t="shared" si="3"/>
        <v>5067</v>
      </c>
      <c r="D108" s="193">
        <v>3763</v>
      </c>
      <c r="E108" s="192">
        <v>1304</v>
      </c>
    </row>
    <row r="109" spans="1:5" x14ac:dyDescent="0.2">
      <c r="A109" s="197">
        <v>47818</v>
      </c>
      <c r="B109" s="57">
        <f t="shared" si="2"/>
        <v>60804</v>
      </c>
      <c r="C109" s="57">
        <f t="shared" si="3"/>
        <v>5067</v>
      </c>
      <c r="D109" s="57">
        <v>3779</v>
      </c>
      <c r="E109" s="62">
        <v>1288</v>
      </c>
    </row>
    <row r="110" spans="1:5" x14ac:dyDescent="0.2">
      <c r="A110" s="215">
        <v>47849</v>
      </c>
      <c r="B110" s="57">
        <f t="shared" si="2"/>
        <v>55737</v>
      </c>
      <c r="C110" s="57">
        <f t="shared" si="3"/>
        <v>5067</v>
      </c>
      <c r="D110" s="193">
        <v>3795</v>
      </c>
      <c r="E110" s="192">
        <v>1272</v>
      </c>
    </row>
    <row r="111" spans="1:5" x14ac:dyDescent="0.2">
      <c r="A111" s="197">
        <v>47880</v>
      </c>
      <c r="B111" s="57">
        <f t="shared" si="2"/>
        <v>50670</v>
      </c>
      <c r="C111" s="57">
        <f t="shared" si="3"/>
        <v>5067</v>
      </c>
      <c r="D111" s="57">
        <v>3811</v>
      </c>
      <c r="E111" s="62">
        <v>1256</v>
      </c>
    </row>
    <row r="112" spans="1:5" x14ac:dyDescent="0.2">
      <c r="A112" s="215">
        <v>47908</v>
      </c>
      <c r="B112" s="57">
        <f t="shared" si="2"/>
        <v>45603</v>
      </c>
      <c r="C112" s="57">
        <f t="shared" si="3"/>
        <v>5067</v>
      </c>
      <c r="D112" s="193">
        <v>3827</v>
      </c>
      <c r="E112" s="192">
        <v>1240</v>
      </c>
    </row>
    <row r="113" spans="1:5" x14ac:dyDescent="0.2">
      <c r="A113" s="197">
        <v>47939</v>
      </c>
      <c r="B113" s="57">
        <f t="shared" si="2"/>
        <v>40536</v>
      </c>
      <c r="C113" s="57">
        <f t="shared" si="3"/>
        <v>5067</v>
      </c>
      <c r="D113" s="57">
        <v>3843</v>
      </c>
      <c r="E113" s="62">
        <v>1224</v>
      </c>
    </row>
    <row r="114" spans="1:5" x14ac:dyDescent="0.2">
      <c r="A114" s="215">
        <v>47969</v>
      </c>
      <c r="B114" s="57">
        <f t="shared" si="2"/>
        <v>35469</v>
      </c>
      <c r="C114" s="57">
        <f t="shared" si="3"/>
        <v>5067</v>
      </c>
      <c r="D114" s="193">
        <v>3859</v>
      </c>
      <c r="E114" s="192">
        <v>1208</v>
      </c>
    </row>
    <row r="115" spans="1:5" x14ac:dyDescent="0.2">
      <c r="A115" s="197">
        <v>48000</v>
      </c>
      <c r="B115" s="57">
        <f t="shared" si="2"/>
        <v>30402</v>
      </c>
      <c r="C115" s="57">
        <f t="shared" si="3"/>
        <v>5067</v>
      </c>
      <c r="D115" s="193">
        <v>3875</v>
      </c>
      <c r="E115" s="62">
        <v>1192</v>
      </c>
    </row>
    <row r="116" spans="1:5" x14ac:dyDescent="0.2">
      <c r="A116" s="215">
        <v>48030</v>
      </c>
      <c r="B116" s="57">
        <f t="shared" si="2"/>
        <v>25335</v>
      </c>
      <c r="C116" s="57">
        <f t="shared" si="3"/>
        <v>5067</v>
      </c>
      <c r="D116" s="57">
        <v>3891</v>
      </c>
      <c r="E116" s="192">
        <v>1176</v>
      </c>
    </row>
    <row r="117" spans="1:5" x14ac:dyDescent="0.2">
      <c r="A117" s="197">
        <v>48061</v>
      </c>
      <c r="B117" s="57">
        <f t="shared" si="2"/>
        <v>20268</v>
      </c>
      <c r="C117" s="57">
        <f t="shared" si="3"/>
        <v>5067</v>
      </c>
      <c r="D117" s="193">
        <v>3907</v>
      </c>
      <c r="E117" s="62">
        <v>1160</v>
      </c>
    </row>
    <row r="118" spans="1:5" x14ac:dyDescent="0.2">
      <c r="A118" s="215">
        <v>48092</v>
      </c>
      <c r="B118" s="57">
        <f t="shared" si="2"/>
        <v>15201</v>
      </c>
      <c r="C118" s="57">
        <f t="shared" si="3"/>
        <v>5067</v>
      </c>
      <c r="D118" s="57">
        <v>3923</v>
      </c>
      <c r="E118" s="192">
        <v>1144</v>
      </c>
    </row>
    <row r="119" spans="1:5" x14ac:dyDescent="0.2">
      <c r="A119" s="197">
        <v>48122</v>
      </c>
      <c r="B119" s="57">
        <f t="shared" si="2"/>
        <v>10134</v>
      </c>
      <c r="C119" s="57">
        <f t="shared" si="3"/>
        <v>5067</v>
      </c>
      <c r="D119" s="193">
        <v>3939</v>
      </c>
      <c r="E119" s="62">
        <v>1128</v>
      </c>
    </row>
    <row r="120" spans="1:5" x14ac:dyDescent="0.2">
      <c r="A120" s="215">
        <v>48153</v>
      </c>
      <c r="B120" s="57">
        <f t="shared" si="2"/>
        <v>5067</v>
      </c>
      <c r="C120" s="57">
        <f t="shared" si="3"/>
        <v>5067</v>
      </c>
      <c r="D120" s="57">
        <v>3955</v>
      </c>
      <c r="E120" s="192">
        <v>1112</v>
      </c>
    </row>
    <row r="121" spans="1:5" ht="17" thickBot="1" x14ac:dyDescent="0.25">
      <c r="A121" s="198">
        <v>48183</v>
      </c>
      <c r="B121" s="194">
        <f t="shared" si="2"/>
        <v>0</v>
      </c>
      <c r="C121" s="194">
        <f t="shared" si="3"/>
        <v>5067</v>
      </c>
      <c r="D121" s="196">
        <v>3971</v>
      </c>
      <c r="E121" s="195">
        <v>1096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/>
  </sheetPr>
  <dimension ref="A1:N98"/>
  <sheetViews>
    <sheetView topLeftCell="A22" workbookViewId="0">
      <selection activeCell="M13" sqref="M13"/>
    </sheetView>
  </sheetViews>
  <sheetFormatPr baseColWidth="10" defaultRowHeight="16" x14ac:dyDescent="0.2"/>
  <cols>
    <col min="1" max="1" width="18.83203125" bestFit="1" customWidth="1"/>
    <col min="2" max="2" width="11.1640625" bestFit="1" customWidth="1"/>
    <col min="14" max="14" width="11.5" bestFit="1" customWidth="1"/>
  </cols>
  <sheetData>
    <row r="1" spans="1:14" x14ac:dyDescent="0.2">
      <c r="A1" s="88">
        <v>2018</v>
      </c>
      <c r="B1" s="164">
        <v>43101</v>
      </c>
      <c r="C1" s="165">
        <v>43132</v>
      </c>
      <c r="D1" s="165">
        <v>43160</v>
      </c>
      <c r="E1" s="165">
        <v>43191</v>
      </c>
      <c r="F1" s="165">
        <v>43221</v>
      </c>
      <c r="G1" s="165">
        <v>43252</v>
      </c>
      <c r="H1" s="165">
        <v>43282</v>
      </c>
      <c r="I1" s="165">
        <v>43313</v>
      </c>
      <c r="J1" s="165">
        <v>43344</v>
      </c>
      <c r="K1" s="165">
        <v>43374</v>
      </c>
      <c r="L1" s="165">
        <v>43405</v>
      </c>
      <c r="M1" s="166">
        <v>43435</v>
      </c>
      <c r="N1" t="s">
        <v>155</v>
      </c>
    </row>
    <row r="2" spans="1:14" x14ac:dyDescent="0.2">
      <c r="A2" s="167" t="s">
        <v>168</v>
      </c>
      <c r="B2" s="132">
        <f>SUM(B3:B4)</f>
        <v>3265.5</v>
      </c>
      <c r="C2" s="132">
        <f t="shared" ref="C2:M2" si="0">SUM(C3:C4)</f>
        <v>233890.5</v>
      </c>
      <c r="D2" s="132">
        <f t="shared" si="0"/>
        <v>3265.5</v>
      </c>
      <c r="E2" s="132">
        <f t="shared" si="0"/>
        <v>3265.5</v>
      </c>
      <c r="F2" s="132">
        <f t="shared" si="0"/>
        <v>233890.5</v>
      </c>
      <c r="G2" s="132">
        <f t="shared" si="0"/>
        <v>3265.5</v>
      </c>
      <c r="H2" s="132">
        <f t="shared" si="0"/>
        <v>3265.5</v>
      </c>
      <c r="I2" s="132">
        <f t="shared" si="0"/>
        <v>233890.5</v>
      </c>
      <c r="J2" s="132">
        <f t="shared" si="0"/>
        <v>3265.5</v>
      </c>
      <c r="K2" s="132">
        <f t="shared" si="0"/>
        <v>3265.5</v>
      </c>
      <c r="L2" s="132">
        <f t="shared" si="0"/>
        <v>233890.5</v>
      </c>
      <c r="M2" s="168">
        <f t="shared" si="0"/>
        <v>3265.5</v>
      </c>
      <c r="N2" s="78">
        <f>SUM(B2:M2)</f>
        <v>961686</v>
      </c>
    </row>
    <row r="3" spans="1:14" x14ac:dyDescent="0.2">
      <c r="A3" s="169" t="s">
        <v>156</v>
      </c>
      <c r="B3" s="133">
        <v>0</v>
      </c>
      <c r="C3" s="133">
        <f>('Average Scenario'!B93)/4</f>
        <v>230625</v>
      </c>
      <c r="D3" s="133">
        <v>0</v>
      </c>
      <c r="E3" s="133">
        <v>0</v>
      </c>
      <c r="F3" s="133">
        <f>('Average Scenario'!B93)/4</f>
        <v>230625</v>
      </c>
      <c r="G3" s="133">
        <v>0</v>
      </c>
      <c r="H3" s="133">
        <v>0</v>
      </c>
      <c r="I3" s="133">
        <f>('Average Scenario'!B93)/4</f>
        <v>230625</v>
      </c>
      <c r="J3" s="133">
        <v>0</v>
      </c>
      <c r="K3" s="133">
        <v>0</v>
      </c>
      <c r="L3" s="133">
        <f>('Average Scenario'!B93)/4</f>
        <v>230625</v>
      </c>
      <c r="M3" s="170">
        <v>0</v>
      </c>
      <c r="N3" s="78">
        <f t="shared" ref="N3:N4" si="1">SUM(B3:M3)</f>
        <v>922500</v>
      </c>
    </row>
    <row r="4" spans="1:14" x14ac:dyDescent="0.2">
      <c r="A4" s="171" t="s">
        <v>157</v>
      </c>
      <c r="B4" s="134">
        <f>'Average Scenario'!$B$95/12</f>
        <v>3265.5</v>
      </c>
      <c r="C4" s="134">
        <f>'Average Scenario'!$B$95/12</f>
        <v>3265.5</v>
      </c>
      <c r="D4" s="134">
        <f>'Average Scenario'!$B$95/12</f>
        <v>3265.5</v>
      </c>
      <c r="E4" s="134">
        <f>'Average Scenario'!$B$95/12</f>
        <v>3265.5</v>
      </c>
      <c r="F4" s="134">
        <f>'Average Scenario'!$B$95/12</f>
        <v>3265.5</v>
      </c>
      <c r="G4" s="134">
        <f>'Average Scenario'!$B$95/12</f>
        <v>3265.5</v>
      </c>
      <c r="H4" s="134">
        <f>'Average Scenario'!$B$95/12</f>
        <v>3265.5</v>
      </c>
      <c r="I4" s="134">
        <f>'Average Scenario'!$B$95/12</f>
        <v>3265.5</v>
      </c>
      <c r="J4" s="134">
        <f>'Average Scenario'!$B$95/12</f>
        <v>3265.5</v>
      </c>
      <c r="K4" s="134">
        <f>'Average Scenario'!$B$95/12</f>
        <v>3265.5</v>
      </c>
      <c r="L4" s="134">
        <f>'Average Scenario'!$B$95/12</f>
        <v>3265.5</v>
      </c>
      <c r="M4" s="172">
        <f>'Average Scenario'!$B$95/12</f>
        <v>3265.5</v>
      </c>
      <c r="N4" s="78">
        <f t="shared" si="1"/>
        <v>39186</v>
      </c>
    </row>
    <row r="5" spans="1:14" x14ac:dyDescent="0.2">
      <c r="A5" s="167" t="s">
        <v>169</v>
      </c>
      <c r="B5" s="132">
        <f>SUM(B6:B9)</f>
        <v>207959.10113333334</v>
      </c>
      <c r="C5" s="132">
        <f t="shared" ref="C5:L5" si="2">SUM(C6:C9)</f>
        <v>28459.10113333333</v>
      </c>
      <c r="D5" s="132">
        <f t="shared" si="2"/>
        <v>8459.1011333333317</v>
      </c>
      <c r="E5" s="132">
        <f t="shared" si="2"/>
        <v>192959.10113333334</v>
      </c>
      <c r="F5" s="132">
        <f t="shared" si="2"/>
        <v>8459.1011333333317</v>
      </c>
      <c r="G5" s="132">
        <f t="shared" si="2"/>
        <v>28459.10113333333</v>
      </c>
      <c r="H5" s="132">
        <f t="shared" si="2"/>
        <v>192959.10113333334</v>
      </c>
      <c r="I5" s="132">
        <f t="shared" si="2"/>
        <v>8459.1011333333317</v>
      </c>
      <c r="J5" s="132">
        <f t="shared" si="2"/>
        <v>8459.1011333333317</v>
      </c>
      <c r="K5" s="132">
        <f t="shared" si="2"/>
        <v>212959.10113333334</v>
      </c>
      <c r="L5" s="132">
        <f t="shared" si="2"/>
        <v>8459.1011333333317</v>
      </c>
      <c r="M5" s="168">
        <f>SUM(M6:M9)</f>
        <v>8459.1011333333317</v>
      </c>
      <c r="N5" s="78">
        <f t="shared" ref="N5:N14" si="3">SUM(B5:M5)</f>
        <v>914509.2135999999</v>
      </c>
    </row>
    <row r="6" spans="1:14" x14ac:dyDescent="0.2">
      <c r="A6" s="173" t="s">
        <v>152</v>
      </c>
      <c r="B6" s="135">
        <v>0</v>
      </c>
      <c r="C6" s="135">
        <v>20000</v>
      </c>
      <c r="D6" s="135">
        <v>0</v>
      </c>
      <c r="E6" s="135">
        <v>0</v>
      </c>
      <c r="F6" s="135">
        <v>0</v>
      </c>
      <c r="G6" s="135">
        <v>20000</v>
      </c>
      <c r="H6" s="135">
        <v>0</v>
      </c>
      <c r="I6" s="135">
        <v>0</v>
      </c>
      <c r="J6" s="135">
        <v>0</v>
      </c>
      <c r="K6" s="135">
        <v>20000</v>
      </c>
      <c r="L6" s="135">
        <v>0</v>
      </c>
      <c r="M6" s="174">
        <v>0</v>
      </c>
      <c r="N6" s="78">
        <f t="shared" si="3"/>
        <v>60000</v>
      </c>
    </row>
    <row r="7" spans="1:14" x14ac:dyDescent="0.2">
      <c r="A7" s="173" t="s">
        <v>153</v>
      </c>
      <c r="B7" s="135">
        <f>(('Average Scenario'!$B$120-'Average Scenario'!$B$78)/12)</f>
        <v>8459.1011333333317</v>
      </c>
      <c r="C7" s="135">
        <f>(('Average Scenario'!$B$120-'Average Scenario'!$B$78)/12)</f>
        <v>8459.1011333333317</v>
      </c>
      <c r="D7" s="135">
        <f>(('Average Scenario'!$B$120-'Average Scenario'!$B$78)/12)</f>
        <v>8459.1011333333317</v>
      </c>
      <c r="E7" s="135">
        <f>(('Average Scenario'!$B$120-'Average Scenario'!$B$78)/12)</f>
        <v>8459.1011333333317</v>
      </c>
      <c r="F7" s="135">
        <f>(('Average Scenario'!$B$120-'Average Scenario'!$B$78)/12)</f>
        <v>8459.1011333333317</v>
      </c>
      <c r="G7" s="135">
        <f>(('Average Scenario'!$B$120-'Average Scenario'!$B$78)/12)</f>
        <v>8459.1011333333317</v>
      </c>
      <c r="H7" s="135">
        <f>(('Average Scenario'!$B$120-'Average Scenario'!$B$78)/12)</f>
        <v>8459.1011333333317</v>
      </c>
      <c r="I7" s="135">
        <f>(('Average Scenario'!$B$120-'Average Scenario'!$B$78)/12)</f>
        <v>8459.1011333333317</v>
      </c>
      <c r="J7" s="135">
        <f>(('Average Scenario'!$B$120-'Average Scenario'!$B$78)/12)</f>
        <v>8459.1011333333317</v>
      </c>
      <c r="K7" s="135">
        <f>(('Average Scenario'!$B$120-'Average Scenario'!$B$78)/12)</f>
        <v>8459.1011333333317</v>
      </c>
      <c r="L7" s="135">
        <f>(('Average Scenario'!$B$120-'Average Scenario'!$B$78)/12)</f>
        <v>8459.1011333333317</v>
      </c>
      <c r="M7" s="174">
        <f>(('Average Scenario'!$B$120-'Average Scenario'!$B$78)/12)</f>
        <v>8459.1011333333317</v>
      </c>
      <c r="N7" s="78">
        <f t="shared" si="3"/>
        <v>101509.21359999997</v>
      </c>
    </row>
    <row r="8" spans="1:14" x14ac:dyDescent="0.2">
      <c r="A8" s="173" t="s">
        <v>161</v>
      </c>
      <c r="B8" s="135">
        <f>'Average Scenario'!B5</f>
        <v>15000</v>
      </c>
      <c r="C8" s="135">
        <v>0</v>
      </c>
      <c r="D8" s="135">
        <v>0</v>
      </c>
      <c r="E8" s="135">
        <v>0</v>
      </c>
      <c r="F8" s="135">
        <v>0</v>
      </c>
      <c r="G8" s="135">
        <v>0</v>
      </c>
      <c r="H8" s="135">
        <v>0</v>
      </c>
      <c r="I8" s="135">
        <v>0</v>
      </c>
      <c r="J8" s="135">
        <v>0</v>
      </c>
      <c r="K8" s="135">
        <v>0</v>
      </c>
      <c r="L8" s="135">
        <v>0</v>
      </c>
      <c r="M8" s="174">
        <v>0</v>
      </c>
      <c r="N8" s="78">
        <f t="shared" si="3"/>
        <v>15000</v>
      </c>
    </row>
    <row r="9" spans="1:14" x14ac:dyDescent="0.2">
      <c r="A9" s="175" t="s">
        <v>170</v>
      </c>
      <c r="B9" s="136">
        <f>'Average Scenario'!B97/4</f>
        <v>184500</v>
      </c>
      <c r="C9" s="136">
        <v>0</v>
      </c>
      <c r="D9" s="136">
        <v>0</v>
      </c>
      <c r="E9" s="136">
        <f>'Average Scenario'!B97/4</f>
        <v>184500</v>
      </c>
      <c r="F9" s="136">
        <v>0</v>
      </c>
      <c r="G9" s="136">
        <v>0</v>
      </c>
      <c r="H9" s="136">
        <f>'Average Scenario'!B97/4</f>
        <v>184500</v>
      </c>
      <c r="I9" s="136">
        <v>0</v>
      </c>
      <c r="J9" s="136">
        <v>0</v>
      </c>
      <c r="K9" s="136">
        <f>'Average Scenario'!B97/4</f>
        <v>184500</v>
      </c>
      <c r="L9" s="136">
        <v>0</v>
      </c>
      <c r="M9" s="176">
        <v>0</v>
      </c>
      <c r="N9" s="78">
        <f t="shared" si="3"/>
        <v>738000</v>
      </c>
    </row>
    <row r="10" spans="1:14" x14ac:dyDescent="0.2">
      <c r="A10" s="177" t="s">
        <v>60</v>
      </c>
      <c r="B10" s="163">
        <f>B2-B5</f>
        <v>-204693.60113333334</v>
      </c>
      <c r="C10" s="137">
        <f t="shared" ref="C10:L10" si="4">C2-C5</f>
        <v>205431.39886666666</v>
      </c>
      <c r="D10" s="137">
        <f t="shared" si="4"/>
        <v>-5193.6011333333317</v>
      </c>
      <c r="E10" s="137">
        <f t="shared" si="4"/>
        <v>-189693.60113333334</v>
      </c>
      <c r="F10" s="137">
        <f t="shared" si="4"/>
        <v>225431.39886666666</v>
      </c>
      <c r="G10" s="137">
        <f t="shared" si="4"/>
        <v>-25193.60113333333</v>
      </c>
      <c r="H10" s="137">
        <f t="shared" si="4"/>
        <v>-189693.60113333334</v>
      </c>
      <c r="I10" s="137">
        <f t="shared" si="4"/>
        <v>225431.39886666666</v>
      </c>
      <c r="J10" s="137">
        <f t="shared" si="4"/>
        <v>-5193.6011333333317</v>
      </c>
      <c r="K10" s="137">
        <f t="shared" si="4"/>
        <v>-209693.60113333334</v>
      </c>
      <c r="L10" s="137">
        <f t="shared" si="4"/>
        <v>225431.39886666666</v>
      </c>
      <c r="M10" s="74">
        <f>M2-M5</f>
        <v>-5193.6011333333317</v>
      </c>
      <c r="N10" s="78"/>
    </row>
    <row r="11" spans="1:14" x14ac:dyDescent="0.2">
      <c r="A11" s="178" t="s">
        <v>154</v>
      </c>
      <c r="B11" s="138">
        <v>250000</v>
      </c>
      <c r="C11" s="138">
        <v>0</v>
      </c>
      <c r="D11" s="138">
        <v>0</v>
      </c>
      <c r="E11" s="138">
        <v>0</v>
      </c>
      <c r="F11" s="138">
        <v>0</v>
      </c>
      <c r="G11" s="138">
        <v>0</v>
      </c>
      <c r="H11" s="138">
        <v>0</v>
      </c>
      <c r="I11" s="138">
        <v>0</v>
      </c>
      <c r="J11" s="138">
        <v>0</v>
      </c>
      <c r="K11" s="138">
        <v>0</v>
      </c>
      <c r="L11" s="138">
        <v>0</v>
      </c>
      <c r="M11" s="179">
        <v>0</v>
      </c>
      <c r="N11" s="78">
        <f t="shared" si="3"/>
        <v>250000</v>
      </c>
    </row>
    <row r="12" spans="1:14" x14ac:dyDescent="0.2">
      <c r="A12" s="180" t="s">
        <v>171</v>
      </c>
      <c r="B12" s="135">
        <f>'Amortization Credit 1'!$C$2</f>
        <v>4603</v>
      </c>
      <c r="C12" s="135">
        <f>'Amortization Credit 1'!$C$2</f>
        <v>4603</v>
      </c>
      <c r="D12" s="135">
        <f>'Amortization Credit 1'!$C$2</f>
        <v>4603</v>
      </c>
      <c r="E12" s="135">
        <f>'Amortization Credit 1'!$C$2</f>
        <v>4603</v>
      </c>
      <c r="F12" s="135">
        <f>'Amortization Credit 1'!$C$2</f>
        <v>4603</v>
      </c>
      <c r="G12" s="135">
        <f>'Amortization Credit 1'!$C$2</f>
        <v>4603</v>
      </c>
      <c r="H12" s="135">
        <f>'Amortization Credit 1'!$C$2</f>
        <v>4603</v>
      </c>
      <c r="I12" s="135">
        <f>'Amortization Credit 1'!$C$2</f>
        <v>4603</v>
      </c>
      <c r="J12" s="135">
        <f>'Amortization Credit 1'!$C$2</f>
        <v>4603</v>
      </c>
      <c r="K12" s="135">
        <f>'Amortization Credit 1'!$C$2</f>
        <v>4603</v>
      </c>
      <c r="L12" s="135">
        <f>'Amortization Credit 1'!$C$2</f>
        <v>4603</v>
      </c>
      <c r="M12" s="174">
        <f>'Amortization Credit 1'!$C$2</f>
        <v>4603</v>
      </c>
      <c r="N12" s="78">
        <f t="shared" si="3"/>
        <v>55236</v>
      </c>
    </row>
    <row r="13" spans="1:14" x14ac:dyDescent="0.2">
      <c r="A13" s="180" t="s">
        <v>159</v>
      </c>
      <c r="B13" s="135">
        <v>0</v>
      </c>
      <c r="C13" s="135">
        <v>0</v>
      </c>
      <c r="D13" s="135">
        <v>0</v>
      </c>
      <c r="E13" s="135">
        <v>0</v>
      </c>
      <c r="F13" s="135">
        <v>0</v>
      </c>
      <c r="G13" s="135">
        <v>0</v>
      </c>
      <c r="H13" s="135">
        <v>0</v>
      </c>
      <c r="I13" s="135">
        <v>0</v>
      </c>
      <c r="J13" s="135">
        <v>0</v>
      </c>
      <c r="K13" s="135">
        <v>0</v>
      </c>
      <c r="L13" s="135">
        <v>0</v>
      </c>
      <c r="M13" s="174">
        <f>'Average Scenario'!B114</f>
        <v>29642.785920000002</v>
      </c>
      <c r="N13" s="78">
        <f t="shared" si="3"/>
        <v>29642.785920000002</v>
      </c>
    </row>
    <row r="14" spans="1:14" x14ac:dyDescent="0.2">
      <c r="A14" s="184" t="s">
        <v>160</v>
      </c>
      <c r="B14" s="134">
        <v>0</v>
      </c>
      <c r="C14" s="134">
        <v>0</v>
      </c>
      <c r="D14" s="134">
        <v>0</v>
      </c>
      <c r="E14" s="134">
        <v>0</v>
      </c>
      <c r="F14" s="134">
        <v>0</v>
      </c>
      <c r="G14" s="134">
        <v>0</v>
      </c>
      <c r="H14" s="134">
        <v>0</v>
      </c>
      <c r="I14" s="134">
        <v>0</v>
      </c>
      <c r="J14" s="134">
        <v>0</v>
      </c>
      <c r="K14" s="134">
        <v>0</v>
      </c>
      <c r="L14" s="134">
        <v>0</v>
      </c>
      <c r="M14" s="172">
        <f>'Average Scenario'!B110</f>
        <v>5000</v>
      </c>
      <c r="N14" s="78">
        <f t="shared" si="3"/>
        <v>5000</v>
      </c>
    </row>
    <row r="15" spans="1:14" x14ac:dyDescent="0.2">
      <c r="A15" s="177" t="s">
        <v>62</v>
      </c>
      <c r="B15" s="163">
        <f>B10+B11-B12-B13+B14</f>
        <v>40703.398866666656</v>
      </c>
      <c r="C15" s="163">
        <f t="shared" ref="C15:M15" si="5">C10+C11-C12-C13+C14</f>
        <v>200828.39886666666</v>
      </c>
      <c r="D15" s="163">
        <f t="shared" si="5"/>
        <v>-9796.6011333333317</v>
      </c>
      <c r="E15" s="163">
        <f t="shared" si="5"/>
        <v>-194296.60113333334</v>
      </c>
      <c r="F15" s="163">
        <f t="shared" si="5"/>
        <v>220828.39886666666</v>
      </c>
      <c r="G15" s="163">
        <f t="shared" si="5"/>
        <v>-29796.60113333333</v>
      </c>
      <c r="H15" s="163">
        <f t="shared" si="5"/>
        <v>-194296.60113333334</v>
      </c>
      <c r="I15" s="163">
        <f t="shared" si="5"/>
        <v>220828.39886666666</v>
      </c>
      <c r="J15" s="163">
        <f t="shared" si="5"/>
        <v>-9796.6011333333317</v>
      </c>
      <c r="K15" s="163">
        <f t="shared" si="5"/>
        <v>-214296.60113333334</v>
      </c>
      <c r="L15" s="163">
        <f t="shared" si="5"/>
        <v>220828.39886666666</v>
      </c>
      <c r="M15" s="217">
        <f t="shared" si="5"/>
        <v>-34439.387053333332</v>
      </c>
      <c r="N15" s="78"/>
    </row>
    <row r="16" spans="1:14" x14ac:dyDescent="0.2">
      <c r="A16" s="177" t="s">
        <v>63</v>
      </c>
      <c r="B16" s="163">
        <f>B15/(1+8%)^1</f>
        <v>37688.332283950607</v>
      </c>
      <c r="C16" s="137">
        <f>C15/(1+8%)^1</f>
        <v>185952.22117283949</v>
      </c>
      <c r="D16" s="137">
        <f t="shared" ref="D16:M16" si="6">D15/(1+8%)^1</f>
        <v>-9070.9269753086392</v>
      </c>
      <c r="E16" s="137">
        <f t="shared" si="6"/>
        <v>-179904.26030864197</v>
      </c>
      <c r="F16" s="137">
        <f t="shared" si="6"/>
        <v>204470.739691358</v>
      </c>
      <c r="G16" s="137">
        <f t="shared" si="6"/>
        <v>-27589.445493827156</v>
      </c>
      <c r="H16" s="137">
        <f t="shared" si="6"/>
        <v>-179904.26030864197</v>
      </c>
      <c r="I16" s="137">
        <f t="shared" si="6"/>
        <v>204470.739691358</v>
      </c>
      <c r="J16" s="137">
        <f t="shared" si="6"/>
        <v>-9070.9269753086392</v>
      </c>
      <c r="K16" s="137">
        <f t="shared" si="6"/>
        <v>-198422.77882716048</v>
      </c>
      <c r="L16" s="137">
        <f t="shared" si="6"/>
        <v>204470.739691358</v>
      </c>
      <c r="M16" s="74">
        <f t="shared" si="6"/>
        <v>-31888.321345679007</v>
      </c>
      <c r="N16" s="78"/>
    </row>
    <row r="17" spans="1:14" ht="17" thickBot="1" x14ac:dyDescent="0.25">
      <c r="A17" s="46" t="s">
        <v>158</v>
      </c>
      <c r="B17" s="183">
        <f>B16</f>
        <v>37688.332283950607</v>
      </c>
      <c r="C17" s="64">
        <f>B17+C16</f>
        <v>223640.5534567901</v>
      </c>
      <c r="D17" s="64">
        <f t="shared" ref="D17:L17" si="7">C17+D16</f>
        <v>214569.62648148148</v>
      </c>
      <c r="E17" s="64">
        <f t="shared" si="7"/>
        <v>34665.366172839509</v>
      </c>
      <c r="F17" s="64">
        <f t="shared" si="7"/>
        <v>239136.10586419751</v>
      </c>
      <c r="G17" s="64">
        <f t="shared" si="7"/>
        <v>211546.66037037034</v>
      </c>
      <c r="H17" s="64">
        <f t="shared" si="7"/>
        <v>31642.400061728375</v>
      </c>
      <c r="I17" s="64">
        <f t="shared" si="7"/>
        <v>236113.13975308638</v>
      </c>
      <c r="J17" s="64">
        <f t="shared" si="7"/>
        <v>227042.21277777775</v>
      </c>
      <c r="K17" s="64">
        <f t="shared" si="7"/>
        <v>28619.433950617269</v>
      </c>
      <c r="L17" s="64">
        <f t="shared" si="7"/>
        <v>233090.17364197527</v>
      </c>
      <c r="M17" s="65">
        <f>L17+M16</f>
        <v>201201.85229629627</v>
      </c>
    </row>
    <row r="19" spans="1:14" ht="17" thickBot="1" x14ac:dyDescent="0.25"/>
    <row r="20" spans="1:14" x14ac:dyDescent="0.2">
      <c r="A20" s="88">
        <v>2019</v>
      </c>
      <c r="B20" s="164">
        <v>43466</v>
      </c>
      <c r="C20" s="165">
        <v>43497</v>
      </c>
      <c r="D20" s="165">
        <v>43525</v>
      </c>
      <c r="E20" s="165">
        <v>43556</v>
      </c>
      <c r="F20" s="165">
        <v>43586</v>
      </c>
      <c r="G20" s="165">
        <v>43617</v>
      </c>
      <c r="H20" s="165">
        <v>43647</v>
      </c>
      <c r="I20" s="165">
        <v>43678</v>
      </c>
      <c r="J20" s="165">
        <v>43709</v>
      </c>
      <c r="K20" s="165">
        <v>43739</v>
      </c>
      <c r="L20" s="165">
        <v>43770</v>
      </c>
      <c r="M20" s="166">
        <v>43800</v>
      </c>
      <c r="N20" t="s">
        <v>155</v>
      </c>
    </row>
    <row r="21" spans="1:14" x14ac:dyDescent="0.2">
      <c r="A21" s="167" t="s">
        <v>168</v>
      </c>
      <c r="B21" s="132">
        <f>SUM(B22:B23)</f>
        <v>21770</v>
      </c>
      <c r="C21" s="132">
        <f t="shared" ref="C21" si="8">SUM(C22:C23)</f>
        <v>944270</v>
      </c>
      <c r="D21" s="132">
        <f t="shared" ref="D21" si="9">SUM(D22:D23)</f>
        <v>21770</v>
      </c>
      <c r="E21" s="132">
        <f t="shared" ref="E21" si="10">SUM(E22:E23)</f>
        <v>21770</v>
      </c>
      <c r="F21" s="132">
        <f t="shared" ref="F21" si="11">SUM(F22:F23)</f>
        <v>944270</v>
      </c>
      <c r="G21" s="132">
        <f t="shared" ref="G21" si="12">SUM(G22:G23)</f>
        <v>21770</v>
      </c>
      <c r="H21" s="132">
        <f t="shared" ref="H21" si="13">SUM(H22:H23)</f>
        <v>21770</v>
      </c>
      <c r="I21" s="132">
        <f t="shared" ref="I21" si="14">SUM(I22:I23)</f>
        <v>944270</v>
      </c>
      <c r="J21" s="132">
        <f t="shared" ref="J21" si="15">SUM(J22:J23)</f>
        <v>21770</v>
      </c>
      <c r="K21" s="132">
        <f t="shared" ref="K21" si="16">SUM(K22:K23)</f>
        <v>21770</v>
      </c>
      <c r="L21" s="132">
        <f t="shared" ref="L21" si="17">SUM(L22:L23)</f>
        <v>944270</v>
      </c>
      <c r="M21" s="168">
        <f t="shared" ref="M21" si="18">SUM(M22:M23)</f>
        <v>21770</v>
      </c>
      <c r="N21" s="78">
        <f>SUM(B21:M21)</f>
        <v>3951240</v>
      </c>
    </row>
    <row r="22" spans="1:14" x14ac:dyDescent="0.2">
      <c r="A22" s="169" t="s">
        <v>156</v>
      </c>
      <c r="B22" s="133">
        <v>0</v>
      </c>
      <c r="C22" s="133">
        <f>('Average Scenario'!D93)/4</f>
        <v>922500</v>
      </c>
      <c r="D22" s="133">
        <v>0</v>
      </c>
      <c r="E22" s="133">
        <v>0</v>
      </c>
      <c r="F22" s="133">
        <f>('Average Scenario'!D93)/4</f>
        <v>922500</v>
      </c>
      <c r="G22" s="133">
        <v>0</v>
      </c>
      <c r="H22" s="133">
        <v>0</v>
      </c>
      <c r="I22" s="133">
        <f>('Average Scenario'!D93)/4</f>
        <v>922500</v>
      </c>
      <c r="J22" s="133">
        <v>0</v>
      </c>
      <c r="K22" s="133">
        <v>0</v>
      </c>
      <c r="L22" s="133">
        <f>('Average Scenario'!D93)/4</f>
        <v>922500</v>
      </c>
      <c r="M22" s="170">
        <v>0</v>
      </c>
      <c r="N22" s="78">
        <f t="shared" ref="N22:N28" si="19">SUM(B22:M22)</f>
        <v>3690000</v>
      </c>
    </row>
    <row r="23" spans="1:14" x14ac:dyDescent="0.2">
      <c r="A23" s="171" t="s">
        <v>157</v>
      </c>
      <c r="B23" s="134">
        <f>'Average Scenario'!$D$95/12</f>
        <v>21770</v>
      </c>
      <c r="C23" s="134">
        <f>'Average Scenario'!$D$95/12</f>
        <v>21770</v>
      </c>
      <c r="D23" s="134">
        <f>'Average Scenario'!$D$95/12</f>
        <v>21770</v>
      </c>
      <c r="E23" s="134">
        <f>'Average Scenario'!$D$95/12</f>
        <v>21770</v>
      </c>
      <c r="F23" s="134">
        <f>'Average Scenario'!$D$95/12</f>
        <v>21770</v>
      </c>
      <c r="G23" s="134">
        <f>'Average Scenario'!$D$95/12</f>
        <v>21770</v>
      </c>
      <c r="H23" s="134">
        <f>'Average Scenario'!$D$95/12</f>
        <v>21770</v>
      </c>
      <c r="I23" s="134">
        <f>'Average Scenario'!$D$95/12</f>
        <v>21770</v>
      </c>
      <c r="J23" s="134">
        <f>'Average Scenario'!$D$95/12</f>
        <v>21770</v>
      </c>
      <c r="K23" s="134">
        <f>'Average Scenario'!$D$95/12</f>
        <v>21770</v>
      </c>
      <c r="L23" s="134">
        <f>'Average Scenario'!$D$95/12</f>
        <v>21770</v>
      </c>
      <c r="M23" s="172">
        <f>'Average Scenario'!$D$95/12</f>
        <v>21770</v>
      </c>
      <c r="N23" s="78">
        <f t="shared" si="19"/>
        <v>261240</v>
      </c>
    </row>
    <row r="24" spans="1:14" x14ac:dyDescent="0.2">
      <c r="A24" s="167" t="s">
        <v>169</v>
      </c>
      <c r="B24" s="132">
        <f>SUM(B25:B28)</f>
        <v>769217.86286666663</v>
      </c>
      <c r="C24" s="132">
        <f t="shared" ref="C24" si="20">SUM(C25:C28)</f>
        <v>31217.862866666663</v>
      </c>
      <c r="D24" s="132">
        <f t="shared" ref="D24" si="21">SUM(D25:D28)</f>
        <v>16217.862866666665</v>
      </c>
      <c r="E24" s="132">
        <f t="shared" ref="E24" si="22">SUM(E25:E28)</f>
        <v>754217.86286666663</v>
      </c>
      <c r="F24" s="132">
        <f t="shared" ref="F24" si="23">SUM(F25:F28)</f>
        <v>16217.862866666665</v>
      </c>
      <c r="G24" s="132">
        <f t="shared" ref="G24" si="24">SUM(G25:G28)</f>
        <v>26217.862866666663</v>
      </c>
      <c r="H24" s="132">
        <f t="shared" ref="H24" si="25">SUM(H25:H28)</f>
        <v>754217.86286666663</v>
      </c>
      <c r="I24" s="132">
        <f t="shared" ref="I24" si="26">SUM(I25:I28)</f>
        <v>16217.862866666665</v>
      </c>
      <c r="J24" s="132">
        <f t="shared" ref="J24" si="27">SUM(J25:J28)</f>
        <v>16217.862866666665</v>
      </c>
      <c r="K24" s="132">
        <f t="shared" ref="K24" si="28">SUM(K25:K28)</f>
        <v>764217.86286666663</v>
      </c>
      <c r="L24" s="132">
        <f t="shared" ref="L24" si="29">SUM(L25:L28)</f>
        <v>16217.862866666665</v>
      </c>
      <c r="M24" s="168">
        <f t="shared" ref="M24" si="30">SUM(M25:M28)</f>
        <v>16217.862866666665</v>
      </c>
      <c r="N24" s="78">
        <f t="shared" si="19"/>
        <v>3196614.3543999996</v>
      </c>
    </row>
    <row r="25" spans="1:14" x14ac:dyDescent="0.2">
      <c r="A25" s="173" t="s">
        <v>152</v>
      </c>
      <c r="B25" s="135">
        <v>0</v>
      </c>
      <c r="C25" s="135">
        <v>15000</v>
      </c>
      <c r="D25" s="135">
        <v>0</v>
      </c>
      <c r="E25" s="135">
        <v>0</v>
      </c>
      <c r="F25" s="135">
        <v>0</v>
      </c>
      <c r="G25" s="135">
        <v>10000</v>
      </c>
      <c r="H25" s="135">
        <v>0</v>
      </c>
      <c r="I25" s="135">
        <v>0</v>
      </c>
      <c r="J25" s="135">
        <v>0</v>
      </c>
      <c r="K25" s="135">
        <v>10000</v>
      </c>
      <c r="L25" s="135">
        <v>0</v>
      </c>
      <c r="M25" s="174">
        <v>0</v>
      </c>
      <c r="N25" s="78">
        <f t="shared" si="19"/>
        <v>35000</v>
      </c>
    </row>
    <row r="26" spans="1:14" x14ac:dyDescent="0.2">
      <c r="A26" s="173" t="s">
        <v>153</v>
      </c>
      <c r="B26" s="135">
        <f>(('Average Scenario'!$C$120-'Average Scenario'!$C$78)/12)</f>
        <v>16217.862866666665</v>
      </c>
      <c r="C26" s="135">
        <f>(('Average Scenario'!$C$120-'Average Scenario'!$C$78)/12)</f>
        <v>16217.862866666665</v>
      </c>
      <c r="D26" s="135">
        <f>(('Average Scenario'!$C$120-'Average Scenario'!$C$78)/12)</f>
        <v>16217.862866666665</v>
      </c>
      <c r="E26" s="135">
        <f>(('Average Scenario'!$C$120-'Average Scenario'!$C$78)/12)</f>
        <v>16217.862866666665</v>
      </c>
      <c r="F26" s="135">
        <f>(('Average Scenario'!$C$120-'Average Scenario'!$C$78)/12)</f>
        <v>16217.862866666665</v>
      </c>
      <c r="G26" s="135">
        <f>(('Average Scenario'!$C$120-'Average Scenario'!$C$78)/12)</f>
        <v>16217.862866666665</v>
      </c>
      <c r="H26" s="135">
        <f>(('Average Scenario'!$C$120-'Average Scenario'!$C$78)/12)</f>
        <v>16217.862866666665</v>
      </c>
      <c r="I26" s="135">
        <f>(('Average Scenario'!$C$120-'Average Scenario'!$C$78)/12)</f>
        <v>16217.862866666665</v>
      </c>
      <c r="J26" s="135">
        <f>(('Average Scenario'!$C$120-'Average Scenario'!$C$78)/12)</f>
        <v>16217.862866666665</v>
      </c>
      <c r="K26" s="135">
        <f>(('Average Scenario'!$C$120-'Average Scenario'!$C$78)/12)</f>
        <v>16217.862866666665</v>
      </c>
      <c r="L26" s="135">
        <f>(('Average Scenario'!$C$120-'Average Scenario'!$C$78)/12)</f>
        <v>16217.862866666665</v>
      </c>
      <c r="M26" s="174">
        <f>(('Average Scenario'!$C$120-'Average Scenario'!$C$78)/12)</f>
        <v>16217.862866666665</v>
      </c>
      <c r="N26" s="78">
        <f t="shared" si="19"/>
        <v>194614.35439999998</v>
      </c>
    </row>
    <row r="27" spans="1:14" x14ac:dyDescent="0.2">
      <c r="A27" s="173" t="s">
        <v>161</v>
      </c>
      <c r="B27" s="135">
        <f>'Average Scenario'!C5</f>
        <v>15000</v>
      </c>
      <c r="C27" s="135">
        <v>0</v>
      </c>
      <c r="D27" s="135">
        <v>0</v>
      </c>
      <c r="E27" s="135">
        <v>0</v>
      </c>
      <c r="F27" s="135">
        <v>0</v>
      </c>
      <c r="G27" s="135">
        <v>0</v>
      </c>
      <c r="H27" s="135">
        <v>0</v>
      </c>
      <c r="I27" s="135">
        <v>0</v>
      </c>
      <c r="J27" s="135">
        <v>0</v>
      </c>
      <c r="K27" s="135">
        <v>0</v>
      </c>
      <c r="L27" s="135">
        <v>0</v>
      </c>
      <c r="M27" s="174">
        <v>0</v>
      </c>
      <c r="N27" s="78">
        <f t="shared" si="19"/>
        <v>15000</v>
      </c>
    </row>
    <row r="28" spans="1:14" x14ac:dyDescent="0.2">
      <c r="A28" s="175" t="s">
        <v>170</v>
      </c>
      <c r="B28" s="136">
        <f>'Average Scenario'!D97/4</f>
        <v>738000</v>
      </c>
      <c r="C28" s="136">
        <v>0</v>
      </c>
      <c r="D28" s="136">
        <v>0</v>
      </c>
      <c r="E28" s="136">
        <f>'Average Scenario'!D97/4</f>
        <v>738000</v>
      </c>
      <c r="F28" s="136">
        <v>0</v>
      </c>
      <c r="G28" s="136">
        <v>0</v>
      </c>
      <c r="H28" s="136">
        <f>'Average Scenario'!D97/4</f>
        <v>738000</v>
      </c>
      <c r="I28" s="136">
        <v>0</v>
      </c>
      <c r="J28" s="136">
        <v>0</v>
      </c>
      <c r="K28" s="136">
        <f>'Average Scenario'!D97/4</f>
        <v>738000</v>
      </c>
      <c r="L28" s="136">
        <v>0</v>
      </c>
      <c r="M28" s="176">
        <v>0</v>
      </c>
      <c r="N28" s="78">
        <f t="shared" si="19"/>
        <v>2952000</v>
      </c>
    </row>
    <row r="29" spans="1:14" x14ac:dyDescent="0.2">
      <c r="A29" s="177" t="s">
        <v>60</v>
      </c>
      <c r="B29" s="163">
        <f>B21-B24</f>
        <v>-747447.86286666663</v>
      </c>
      <c r="C29" s="137">
        <f t="shared" ref="C29:M29" si="31">C21-C24</f>
        <v>913052.13713333337</v>
      </c>
      <c r="D29" s="137">
        <f t="shared" si="31"/>
        <v>5552.1371333333354</v>
      </c>
      <c r="E29" s="137">
        <f t="shared" si="31"/>
        <v>-732447.86286666663</v>
      </c>
      <c r="F29" s="137">
        <f t="shared" si="31"/>
        <v>928052.13713333337</v>
      </c>
      <c r="G29" s="137">
        <f t="shared" si="31"/>
        <v>-4447.8628666666627</v>
      </c>
      <c r="H29" s="137">
        <f t="shared" si="31"/>
        <v>-732447.86286666663</v>
      </c>
      <c r="I29" s="137">
        <f t="shared" si="31"/>
        <v>928052.13713333337</v>
      </c>
      <c r="J29" s="137">
        <f t="shared" si="31"/>
        <v>5552.1371333333354</v>
      </c>
      <c r="K29" s="137">
        <f t="shared" si="31"/>
        <v>-742447.86286666663</v>
      </c>
      <c r="L29" s="137">
        <f t="shared" si="31"/>
        <v>928052.13713333337</v>
      </c>
      <c r="M29" s="74">
        <f t="shared" si="31"/>
        <v>5552.1371333333354</v>
      </c>
      <c r="N29" s="78"/>
    </row>
    <row r="30" spans="1:14" x14ac:dyDescent="0.2">
      <c r="A30" s="178" t="s">
        <v>154</v>
      </c>
      <c r="B30" s="138">
        <v>550000</v>
      </c>
      <c r="C30" s="138"/>
      <c r="D30" s="138">
        <v>0</v>
      </c>
      <c r="E30" s="138">
        <v>0</v>
      </c>
      <c r="F30" s="138">
        <v>0</v>
      </c>
      <c r="G30" s="138">
        <v>0</v>
      </c>
      <c r="H30" s="138">
        <v>0</v>
      </c>
      <c r="I30" s="138">
        <v>0</v>
      </c>
      <c r="J30" s="138">
        <v>0</v>
      </c>
      <c r="K30" s="138">
        <v>0</v>
      </c>
      <c r="L30" s="138">
        <v>0</v>
      </c>
      <c r="M30" s="179">
        <v>0</v>
      </c>
      <c r="N30" s="78">
        <f t="shared" ref="N30:N33" si="32">SUM(B30:M30)</f>
        <v>550000</v>
      </c>
    </row>
    <row r="31" spans="1:14" x14ac:dyDescent="0.2">
      <c r="A31" s="180" t="s">
        <v>171</v>
      </c>
      <c r="B31" s="135">
        <f>'Amortization Credit 1'!$C$2+'Amortization Credit 2'!$C$2</f>
        <v>15754</v>
      </c>
      <c r="C31" s="135">
        <f>'Amortization Credit 1'!$C$2+'Amortization Credit 2'!$C$2</f>
        <v>15754</v>
      </c>
      <c r="D31" s="135">
        <f>'Amortization Credit 1'!$C$2+'Amortization Credit 2'!$C$2</f>
        <v>15754</v>
      </c>
      <c r="E31" s="135">
        <f>'Amortization Credit 1'!$C$2+'Amortization Credit 2'!$C$2</f>
        <v>15754</v>
      </c>
      <c r="F31" s="135">
        <f>'Amortization Credit 1'!$C$2+'Amortization Credit 2'!$C$2</f>
        <v>15754</v>
      </c>
      <c r="G31" s="135">
        <f>'Amortization Credit 1'!$C$2+'Amortization Credit 2'!$C$2</f>
        <v>15754</v>
      </c>
      <c r="H31" s="135">
        <f>'Amortization Credit 1'!$C$2+'Amortization Credit 2'!$C$2</f>
        <v>15754</v>
      </c>
      <c r="I31" s="135">
        <f>'Amortization Credit 1'!$C$2+'Amortization Credit 2'!$C$2</f>
        <v>15754</v>
      </c>
      <c r="J31" s="135">
        <f>'Amortization Credit 1'!$C$2+'Amortization Credit 2'!$C$2</f>
        <v>15754</v>
      </c>
      <c r="K31" s="135">
        <f>'Amortization Credit 1'!$C$2+'Amortization Credit 2'!$C$2</f>
        <v>15754</v>
      </c>
      <c r="L31" s="135">
        <f>'Amortization Credit 1'!$C$2+'Amortization Credit 2'!$C$2</f>
        <v>15754</v>
      </c>
      <c r="M31" s="174">
        <f>'Amortization Credit 1'!$C$2+'Amortization Credit 2'!$C$2</f>
        <v>15754</v>
      </c>
      <c r="N31" s="78">
        <f t="shared" si="32"/>
        <v>189048</v>
      </c>
    </row>
    <row r="32" spans="1:14" x14ac:dyDescent="0.2">
      <c r="A32" s="180" t="s">
        <v>159</v>
      </c>
      <c r="B32" s="135">
        <v>0</v>
      </c>
      <c r="C32" s="135">
        <v>0</v>
      </c>
      <c r="D32" s="135">
        <v>0</v>
      </c>
      <c r="E32" s="135">
        <v>0</v>
      </c>
      <c r="F32" s="135">
        <v>0</v>
      </c>
      <c r="G32" s="135">
        <v>0</v>
      </c>
      <c r="H32" s="135">
        <v>0</v>
      </c>
      <c r="I32" s="135">
        <v>0</v>
      </c>
      <c r="J32" s="135">
        <v>0</v>
      </c>
      <c r="K32" s="135">
        <v>0</v>
      </c>
      <c r="L32" s="135">
        <v>0</v>
      </c>
      <c r="M32" s="174">
        <f>'Average Scenario'!D114</f>
        <v>319857.73008000001</v>
      </c>
      <c r="N32" s="78">
        <f t="shared" si="32"/>
        <v>319857.73008000001</v>
      </c>
    </row>
    <row r="33" spans="1:14" x14ac:dyDescent="0.2">
      <c r="A33" s="184" t="s">
        <v>160</v>
      </c>
      <c r="B33" s="134">
        <v>0</v>
      </c>
      <c r="C33" s="134">
        <v>0</v>
      </c>
      <c r="D33" s="134">
        <v>0</v>
      </c>
      <c r="E33" s="134">
        <v>0</v>
      </c>
      <c r="F33" s="134">
        <v>0</v>
      </c>
      <c r="G33" s="134">
        <v>0</v>
      </c>
      <c r="H33" s="134">
        <v>0</v>
      </c>
      <c r="I33" s="134">
        <v>0</v>
      </c>
      <c r="J33" s="134">
        <v>0</v>
      </c>
      <c r="K33" s="134">
        <v>0</v>
      </c>
      <c r="L33" s="134">
        <v>0</v>
      </c>
      <c r="M33" s="172">
        <f>'Average Scenario'!D110</f>
        <v>10000</v>
      </c>
      <c r="N33" s="78">
        <f t="shared" si="32"/>
        <v>10000</v>
      </c>
    </row>
    <row r="34" spans="1:14" x14ac:dyDescent="0.2">
      <c r="A34" s="177" t="s">
        <v>62</v>
      </c>
      <c r="B34" s="163">
        <f>B29+B30-B31-B32+B33</f>
        <v>-213201.86286666663</v>
      </c>
      <c r="C34" s="137">
        <f t="shared" ref="C34:M34" si="33">C29+C30-C31-C32+C33</f>
        <v>897298.13713333337</v>
      </c>
      <c r="D34" s="137">
        <f t="shared" si="33"/>
        <v>-10201.862866666665</v>
      </c>
      <c r="E34" s="137">
        <f t="shared" si="33"/>
        <v>-748201.86286666663</v>
      </c>
      <c r="F34" s="137">
        <f t="shared" si="33"/>
        <v>912298.13713333337</v>
      </c>
      <c r="G34" s="137">
        <f t="shared" si="33"/>
        <v>-20201.862866666663</v>
      </c>
      <c r="H34" s="137">
        <f t="shared" si="33"/>
        <v>-748201.86286666663</v>
      </c>
      <c r="I34" s="137">
        <f t="shared" si="33"/>
        <v>912298.13713333337</v>
      </c>
      <c r="J34" s="137">
        <f t="shared" si="33"/>
        <v>-10201.862866666665</v>
      </c>
      <c r="K34" s="137">
        <f t="shared" si="33"/>
        <v>-758201.86286666663</v>
      </c>
      <c r="L34" s="137">
        <f t="shared" si="33"/>
        <v>912298.13713333337</v>
      </c>
      <c r="M34" s="74">
        <f t="shared" si="33"/>
        <v>-320059.5929466667</v>
      </c>
      <c r="N34" s="78"/>
    </row>
    <row r="35" spans="1:14" x14ac:dyDescent="0.2">
      <c r="A35" s="177" t="s">
        <v>63</v>
      </c>
      <c r="B35" s="163">
        <f>B34/(1+8%)^2</f>
        <v>-182786.23359625053</v>
      </c>
      <c r="C35" s="137">
        <f t="shared" ref="C35:M35" si="34">C34/(1+8%)^2</f>
        <v>769288.52634887968</v>
      </c>
      <c r="D35" s="137">
        <f t="shared" si="34"/>
        <v>-8746.4530749885671</v>
      </c>
      <c r="E35" s="137">
        <f t="shared" si="34"/>
        <v>-641462.50245770451</v>
      </c>
      <c r="F35" s="137">
        <f t="shared" si="34"/>
        <v>782148.6086534065</v>
      </c>
      <c r="G35" s="137">
        <f t="shared" si="34"/>
        <v>-17319.841278006395</v>
      </c>
      <c r="H35" s="137">
        <f t="shared" si="34"/>
        <v>-641462.50245770451</v>
      </c>
      <c r="I35" s="137">
        <f t="shared" si="34"/>
        <v>782148.6086534065</v>
      </c>
      <c r="J35" s="137">
        <f t="shared" si="34"/>
        <v>-8746.4530749885671</v>
      </c>
      <c r="K35" s="137">
        <f t="shared" si="34"/>
        <v>-650035.89066072239</v>
      </c>
      <c r="L35" s="137">
        <f t="shared" si="34"/>
        <v>782148.6086534065</v>
      </c>
      <c r="M35" s="74">
        <f t="shared" si="34"/>
        <v>-274399.51384316414</v>
      </c>
      <c r="N35" s="78"/>
    </row>
    <row r="36" spans="1:14" ht="17" thickBot="1" x14ac:dyDescent="0.25">
      <c r="A36" s="46" t="s">
        <v>158</v>
      </c>
      <c r="B36" s="183">
        <f>M17+B35</f>
        <v>18415.618700045743</v>
      </c>
      <c r="C36" s="64">
        <f>B36+C35</f>
        <v>787704.14504892542</v>
      </c>
      <c r="D36" s="64">
        <f t="shared" ref="D36:L36" si="35">C36+D35</f>
        <v>778957.69197393686</v>
      </c>
      <c r="E36" s="64">
        <f t="shared" si="35"/>
        <v>137495.18951623235</v>
      </c>
      <c r="F36" s="64">
        <f t="shared" si="35"/>
        <v>919643.79816963885</v>
      </c>
      <c r="G36" s="64">
        <f t="shared" si="35"/>
        <v>902323.95689163241</v>
      </c>
      <c r="H36" s="64">
        <f t="shared" si="35"/>
        <v>260861.45443392789</v>
      </c>
      <c r="I36" s="64">
        <f t="shared" si="35"/>
        <v>1043010.0630873344</v>
      </c>
      <c r="J36" s="64">
        <f t="shared" si="35"/>
        <v>1034263.6100123458</v>
      </c>
      <c r="K36" s="64">
        <f t="shared" si="35"/>
        <v>384227.71935162344</v>
      </c>
      <c r="L36" s="64">
        <f t="shared" si="35"/>
        <v>1166376.3280050298</v>
      </c>
      <c r="M36" s="65">
        <f>L36+M35</f>
        <v>891976.81416186574</v>
      </c>
    </row>
    <row r="39" spans="1:14" ht="17" thickBot="1" x14ac:dyDescent="0.25"/>
    <row r="40" spans="1:14" x14ac:dyDescent="0.2">
      <c r="A40" s="88">
        <v>2020</v>
      </c>
      <c r="B40" s="164">
        <v>43831</v>
      </c>
      <c r="C40" s="165">
        <v>43862</v>
      </c>
      <c r="D40" s="165">
        <v>43891</v>
      </c>
      <c r="E40" s="165">
        <v>43922</v>
      </c>
      <c r="F40" s="165">
        <v>43952</v>
      </c>
      <c r="G40" s="165">
        <v>43983</v>
      </c>
      <c r="H40" s="165">
        <v>44013</v>
      </c>
      <c r="I40" s="165">
        <v>44044</v>
      </c>
      <c r="J40" s="165">
        <v>44075</v>
      </c>
      <c r="K40" s="165">
        <v>44105</v>
      </c>
      <c r="L40" s="165">
        <v>44136</v>
      </c>
      <c r="M40" s="166">
        <v>44166</v>
      </c>
      <c r="N40" t="s">
        <v>155</v>
      </c>
    </row>
    <row r="41" spans="1:14" x14ac:dyDescent="0.2">
      <c r="A41" s="167" t="s">
        <v>168</v>
      </c>
      <c r="B41" s="132">
        <f>SUM(B42:B43)</f>
        <v>58053.333333333336</v>
      </c>
      <c r="C41" s="132">
        <f t="shared" ref="C41" si="36">SUM(C42:C43)</f>
        <v>1979928.3333333333</v>
      </c>
      <c r="D41" s="132">
        <f t="shared" ref="D41" si="37">SUM(D42:D43)</f>
        <v>58053.333333333336</v>
      </c>
      <c r="E41" s="132">
        <f t="shared" ref="E41" si="38">SUM(E42:E43)</f>
        <v>58053.333333333336</v>
      </c>
      <c r="F41" s="132">
        <f t="shared" ref="F41" si="39">SUM(F42:F43)</f>
        <v>1979928.3333333333</v>
      </c>
      <c r="G41" s="132">
        <f t="shared" ref="G41" si="40">SUM(G42:G43)</f>
        <v>58053.333333333336</v>
      </c>
      <c r="H41" s="132">
        <f t="shared" ref="H41" si="41">SUM(H42:H43)</f>
        <v>58053.333333333336</v>
      </c>
      <c r="I41" s="132">
        <f t="shared" ref="I41" si="42">SUM(I42:I43)</f>
        <v>1979928.3333333333</v>
      </c>
      <c r="J41" s="132">
        <f t="shared" ref="J41" si="43">SUM(J42:J43)</f>
        <v>58053.333333333336</v>
      </c>
      <c r="K41" s="132">
        <f t="shared" ref="K41" si="44">SUM(K42:K43)</f>
        <v>58053.333333333336</v>
      </c>
      <c r="L41" s="132">
        <f t="shared" ref="L41" si="45">SUM(L42:L43)</f>
        <v>1979928.3333333333</v>
      </c>
      <c r="M41" s="168">
        <f t="shared" ref="M41" si="46">SUM(M42:M43)</f>
        <v>58053.333333333336</v>
      </c>
      <c r="N41" s="78">
        <f>SUM(B41:M41)</f>
        <v>8384139.9999999981</v>
      </c>
    </row>
    <row r="42" spans="1:14" x14ac:dyDescent="0.2">
      <c r="A42" s="169" t="s">
        <v>156</v>
      </c>
      <c r="B42" s="133">
        <v>0</v>
      </c>
      <c r="C42" s="133">
        <f>('Average Scenario'!F93)/4</f>
        <v>1921875</v>
      </c>
      <c r="D42" s="133">
        <v>0</v>
      </c>
      <c r="E42" s="133">
        <v>0</v>
      </c>
      <c r="F42" s="133">
        <f>('Average Scenario'!F93)/4</f>
        <v>1921875</v>
      </c>
      <c r="G42" s="133">
        <v>0</v>
      </c>
      <c r="H42" s="133">
        <v>0</v>
      </c>
      <c r="I42" s="133">
        <f>('Average Scenario'!F93)/4</f>
        <v>1921875</v>
      </c>
      <c r="J42" s="133">
        <v>0</v>
      </c>
      <c r="K42" s="133">
        <v>0</v>
      </c>
      <c r="L42" s="133">
        <f>('Average Scenario'!F93)/4</f>
        <v>1921875</v>
      </c>
      <c r="M42" s="170">
        <v>0</v>
      </c>
      <c r="N42" s="78">
        <f t="shared" ref="N42:N48" si="47">SUM(B42:M42)</f>
        <v>7687500</v>
      </c>
    </row>
    <row r="43" spans="1:14" x14ac:dyDescent="0.2">
      <c r="A43" s="171" t="s">
        <v>157</v>
      </c>
      <c r="B43" s="134">
        <f>'Average Scenario'!$F$95/12</f>
        <v>58053.333333333336</v>
      </c>
      <c r="C43" s="134">
        <f>'Average Scenario'!$F$95/12</f>
        <v>58053.333333333336</v>
      </c>
      <c r="D43" s="134">
        <f>'Average Scenario'!$F$95/12</f>
        <v>58053.333333333336</v>
      </c>
      <c r="E43" s="134">
        <f>'Average Scenario'!$F$95/12</f>
        <v>58053.333333333336</v>
      </c>
      <c r="F43" s="134">
        <f>'Average Scenario'!$F$95/12</f>
        <v>58053.333333333336</v>
      </c>
      <c r="G43" s="134">
        <f>'Average Scenario'!$F$95/12</f>
        <v>58053.333333333336</v>
      </c>
      <c r="H43" s="134">
        <f>'Average Scenario'!$F$95/12</f>
        <v>58053.333333333336</v>
      </c>
      <c r="I43" s="134">
        <f>'Average Scenario'!$F$95/12</f>
        <v>58053.333333333336</v>
      </c>
      <c r="J43" s="134">
        <f>'Average Scenario'!$F$95/12</f>
        <v>58053.333333333336</v>
      </c>
      <c r="K43" s="134">
        <f>'Average Scenario'!$F$95/12</f>
        <v>58053.333333333336</v>
      </c>
      <c r="L43" s="134">
        <f>'Average Scenario'!$F$95/12</f>
        <v>58053.333333333336</v>
      </c>
      <c r="M43" s="172">
        <f>'Average Scenario'!$F$95/12</f>
        <v>58053.333333333336</v>
      </c>
      <c r="N43" s="78">
        <f t="shared" si="47"/>
        <v>696640</v>
      </c>
    </row>
    <row r="44" spans="1:14" x14ac:dyDescent="0.2">
      <c r="A44" s="167" t="s">
        <v>169</v>
      </c>
      <c r="B44" s="132">
        <f>SUM(B45:B48)</f>
        <v>1617718.8670000001</v>
      </c>
      <c r="C44" s="132">
        <f t="shared" ref="C44" si="48">SUM(C45:C48)</f>
        <v>60218.866999999991</v>
      </c>
      <c r="D44" s="132">
        <f t="shared" ref="D44" si="49">SUM(D45:D48)</f>
        <v>45218.866999999991</v>
      </c>
      <c r="E44" s="132">
        <f t="shared" ref="E44" si="50">SUM(E45:E48)</f>
        <v>1582718.8670000001</v>
      </c>
      <c r="F44" s="132">
        <f t="shared" ref="F44" si="51">SUM(F45:F48)</f>
        <v>45218.866999999991</v>
      </c>
      <c r="G44" s="132">
        <f t="shared" ref="G44" si="52">SUM(G45:G48)</f>
        <v>55218.866999999991</v>
      </c>
      <c r="H44" s="132">
        <f t="shared" ref="H44" si="53">SUM(H45:H48)</f>
        <v>1582718.8670000001</v>
      </c>
      <c r="I44" s="132">
        <f t="shared" ref="I44" si="54">SUM(I45:I48)</f>
        <v>45218.866999999991</v>
      </c>
      <c r="J44" s="132">
        <f t="shared" ref="J44" si="55">SUM(J45:J48)</f>
        <v>45218.866999999991</v>
      </c>
      <c r="K44" s="132">
        <f t="shared" ref="K44" si="56">SUM(K45:K48)</f>
        <v>1592718.8670000001</v>
      </c>
      <c r="L44" s="132">
        <f t="shared" ref="L44" si="57">SUM(L45:L48)</f>
        <v>45218.866999999991</v>
      </c>
      <c r="M44" s="168">
        <f t="shared" ref="M44" si="58">SUM(M45:M48)</f>
        <v>45218.866999999991</v>
      </c>
      <c r="N44" s="78">
        <f t="shared" si="47"/>
        <v>6762626.4039999992</v>
      </c>
    </row>
    <row r="45" spans="1:14" x14ac:dyDescent="0.2">
      <c r="A45" s="173" t="s">
        <v>152</v>
      </c>
      <c r="B45" s="135">
        <v>0</v>
      </c>
      <c r="C45" s="135">
        <v>15000</v>
      </c>
      <c r="D45" s="135">
        <v>0</v>
      </c>
      <c r="E45" s="135">
        <v>0</v>
      </c>
      <c r="F45" s="135">
        <v>0</v>
      </c>
      <c r="G45" s="135">
        <v>10000</v>
      </c>
      <c r="H45" s="135">
        <v>0</v>
      </c>
      <c r="I45" s="135">
        <v>0</v>
      </c>
      <c r="J45" s="135">
        <v>0</v>
      </c>
      <c r="K45" s="135">
        <v>10000</v>
      </c>
      <c r="L45" s="135">
        <v>0</v>
      </c>
      <c r="M45" s="174">
        <v>0</v>
      </c>
      <c r="N45" s="78">
        <f t="shared" si="47"/>
        <v>35000</v>
      </c>
    </row>
    <row r="46" spans="1:14" x14ac:dyDescent="0.2">
      <c r="A46" s="173" t="s">
        <v>153</v>
      </c>
      <c r="B46" s="135">
        <f>(('Average Scenario'!$D$120-'Average Scenario'!$D$78)/12)</f>
        <v>45218.866999999991</v>
      </c>
      <c r="C46" s="135">
        <f>(('Average Scenario'!$D$120-'Average Scenario'!$D$78)/12)</f>
        <v>45218.866999999991</v>
      </c>
      <c r="D46" s="135">
        <f>(('Average Scenario'!$D$120-'Average Scenario'!$D$78)/12)</f>
        <v>45218.866999999991</v>
      </c>
      <c r="E46" s="135">
        <f>(('Average Scenario'!$D$120-'Average Scenario'!$D$78)/12)</f>
        <v>45218.866999999991</v>
      </c>
      <c r="F46" s="135">
        <f>(('Average Scenario'!$D$120-'Average Scenario'!$D$78)/12)</f>
        <v>45218.866999999991</v>
      </c>
      <c r="G46" s="135">
        <f>(('Average Scenario'!$D$120-'Average Scenario'!$D$78)/12)</f>
        <v>45218.866999999991</v>
      </c>
      <c r="H46" s="135">
        <f>(('Average Scenario'!$D$120-'Average Scenario'!$D$78)/12)</f>
        <v>45218.866999999991</v>
      </c>
      <c r="I46" s="135">
        <f>(('Average Scenario'!$D$120-'Average Scenario'!$D$78)/12)</f>
        <v>45218.866999999991</v>
      </c>
      <c r="J46" s="135">
        <f>(('Average Scenario'!$D$120-'Average Scenario'!$D$78)/12)</f>
        <v>45218.866999999991</v>
      </c>
      <c r="K46" s="135">
        <f>(('Average Scenario'!$D$120-'Average Scenario'!$D$78)/12)</f>
        <v>45218.866999999991</v>
      </c>
      <c r="L46" s="135">
        <f>(('Average Scenario'!$D$120-'Average Scenario'!$D$78)/12)</f>
        <v>45218.866999999991</v>
      </c>
      <c r="M46" s="174">
        <f>(('Average Scenario'!$D$120-'Average Scenario'!$D$78)/12)</f>
        <v>45218.866999999991</v>
      </c>
      <c r="N46" s="78">
        <f t="shared" si="47"/>
        <v>542626.40399999975</v>
      </c>
    </row>
    <row r="47" spans="1:14" x14ac:dyDescent="0.2">
      <c r="A47" s="173" t="s">
        <v>161</v>
      </c>
      <c r="B47" s="135">
        <f>'Average Scenario'!D2</f>
        <v>35000</v>
      </c>
      <c r="C47" s="135">
        <v>0</v>
      </c>
      <c r="D47" s="135">
        <v>0</v>
      </c>
      <c r="E47" s="135">
        <v>0</v>
      </c>
      <c r="F47" s="135">
        <v>0</v>
      </c>
      <c r="G47" s="135">
        <v>0</v>
      </c>
      <c r="H47" s="135">
        <v>0</v>
      </c>
      <c r="I47" s="135">
        <v>0</v>
      </c>
      <c r="J47" s="135">
        <v>0</v>
      </c>
      <c r="K47" s="135">
        <v>0</v>
      </c>
      <c r="L47" s="135">
        <v>0</v>
      </c>
      <c r="M47" s="174">
        <v>0</v>
      </c>
      <c r="N47" s="78">
        <f t="shared" si="47"/>
        <v>35000</v>
      </c>
    </row>
    <row r="48" spans="1:14" x14ac:dyDescent="0.2">
      <c r="A48" s="175" t="s">
        <v>170</v>
      </c>
      <c r="B48" s="136">
        <f>'Average Scenario'!F97/4</f>
        <v>1537500</v>
      </c>
      <c r="C48" s="136">
        <v>0</v>
      </c>
      <c r="D48" s="136">
        <v>0</v>
      </c>
      <c r="E48" s="136">
        <f>'Average Scenario'!F97/4</f>
        <v>1537500</v>
      </c>
      <c r="F48" s="136">
        <v>0</v>
      </c>
      <c r="G48" s="136">
        <v>0</v>
      </c>
      <c r="H48" s="136">
        <f>'Average Scenario'!F97/4</f>
        <v>1537500</v>
      </c>
      <c r="I48" s="136">
        <v>0</v>
      </c>
      <c r="J48" s="136">
        <v>0</v>
      </c>
      <c r="K48" s="136">
        <f>'Average Scenario'!F97/4</f>
        <v>1537500</v>
      </c>
      <c r="L48" s="136">
        <v>0</v>
      </c>
      <c r="M48" s="176">
        <v>0</v>
      </c>
      <c r="N48" s="78">
        <f t="shared" si="47"/>
        <v>6150000</v>
      </c>
    </row>
    <row r="49" spans="1:14" x14ac:dyDescent="0.2">
      <c r="A49" s="177" t="s">
        <v>60</v>
      </c>
      <c r="B49" s="163">
        <f>B41-B44</f>
        <v>-1559665.5336666668</v>
      </c>
      <c r="C49" s="137">
        <f t="shared" ref="C49:M49" si="59">C41-C44</f>
        <v>1919709.4663333332</v>
      </c>
      <c r="D49" s="137">
        <f t="shared" si="59"/>
        <v>12834.466333333345</v>
      </c>
      <c r="E49" s="137">
        <f t="shared" si="59"/>
        <v>-1524665.5336666668</v>
      </c>
      <c r="F49" s="137">
        <f t="shared" si="59"/>
        <v>1934709.4663333332</v>
      </c>
      <c r="G49" s="137">
        <f t="shared" si="59"/>
        <v>2834.4663333333447</v>
      </c>
      <c r="H49" s="137">
        <f t="shared" si="59"/>
        <v>-1524665.5336666668</v>
      </c>
      <c r="I49" s="137">
        <f t="shared" si="59"/>
        <v>1934709.4663333332</v>
      </c>
      <c r="J49" s="137">
        <f t="shared" si="59"/>
        <v>12834.466333333345</v>
      </c>
      <c r="K49" s="137">
        <f t="shared" si="59"/>
        <v>-1534665.5336666668</v>
      </c>
      <c r="L49" s="137">
        <f t="shared" si="59"/>
        <v>1934709.4663333332</v>
      </c>
      <c r="M49" s="74">
        <f t="shared" si="59"/>
        <v>12834.466333333345</v>
      </c>
      <c r="N49" s="78"/>
    </row>
    <row r="50" spans="1:14" x14ac:dyDescent="0.2">
      <c r="A50" s="178" t="s">
        <v>154</v>
      </c>
      <c r="B50" s="138">
        <f>400000+150000</f>
        <v>550000</v>
      </c>
      <c r="C50" s="138">
        <v>-432000</v>
      </c>
      <c r="D50" s="138">
        <v>0</v>
      </c>
      <c r="E50" s="138">
        <v>0</v>
      </c>
      <c r="F50" s="138">
        <v>0</v>
      </c>
      <c r="G50" s="138">
        <v>0</v>
      </c>
      <c r="H50" s="138">
        <v>0</v>
      </c>
      <c r="I50" s="138">
        <v>0</v>
      </c>
      <c r="J50" s="138">
        <v>0</v>
      </c>
      <c r="K50" s="138">
        <v>0</v>
      </c>
      <c r="L50" s="138">
        <v>0</v>
      </c>
      <c r="M50" s="179">
        <v>0</v>
      </c>
      <c r="N50" s="78">
        <f t="shared" ref="N50:N53" si="60">SUM(B50:M50)</f>
        <v>118000</v>
      </c>
    </row>
    <row r="51" spans="1:14" x14ac:dyDescent="0.2">
      <c r="A51" s="180" t="s">
        <v>171</v>
      </c>
      <c r="B51" s="135">
        <f>'Amortization Credit 1'!$C$2+'Amortization Credit 2'!$C$2+'Amortization Credit 3'!$C$2</f>
        <v>18516</v>
      </c>
      <c r="C51" s="135">
        <f>'Amortization Credit 1'!$C$2+'Amortization Credit 2'!$C$2+'Amortization Credit 3'!$C$2</f>
        <v>18516</v>
      </c>
      <c r="D51" s="135">
        <f>'Amortization Credit 1'!$C$2+'Amortization Credit 2'!$C$2+'Amortization Credit 3'!$C$2</f>
        <v>18516</v>
      </c>
      <c r="E51" s="135">
        <f>'Amortization Credit 1'!$C$2+'Amortization Credit 2'!$C$2+'Amortization Credit 3'!$C$2</f>
        <v>18516</v>
      </c>
      <c r="F51" s="135">
        <f>'Amortization Credit 1'!$C$2+'Amortization Credit 2'!$C$2+'Amortization Credit 3'!$C$2</f>
        <v>18516</v>
      </c>
      <c r="G51" s="135">
        <f>'Amortization Credit 1'!$C$2+'Amortization Credit 2'!$C$2+'Amortization Credit 3'!$C$2</f>
        <v>18516</v>
      </c>
      <c r="H51" s="135">
        <f>'Amortization Credit 1'!$C$2+'Amortization Credit 2'!$C$2+'Amortization Credit 3'!$C$2</f>
        <v>18516</v>
      </c>
      <c r="I51" s="135">
        <f>'Amortization Credit 1'!$C$2+'Amortization Credit 2'!$C$2+'Amortization Credit 3'!$C$2</f>
        <v>18516</v>
      </c>
      <c r="J51" s="135">
        <f>'Amortization Credit 1'!$C$2+'Amortization Credit 2'!$C$2+'Amortization Credit 3'!$C$2</f>
        <v>18516</v>
      </c>
      <c r="K51" s="135">
        <f>'Amortization Credit 1'!$C$2+'Amortization Credit 2'!$C$2+'Amortization Credit 3'!$C$2</f>
        <v>18516</v>
      </c>
      <c r="L51" s="135">
        <f>'Amortization Credit 1'!$C$2+'Amortization Credit 2'!$C$2+'Amortization Credit 3'!$C$2</f>
        <v>18516</v>
      </c>
      <c r="M51" s="174">
        <f>'Amortization Credit 1'!$C$2+'Amortization Credit 2'!$C$2+'Amortization Credit 3'!$C$2</f>
        <v>18516</v>
      </c>
      <c r="N51" s="78">
        <f t="shared" si="60"/>
        <v>222192</v>
      </c>
    </row>
    <row r="52" spans="1:14" x14ac:dyDescent="0.2">
      <c r="A52" s="180" t="s">
        <v>159</v>
      </c>
      <c r="B52" s="135">
        <v>0</v>
      </c>
      <c r="C52" s="135">
        <v>0</v>
      </c>
      <c r="D52" s="135">
        <v>0</v>
      </c>
      <c r="E52" s="135">
        <v>0</v>
      </c>
      <c r="F52" s="135">
        <v>0</v>
      </c>
      <c r="G52" s="135">
        <v>0</v>
      </c>
      <c r="H52" s="135">
        <v>0</v>
      </c>
      <c r="I52" s="135">
        <v>0</v>
      </c>
      <c r="J52" s="135">
        <v>0</v>
      </c>
      <c r="K52" s="135">
        <v>0</v>
      </c>
      <c r="L52" s="135">
        <v>0</v>
      </c>
      <c r="M52" s="174">
        <f>'Average Scenario'!F114</f>
        <v>454624.17879999999</v>
      </c>
      <c r="N52" s="78">
        <f t="shared" si="60"/>
        <v>454624.17879999999</v>
      </c>
    </row>
    <row r="53" spans="1:14" x14ac:dyDescent="0.2">
      <c r="A53" s="184" t="s">
        <v>160</v>
      </c>
      <c r="B53" s="134">
        <v>0</v>
      </c>
      <c r="C53" s="134">
        <v>0</v>
      </c>
      <c r="D53" s="134">
        <v>0</v>
      </c>
      <c r="E53" s="134">
        <v>0</v>
      </c>
      <c r="F53" s="134">
        <v>0</v>
      </c>
      <c r="G53" s="134">
        <v>0</v>
      </c>
      <c r="H53" s="134">
        <v>0</v>
      </c>
      <c r="I53" s="134">
        <v>0</v>
      </c>
      <c r="J53" s="134">
        <v>0</v>
      </c>
      <c r="K53" s="134">
        <v>0</v>
      </c>
      <c r="L53" s="134">
        <v>0</v>
      </c>
      <c r="M53" s="172">
        <f>'Average Scenario'!F110</f>
        <v>21666.666666666664</v>
      </c>
      <c r="N53" s="78">
        <f t="shared" si="60"/>
        <v>21666.666666666664</v>
      </c>
    </row>
    <row r="54" spans="1:14" x14ac:dyDescent="0.2">
      <c r="A54" s="177" t="s">
        <v>62</v>
      </c>
      <c r="B54" s="163">
        <f>B49+B50-B51-B52+B53</f>
        <v>-1028181.5336666668</v>
      </c>
      <c r="C54" s="163">
        <f t="shared" ref="C54:M54" si="61">C49+C50-C51-C52+C53</f>
        <v>1469193.4663333332</v>
      </c>
      <c r="D54" s="163">
        <f t="shared" si="61"/>
        <v>-5681.5336666666553</v>
      </c>
      <c r="E54" s="163">
        <f t="shared" si="61"/>
        <v>-1543181.5336666668</v>
      </c>
      <c r="F54" s="163">
        <f t="shared" si="61"/>
        <v>1916193.4663333332</v>
      </c>
      <c r="G54" s="163">
        <f t="shared" si="61"/>
        <v>-15681.533666666655</v>
      </c>
      <c r="H54" s="163">
        <f t="shared" si="61"/>
        <v>-1543181.5336666668</v>
      </c>
      <c r="I54" s="163">
        <f t="shared" si="61"/>
        <v>1916193.4663333332</v>
      </c>
      <c r="J54" s="163">
        <f t="shared" si="61"/>
        <v>-5681.5336666666553</v>
      </c>
      <c r="K54" s="163">
        <f t="shared" si="61"/>
        <v>-1553181.5336666668</v>
      </c>
      <c r="L54" s="163">
        <f t="shared" si="61"/>
        <v>1916193.4663333332</v>
      </c>
      <c r="M54" s="217">
        <f t="shared" si="61"/>
        <v>-438639.04579999996</v>
      </c>
      <c r="N54" s="78"/>
    </row>
    <row r="55" spans="1:14" x14ac:dyDescent="0.2">
      <c r="A55" s="177" t="s">
        <v>63</v>
      </c>
      <c r="B55" s="163">
        <f>B54/(1+8%)^3</f>
        <v>-816203.65104616503</v>
      </c>
      <c r="C55" s="137">
        <f t="shared" ref="C55:M55" si="62">C54/(1+8%)^3</f>
        <v>1166293.1418715809</v>
      </c>
      <c r="D55" s="137">
        <f t="shared" si="62"/>
        <v>-4510.1846030415318</v>
      </c>
      <c r="E55" s="137">
        <f t="shared" si="62"/>
        <v>-1225027.2551715523</v>
      </c>
      <c r="F55" s="137">
        <f t="shared" si="62"/>
        <v>1521136.1536075966</v>
      </c>
      <c r="G55" s="137">
        <f t="shared" si="62"/>
        <v>-12448.507013243228</v>
      </c>
      <c r="H55" s="137">
        <f t="shared" si="62"/>
        <v>-1225027.2551715523</v>
      </c>
      <c r="I55" s="137">
        <f t="shared" si="62"/>
        <v>1521136.1536075966</v>
      </c>
      <c r="J55" s="137">
        <f t="shared" si="62"/>
        <v>-4510.1846030415318</v>
      </c>
      <c r="K55" s="137">
        <f t="shared" si="62"/>
        <v>-1232965.5775817542</v>
      </c>
      <c r="L55" s="137">
        <f t="shared" si="62"/>
        <v>1521136.1536075966</v>
      </c>
      <c r="M55" s="74">
        <f t="shared" si="62"/>
        <v>-348205.8167263628</v>
      </c>
      <c r="N55" s="78"/>
    </row>
    <row r="56" spans="1:14" ht="17" thickBot="1" x14ac:dyDescent="0.25">
      <c r="A56" s="46" t="s">
        <v>158</v>
      </c>
      <c r="B56" s="183">
        <f>M36+B55</f>
        <v>75773.163115700707</v>
      </c>
      <c r="C56" s="64">
        <f>B56+C55</f>
        <v>1242066.3049872816</v>
      </c>
      <c r="D56" s="64">
        <f t="shared" ref="D56:L56" si="63">C56+D55</f>
        <v>1237556.1203842401</v>
      </c>
      <c r="E56" s="64">
        <f t="shared" si="63"/>
        <v>12528.865212687757</v>
      </c>
      <c r="F56" s="64">
        <f t="shared" si="63"/>
        <v>1533665.0188202844</v>
      </c>
      <c r="G56" s="64">
        <f t="shared" si="63"/>
        <v>1521216.5118070412</v>
      </c>
      <c r="H56" s="64">
        <f t="shared" si="63"/>
        <v>296189.25663548894</v>
      </c>
      <c r="I56" s="64">
        <f t="shared" si="63"/>
        <v>1817325.4102430856</v>
      </c>
      <c r="J56" s="64">
        <f t="shared" si="63"/>
        <v>1812815.2256400441</v>
      </c>
      <c r="K56" s="64">
        <f t="shared" si="63"/>
        <v>579849.64805828989</v>
      </c>
      <c r="L56" s="64">
        <f t="shared" si="63"/>
        <v>2100985.8016658863</v>
      </c>
      <c r="M56" s="65">
        <f>L56+M55</f>
        <v>1752779.9849395235</v>
      </c>
    </row>
    <row r="60" spans="1:14" ht="17" thickBot="1" x14ac:dyDescent="0.25"/>
    <row r="61" spans="1:14" x14ac:dyDescent="0.2">
      <c r="A61" s="88">
        <v>2021</v>
      </c>
      <c r="B61" s="164">
        <v>44197</v>
      </c>
      <c r="C61" s="165">
        <v>44228</v>
      </c>
      <c r="D61" s="165">
        <v>44256</v>
      </c>
      <c r="E61" s="165">
        <v>44287</v>
      </c>
      <c r="F61" s="165">
        <v>44317</v>
      </c>
      <c r="G61" s="165">
        <v>44348</v>
      </c>
      <c r="H61" s="165">
        <v>44378</v>
      </c>
      <c r="I61" s="165">
        <v>44409</v>
      </c>
      <c r="J61" s="165">
        <v>44440</v>
      </c>
      <c r="K61" s="165">
        <v>44470</v>
      </c>
      <c r="L61" s="165">
        <v>44501</v>
      </c>
      <c r="M61" s="166">
        <v>44531</v>
      </c>
      <c r="N61" t="s">
        <v>155</v>
      </c>
    </row>
    <row r="62" spans="1:14" x14ac:dyDescent="0.2">
      <c r="A62" s="167" t="s">
        <v>168</v>
      </c>
      <c r="B62" s="132">
        <f>SUM(B63:B64)</f>
        <v>95788</v>
      </c>
      <c r="C62" s="132">
        <f t="shared" ref="C62" si="64">SUM(C63:C64)</f>
        <v>2094538</v>
      </c>
      <c r="D62" s="132">
        <f t="shared" ref="D62" si="65">SUM(D63:D64)</f>
        <v>95788</v>
      </c>
      <c r="E62" s="132">
        <f t="shared" ref="E62" si="66">SUM(E63:E64)</f>
        <v>95788</v>
      </c>
      <c r="F62" s="132">
        <f t="shared" ref="F62" si="67">SUM(F63:F64)</f>
        <v>2094538</v>
      </c>
      <c r="G62" s="132">
        <f t="shared" ref="G62" si="68">SUM(G63:G64)</f>
        <v>95788</v>
      </c>
      <c r="H62" s="132">
        <f t="shared" ref="H62" si="69">SUM(H63:H64)</f>
        <v>95788</v>
      </c>
      <c r="I62" s="132">
        <f t="shared" ref="I62" si="70">SUM(I63:I64)</f>
        <v>2094538</v>
      </c>
      <c r="J62" s="132">
        <f t="shared" ref="J62" si="71">SUM(J63:J64)</f>
        <v>95788</v>
      </c>
      <c r="K62" s="132">
        <f t="shared" ref="K62" si="72">SUM(K63:K64)</f>
        <v>95788</v>
      </c>
      <c r="L62" s="132">
        <f t="shared" ref="L62" si="73">SUM(L63:L64)</f>
        <v>2094538</v>
      </c>
      <c r="M62" s="168">
        <f t="shared" ref="M62" si="74">SUM(M63:M64)</f>
        <v>95788</v>
      </c>
      <c r="N62" s="78">
        <f>SUM(B62:M62)</f>
        <v>9144456</v>
      </c>
    </row>
    <row r="63" spans="1:14" x14ac:dyDescent="0.2">
      <c r="A63" s="169" t="s">
        <v>156</v>
      </c>
      <c r="B63" s="133">
        <v>0</v>
      </c>
      <c r="C63" s="133">
        <f>('Average Scenario'!H93)/4</f>
        <v>1998750</v>
      </c>
      <c r="D63" s="133">
        <v>0</v>
      </c>
      <c r="E63" s="133">
        <v>0</v>
      </c>
      <c r="F63" s="133">
        <f>('Average Scenario'!H93)/4</f>
        <v>1998750</v>
      </c>
      <c r="G63" s="133">
        <v>0</v>
      </c>
      <c r="H63" s="133">
        <v>0</v>
      </c>
      <c r="I63" s="133">
        <f>('Average Scenario'!H93)/4</f>
        <v>1998750</v>
      </c>
      <c r="J63" s="133">
        <v>0</v>
      </c>
      <c r="K63" s="133">
        <v>0</v>
      </c>
      <c r="L63" s="133">
        <f>('Average Scenario'!H93)/4</f>
        <v>1998750</v>
      </c>
      <c r="M63" s="170">
        <v>0</v>
      </c>
      <c r="N63" s="78">
        <f t="shared" ref="N63:N69" si="75">SUM(B63:M63)</f>
        <v>7995000</v>
      </c>
    </row>
    <row r="64" spans="1:14" x14ac:dyDescent="0.2">
      <c r="A64" s="171" t="s">
        <v>157</v>
      </c>
      <c r="B64" s="134">
        <f>'Average Scenario'!$H$95/12</f>
        <v>95788</v>
      </c>
      <c r="C64" s="134">
        <f>'Average Scenario'!$H$95/12</f>
        <v>95788</v>
      </c>
      <c r="D64" s="134">
        <f>'Average Scenario'!$H$95/12</f>
        <v>95788</v>
      </c>
      <c r="E64" s="134">
        <f>'Average Scenario'!$H$95/12</f>
        <v>95788</v>
      </c>
      <c r="F64" s="134">
        <f>'Average Scenario'!$H$95/12</f>
        <v>95788</v>
      </c>
      <c r="G64" s="134">
        <f>'Average Scenario'!$H$95/12</f>
        <v>95788</v>
      </c>
      <c r="H64" s="134">
        <f>'Average Scenario'!$H$95/12</f>
        <v>95788</v>
      </c>
      <c r="I64" s="134">
        <f>'Average Scenario'!$H$95/12</f>
        <v>95788</v>
      </c>
      <c r="J64" s="134">
        <f>'Average Scenario'!$H$95/12</f>
        <v>95788</v>
      </c>
      <c r="K64" s="134">
        <f>'Average Scenario'!$H$95/12</f>
        <v>95788</v>
      </c>
      <c r="L64" s="134">
        <f>'Average Scenario'!$H$95/12</f>
        <v>95788</v>
      </c>
      <c r="M64" s="172">
        <f>'Average Scenario'!$H$95/12</f>
        <v>95788</v>
      </c>
      <c r="N64" s="78">
        <f t="shared" si="75"/>
        <v>1149456</v>
      </c>
    </row>
    <row r="65" spans="1:14" x14ac:dyDescent="0.2">
      <c r="A65" s="167" t="s">
        <v>169</v>
      </c>
      <c r="B65" s="132">
        <f>SUM(B66:B69)</f>
        <v>1673823.5958</v>
      </c>
      <c r="C65" s="132">
        <f t="shared" ref="C65" si="76">SUM(C66:C69)</f>
        <v>74823.595799999981</v>
      </c>
      <c r="D65" s="132">
        <f t="shared" ref="D65" si="77">SUM(D66:D69)</f>
        <v>59823.595799999988</v>
      </c>
      <c r="E65" s="132">
        <f t="shared" ref="E65" si="78">SUM(E66:E69)</f>
        <v>1658823.5958</v>
      </c>
      <c r="F65" s="132">
        <f t="shared" ref="F65" si="79">SUM(F66:F69)</f>
        <v>59823.595799999988</v>
      </c>
      <c r="G65" s="132">
        <f t="shared" ref="G65" si="80">SUM(G66:G69)</f>
        <v>69823.595799999981</v>
      </c>
      <c r="H65" s="132">
        <f t="shared" ref="H65" si="81">SUM(H66:H69)</f>
        <v>1658823.5958</v>
      </c>
      <c r="I65" s="132">
        <f t="shared" ref="I65" si="82">SUM(I66:I69)</f>
        <v>59823.595799999988</v>
      </c>
      <c r="J65" s="132">
        <f t="shared" ref="J65" si="83">SUM(J66:J69)</f>
        <v>59823.595799999988</v>
      </c>
      <c r="K65" s="132">
        <f t="shared" ref="K65" si="84">SUM(K66:K69)</f>
        <v>1668823.5958</v>
      </c>
      <c r="L65" s="132">
        <f t="shared" ref="L65" si="85">SUM(L66:L69)</f>
        <v>59823.595799999988</v>
      </c>
      <c r="M65" s="168">
        <f t="shared" ref="M65" si="86">SUM(M66:M69)</f>
        <v>59823.595799999988</v>
      </c>
      <c r="N65" s="78">
        <f t="shared" si="75"/>
        <v>7163883.1496000011</v>
      </c>
    </row>
    <row r="66" spans="1:14" x14ac:dyDescent="0.2">
      <c r="A66" s="173" t="s">
        <v>152</v>
      </c>
      <c r="B66" s="135">
        <v>0</v>
      </c>
      <c r="C66" s="135">
        <v>15000</v>
      </c>
      <c r="D66" s="135">
        <v>0</v>
      </c>
      <c r="E66" s="135">
        <v>0</v>
      </c>
      <c r="F66" s="135">
        <v>0</v>
      </c>
      <c r="G66" s="135">
        <v>10000</v>
      </c>
      <c r="H66" s="135">
        <v>0</v>
      </c>
      <c r="I66" s="135">
        <v>0</v>
      </c>
      <c r="J66" s="135">
        <v>0</v>
      </c>
      <c r="K66" s="135">
        <v>10000</v>
      </c>
      <c r="L66" s="135">
        <v>0</v>
      </c>
      <c r="M66" s="174">
        <v>0</v>
      </c>
      <c r="N66" s="78">
        <f t="shared" si="75"/>
        <v>35000</v>
      </c>
    </row>
    <row r="67" spans="1:14" x14ac:dyDescent="0.2">
      <c r="A67" s="173" t="s">
        <v>153</v>
      </c>
      <c r="B67" s="135">
        <f>(('Average Scenario'!$E$120-'Average Scenario'!$E$78)/12)</f>
        <v>59823.595799999988</v>
      </c>
      <c r="C67" s="135">
        <f>(('Average Scenario'!$E$120-'Average Scenario'!$E$78)/12)</f>
        <v>59823.595799999988</v>
      </c>
      <c r="D67" s="135">
        <f>(('Average Scenario'!$E$120-'Average Scenario'!$E$78)/12)</f>
        <v>59823.595799999988</v>
      </c>
      <c r="E67" s="135">
        <f>(('Average Scenario'!$E$120-'Average Scenario'!$E$78)/12)</f>
        <v>59823.595799999988</v>
      </c>
      <c r="F67" s="135">
        <f>(('Average Scenario'!$E$120-'Average Scenario'!$E$78)/12)</f>
        <v>59823.595799999988</v>
      </c>
      <c r="G67" s="135">
        <f>(('Average Scenario'!$E$120-'Average Scenario'!$E$78)/12)</f>
        <v>59823.595799999988</v>
      </c>
      <c r="H67" s="135">
        <f>(('Average Scenario'!$E$120-'Average Scenario'!$E$78)/12)</f>
        <v>59823.595799999988</v>
      </c>
      <c r="I67" s="135">
        <f>(('Average Scenario'!$E$120-'Average Scenario'!$E$78)/12)</f>
        <v>59823.595799999988</v>
      </c>
      <c r="J67" s="135">
        <f>(('Average Scenario'!$E$120-'Average Scenario'!$E$78)/12)</f>
        <v>59823.595799999988</v>
      </c>
      <c r="K67" s="135">
        <f>(('Average Scenario'!$E$120-'Average Scenario'!$E$78)/12)</f>
        <v>59823.595799999988</v>
      </c>
      <c r="L67" s="135">
        <f>(('Average Scenario'!$E$120-'Average Scenario'!$E$78)/12)</f>
        <v>59823.595799999988</v>
      </c>
      <c r="M67" s="174">
        <f>(('Average Scenario'!$E$120-'Average Scenario'!$E$78)/12)</f>
        <v>59823.595799999988</v>
      </c>
      <c r="N67" s="78">
        <f t="shared" si="75"/>
        <v>717883.1496</v>
      </c>
    </row>
    <row r="68" spans="1:14" x14ac:dyDescent="0.2">
      <c r="A68" s="173" t="s">
        <v>161</v>
      </c>
      <c r="B68" s="135">
        <f>'Average Scenario'!E2</f>
        <v>15000</v>
      </c>
      <c r="C68" s="135">
        <v>0</v>
      </c>
      <c r="D68" s="135">
        <v>0</v>
      </c>
      <c r="E68" s="135">
        <v>0</v>
      </c>
      <c r="F68" s="135">
        <v>0</v>
      </c>
      <c r="G68" s="135">
        <v>0</v>
      </c>
      <c r="H68" s="135">
        <v>0</v>
      </c>
      <c r="I68" s="135">
        <v>0</v>
      </c>
      <c r="J68" s="135">
        <v>0</v>
      </c>
      <c r="K68" s="135">
        <v>0</v>
      </c>
      <c r="L68" s="135">
        <v>0</v>
      </c>
      <c r="M68" s="174">
        <v>0</v>
      </c>
      <c r="N68" s="78">
        <f t="shared" si="75"/>
        <v>15000</v>
      </c>
    </row>
    <row r="69" spans="1:14" x14ac:dyDescent="0.2">
      <c r="A69" s="175" t="s">
        <v>170</v>
      </c>
      <c r="B69" s="136">
        <f>'Average Scenario'!H97/4</f>
        <v>1599000</v>
      </c>
      <c r="C69" s="136">
        <v>0</v>
      </c>
      <c r="D69" s="136">
        <v>0</v>
      </c>
      <c r="E69" s="136">
        <f>'Average Scenario'!H97/4</f>
        <v>1599000</v>
      </c>
      <c r="F69" s="136">
        <v>0</v>
      </c>
      <c r="G69" s="136">
        <v>0</v>
      </c>
      <c r="H69" s="136">
        <f>'Average Scenario'!H97/4</f>
        <v>1599000</v>
      </c>
      <c r="I69" s="136">
        <v>0</v>
      </c>
      <c r="J69" s="136">
        <v>0</v>
      </c>
      <c r="K69" s="136">
        <f>'Average Scenario'!H97/4</f>
        <v>1599000</v>
      </c>
      <c r="L69" s="136">
        <v>0</v>
      </c>
      <c r="M69" s="176">
        <v>0</v>
      </c>
      <c r="N69" s="78">
        <f t="shared" si="75"/>
        <v>6396000</v>
      </c>
    </row>
    <row r="70" spans="1:14" x14ac:dyDescent="0.2">
      <c r="A70" s="177" t="s">
        <v>60</v>
      </c>
      <c r="B70" s="163">
        <f>B62-B65</f>
        <v>-1578035.5958</v>
      </c>
      <c r="C70" s="137">
        <f t="shared" ref="C70:M70" si="87">C62-C65</f>
        <v>2019714.4042</v>
      </c>
      <c r="D70" s="137">
        <f t="shared" si="87"/>
        <v>35964.404200000012</v>
      </c>
      <c r="E70" s="137">
        <f t="shared" si="87"/>
        <v>-1563035.5958</v>
      </c>
      <c r="F70" s="137">
        <f t="shared" si="87"/>
        <v>2034714.4042</v>
      </c>
      <c r="G70" s="137">
        <f t="shared" si="87"/>
        <v>25964.404200000019</v>
      </c>
      <c r="H70" s="137">
        <f t="shared" si="87"/>
        <v>-1563035.5958</v>
      </c>
      <c r="I70" s="137">
        <f t="shared" si="87"/>
        <v>2034714.4042</v>
      </c>
      <c r="J70" s="137">
        <f t="shared" si="87"/>
        <v>35964.404200000012</v>
      </c>
      <c r="K70" s="137">
        <f t="shared" si="87"/>
        <v>-1573035.5958</v>
      </c>
      <c r="L70" s="137">
        <f t="shared" si="87"/>
        <v>2034714.4042</v>
      </c>
      <c r="M70" s="74">
        <f t="shared" si="87"/>
        <v>35964.404200000012</v>
      </c>
      <c r="N70" s="78"/>
    </row>
    <row r="71" spans="1:14" x14ac:dyDescent="0.2">
      <c r="A71" s="178" t="s">
        <v>154</v>
      </c>
      <c r="B71" s="138">
        <v>0</v>
      </c>
      <c r="C71" s="138">
        <v>0</v>
      </c>
      <c r="D71" s="138">
        <v>0</v>
      </c>
      <c r="E71" s="138">
        <v>0</v>
      </c>
      <c r="F71" s="138">
        <v>0</v>
      </c>
      <c r="G71" s="138">
        <v>0</v>
      </c>
      <c r="H71" s="138">
        <v>0</v>
      </c>
      <c r="I71" s="138">
        <v>0</v>
      </c>
      <c r="J71" s="138">
        <v>0</v>
      </c>
      <c r="K71" s="138">
        <v>0</v>
      </c>
      <c r="L71" s="138">
        <v>0</v>
      </c>
      <c r="M71" s="179">
        <v>0</v>
      </c>
      <c r="N71" s="78">
        <f t="shared" ref="N71:N72" si="88">SUM(B71:M71)</f>
        <v>0</v>
      </c>
    </row>
    <row r="72" spans="1:14" x14ac:dyDescent="0.2">
      <c r="A72" s="180" t="s">
        <v>171</v>
      </c>
      <c r="B72" s="135">
        <f>'Amortization Credit 1'!$C$2+'Amortization Credit 2'!$C$2+'Amortization Credit 3'!$C$2</f>
        <v>18516</v>
      </c>
      <c r="C72" s="135">
        <f>'Amortization Credit 1'!$C$2+'Amortization Credit 2'!$C$2+'Amortization Credit 3'!$C$2</f>
        <v>18516</v>
      </c>
      <c r="D72" s="135">
        <f>'Amortization Credit 1'!$C$2+'Amortization Credit 2'!$C$2+'Amortization Credit 3'!$C$2</f>
        <v>18516</v>
      </c>
      <c r="E72" s="135">
        <f>'Amortization Credit 1'!$C$2+'Amortization Credit 2'!$C$2+'Amortization Credit 3'!$C$2</f>
        <v>18516</v>
      </c>
      <c r="F72" s="135">
        <f>'Amortization Credit 1'!$C$2+'Amortization Credit 2'!$C$2+'Amortization Credit 3'!$C$2</f>
        <v>18516</v>
      </c>
      <c r="G72" s="135">
        <f>'Amortization Credit 1'!$C$2+'Amortization Credit 2'!$C$2+'Amortization Credit 3'!$C$2</f>
        <v>18516</v>
      </c>
      <c r="H72" s="135">
        <f>'Amortization Credit 1'!$C$2+'Amortization Credit 2'!$C$2+'Amortization Credit 3'!$C$2</f>
        <v>18516</v>
      </c>
      <c r="I72" s="135">
        <f>'Amortization Credit 1'!$C$2+'Amortization Credit 2'!$C$2+'Amortization Credit 3'!$C$2</f>
        <v>18516</v>
      </c>
      <c r="J72" s="135">
        <f>'Amortization Credit 1'!$C$2+'Amortization Credit 2'!$C$2+'Amortization Credit 3'!$C$2</f>
        <v>18516</v>
      </c>
      <c r="K72" s="135">
        <f>'Amortization Credit 1'!$C$2+'Amortization Credit 2'!$C$2+'Amortization Credit 3'!$C$2</f>
        <v>18516</v>
      </c>
      <c r="L72" s="135">
        <f>'Amortization Credit 1'!$C$2+'Amortization Credit 2'!$C$2+'Amortization Credit 3'!$C$2</f>
        <v>18516</v>
      </c>
      <c r="M72" s="174">
        <f>'Amortization Credit 1'!$C$2+'Amortization Credit 2'!$C$2+'Amortization Credit 3'!$C$2</f>
        <v>18516</v>
      </c>
      <c r="N72" s="78">
        <f t="shared" si="88"/>
        <v>222192</v>
      </c>
    </row>
    <row r="73" spans="1:14" x14ac:dyDescent="0.2">
      <c r="A73" s="180" t="s">
        <v>159</v>
      </c>
      <c r="B73" s="135">
        <v>0</v>
      </c>
      <c r="C73" s="135">
        <v>0</v>
      </c>
      <c r="D73" s="135">
        <v>0</v>
      </c>
      <c r="E73" s="135">
        <v>0</v>
      </c>
      <c r="F73" s="135">
        <v>0</v>
      </c>
      <c r="G73" s="135">
        <v>0</v>
      </c>
      <c r="H73" s="135">
        <v>0</v>
      </c>
      <c r="I73" s="135">
        <v>0</v>
      </c>
      <c r="J73" s="135">
        <v>0</v>
      </c>
      <c r="K73" s="135">
        <v>0</v>
      </c>
      <c r="L73" s="135">
        <v>0</v>
      </c>
      <c r="M73" s="174">
        <f>'Average Scenario'!H114</f>
        <v>574553.00511999999</v>
      </c>
      <c r="N73" s="78"/>
    </row>
    <row r="74" spans="1:14" x14ac:dyDescent="0.2">
      <c r="A74" s="184" t="s">
        <v>160</v>
      </c>
      <c r="B74" s="134">
        <v>0</v>
      </c>
      <c r="C74" s="134">
        <v>0</v>
      </c>
      <c r="D74" s="134">
        <v>0</v>
      </c>
      <c r="E74" s="134">
        <v>0</v>
      </c>
      <c r="F74" s="134">
        <v>0</v>
      </c>
      <c r="G74" s="134">
        <v>0</v>
      </c>
      <c r="H74" s="134">
        <v>0</v>
      </c>
      <c r="I74" s="134">
        <v>0</v>
      </c>
      <c r="J74" s="134">
        <v>0</v>
      </c>
      <c r="K74" s="134">
        <v>0</v>
      </c>
      <c r="L74" s="134">
        <v>0</v>
      </c>
      <c r="M74" s="172">
        <f>'Average Scenario'!H110</f>
        <v>21666.666666666664</v>
      </c>
      <c r="N74" s="78"/>
    </row>
    <row r="75" spans="1:14" x14ac:dyDescent="0.2">
      <c r="A75" s="177" t="s">
        <v>62</v>
      </c>
      <c r="B75" s="163">
        <f>B70+B71-B72-B73+B74</f>
        <v>-1596551.5958</v>
      </c>
      <c r="C75" s="163">
        <f t="shared" ref="C75:M75" si="89">C70+C71-C72-C73+C74</f>
        <v>2001198.4042</v>
      </c>
      <c r="D75" s="163">
        <f t="shared" si="89"/>
        <v>17448.404200000012</v>
      </c>
      <c r="E75" s="163">
        <f t="shared" si="89"/>
        <v>-1581551.5958</v>
      </c>
      <c r="F75" s="163">
        <f t="shared" si="89"/>
        <v>2016198.4042</v>
      </c>
      <c r="G75" s="163">
        <f t="shared" si="89"/>
        <v>7448.404200000019</v>
      </c>
      <c r="H75" s="163">
        <f t="shared" si="89"/>
        <v>-1581551.5958</v>
      </c>
      <c r="I75" s="163">
        <f t="shared" si="89"/>
        <v>2016198.4042</v>
      </c>
      <c r="J75" s="163">
        <f t="shared" si="89"/>
        <v>17448.404200000012</v>
      </c>
      <c r="K75" s="163">
        <f t="shared" si="89"/>
        <v>-1591551.5958</v>
      </c>
      <c r="L75" s="163">
        <f t="shared" si="89"/>
        <v>2016198.4042</v>
      </c>
      <c r="M75" s="217">
        <f t="shared" si="89"/>
        <v>-535437.93425333337</v>
      </c>
      <c r="N75" s="78"/>
    </row>
    <row r="76" spans="1:14" x14ac:dyDescent="0.2">
      <c r="A76" s="177" t="s">
        <v>63</v>
      </c>
      <c r="B76" s="163">
        <f>B75/(1+8%)^4</f>
        <v>-1173513.0844428164</v>
      </c>
      <c r="C76" s="137">
        <f t="shared" ref="C76:M76" si="90">C75/(1+8%)^4</f>
        <v>1470940.5684556232</v>
      </c>
      <c r="D76" s="137">
        <f t="shared" si="90"/>
        <v>12825.097970659026</v>
      </c>
      <c r="E76" s="137">
        <f t="shared" si="90"/>
        <v>-1162487.6366508699</v>
      </c>
      <c r="F76" s="137">
        <f t="shared" si="90"/>
        <v>1481966.01624757</v>
      </c>
      <c r="G76" s="137">
        <f t="shared" si="90"/>
        <v>5474.7994426944979</v>
      </c>
      <c r="H76" s="137">
        <f t="shared" si="90"/>
        <v>-1162487.6366508699</v>
      </c>
      <c r="I76" s="137">
        <f t="shared" si="90"/>
        <v>1481966.01624757</v>
      </c>
      <c r="J76" s="137">
        <f t="shared" si="90"/>
        <v>12825.097970659026</v>
      </c>
      <c r="K76" s="137">
        <f t="shared" si="90"/>
        <v>-1169837.9351788342</v>
      </c>
      <c r="L76" s="137">
        <f t="shared" si="90"/>
        <v>1481966.01624757</v>
      </c>
      <c r="M76" s="74">
        <f t="shared" si="90"/>
        <v>-393562.86599586462</v>
      </c>
      <c r="N76" s="78"/>
    </row>
    <row r="77" spans="1:14" ht="17" thickBot="1" x14ac:dyDescent="0.25">
      <c r="A77" s="46" t="s">
        <v>158</v>
      </c>
      <c r="B77" s="183">
        <f>M56+B76</f>
        <v>579266.90049670707</v>
      </c>
      <c r="C77" s="64">
        <f>B77+C76</f>
        <v>2050207.4689523303</v>
      </c>
      <c r="D77" s="64">
        <f t="shared" ref="D77:M77" si="91">C77+D76</f>
        <v>2063032.5669229892</v>
      </c>
      <c r="E77" s="64">
        <f t="shared" si="91"/>
        <v>900544.93027211935</v>
      </c>
      <c r="F77" s="64">
        <f t="shared" si="91"/>
        <v>2382510.9465196896</v>
      </c>
      <c r="G77" s="64">
        <f t="shared" si="91"/>
        <v>2387985.7459623842</v>
      </c>
      <c r="H77" s="64">
        <f t="shared" si="91"/>
        <v>1225498.1093115143</v>
      </c>
      <c r="I77" s="64">
        <f t="shared" si="91"/>
        <v>2707464.1255590841</v>
      </c>
      <c r="J77" s="64">
        <f t="shared" si="91"/>
        <v>2720289.223529743</v>
      </c>
      <c r="K77" s="64">
        <f t="shared" si="91"/>
        <v>1550451.2883509088</v>
      </c>
      <c r="L77" s="64">
        <f t="shared" si="91"/>
        <v>3032417.3045984786</v>
      </c>
      <c r="M77" s="65">
        <f t="shared" si="91"/>
        <v>2638854.4386026142</v>
      </c>
    </row>
    <row r="81" spans="1:14" ht="17" thickBot="1" x14ac:dyDescent="0.25"/>
    <row r="82" spans="1:14" x14ac:dyDescent="0.2">
      <c r="A82" s="88">
        <v>2022</v>
      </c>
      <c r="B82" s="164">
        <v>44562</v>
      </c>
      <c r="C82" s="165">
        <v>44593</v>
      </c>
      <c r="D82" s="165">
        <v>44621</v>
      </c>
      <c r="E82" s="165">
        <v>44652</v>
      </c>
      <c r="F82" s="165">
        <v>44682</v>
      </c>
      <c r="G82" s="165">
        <v>44713</v>
      </c>
      <c r="H82" s="165">
        <v>44743</v>
      </c>
      <c r="I82" s="165">
        <v>44774</v>
      </c>
      <c r="J82" s="165">
        <v>44805</v>
      </c>
      <c r="K82" s="165">
        <v>44835</v>
      </c>
      <c r="L82" s="165">
        <v>44866</v>
      </c>
      <c r="M82" s="166">
        <v>44896</v>
      </c>
      <c r="N82" t="s">
        <v>155</v>
      </c>
    </row>
    <row r="83" spans="1:14" x14ac:dyDescent="0.2">
      <c r="A83" s="167" t="s">
        <v>168</v>
      </c>
      <c r="B83" s="132">
        <f>SUM(B84:B85)</f>
        <v>137876.66666666666</v>
      </c>
      <c r="C83" s="132">
        <f t="shared" ref="C83" si="92">SUM(C84:C85)</f>
        <v>2367251.6666666665</v>
      </c>
      <c r="D83" s="132">
        <f t="shared" ref="D83" si="93">SUM(D84:D85)</f>
        <v>137876.66666666666</v>
      </c>
      <c r="E83" s="132">
        <f t="shared" ref="E83" si="94">SUM(E84:E85)</f>
        <v>137876.66666666666</v>
      </c>
      <c r="F83" s="132">
        <f t="shared" ref="F83" si="95">SUM(F84:F85)</f>
        <v>2367251.6666666665</v>
      </c>
      <c r="G83" s="132">
        <f t="shared" ref="G83" si="96">SUM(G84:G85)</f>
        <v>137876.66666666666</v>
      </c>
      <c r="H83" s="132">
        <f t="shared" ref="H83" si="97">SUM(H84:H85)</f>
        <v>137876.66666666666</v>
      </c>
      <c r="I83" s="132">
        <f t="shared" ref="I83" si="98">SUM(I84:I85)</f>
        <v>2367251.6666666665</v>
      </c>
      <c r="J83" s="132">
        <f t="shared" ref="J83" si="99">SUM(J84:J85)</f>
        <v>137876.66666666666</v>
      </c>
      <c r="K83" s="132">
        <f t="shared" ref="K83" si="100">SUM(K84:K85)</f>
        <v>137876.66666666666</v>
      </c>
      <c r="L83" s="132">
        <f t="shared" ref="L83" si="101">SUM(L84:L85)</f>
        <v>2367251.6666666665</v>
      </c>
      <c r="M83" s="168">
        <f t="shared" ref="M83" si="102">SUM(M84:M85)</f>
        <v>137876.66666666666</v>
      </c>
      <c r="N83" s="78">
        <f>SUM(B83:M83)</f>
        <v>10572019.999999998</v>
      </c>
    </row>
    <row r="84" spans="1:14" x14ac:dyDescent="0.2">
      <c r="A84" s="169" t="s">
        <v>156</v>
      </c>
      <c r="B84" s="133">
        <v>0</v>
      </c>
      <c r="C84" s="133">
        <f>('Average Scenario'!J93)/4</f>
        <v>2229375</v>
      </c>
      <c r="D84" s="133">
        <v>0</v>
      </c>
      <c r="E84" s="133">
        <v>0</v>
      </c>
      <c r="F84" s="133">
        <f>('Average Scenario'!J93)/4</f>
        <v>2229375</v>
      </c>
      <c r="G84" s="133">
        <v>0</v>
      </c>
      <c r="H84" s="133">
        <v>0</v>
      </c>
      <c r="I84" s="133">
        <f>('Average Scenario'!J93)/4</f>
        <v>2229375</v>
      </c>
      <c r="J84" s="133">
        <v>0</v>
      </c>
      <c r="K84" s="133">
        <v>0</v>
      </c>
      <c r="L84" s="133">
        <f>('Average Scenario'!J93)/4</f>
        <v>2229375</v>
      </c>
      <c r="M84" s="170">
        <v>0</v>
      </c>
      <c r="N84" s="78">
        <f t="shared" ref="N84:N90" si="103">SUM(B84:M84)</f>
        <v>8917500</v>
      </c>
    </row>
    <row r="85" spans="1:14" x14ac:dyDescent="0.2">
      <c r="A85" s="171" t="s">
        <v>157</v>
      </c>
      <c r="B85" s="134">
        <f>'Average Scenario'!$J$95/12</f>
        <v>137876.66666666666</v>
      </c>
      <c r="C85" s="134">
        <f>'Average Scenario'!$J$95/12</f>
        <v>137876.66666666666</v>
      </c>
      <c r="D85" s="134">
        <f>'Average Scenario'!$J$95/12</f>
        <v>137876.66666666666</v>
      </c>
      <c r="E85" s="134">
        <f>'Average Scenario'!$J$95/12</f>
        <v>137876.66666666666</v>
      </c>
      <c r="F85" s="134">
        <f>'Average Scenario'!$J$95/12</f>
        <v>137876.66666666666</v>
      </c>
      <c r="G85" s="134">
        <f>'Average Scenario'!$J$95/12</f>
        <v>137876.66666666666</v>
      </c>
      <c r="H85" s="134">
        <f>'Average Scenario'!$J$95/12</f>
        <v>137876.66666666666</v>
      </c>
      <c r="I85" s="134">
        <f>'Average Scenario'!$J$95/12</f>
        <v>137876.66666666666</v>
      </c>
      <c r="J85" s="134">
        <f>'Average Scenario'!$J$95/12</f>
        <v>137876.66666666666</v>
      </c>
      <c r="K85" s="134">
        <f>'Average Scenario'!$J$95/12</f>
        <v>137876.66666666666</v>
      </c>
      <c r="L85" s="134">
        <f>'Average Scenario'!$J$95/12</f>
        <v>137876.66666666666</v>
      </c>
      <c r="M85" s="172">
        <f>'Average Scenario'!$J$95/12</f>
        <v>137876.66666666666</v>
      </c>
      <c r="N85" s="78">
        <f t="shared" si="103"/>
        <v>1654520.0000000002</v>
      </c>
    </row>
    <row r="86" spans="1:14" x14ac:dyDescent="0.2">
      <c r="A86" s="167" t="s">
        <v>169</v>
      </c>
      <c r="B86" s="132">
        <f>SUM(B87:B90)</f>
        <v>1865629.0069733334</v>
      </c>
      <c r="C86" s="132">
        <f t="shared" ref="C86" si="104">SUM(C87:C90)</f>
        <v>82129.006973333322</v>
      </c>
      <c r="D86" s="132">
        <f t="shared" ref="D86" si="105">SUM(D87:D90)</f>
        <v>67129.006973333322</v>
      </c>
      <c r="E86" s="132">
        <f t="shared" ref="E86" si="106">SUM(E87:E90)</f>
        <v>1850629.0069733334</v>
      </c>
      <c r="F86" s="132">
        <f t="shared" ref="F86" si="107">SUM(F87:F90)</f>
        <v>67129.006973333322</v>
      </c>
      <c r="G86" s="132">
        <f t="shared" ref="G86" si="108">SUM(G87:G90)</f>
        <v>77129.006973333322</v>
      </c>
      <c r="H86" s="132">
        <f t="shared" ref="H86" si="109">SUM(H87:H90)</f>
        <v>1850629.0069733334</v>
      </c>
      <c r="I86" s="132">
        <f t="shared" ref="I86" si="110">SUM(I87:I90)</f>
        <v>67129.006973333322</v>
      </c>
      <c r="J86" s="132">
        <f t="shared" ref="J86" si="111">SUM(J87:J90)</f>
        <v>67129.006973333322</v>
      </c>
      <c r="K86" s="132">
        <f t="shared" ref="K86" si="112">SUM(K87:K90)</f>
        <v>1860629.0069733334</v>
      </c>
      <c r="L86" s="132">
        <f t="shared" ref="L86" si="113">SUM(L87:L90)</f>
        <v>67129.006973333322</v>
      </c>
      <c r="M86" s="168">
        <f t="shared" ref="M86" si="114">SUM(M87:M90)</f>
        <v>67129.006973333322</v>
      </c>
      <c r="N86" s="78">
        <f t="shared" si="103"/>
        <v>7989548.083680002</v>
      </c>
    </row>
    <row r="87" spans="1:14" x14ac:dyDescent="0.2">
      <c r="A87" s="173" t="s">
        <v>152</v>
      </c>
      <c r="B87" s="135">
        <v>0</v>
      </c>
      <c r="C87" s="135">
        <v>15000</v>
      </c>
      <c r="D87" s="135">
        <v>0</v>
      </c>
      <c r="E87" s="135">
        <v>0</v>
      </c>
      <c r="F87" s="135">
        <v>0</v>
      </c>
      <c r="G87" s="135">
        <v>10000</v>
      </c>
      <c r="H87" s="135">
        <v>0</v>
      </c>
      <c r="I87" s="135">
        <v>0</v>
      </c>
      <c r="J87" s="135">
        <v>0</v>
      </c>
      <c r="K87" s="135">
        <v>10000</v>
      </c>
      <c r="L87" s="135">
        <v>0</v>
      </c>
      <c r="M87" s="174">
        <v>0</v>
      </c>
      <c r="N87" s="78">
        <f t="shared" si="103"/>
        <v>35000</v>
      </c>
    </row>
    <row r="88" spans="1:14" x14ac:dyDescent="0.2">
      <c r="A88" s="173" t="s">
        <v>153</v>
      </c>
      <c r="B88" s="135">
        <f>(('Average Scenario'!$F$120-'Average Scenario'!$F$78)/12)</f>
        <v>67129.006973333322</v>
      </c>
      <c r="C88" s="135">
        <f>(('Average Scenario'!$F$120-'Average Scenario'!$F$78)/12)</f>
        <v>67129.006973333322</v>
      </c>
      <c r="D88" s="135">
        <f>(('Average Scenario'!$F$120-'Average Scenario'!$F$78)/12)</f>
        <v>67129.006973333322</v>
      </c>
      <c r="E88" s="135">
        <f>(('Average Scenario'!$F$120-'Average Scenario'!$F$78)/12)</f>
        <v>67129.006973333322</v>
      </c>
      <c r="F88" s="135">
        <f>(('Average Scenario'!$F$120-'Average Scenario'!$F$78)/12)</f>
        <v>67129.006973333322</v>
      </c>
      <c r="G88" s="135">
        <f>(('Average Scenario'!$F$120-'Average Scenario'!$F$78)/12)</f>
        <v>67129.006973333322</v>
      </c>
      <c r="H88" s="135">
        <f>(('Average Scenario'!$F$120-'Average Scenario'!$F$78)/12)</f>
        <v>67129.006973333322</v>
      </c>
      <c r="I88" s="135">
        <f>(('Average Scenario'!$F$120-'Average Scenario'!$F$78)/12)</f>
        <v>67129.006973333322</v>
      </c>
      <c r="J88" s="135">
        <f>(('Average Scenario'!$F$120-'Average Scenario'!$F$78)/12)</f>
        <v>67129.006973333322</v>
      </c>
      <c r="K88" s="135">
        <f>(('Average Scenario'!$F$120-'Average Scenario'!$F$78)/12)</f>
        <v>67129.006973333322</v>
      </c>
      <c r="L88" s="135">
        <f>(('Average Scenario'!$F$120-'Average Scenario'!$F$78)/12)</f>
        <v>67129.006973333322</v>
      </c>
      <c r="M88" s="174">
        <f>(('Average Scenario'!$F$120-'Average Scenario'!$F$78)/12)</f>
        <v>67129.006973333322</v>
      </c>
      <c r="N88" s="78">
        <f t="shared" si="103"/>
        <v>805548.08367999981</v>
      </c>
    </row>
    <row r="89" spans="1:14" x14ac:dyDescent="0.2">
      <c r="A89" s="173" t="s">
        <v>161</v>
      </c>
      <c r="B89" s="135">
        <f>'Average Scenario'!F2</f>
        <v>15000</v>
      </c>
      <c r="C89" s="135">
        <v>0</v>
      </c>
      <c r="D89" s="135">
        <v>0</v>
      </c>
      <c r="E89" s="135">
        <v>0</v>
      </c>
      <c r="F89" s="135">
        <v>0</v>
      </c>
      <c r="G89" s="135">
        <v>0</v>
      </c>
      <c r="H89" s="135">
        <v>0</v>
      </c>
      <c r="I89" s="135">
        <v>0</v>
      </c>
      <c r="J89" s="135">
        <v>0</v>
      </c>
      <c r="K89" s="135">
        <v>0</v>
      </c>
      <c r="L89" s="135">
        <v>0</v>
      </c>
      <c r="M89" s="174">
        <v>0</v>
      </c>
      <c r="N89" s="78">
        <f t="shared" si="103"/>
        <v>15000</v>
      </c>
    </row>
    <row r="90" spans="1:14" x14ac:dyDescent="0.2">
      <c r="A90" s="175" t="s">
        <v>170</v>
      </c>
      <c r="B90" s="136">
        <f>'Average Scenario'!J97/4</f>
        <v>1783500</v>
      </c>
      <c r="C90" s="136">
        <v>0</v>
      </c>
      <c r="D90" s="136">
        <v>0</v>
      </c>
      <c r="E90" s="136">
        <f>'Average Scenario'!J97/4</f>
        <v>1783500</v>
      </c>
      <c r="F90" s="136">
        <v>0</v>
      </c>
      <c r="G90" s="136">
        <v>0</v>
      </c>
      <c r="H90" s="136">
        <f>'Average Scenario'!J97/4</f>
        <v>1783500</v>
      </c>
      <c r="I90" s="136">
        <v>0</v>
      </c>
      <c r="J90" s="136">
        <v>0</v>
      </c>
      <c r="K90" s="136">
        <f>'Average Scenario'!J97/4</f>
        <v>1783500</v>
      </c>
      <c r="L90" s="136">
        <v>0</v>
      </c>
      <c r="M90" s="176">
        <v>0</v>
      </c>
      <c r="N90" s="78">
        <f t="shared" si="103"/>
        <v>7134000</v>
      </c>
    </row>
    <row r="91" spans="1:14" x14ac:dyDescent="0.2">
      <c r="A91" s="177" t="s">
        <v>60</v>
      </c>
      <c r="B91" s="163">
        <f>B83-B86</f>
        <v>-1727752.3403066667</v>
      </c>
      <c r="C91" s="137">
        <f t="shared" ref="C91:M91" si="115">C83-C86</f>
        <v>2285122.6596933333</v>
      </c>
      <c r="D91" s="137">
        <f t="shared" si="115"/>
        <v>70747.659693333335</v>
      </c>
      <c r="E91" s="137">
        <f t="shared" si="115"/>
        <v>-1712752.3403066667</v>
      </c>
      <c r="F91" s="137">
        <f t="shared" si="115"/>
        <v>2300122.6596933333</v>
      </c>
      <c r="G91" s="137">
        <f t="shared" si="115"/>
        <v>60747.659693333335</v>
      </c>
      <c r="H91" s="137">
        <f t="shared" si="115"/>
        <v>-1712752.3403066667</v>
      </c>
      <c r="I91" s="137">
        <f t="shared" si="115"/>
        <v>2300122.6596933333</v>
      </c>
      <c r="J91" s="137">
        <f t="shared" si="115"/>
        <v>70747.659693333335</v>
      </c>
      <c r="K91" s="137">
        <f t="shared" si="115"/>
        <v>-1722752.3403066667</v>
      </c>
      <c r="L91" s="137">
        <f t="shared" si="115"/>
        <v>2300122.6596933333</v>
      </c>
      <c r="M91" s="74">
        <f t="shared" si="115"/>
        <v>70747.659693333335</v>
      </c>
      <c r="N91" s="78"/>
    </row>
    <row r="92" spans="1:14" x14ac:dyDescent="0.2">
      <c r="A92" s="178" t="s">
        <v>154</v>
      </c>
      <c r="B92" s="138">
        <v>0</v>
      </c>
      <c r="C92" s="138">
        <v>0</v>
      </c>
      <c r="D92" s="138">
        <v>0</v>
      </c>
      <c r="E92" s="138">
        <v>0</v>
      </c>
      <c r="F92" s="138">
        <v>0</v>
      </c>
      <c r="G92" s="138">
        <v>0</v>
      </c>
      <c r="H92" s="138">
        <v>0</v>
      </c>
      <c r="I92" s="138">
        <v>0</v>
      </c>
      <c r="J92" s="138">
        <v>0</v>
      </c>
      <c r="K92" s="138">
        <v>0</v>
      </c>
      <c r="L92" s="138">
        <v>0</v>
      </c>
      <c r="M92" s="179">
        <v>0</v>
      </c>
      <c r="N92" s="78">
        <f t="shared" ref="N92:N95" si="116">SUM(B92:M92)</f>
        <v>0</v>
      </c>
    </row>
    <row r="93" spans="1:14" x14ac:dyDescent="0.2">
      <c r="A93" s="180" t="s">
        <v>171</v>
      </c>
      <c r="B93" s="135">
        <f>'Amortization Credit 1'!$C$2+'Amortization Credit 2'!$C$2+'Amortization Credit 3'!$C$2</f>
        <v>18516</v>
      </c>
      <c r="C93" s="135">
        <f>'Amortization Credit 1'!$C$2+'Amortization Credit 2'!$C$2+'Amortization Credit 3'!$C$2</f>
        <v>18516</v>
      </c>
      <c r="D93" s="135">
        <f>'Amortization Credit 1'!$C$2+'Amortization Credit 2'!$C$2+'Amortization Credit 3'!$C$2</f>
        <v>18516</v>
      </c>
      <c r="E93" s="135">
        <f>'Amortization Credit 1'!$C$2+'Amortization Credit 2'!$C$2+'Amortization Credit 3'!$C$2</f>
        <v>18516</v>
      </c>
      <c r="F93" s="135">
        <f>'Amortization Credit 1'!$C$2+'Amortization Credit 2'!$C$2+'Amortization Credit 3'!$C$2</f>
        <v>18516</v>
      </c>
      <c r="G93" s="135">
        <f>'Amortization Credit 1'!$C$2+'Amortization Credit 2'!$C$2+'Amortization Credit 3'!$C$2</f>
        <v>18516</v>
      </c>
      <c r="H93" s="135">
        <f>'Amortization Credit 1'!$C$2+'Amortization Credit 2'!$C$2+'Amortization Credit 3'!$C$2</f>
        <v>18516</v>
      </c>
      <c r="I93" s="135">
        <f>'Amortization Credit 1'!$C$2+'Amortization Credit 2'!$C$2+'Amortization Credit 3'!$C$2</f>
        <v>18516</v>
      </c>
      <c r="J93" s="135">
        <f>'Amortization Credit 1'!$C$2+'Amortization Credit 2'!$C$2+'Amortization Credit 3'!$C$2</f>
        <v>18516</v>
      </c>
      <c r="K93" s="135">
        <f>'Amortization Credit 1'!$C$2+'Amortization Credit 2'!$C$2+'Amortization Credit 3'!$C$2</f>
        <v>18516</v>
      </c>
      <c r="L93" s="135">
        <f>'Amortization Credit 1'!$C$2+'Amortization Credit 2'!$C$2+'Amortization Credit 3'!$C$2</f>
        <v>18516</v>
      </c>
      <c r="M93" s="174">
        <f>'Amortization Credit 1'!$C$2+'Amortization Credit 2'!$C$2+'Amortization Credit 3'!$C$2</f>
        <v>18516</v>
      </c>
      <c r="N93" s="78">
        <f t="shared" si="116"/>
        <v>222192</v>
      </c>
    </row>
    <row r="94" spans="1:14" x14ac:dyDescent="0.2">
      <c r="A94" s="181" t="s">
        <v>159</v>
      </c>
      <c r="B94" s="135">
        <v>0</v>
      </c>
      <c r="C94" s="135">
        <v>0</v>
      </c>
      <c r="D94" s="135">
        <v>0</v>
      </c>
      <c r="E94" s="135">
        <v>0</v>
      </c>
      <c r="F94" s="135">
        <v>0</v>
      </c>
      <c r="G94" s="135">
        <v>0</v>
      </c>
      <c r="H94" s="135">
        <v>0</v>
      </c>
      <c r="I94" s="135">
        <v>0</v>
      </c>
      <c r="J94" s="135">
        <v>0</v>
      </c>
      <c r="K94" s="135">
        <v>0</v>
      </c>
      <c r="L94" s="135">
        <v>0</v>
      </c>
      <c r="M94" s="174">
        <f>'Average Scenario'!J114</f>
        <v>754785.52489599993</v>
      </c>
      <c r="N94" s="78">
        <f t="shared" si="116"/>
        <v>754785.52489599993</v>
      </c>
    </row>
    <row r="95" spans="1:14" x14ac:dyDescent="0.2">
      <c r="A95" s="182" t="s">
        <v>160</v>
      </c>
      <c r="B95" s="134">
        <v>0</v>
      </c>
      <c r="C95" s="134">
        <v>0</v>
      </c>
      <c r="D95" s="134">
        <v>0</v>
      </c>
      <c r="E95" s="134">
        <v>0</v>
      </c>
      <c r="F95" s="134">
        <v>0</v>
      </c>
      <c r="G95" s="134">
        <v>0</v>
      </c>
      <c r="H95" s="134">
        <v>0</v>
      </c>
      <c r="I95" s="134">
        <v>0</v>
      </c>
      <c r="J95" s="134">
        <v>0</v>
      </c>
      <c r="K95" s="134">
        <v>0</v>
      </c>
      <c r="L95" s="134">
        <v>0</v>
      </c>
      <c r="M95" s="172">
        <f>'Average Scenario'!J110</f>
        <v>21666.666666666664</v>
      </c>
      <c r="N95" s="78">
        <f t="shared" si="116"/>
        <v>21666.666666666664</v>
      </c>
    </row>
    <row r="96" spans="1:14" x14ac:dyDescent="0.2">
      <c r="A96" s="177" t="s">
        <v>62</v>
      </c>
      <c r="B96" s="163">
        <f>B91+B92-B93-B94+B95</f>
        <v>-1746268.3403066667</v>
      </c>
      <c r="C96" s="163">
        <f t="shared" ref="C96:M96" si="117">C91+C92-C93-C94+C95</f>
        <v>2266606.6596933333</v>
      </c>
      <c r="D96" s="163">
        <f t="shared" si="117"/>
        <v>52231.659693333335</v>
      </c>
      <c r="E96" s="163">
        <f t="shared" si="117"/>
        <v>-1731268.3403066667</v>
      </c>
      <c r="F96" s="163">
        <f t="shared" si="117"/>
        <v>2281606.6596933333</v>
      </c>
      <c r="G96" s="163">
        <f t="shared" si="117"/>
        <v>42231.659693333335</v>
      </c>
      <c r="H96" s="163">
        <f t="shared" si="117"/>
        <v>-1731268.3403066667</v>
      </c>
      <c r="I96" s="163">
        <f t="shared" si="117"/>
        <v>2281606.6596933333</v>
      </c>
      <c r="J96" s="163">
        <f t="shared" si="117"/>
        <v>52231.659693333335</v>
      </c>
      <c r="K96" s="163">
        <f t="shared" si="117"/>
        <v>-1741268.3403066667</v>
      </c>
      <c r="L96" s="163">
        <f t="shared" si="117"/>
        <v>2281606.6596933333</v>
      </c>
      <c r="M96" s="217">
        <f t="shared" si="117"/>
        <v>-680887.19853599998</v>
      </c>
      <c r="N96" s="78"/>
    </row>
    <row r="97" spans="1:14" x14ac:dyDescent="0.2">
      <c r="A97" s="177" t="s">
        <v>63</v>
      </c>
      <c r="B97" s="163">
        <f>B96/(1+8%)^5</f>
        <v>-1188480.8899247369</v>
      </c>
      <c r="C97" s="137">
        <f t="shared" ref="C97:M97" si="118">C96/(1+8%)^5</f>
        <v>1542614.4068720846</v>
      </c>
      <c r="D97" s="137">
        <f t="shared" si="118"/>
        <v>35547.989940467814</v>
      </c>
      <c r="E97" s="137">
        <f t="shared" si="118"/>
        <v>-1178272.1419692307</v>
      </c>
      <c r="F97" s="137">
        <f t="shared" si="118"/>
        <v>1552823.154827591</v>
      </c>
      <c r="G97" s="137">
        <f t="shared" si="118"/>
        <v>28742.157970130287</v>
      </c>
      <c r="H97" s="137">
        <f t="shared" si="118"/>
        <v>-1178272.1419692307</v>
      </c>
      <c r="I97" s="137">
        <f t="shared" si="118"/>
        <v>1552823.154827591</v>
      </c>
      <c r="J97" s="137">
        <f t="shared" si="118"/>
        <v>35547.989940467814</v>
      </c>
      <c r="K97" s="137">
        <f t="shared" si="118"/>
        <v>-1185077.9739395683</v>
      </c>
      <c r="L97" s="137">
        <f t="shared" si="118"/>
        <v>1552823.154827591</v>
      </c>
      <c r="M97" s="74">
        <f t="shared" si="118"/>
        <v>-463400.38639898656</v>
      </c>
      <c r="N97" s="78"/>
    </row>
    <row r="98" spans="1:14" ht="17" thickBot="1" x14ac:dyDescent="0.25">
      <c r="A98" s="46" t="s">
        <v>158</v>
      </c>
      <c r="B98" s="183">
        <f>B97+M77</f>
        <v>1450373.5486778773</v>
      </c>
      <c r="C98" s="64">
        <f>B98+C97</f>
        <v>2992987.9555499619</v>
      </c>
      <c r="D98" s="64">
        <f t="shared" ref="D98:M98" si="119">C98+D97</f>
        <v>3028535.9454904296</v>
      </c>
      <c r="E98" s="64">
        <f t="shared" si="119"/>
        <v>1850263.8035211989</v>
      </c>
      <c r="F98" s="64">
        <f t="shared" si="119"/>
        <v>3403086.9583487902</v>
      </c>
      <c r="G98" s="64">
        <f t="shared" si="119"/>
        <v>3431829.1163189206</v>
      </c>
      <c r="H98" s="64">
        <f t="shared" si="119"/>
        <v>2253556.9743496897</v>
      </c>
      <c r="I98" s="64">
        <f t="shared" si="119"/>
        <v>3806380.1291772807</v>
      </c>
      <c r="J98" s="64">
        <f t="shared" si="119"/>
        <v>3841928.1191177485</v>
      </c>
      <c r="K98" s="64">
        <f t="shared" si="119"/>
        <v>2656850.1451781802</v>
      </c>
      <c r="L98" s="64">
        <f t="shared" si="119"/>
        <v>4209673.3000057712</v>
      </c>
      <c r="M98" s="65">
        <f t="shared" si="119"/>
        <v>3746272.9136067848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/>
  </sheetPr>
  <dimension ref="A1:E61"/>
  <sheetViews>
    <sheetView workbookViewId="0">
      <selection activeCell="E61" sqref="A1:E61"/>
    </sheetView>
  </sheetViews>
  <sheetFormatPr baseColWidth="10" defaultRowHeight="16" x14ac:dyDescent="0.2"/>
  <cols>
    <col min="1" max="1" width="12.6640625" bestFit="1" customWidth="1"/>
    <col min="2" max="2" width="17.1640625" bestFit="1" customWidth="1"/>
    <col min="3" max="3" width="15.6640625" bestFit="1" customWidth="1"/>
    <col min="4" max="4" width="14.33203125" bestFit="1" customWidth="1"/>
    <col min="5" max="5" width="11.83203125" bestFit="1" customWidth="1"/>
  </cols>
  <sheetData>
    <row r="1" spans="1:5" ht="17" thickBot="1" x14ac:dyDescent="0.25">
      <c r="A1" s="199" t="s">
        <v>172</v>
      </c>
      <c r="B1" s="200" t="s">
        <v>9</v>
      </c>
      <c r="C1" s="200" t="s">
        <v>173</v>
      </c>
      <c r="D1" s="200" t="s">
        <v>174</v>
      </c>
      <c r="E1" s="201" t="s">
        <v>175</v>
      </c>
    </row>
    <row r="2" spans="1:5" x14ac:dyDescent="0.2">
      <c r="A2" s="197">
        <v>43101</v>
      </c>
      <c r="B2" s="193">
        <f>SUM(C2:C61)-C2</f>
        <v>271577</v>
      </c>
      <c r="C2" s="193">
        <f>D2+E2</f>
        <v>4603</v>
      </c>
      <c r="D2" s="193">
        <v>3770</v>
      </c>
      <c r="E2" s="192">
        <v>833</v>
      </c>
    </row>
    <row r="3" spans="1:5" x14ac:dyDescent="0.2">
      <c r="A3" s="197">
        <v>43132</v>
      </c>
      <c r="B3" s="193">
        <f>B2-C3</f>
        <v>266974</v>
      </c>
      <c r="C3" s="193">
        <f>D3+E3</f>
        <v>4603</v>
      </c>
      <c r="D3" s="193">
        <v>3783</v>
      </c>
      <c r="E3" s="192">
        <v>820</v>
      </c>
    </row>
    <row r="4" spans="1:5" x14ac:dyDescent="0.2">
      <c r="A4" s="197">
        <v>43160</v>
      </c>
      <c r="B4" s="193">
        <f t="shared" ref="B4:B61" si="0">B3-C4</f>
        <v>262371</v>
      </c>
      <c r="C4" s="193">
        <f t="shared" ref="C4:C61" si="1">D4+E4</f>
        <v>4603</v>
      </c>
      <c r="D4" s="193">
        <v>3796</v>
      </c>
      <c r="E4" s="192">
        <v>807</v>
      </c>
    </row>
    <row r="5" spans="1:5" x14ac:dyDescent="0.2">
      <c r="A5" s="197">
        <v>43191</v>
      </c>
      <c r="B5" s="193">
        <f t="shared" si="0"/>
        <v>257768</v>
      </c>
      <c r="C5" s="193">
        <f t="shared" si="1"/>
        <v>4603</v>
      </c>
      <c r="D5" s="193">
        <v>3809</v>
      </c>
      <c r="E5" s="192">
        <v>794</v>
      </c>
    </row>
    <row r="6" spans="1:5" x14ac:dyDescent="0.2">
      <c r="A6" s="197">
        <v>43221</v>
      </c>
      <c r="B6" s="193">
        <f t="shared" si="0"/>
        <v>253165</v>
      </c>
      <c r="C6" s="193">
        <f t="shared" si="1"/>
        <v>4603</v>
      </c>
      <c r="D6" s="193">
        <v>3822</v>
      </c>
      <c r="E6" s="192">
        <v>781</v>
      </c>
    </row>
    <row r="7" spans="1:5" x14ac:dyDescent="0.2">
      <c r="A7" s="197">
        <v>43252</v>
      </c>
      <c r="B7" s="193">
        <f t="shared" si="0"/>
        <v>248562</v>
      </c>
      <c r="C7" s="193">
        <f t="shared" si="1"/>
        <v>4603</v>
      </c>
      <c r="D7" s="193">
        <v>3835</v>
      </c>
      <c r="E7" s="192">
        <v>768</v>
      </c>
    </row>
    <row r="8" spans="1:5" x14ac:dyDescent="0.2">
      <c r="A8" s="197">
        <v>43282</v>
      </c>
      <c r="B8" s="193">
        <f t="shared" si="0"/>
        <v>243959</v>
      </c>
      <c r="C8" s="193">
        <f t="shared" si="1"/>
        <v>4603</v>
      </c>
      <c r="D8" s="193">
        <v>3848</v>
      </c>
      <c r="E8" s="192">
        <v>755</v>
      </c>
    </row>
    <row r="9" spans="1:5" x14ac:dyDescent="0.2">
      <c r="A9" s="197">
        <v>43313</v>
      </c>
      <c r="B9" s="193">
        <f t="shared" si="0"/>
        <v>239356</v>
      </c>
      <c r="C9" s="193">
        <f t="shared" si="1"/>
        <v>4603</v>
      </c>
      <c r="D9" s="193">
        <v>3861</v>
      </c>
      <c r="E9" s="192">
        <v>742</v>
      </c>
    </row>
    <row r="10" spans="1:5" x14ac:dyDescent="0.2">
      <c r="A10" s="197">
        <v>43344</v>
      </c>
      <c r="B10" s="193">
        <f t="shared" si="0"/>
        <v>234753</v>
      </c>
      <c r="C10" s="193">
        <f t="shared" si="1"/>
        <v>4603</v>
      </c>
      <c r="D10" s="193">
        <v>3874</v>
      </c>
      <c r="E10" s="192">
        <v>729</v>
      </c>
    </row>
    <row r="11" spans="1:5" x14ac:dyDescent="0.2">
      <c r="A11" s="197">
        <v>43374</v>
      </c>
      <c r="B11" s="193">
        <f t="shared" si="0"/>
        <v>230150</v>
      </c>
      <c r="C11" s="193">
        <f t="shared" si="1"/>
        <v>4603</v>
      </c>
      <c r="D11" s="193">
        <v>3887</v>
      </c>
      <c r="E11" s="192">
        <v>716</v>
      </c>
    </row>
    <row r="12" spans="1:5" x14ac:dyDescent="0.2">
      <c r="A12" s="197">
        <v>43405</v>
      </c>
      <c r="B12" s="193">
        <f t="shared" si="0"/>
        <v>225547</v>
      </c>
      <c r="C12" s="193">
        <f t="shared" si="1"/>
        <v>4603</v>
      </c>
      <c r="D12" s="193">
        <v>3900</v>
      </c>
      <c r="E12" s="192">
        <v>703</v>
      </c>
    </row>
    <row r="13" spans="1:5" x14ac:dyDescent="0.2">
      <c r="A13" s="197">
        <v>43435</v>
      </c>
      <c r="B13" s="193">
        <f t="shared" si="0"/>
        <v>220944</v>
      </c>
      <c r="C13" s="193">
        <f t="shared" si="1"/>
        <v>4603</v>
      </c>
      <c r="D13" s="193">
        <v>3913</v>
      </c>
      <c r="E13" s="192">
        <v>690</v>
      </c>
    </row>
    <row r="14" spans="1:5" x14ac:dyDescent="0.2">
      <c r="A14" s="197">
        <v>43466</v>
      </c>
      <c r="B14" s="193">
        <f t="shared" si="0"/>
        <v>216341</v>
      </c>
      <c r="C14" s="193">
        <f t="shared" si="1"/>
        <v>4603</v>
      </c>
      <c r="D14" s="193">
        <v>3926</v>
      </c>
      <c r="E14" s="192">
        <v>677</v>
      </c>
    </row>
    <row r="15" spans="1:5" x14ac:dyDescent="0.2">
      <c r="A15" s="197">
        <v>43497</v>
      </c>
      <c r="B15" s="193">
        <f t="shared" si="0"/>
        <v>211738</v>
      </c>
      <c r="C15" s="193">
        <f t="shared" si="1"/>
        <v>4603</v>
      </c>
      <c r="D15" s="193">
        <v>3939</v>
      </c>
      <c r="E15" s="192">
        <v>664</v>
      </c>
    </row>
    <row r="16" spans="1:5" x14ac:dyDescent="0.2">
      <c r="A16" s="197">
        <v>43525</v>
      </c>
      <c r="B16" s="193">
        <f t="shared" si="0"/>
        <v>207135</v>
      </c>
      <c r="C16" s="193">
        <f t="shared" si="1"/>
        <v>4603</v>
      </c>
      <c r="D16" s="193">
        <v>3952</v>
      </c>
      <c r="E16" s="192">
        <v>651</v>
      </c>
    </row>
    <row r="17" spans="1:5" x14ac:dyDescent="0.2">
      <c r="A17" s="197">
        <v>43556</v>
      </c>
      <c r="B17" s="193">
        <f t="shared" si="0"/>
        <v>202532</v>
      </c>
      <c r="C17" s="193">
        <f t="shared" si="1"/>
        <v>4603</v>
      </c>
      <c r="D17" s="193">
        <v>3965</v>
      </c>
      <c r="E17" s="192">
        <v>638</v>
      </c>
    </row>
    <row r="18" spans="1:5" x14ac:dyDescent="0.2">
      <c r="A18" s="197">
        <v>43586</v>
      </c>
      <c r="B18" s="193">
        <f t="shared" si="0"/>
        <v>197929</v>
      </c>
      <c r="C18" s="193">
        <f t="shared" si="1"/>
        <v>4603</v>
      </c>
      <c r="D18" s="193">
        <v>3978</v>
      </c>
      <c r="E18" s="192">
        <v>625</v>
      </c>
    </row>
    <row r="19" spans="1:5" x14ac:dyDescent="0.2">
      <c r="A19" s="197">
        <v>43617</v>
      </c>
      <c r="B19" s="193">
        <f t="shared" si="0"/>
        <v>193326</v>
      </c>
      <c r="C19" s="193">
        <f t="shared" si="1"/>
        <v>4603</v>
      </c>
      <c r="D19" s="193">
        <v>3991</v>
      </c>
      <c r="E19" s="192">
        <v>612</v>
      </c>
    </row>
    <row r="20" spans="1:5" x14ac:dyDescent="0.2">
      <c r="A20" s="197">
        <v>43647</v>
      </c>
      <c r="B20" s="193">
        <f t="shared" si="0"/>
        <v>188723</v>
      </c>
      <c r="C20" s="193">
        <f t="shared" si="1"/>
        <v>4603</v>
      </c>
      <c r="D20" s="193">
        <v>4004</v>
      </c>
      <c r="E20" s="192">
        <v>599</v>
      </c>
    </row>
    <row r="21" spans="1:5" x14ac:dyDescent="0.2">
      <c r="A21" s="197">
        <v>43678</v>
      </c>
      <c r="B21" s="193">
        <f t="shared" si="0"/>
        <v>184120</v>
      </c>
      <c r="C21" s="193">
        <f t="shared" si="1"/>
        <v>4603</v>
      </c>
      <c r="D21" s="193">
        <v>4017</v>
      </c>
      <c r="E21" s="192">
        <v>586</v>
      </c>
    </row>
    <row r="22" spans="1:5" x14ac:dyDescent="0.2">
      <c r="A22" s="197">
        <v>43709</v>
      </c>
      <c r="B22" s="193">
        <f t="shared" si="0"/>
        <v>179517</v>
      </c>
      <c r="C22" s="193">
        <f t="shared" si="1"/>
        <v>4603</v>
      </c>
      <c r="D22" s="193">
        <v>4030</v>
      </c>
      <c r="E22" s="192">
        <v>573</v>
      </c>
    </row>
    <row r="23" spans="1:5" x14ac:dyDescent="0.2">
      <c r="A23" s="197">
        <v>43739</v>
      </c>
      <c r="B23" s="193">
        <f t="shared" si="0"/>
        <v>174914</v>
      </c>
      <c r="C23" s="193">
        <f t="shared" si="1"/>
        <v>4603</v>
      </c>
      <c r="D23" s="193">
        <v>4043</v>
      </c>
      <c r="E23" s="192">
        <v>560</v>
      </c>
    </row>
    <row r="24" spans="1:5" x14ac:dyDescent="0.2">
      <c r="A24" s="197">
        <v>43770</v>
      </c>
      <c r="B24" s="193">
        <f t="shared" si="0"/>
        <v>170311</v>
      </c>
      <c r="C24" s="193">
        <f t="shared" si="1"/>
        <v>4603</v>
      </c>
      <c r="D24" s="193">
        <v>4056</v>
      </c>
      <c r="E24" s="192">
        <v>547</v>
      </c>
    </row>
    <row r="25" spans="1:5" x14ac:dyDescent="0.2">
      <c r="A25" s="197">
        <v>43800</v>
      </c>
      <c r="B25" s="193">
        <f t="shared" si="0"/>
        <v>165708</v>
      </c>
      <c r="C25" s="193">
        <f t="shared" si="1"/>
        <v>4603</v>
      </c>
      <c r="D25" s="193">
        <v>4069</v>
      </c>
      <c r="E25" s="192">
        <v>534</v>
      </c>
    </row>
    <row r="26" spans="1:5" x14ac:dyDescent="0.2">
      <c r="A26" s="197">
        <v>43831</v>
      </c>
      <c r="B26" s="193">
        <f t="shared" si="0"/>
        <v>161105</v>
      </c>
      <c r="C26" s="193">
        <f t="shared" si="1"/>
        <v>4603</v>
      </c>
      <c r="D26" s="193">
        <v>4082</v>
      </c>
      <c r="E26" s="192">
        <v>521</v>
      </c>
    </row>
    <row r="27" spans="1:5" x14ac:dyDescent="0.2">
      <c r="A27" s="197">
        <v>43862</v>
      </c>
      <c r="B27" s="193">
        <f t="shared" si="0"/>
        <v>156502</v>
      </c>
      <c r="C27" s="193">
        <f t="shared" si="1"/>
        <v>4603</v>
      </c>
      <c r="D27" s="193">
        <v>4095</v>
      </c>
      <c r="E27" s="192">
        <v>508</v>
      </c>
    </row>
    <row r="28" spans="1:5" x14ac:dyDescent="0.2">
      <c r="A28" s="197">
        <v>43891</v>
      </c>
      <c r="B28" s="193">
        <f t="shared" si="0"/>
        <v>151899</v>
      </c>
      <c r="C28" s="193">
        <f t="shared" si="1"/>
        <v>4603</v>
      </c>
      <c r="D28" s="193">
        <v>4108</v>
      </c>
      <c r="E28" s="192">
        <v>495</v>
      </c>
    </row>
    <row r="29" spans="1:5" x14ac:dyDescent="0.2">
      <c r="A29" s="197">
        <v>43922</v>
      </c>
      <c r="B29" s="193">
        <f t="shared" si="0"/>
        <v>147296</v>
      </c>
      <c r="C29" s="193">
        <f t="shared" si="1"/>
        <v>4603</v>
      </c>
      <c r="D29" s="193">
        <v>4121</v>
      </c>
      <c r="E29" s="192">
        <v>482</v>
      </c>
    </row>
    <row r="30" spans="1:5" x14ac:dyDescent="0.2">
      <c r="A30" s="197">
        <v>43952</v>
      </c>
      <c r="B30" s="193">
        <f t="shared" si="0"/>
        <v>142693</v>
      </c>
      <c r="C30" s="193">
        <f t="shared" si="1"/>
        <v>4603</v>
      </c>
      <c r="D30" s="193">
        <v>4134</v>
      </c>
      <c r="E30" s="192">
        <v>469</v>
      </c>
    </row>
    <row r="31" spans="1:5" x14ac:dyDescent="0.2">
      <c r="A31" s="197">
        <v>43983</v>
      </c>
      <c r="B31" s="193">
        <f t="shared" si="0"/>
        <v>138090</v>
      </c>
      <c r="C31" s="193">
        <f t="shared" si="1"/>
        <v>4603</v>
      </c>
      <c r="D31" s="193">
        <v>4147</v>
      </c>
      <c r="E31" s="192">
        <v>456</v>
      </c>
    </row>
    <row r="32" spans="1:5" x14ac:dyDescent="0.2">
      <c r="A32" s="197">
        <v>44013</v>
      </c>
      <c r="B32" s="193">
        <f t="shared" si="0"/>
        <v>133487</v>
      </c>
      <c r="C32" s="193">
        <f t="shared" si="1"/>
        <v>4603</v>
      </c>
      <c r="D32" s="193">
        <v>4160</v>
      </c>
      <c r="E32" s="192">
        <v>443</v>
      </c>
    </row>
    <row r="33" spans="1:5" x14ac:dyDescent="0.2">
      <c r="A33" s="197">
        <v>44044</v>
      </c>
      <c r="B33" s="193">
        <f t="shared" si="0"/>
        <v>128884</v>
      </c>
      <c r="C33" s="193">
        <f t="shared" si="1"/>
        <v>4603</v>
      </c>
      <c r="D33" s="193">
        <v>4173</v>
      </c>
      <c r="E33" s="192">
        <v>430</v>
      </c>
    </row>
    <row r="34" spans="1:5" x14ac:dyDescent="0.2">
      <c r="A34" s="197">
        <v>44075</v>
      </c>
      <c r="B34" s="193">
        <f t="shared" si="0"/>
        <v>124281</v>
      </c>
      <c r="C34" s="193">
        <f t="shared" si="1"/>
        <v>4603</v>
      </c>
      <c r="D34" s="193">
        <v>4186</v>
      </c>
      <c r="E34" s="192">
        <v>417</v>
      </c>
    </row>
    <row r="35" spans="1:5" x14ac:dyDescent="0.2">
      <c r="A35" s="197">
        <v>44105</v>
      </c>
      <c r="B35" s="193">
        <f t="shared" si="0"/>
        <v>119678</v>
      </c>
      <c r="C35" s="193">
        <f t="shared" si="1"/>
        <v>4603</v>
      </c>
      <c r="D35" s="193">
        <v>4199</v>
      </c>
      <c r="E35" s="192">
        <v>404</v>
      </c>
    </row>
    <row r="36" spans="1:5" x14ac:dyDescent="0.2">
      <c r="A36" s="197">
        <v>44136</v>
      </c>
      <c r="B36" s="193">
        <f t="shared" si="0"/>
        <v>115075</v>
      </c>
      <c r="C36" s="193">
        <f t="shared" si="1"/>
        <v>4603</v>
      </c>
      <c r="D36" s="193">
        <v>4212</v>
      </c>
      <c r="E36" s="192">
        <v>391</v>
      </c>
    </row>
    <row r="37" spans="1:5" x14ac:dyDescent="0.2">
      <c r="A37" s="197">
        <v>44166</v>
      </c>
      <c r="B37" s="193">
        <f t="shared" si="0"/>
        <v>110472</v>
      </c>
      <c r="C37" s="193">
        <f t="shared" si="1"/>
        <v>4603</v>
      </c>
      <c r="D37" s="193">
        <v>4225</v>
      </c>
      <c r="E37" s="192">
        <v>378</v>
      </c>
    </row>
    <row r="38" spans="1:5" x14ac:dyDescent="0.2">
      <c r="A38" s="197">
        <v>44197</v>
      </c>
      <c r="B38" s="193">
        <f t="shared" si="0"/>
        <v>105869</v>
      </c>
      <c r="C38" s="193">
        <f t="shared" si="1"/>
        <v>4603</v>
      </c>
      <c r="D38" s="193">
        <v>4238</v>
      </c>
      <c r="E38" s="192">
        <v>365</v>
      </c>
    </row>
    <row r="39" spans="1:5" x14ac:dyDescent="0.2">
      <c r="A39" s="197">
        <v>44228</v>
      </c>
      <c r="B39" s="193">
        <f>B38-C39</f>
        <v>101266</v>
      </c>
      <c r="C39" s="193">
        <f t="shared" si="1"/>
        <v>4603</v>
      </c>
      <c r="D39" s="193">
        <v>4251</v>
      </c>
      <c r="E39" s="192">
        <v>352</v>
      </c>
    </row>
    <row r="40" spans="1:5" x14ac:dyDescent="0.2">
      <c r="A40" s="197">
        <v>44256</v>
      </c>
      <c r="B40" s="193">
        <f t="shared" si="0"/>
        <v>96663</v>
      </c>
      <c r="C40" s="193">
        <f t="shared" si="1"/>
        <v>4603</v>
      </c>
      <c r="D40" s="193">
        <v>4264</v>
      </c>
      <c r="E40" s="192">
        <v>339</v>
      </c>
    </row>
    <row r="41" spans="1:5" x14ac:dyDescent="0.2">
      <c r="A41" s="197">
        <v>44287</v>
      </c>
      <c r="B41" s="193">
        <f t="shared" si="0"/>
        <v>92060</v>
      </c>
      <c r="C41" s="193">
        <f t="shared" si="1"/>
        <v>4603</v>
      </c>
      <c r="D41" s="193">
        <v>4277</v>
      </c>
      <c r="E41" s="192">
        <v>326</v>
      </c>
    </row>
    <row r="42" spans="1:5" x14ac:dyDescent="0.2">
      <c r="A42" s="197">
        <v>44317</v>
      </c>
      <c r="B42" s="193">
        <f t="shared" si="0"/>
        <v>87457</v>
      </c>
      <c r="C42" s="193">
        <f t="shared" si="1"/>
        <v>4603</v>
      </c>
      <c r="D42" s="193">
        <v>4290</v>
      </c>
      <c r="E42" s="192">
        <v>313</v>
      </c>
    </row>
    <row r="43" spans="1:5" x14ac:dyDescent="0.2">
      <c r="A43" s="197">
        <v>44348</v>
      </c>
      <c r="B43" s="193">
        <f t="shared" si="0"/>
        <v>82854</v>
      </c>
      <c r="C43" s="193">
        <f t="shared" si="1"/>
        <v>4603</v>
      </c>
      <c r="D43" s="193">
        <v>4303</v>
      </c>
      <c r="E43" s="192">
        <v>300</v>
      </c>
    </row>
    <row r="44" spans="1:5" x14ac:dyDescent="0.2">
      <c r="A44" s="197">
        <v>44378</v>
      </c>
      <c r="B44" s="193">
        <f t="shared" si="0"/>
        <v>78251</v>
      </c>
      <c r="C44" s="193">
        <f t="shared" si="1"/>
        <v>4603</v>
      </c>
      <c r="D44" s="193">
        <v>4316</v>
      </c>
      <c r="E44" s="192">
        <v>287</v>
      </c>
    </row>
    <row r="45" spans="1:5" x14ac:dyDescent="0.2">
      <c r="A45" s="197">
        <v>44409</v>
      </c>
      <c r="B45" s="193">
        <f t="shared" si="0"/>
        <v>73648</v>
      </c>
      <c r="C45" s="193">
        <f t="shared" si="1"/>
        <v>4603</v>
      </c>
      <c r="D45" s="193">
        <v>4329</v>
      </c>
      <c r="E45" s="192">
        <v>274</v>
      </c>
    </row>
    <row r="46" spans="1:5" x14ac:dyDescent="0.2">
      <c r="A46" s="197">
        <v>44440</v>
      </c>
      <c r="B46" s="193">
        <f t="shared" si="0"/>
        <v>69045</v>
      </c>
      <c r="C46" s="193">
        <f t="shared" si="1"/>
        <v>4603</v>
      </c>
      <c r="D46" s="193">
        <v>4342</v>
      </c>
      <c r="E46" s="192">
        <v>261</v>
      </c>
    </row>
    <row r="47" spans="1:5" x14ac:dyDescent="0.2">
      <c r="A47" s="197">
        <v>44470</v>
      </c>
      <c r="B47" s="193">
        <f t="shared" si="0"/>
        <v>64442</v>
      </c>
      <c r="C47" s="193">
        <f t="shared" si="1"/>
        <v>4603</v>
      </c>
      <c r="D47" s="193">
        <v>4355</v>
      </c>
      <c r="E47" s="192">
        <v>248</v>
      </c>
    </row>
    <row r="48" spans="1:5" x14ac:dyDescent="0.2">
      <c r="A48" s="197">
        <v>44501</v>
      </c>
      <c r="B48" s="193">
        <f t="shared" si="0"/>
        <v>59839</v>
      </c>
      <c r="C48" s="193">
        <f t="shared" si="1"/>
        <v>4603</v>
      </c>
      <c r="D48" s="193">
        <v>4368</v>
      </c>
      <c r="E48" s="192">
        <v>235</v>
      </c>
    </row>
    <row r="49" spans="1:5" x14ac:dyDescent="0.2">
      <c r="A49" s="197">
        <v>44531</v>
      </c>
      <c r="B49" s="193">
        <f t="shared" si="0"/>
        <v>55236</v>
      </c>
      <c r="C49" s="193">
        <f t="shared" si="1"/>
        <v>4603</v>
      </c>
      <c r="D49" s="193">
        <v>4381</v>
      </c>
      <c r="E49" s="192">
        <v>222</v>
      </c>
    </row>
    <row r="50" spans="1:5" x14ac:dyDescent="0.2">
      <c r="A50" s="197">
        <v>44562</v>
      </c>
      <c r="B50" s="193">
        <f t="shared" si="0"/>
        <v>50633</v>
      </c>
      <c r="C50" s="193">
        <f t="shared" si="1"/>
        <v>4603</v>
      </c>
      <c r="D50" s="193">
        <v>4394</v>
      </c>
      <c r="E50" s="192">
        <v>209</v>
      </c>
    </row>
    <row r="51" spans="1:5" x14ac:dyDescent="0.2">
      <c r="A51" s="197">
        <v>44593</v>
      </c>
      <c r="B51" s="193">
        <f t="shared" si="0"/>
        <v>46030</v>
      </c>
      <c r="C51" s="193">
        <f t="shared" si="1"/>
        <v>4603</v>
      </c>
      <c r="D51" s="193">
        <v>4407</v>
      </c>
      <c r="E51" s="192">
        <v>196</v>
      </c>
    </row>
    <row r="52" spans="1:5" x14ac:dyDescent="0.2">
      <c r="A52" s="197">
        <v>44621</v>
      </c>
      <c r="B52" s="193">
        <f t="shared" si="0"/>
        <v>41427</v>
      </c>
      <c r="C52" s="193">
        <f t="shared" si="1"/>
        <v>4603</v>
      </c>
      <c r="D52" s="193">
        <v>4420</v>
      </c>
      <c r="E52" s="192">
        <v>183</v>
      </c>
    </row>
    <row r="53" spans="1:5" x14ac:dyDescent="0.2">
      <c r="A53" s="197">
        <v>44652</v>
      </c>
      <c r="B53" s="193">
        <f t="shared" si="0"/>
        <v>36824</v>
      </c>
      <c r="C53" s="193">
        <f t="shared" si="1"/>
        <v>4603</v>
      </c>
      <c r="D53" s="193">
        <v>4433</v>
      </c>
      <c r="E53" s="192">
        <v>170</v>
      </c>
    </row>
    <row r="54" spans="1:5" x14ac:dyDescent="0.2">
      <c r="A54" s="197">
        <v>44682</v>
      </c>
      <c r="B54" s="193">
        <f t="shared" si="0"/>
        <v>32221</v>
      </c>
      <c r="C54" s="193">
        <f t="shared" si="1"/>
        <v>4603</v>
      </c>
      <c r="D54" s="193">
        <v>4446</v>
      </c>
      <c r="E54" s="192">
        <v>157</v>
      </c>
    </row>
    <row r="55" spans="1:5" x14ac:dyDescent="0.2">
      <c r="A55" s="197">
        <v>44713</v>
      </c>
      <c r="B55" s="193">
        <f t="shared" si="0"/>
        <v>27618</v>
      </c>
      <c r="C55" s="193">
        <f t="shared" si="1"/>
        <v>4603</v>
      </c>
      <c r="D55" s="193">
        <v>4459</v>
      </c>
      <c r="E55" s="192">
        <v>144</v>
      </c>
    </row>
    <row r="56" spans="1:5" x14ac:dyDescent="0.2">
      <c r="A56" s="197">
        <v>44743</v>
      </c>
      <c r="B56" s="193">
        <f t="shared" si="0"/>
        <v>23015</v>
      </c>
      <c r="C56" s="193">
        <f t="shared" si="1"/>
        <v>4603</v>
      </c>
      <c r="D56" s="193">
        <v>4472</v>
      </c>
      <c r="E56" s="192">
        <v>131</v>
      </c>
    </row>
    <row r="57" spans="1:5" x14ac:dyDescent="0.2">
      <c r="A57" s="197">
        <v>44774</v>
      </c>
      <c r="B57" s="193">
        <f t="shared" si="0"/>
        <v>18412</v>
      </c>
      <c r="C57" s="193">
        <f t="shared" si="1"/>
        <v>4603</v>
      </c>
      <c r="D57" s="193">
        <v>4485</v>
      </c>
      <c r="E57" s="192">
        <v>118</v>
      </c>
    </row>
    <row r="58" spans="1:5" x14ac:dyDescent="0.2">
      <c r="A58" s="197">
        <v>44805</v>
      </c>
      <c r="B58" s="193">
        <f t="shared" si="0"/>
        <v>13809</v>
      </c>
      <c r="C58" s="193">
        <f t="shared" si="1"/>
        <v>4603</v>
      </c>
      <c r="D58" s="193">
        <v>4498</v>
      </c>
      <c r="E58" s="192">
        <v>105</v>
      </c>
    </row>
    <row r="59" spans="1:5" x14ac:dyDescent="0.2">
      <c r="A59" s="197">
        <v>44835</v>
      </c>
      <c r="B59" s="193">
        <f t="shared" si="0"/>
        <v>9206</v>
      </c>
      <c r="C59" s="193">
        <f t="shared" si="1"/>
        <v>4603</v>
      </c>
      <c r="D59" s="193">
        <v>4511</v>
      </c>
      <c r="E59" s="192">
        <v>92</v>
      </c>
    </row>
    <row r="60" spans="1:5" x14ac:dyDescent="0.2">
      <c r="A60" s="197">
        <v>44866</v>
      </c>
      <c r="B60" s="193">
        <f t="shared" si="0"/>
        <v>4603</v>
      </c>
      <c r="C60" s="193">
        <f t="shared" si="1"/>
        <v>4603</v>
      </c>
      <c r="D60" s="193">
        <v>4524</v>
      </c>
      <c r="E60" s="192">
        <v>79</v>
      </c>
    </row>
    <row r="61" spans="1:5" ht="17" thickBot="1" x14ac:dyDescent="0.25">
      <c r="A61" s="198">
        <v>44896</v>
      </c>
      <c r="B61" s="196">
        <f t="shared" si="0"/>
        <v>0</v>
      </c>
      <c r="C61" s="196">
        <f t="shared" si="1"/>
        <v>4603</v>
      </c>
      <c r="D61" s="196">
        <v>4537</v>
      </c>
      <c r="E61" s="142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/>
  </sheetPr>
  <dimension ref="A1:E61"/>
  <sheetViews>
    <sheetView topLeftCell="A30" workbookViewId="0">
      <selection sqref="A1:E61"/>
    </sheetView>
  </sheetViews>
  <sheetFormatPr baseColWidth="10" defaultRowHeight="16" x14ac:dyDescent="0.2"/>
  <cols>
    <col min="1" max="1" width="12.6640625" bestFit="1" customWidth="1"/>
    <col min="2" max="2" width="17.1640625" bestFit="1" customWidth="1"/>
    <col min="3" max="3" width="15.6640625" bestFit="1" customWidth="1"/>
    <col min="4" max="4" width="14.33203125" bestFit="1" customWidth="1"/>
    <col min="5" max="5" width="11.83203125" bestFit="1" customWidth="1"/>
  </cols>
  <sheetData>
    <row r="1" spans="1:5" ht="17" thickBot="1" x14ac:dyDescent="0.25">
      <c r="A1" s="199" t="s">
        <v>172</v>
      </c>
      <c r="B1" s="200" t="s">
        <v>9</v>
      </c>
      <c r="C1" s="200" t="s">
        <v>173</v>
      </c>
      <c r="D1" s="200" t="s">
        <v>174</v>
      </c>
      <c r="E1" s="201" t="s">
        <v>175</v>
      </c>
    </row>
    <row r="2" spans="1:5" x14ac:dyDescent="0.2">
      <c r="A2" s="197">
        <v>43466</v>
      </c>
      <c r="B2" s="193">
        <f>SUM(C2:C61)-C2</f>
        <v>657909</v>
      </c>
      <c r="C2" s="193">
        <f>D2+E2</f>
        <v>11151</v>
      </c>
      <c r="D2" s="193">
        <v>7485</v>
      </c>
      <c r="E2" s="192">
        <v>3666</v>
      </c>
    </row>
    <row r="3" spans="1:5" x14ac:dyDescent="0.2">
      <c r="A3" s="197">
        <v>43497</v>
      </c>
      <c r="B3" s="193">
        <f>B2-C3</f>
        <v>646758</v>
      </c>
      <c r="C3" s="193">
        <f>D3+E3</f>
        <v>11151</v>
      </c>
      <c r="D3" s="193">
        <v>7535</v>
      </c>
      <c r="E3" s="192">
        <v>3616</v>
      </c>
    </row>
    <row r="4" spans="1:5" x14ac:dyDescent="0.2">
      <c r="A4" s="197">
        <v>43525</v>
      </c>
      <c r="B4" s="193">
        <f t="shared" ref="B4:B61" si="0">B3-C4</f>
        <v>635607</v>
      </c>
      <c r="C4" s="193">
        <f t="shared" ref="C4:C61" si="1">D4+E4</f>
        <v>11151</v>
      </c>
      <c r="D4" s="193">
        <v>7585</v>
      </c>
      <c r="E4" s="192">
        <v>3566</v>
      </c>
    </row>
    <row r="5" spans="1:5" x14ac:dyDescent="0.2">
      <c r="A5" s="197">
        <v>43556</v>
      </c>
      <c r="B5" s="193">
        <f t="shared" si="0"/>
        <v>624456</v>
      </c>
      <c r="C5" s="193">
        <f t="shared" si="1"/>
        <v>11151</v>
      </c>
      <c r="D5" s="193">
        <v>7635</v>
      </c>
      <c r="E5" s="192">
        <v>3516</v>
      </c>
    </row>
    <row r="6" spans="1:5" x14ac:dyDescent="0.2">
      <c r="A6" s="197">
        <v>43586</v>
      </c>
      <c r="B6" s="193">
        <f t="shared" si="0"/>
        <v>613305</v>
      </c>
      <c r="C6" s="193">
        <f t="shared" si="1"/>
        <v>11151</v>
      </c>
      <c r="D6" s="193">
        <v>7685</v>
      </c>
      <c r="E6" s="192">
        <v>3466</v>
      </c>
    </row>
    <row r="7" spans="1:5" x14ac:dyDescent="0.2">
      <c r="A7" s="197">
        <v>43617</v>
      </c>
      <c r="B7" s="193">
        <f t="shared" si="0"/>
        <v>602154</v>
      </c>
      <c r="C7" s="193">
        <f t="shared" si="1"/>
        <v>11151</v>
      </c>
      <c r="D7" s="193">
        <v>7735</v>
      </c>
      <c r="E7" s="192">
        <v>3416</v>
      </c>
    </row>
    <row r="8" spans="1:5" x14ac:dyDescent="0.2">
      <c r="A8" s="197">
        <v>43647</v>
      </c>
      <c r="B8" s="193">
        <f t="shared" si="0"/>
        <v>591003</v>
      </c>
      <c r="C8" s="193">
        <f t="shared" si="1"/>
        <v>11151</v>
      </c>
      <c r="D8" s="193">
        <v>7785</v>
      </c>
      <c r="E8" s="192">
        <v>3366</v>
      </c>
    </row>
    <row r="9" spans="1:5" x14ac:dyDescent="0.2">
      <c r="A9" s="197">
        <v>43678</v>
      </c>
      <c r="B9" s="193">
        <f t="shared" si="0"/>
        <v>579852</v>
      </c>
      <c r="C9" s="193">
        <f t="shared" si="1"/>
        <v>11151</v>
      </c>
      <c r="D9" s="193">
        <v>7835</v>
      </c>
      <c r="E9" s="192">
        <v>3316</v>
      </c>
    </row>
    <row r="10" spans="1:5" x14ac:dyDescent="0.2">
      <c r="A10" s="197">
        <v>43709</v>
      </c>
      <c r="B10" s="193">
        <f t="shared" si="0"/>
        <v>568701</v>
      </c>
      <c r="C10" s="193">
        <f t="shared" si="1"/>
        <v>11151</v>
      </c>
      <c r="D10" s="193">
        <v>7885</v>
      </c>
      <c r="E10" s="192">
        <v>3266</v>
      </c>
    </row>
    <row r="11" spans="1:5" x14ac:dyDescent="0.2">
      <c r="A11" s="197">
        <v>43739</v>
      </c>
      <c r="B11" s="193">
        <f t="shared" si="0"/>
        <v>557550</v>
      </c>
      <c r="C11" s="193">
        <f t="shared" si="1"/>
        <v>11151</v>
      </c>
      <c r="D11" s="193">
        <v>7935</v>
      </c>
      <c r="E11" s="192">
        <v>3216</v>
      </c>
    </row>
    <row r="12" spans="1:5" x14ac:dyDescent="0.2">
      <c r="A12" s="197">
        <v>43770</v>
      </c>
      <c r="B12" s="193">
        <f t="shared" si="0"/>
        <v>546399</v>
      </c>
      <c r="C12" s="193">
        <f t="shared" si="1"/>
        <v>11151</v>
      </c>
      <c r="D12" s="193">
        <v>7985</v>
      </c>
      <c r="E12" s="192">
        <v>3166</v>
      </c>
    </row>
    <row r="13" spans="1:5" x14ac:dyDescent="0.2">
      <c r="A13" s="197">
        <v>43800</v>
      </c>
      <c r="B13" s="193">
        <f t="shared" si="0"/>
        <v>535248</v>
      </c>
      <c r="C13" s="193">
        <f t="shared" si="1"/>
        <v>11151</v>
      </c>
      <c r="D13" s="193">
        <v>8035</v>
      </c>
      <c r="E13" s="192">
        <v>3116</v>
      </c>
    </row>
    <row r="14" spans="1:5" x14ac:dyDescent="0.2">
      <c r="A14" s="197">
        <v>43831</v>
      </c>
      <c r="B14" s="193">
        <f t="shared" si="0"/>
        <v>524097</v>
      </c>
      <c r="C14" s="193">
        <f t="shared" si="1"/>
        <v>11151</v>
      </c>
      <c r="D14" s="193">
        <v>8085</v>
      </c>
      <c r="E14" s="192">
        <v>3066</v>
      </c>
    </row>
    <row r="15" spans="1:5" x14ac:dyDescent="0.2">
      <c r="A15" s="197">
        <v>43862</v>
      </c>
      <c r="B15" s="193">
        <f t="shared" si="0"/>
        <v>512946</v>
      </c>
      <c r="C15" s="193">
        <f t="shared" si="1"/>
        <v>11151</v>
      </c>
      <c r="D15" s="193">
        <v>8135</v>
      </c>
      <c r="E15" s="192">
        <v>3016</v>
      </c>
    </row>
    <row r="16" spans="1:5" x14ac:dyDescent="0.2">
      <c r="A16" s="197">
        <v>43891</v>
      </c>
      <c r="B16" s="193">
        <f t="shared" si="0"/>
        <v>501795</v>
      </c>
      <c r="C16" s="193">
        <f t="shared" si="1"/>
        <v>11151</v>
      </c>
      <c r="D16" s="193">
        <v>8185</v>
      </c>
      <c r="E16" s="192">
        <v>2966</v>
      </c>
    </row>
    <row r="17" spans="1:5" x14ac:dyDescent="0.2">
      <c r="A17" s="197">
        <v>43922</v>
      </c>
      <c r="B17" s="193">
        <f t="shared" si="0"/>
        <v>490644</v>
      </c>
      <c r="C17" s="193">
        <f t="shared" si="1"/>
        <v>11151</v>
      </c>
      <c r="D17" s="193">
        <v>8235</v>
      </c>
      <c r="E17" s="192">
        <v>2916</v>
      </c>
    </row>
    <row r="18" spans="1:5" x14ac:dyDescent="0.2">
      <c r="A18" s="197">
        <v>43952</v>
      </c>
      <c r="B18" s="193">
        <f t="shared" si="0"/>
        <v>479493</v>
      </c>
      <c r="C18" s="193">
        <f t="shared" si="1"/>
        <v>11151</v>
      </c>
      <c r="D18" s="193">
        <v>8285</v>
      </c>
      <c r="E18" s="192">
        <v>2866</v>
      </c>
    </row>
    <row r="19" spans="1:5" x14ac:dyDescent="0.2">
      <c r="A19" s="197">
        <v>43983</v>
      </c>
      <c r="B19" s="193">
        <f t="shared" si="0"/>
        <v>468342</v>
      </c>
      <c r="C19" s="193">
        <f t="shared" si="1"/>
        <v>11151</v>
      </c>
      <c r="D19" s="193">
        <v>8335</v>
      </c>
      <c r="E19" s="192">
        <v>2816</v>
      </c>
    </row>
    <row r="20" spans="1:5" x14ac:dyDescent="0.2">
      <c r="A20" s="197">
        <v>44013</v>
      </c>
      <c r="B20" s="193">
        <f t="shared" si="0"/>
        <v>457191</v>
      </c>
      <c r="C20" s="193">
        <f t="shared" si="1"/>
        <v>11151</v>
      </c>
      <c r="D20" s="193">
        <v>8385</v>
      </c>
      <c r="E20" s="192">
        <v>2766</v>
      </c>
    </row>
    <row r="21" spans="1:5" x14ac:dyDescent="0.2">
      <c r="A21" s="197">
        <v>44044</v>
      </c>
      <c r="B21" s="193">
        <f t="shared" si="0"/>
        <v>446040</v>
      </c>
      <c r="C21" s="193">
        <f t="shared" si="1"/>
        <v>11151</v>
      </c>
      <c r="D21" s="193">
        <v>8435</v>
      </c>
      <c r="E21" s="192">
        <v>2716</v>
      </c>
    </row>
    <row r="22" spans="1:5" x14ac:dyDescent="0.2">
      <c r="A22" s="197">
        <v>44075</v>
      </c>
      <c r="B22" s="193">
        <f t="shared" si="0"/>
        <v>434889</v>
      </c>
      <c r="C22" s="193">
        <f t="shared" si="1"/>
        <v>11151</v>
      </c>
      <c r="D22" s="193">
        <v>8485</v>
      </c>
      <c r="E22" s="192">
        <v>2666</v>
      </c>
    </row>
    <row r="23" spans="1:5" x14ac:dyDescent="0.2">
      <c r="A23" s="197">
        <v>44105</v>
      </c>
      <c r="B23" s="193">
        <f t="shared" si="0"/>
        <v>423738</v>
      </c>
      <c r="C23" s="193">
        <f t="shared" si="1"/>
        <v>11151</v>
      </c>
      <c r="D23" s="193">
        <v>8535</v>
      </c>
      <c r="E23" s="192">
        <v>2616</v>
      </c>
    </row>
    <row r="24" spans="1:5" x14ac:dyDescent="0.2">
      <c r="A24" s="197">
        <v>44136</v>
      </c>
      <c r="B24" s="193">
        <f t="shared" si="0"/>
        <v>412587</v>
      </c>
      <c r="C24" s="193">
        <f t="shared" si="1"/>
        <v>11151</v>
      </c>
      <c r="D24" s="193">
        <v>8585</v>
      </c>
      <c r="E24" s="192">
        <v>2566</v>
      </c>
    </row>
    <row r="25" spans="1:5" x14ac:dyDescent="0.2">
      <c r="A25" s="197">
        <v>44166</v>
      </c>
      <c r="B25" s="193">
        <f t="shared" si="0"/>
        <v>401436</v>
      </c>
      <c r="C25" s="193">
        <f t="shared" si="1"/>
        <v>11151</v>
      </c>
      <c r="D25" s="193">
        <v>8635</v>
      </c>
      <c r="E25" s="192">
        <v>2516</v>
      </c>
    </row>
    <row r="26" spans="1:5" x14ac:dyDescent="0.2">
      <c r="A26" s="197">
        <v>44197</v>
      </c>
      <c r="B26" s="193">
        <f t="shared" si="0"/>
        <v>390285</v>
      </c>
      <c r="C26" s="193">
        <f t="shared" si="1"/>
        <v>11151</v>
      </c>
      <c r="D26" s="193">
        <v>8685</v>
      </c>
      <c r="E26" s="192">
        <v>2466</v>
      </c>
    </row>
    <row r="27" spans="1:5" x14ac:dyDescent="0.2">
      <c r="A27" s="197">
        <v>44228</v>
      </c>
      <c r="B27" s="193">
        <f t="shared" si="0"/>
        <v>379134</v>
      </c>
      <c r="C27" s="193">
        <f t="shared" si="1"/>
        <v>11151</v>
      </c>
      <c r="D27" s="193">
        <v>8735</v>
      </c>
      <c r="E27" s="192">
        <v>2416</v>
      </c>
    </row>
    <row r="28" spans="1:5" x14ac:dyDescent="0.2">
      <c r="A28" s="197">
        <v>44256</v>
      </c>
      <c r="B28" s="193">
        <f t="shared" si="0"/>
        <v>367983</v>
      </c>
      <c r="C28" s="193">
        <f t="shared" si="1"/>
        <v>11151</v>
      </c>
      <c r="D28" s="193">
        <v>8785</v>
      </c>
      <c r="E28" s="192">
        <v>2366</v>
      </c>
    </row>
    <row r="29" spans="1:5" x14ac:dyDescent="0.2">
      <c r="A29" s="197">
        <v>44287</v>
      </c>
      <c r="B29" s="193">
        <f t="shared" si="0"/>
        <v>356832</v>
      </c>
      <c r="C29" s="193">
        <f t="shared" si="1"/>
        <v>11151</v>
      </c>
      <c r="D29" s="193">
        <v>8835</v>
      </c>
      <c r="E29" s="192">
        <v>2316</v>
      </c>
    </row>
    <row r="30" spans="1:5" x14ac:dyDescent="0.2">
      <c r="A30" s="197">
        <v>44317</v>
      </c>
      <c r="B30" s="193">
        <f t="shared" si="0"/>
        <v>345681</v>
      </c>
      <c r="C30" s="193">
        <f t="shared" si="1"/>
        <v>11151</v>
      </c>
      <c r="D30" s="193">
        <v>8885</v>
      </c>
      <c r="E30" s="192">
        <v>2266</v>
      </c>
    </row>
    <row r="31" spans="1:5" x14ac:dyDescent="0.2">
      <c r="A31" s="197">
        <v>44348</v>
      </c>
      <c r="B31" s="193">
        <f t="shared" si="0"/>
        <v>334530</v>
      </c>
      <c r="C31" s="193">
        <f t="shared" si="1"/>
        <v>11151</v>
      </c>
      <c r="D31" s="193">
        <v>8935</v>
      </c>
      <c r="E31" s="192">
        <v>2216</v>
      </c>
    </row>
    <row r="32" spans="1:5" x14ac:dyDescent="0.2">
      <c r="A32" s="197">
        <v>44378</v>
      </c>
      <c r="B32" s="193">
        <f t="shared" si="0"/>
        <v>323379</v>
      </c>
      <c r="C32" s="193">
        <f t="shared" si="1"/>
        <v>11151</v>
      </c>
      <c r="D32" s="193">
        <v>8985</v>
      </c>
      <c r="E32" s="192">
        <v>2166</v>
      </c>
    </row>
    <row r="33" spans="1:5" x14ac:dyDescent="0.2">
      <c r="A33" s="197">
        <v>44409</v>
      </c>
      <c r="B33" s="193">
        <f t="shared" si="0"/>
        <v>312228</v>
      </c>
      <c r="C33" s="193">
        <f t="shared" si="1"/>
        <v>11151</v>
      </c>
      <c r="D33" s="193">
        <v>9035</v>
      </c>
      <c r="E33" s="192">
        <v>2116</v>
      </c>
    </row>
    <row r="34" spans="1:5" x14ac:dyDescent="0.2">
      <c r="A34" s="197">
        <v>44440</v>
      </c>
      <c r="B34" s="193">
        <f t="shared" si="0"/>
        <v>301077</v>
      </c>
      <c r="C34" s="193">
        <f t="shared" si="1"/>
        <v>11151</v>
      </c>
      <c r="D34" s="193">
        <v>9085</v>
      </c>
      <c r="E34" s="192">
        <v>2066</v>
      </c>
    </row>
    <row r="35" spans="1:5" x14ac:dyDescent="0.2">
      <c r="A35" s="197">
        <v>44470</v>
      </c>
      <c r="B35" s="193">
        <f t="shared" si="0"/>
        <v>289926</v>
      </c>
      <c r="C35" s="193">
        <f t="shared" si="1"/>
        <v>11151</v>
      </c>
      <c r="D35" s="193">
        <v>9135</v>
      </c>
      <c r="E35" s="192">
        <v>2016</v>
      </c>
    </row>
    <row r="36" spans="1:5" x14ac:dyDescent="0.2">
      <c r="A36" s="197">
        <v>44501</v>
      </c>
      <c r="B36" s="193">
        <f t="shared" si="0"/>
        <v>278775</v>
      </c>
      <c r="C36" s="193">
        <f t="shared" si="1"/>
        <v>11151</v>
      </c>
      <c r="D36" s="193">
        <v>9185</v>
      </c>
      <c r="E36" s="192">
        <v>1966</v>
      </c>
    </row>
    <row r="37" spans="1:5" x14ac:dyDescent="0.2">
      <c r="A37" s="197">
        <v>44531</v>
      </c>
      <c r="B37" s="193">
        <f t="shared" si="0"/>
        <v>267624</v>
      </c>
      <c r="C37" s="193">
        <f t="shared" si="1"/>
        <v>11151</v>
      </c>
      <c r="D37" s="193">
        <v>9235</v>
      </c>
      <c r="E37" s="192">
        <v>1916</v>
      </c>
    </row>
    <row r="38" spans="1:5" x14ac:dyDescent="0.2">
      <c r="A38" s="197">
        <v>44562</v>
      </c>
      <c r="B38" s="193">
        <f t="shared" si="0"/>
        <v>256473</v>
      </c>
      <c r="C38" s="193">
        <f t="shared" si="1"/>
        <v>11151</v>
      </c>
      <c r="D38" s="193">
        <v>9285</v>
      </c>
      <c r="E38" s="192">
        <v>1866</v>
      </c>
    </row>
    <row r="39" spans="1:5" x14ac:dyDescent="0.2">
      <c r="A39" s="197">
        <v>44593</v>
      </c>
      <c r="B39" s="193">
        <f>B38-C39</f>
        <v>245322</v>
      </c>
      <c r="C39" s="193">
        <f t="shared" si="1"/>
        <v>11151</v>
      </c>
      <c r="D39" s="193">
        <v>9335</v>
      </c>
      <c r="E39" s="192">
        <v>1816</v>
      </c>
    </row>
    <row r="40" spans="1:5" x14ac:dyDescent="0.2">
      <c r="A40" s="197">
        <v>44621</v>
      </c>
      <c r="B40" s="193">
        <f t="shared" si="0"/>
        <v>234171</v>
      </c>
      <c r="C40" s="193">
        <f t="shared" si="1"/>
        <v>11151</v>
      </c>
      <c r="D40" s="193">
        <v>9385</v>
      </c>
      <c r="E40" s="192">
        <v>1766</v>
      </c>
    </row>
    <row r="41" spans="1:5" x14ac:dyDescent="0.2">
      <c r="A41" s="197">
        <v>44652</v>
      </c>
      <c r="B41" s="193">
        <f t="shared" si="0"/>
        <v>223020</v>
      </c>
      <c r="C41" s="193">
        <f t="shared" si="1"/>
        <v>11151</v>
      </c>
      <c r="D41" s="193">
        <v>9435</v>
      </c>
      <c r="E41" s="192">
        <v>1716</v>
      </c>
    </row>
    <row r="42" spans="1:5" x14ac:dyDescent="0.2">
      <c r="A42" s="197">
        <v>44682</v>
      </c>
      <c r="B42" s="193">
        <f t="shared" si="0"/>
        <v>211869</v>
      </c>
      <c r="C42" s="193">
        <f t="shared" si="1"/>
        <v>11151</v>
      </c>
      <c r="D42" s="193">
        <v>9485</v>
      </c>
      <c r="E42" s="192">
        <v>1666</v>
      </c>
    </row>
    <row r="43" spans="1:5" x14ac:dyDescent="0.2">
      <c r="A43" s="197">
        <v>44713</v>
      </c>
      <c r="B43" s="193">
        <f t="shared" si="0"/>
        <v>200718</v>
      </c>
      <c r="C43" s="193">
        <f t="shared" si="1"/>
        <v>11151</v>
      </c>
      <c r="D43" s="193">
        <v>9535</v>
      </c>
      <c r="E43" s="192">
        <v>1616</v>
      </c>
    </row>
    <row r="44" spans="1:5" x14ac:dyDescent="0.2">
      <c r="A44" s="197">
        <v>44743</v>
      </c>
      <c r="B44" s="193">
        <f t="shared" si="0"/>
        <v>189567</v>
      </c>
      <c r="C44" s="193">
        <f t="shared" si="1"/>
        <v>11151</v>
      </c>
      <c r="D44" s="193">
        <v>9585</v>
      </c>
      <c r="E44" s="192">
        <v>1566</v>
      </c>
    </row>
    <row r="45" spans="1:5" x14ac:dyDescent="0.2">
      <c r="A45" s="197">
        <v>44774</v>
      </c>
      <c r="B45" s="193">
        <f t="shared" si="0"/>
        <v>178416</v>
      </c>
      <c r="C45" s="193">
        <f t="shared" si="1"/>
        <v>11151</v>
      </c>
      <c r="D45" s="193">
        <v>9635</v>
      </c>
      <c r="E45" s="192">
        <v>1516</v>
      </c>
    </row>
    <row r="46" spans="1:5" x14ac:dyDescent="0.2">
      <c r="A46" s="197">
        <v>44805</v>
      </c>
      <c r="B46" s="193">
        <f t="shared" si="0"/>
        <v>167265</v>
      </c>
      <c r="C46" s="193">
        <f t="shared" si="1"/>
        <v>11151</v>
      </c>
      <c r="D46" s="193">
        <v>9685</v>
      </c>
      <c r="E46" s="192">
        <v>1466</v>
      </c>
    </row>
    <row r="47" spans="1:5" x14ac:dyDescent="0.2">
      <c r="A47" s="197">
        <v>44835</v>
      </c>
      <c r="B47" s="193">
        <f t="shared" si="0"/>
        <v>156114</v>
      </c>
      <c r="C47" s="193">
        <f t="shared" si="1"/>
        <v>11151</v>
      </c>
      <c r="D47" s="193">
        <v>9735</v>
      </c>
      <c r="E47" s="192">
        <v>1416</v>
      </c>
    </row>
    <row r="48" spans="1:5" x14ac:dyDescent="0.2">
      <c r="A48" s="197">
        <v>44866</v>
      </c>
      <c r="B48" s="193">
        <f t="shared" si="0"/>
        <v>144963</v>
      </c>
      <c r="C48" s="193">
        <f t="shared" si="1"/>
        <v>11151</v>
      </c>
      <c r="D48" s="193">
        <v>9785</v>
      </c>
      <c r="E48" s="192">
        <v>1366</v>
      </c>
    </row>
    <row r="49" spans="1:5" x14ac:dyDescent="0.2">
      <c r="A49" s="197">
        <v>44896</v>
      </c>
      <c r="B49" s="193">
        <f t="shared" si="0"/>
        <v>133812</v>
      </c>
      <c r="C49" s="193">
        <f t="shared" si="1"/>
        <v>11151</v>
      </c>
      <c r="D49" s="193">
        <v>9835</v>
      </c>
      <c r="E49" s="192">
        <v>1316</v>
      </c>
    </row>
    <row r="50" spans="1:5" x14ac:dyDescent="0.2">
      <c r="A50" s="197">
        <v>44927</v>
      </c>
      <c r="B50" s="193">
        <f t="shared" si="0"/>
        <v>122661</v>
      </c>
      <c r="C50" s="193">
        <f t="shared" si="1"/>
        <v>11151</v>
      </c>
      <c r="D50" s="193">
        <v>9885</v>
      </c>
      <c r="E50" s="192">
        <v>1266</v>
      </c>
    </row>
    <row r="51" spans="1:5" x14ac:dyDescent="0.2">
      <c r="A51" s="197">
        <v>44958</v>
      </c>
      <c r="B51" s="193">
        <f t="shared" si="0"/>
        <v>111510</v>
      </c>
      <c r="C51" s="193">
        <f t="shared" si="1"/>
        <v>11151</v>
      </c>
      <c r="D51" s="193">
        <v>9935</v>
      </c>
      <c r="E51" s="192">
        <v>1216</v>
      </c>
    </row>
    <row r="52" spans="1:5" x14ac:dyDescent="0.2">
      <c r="A52" s="197">
        <v>44986</v>
      </c>
      <c r="B52" s="193">
        <f t="shared" si="0"/>
        <v>100359</v>
      </c>
      <c r="C52" s="193">
        <f t="shared" si="1"/>
        <v>11151</v>
      </c>
      <c r="D52" s="193">
        <v>9985</v>
      </c>
      <c r="E52" s="192">
        <v>1166</v>
      </c>
    </row>
    <row r="53" spans="1:5" x14ac:dyDescent="0.2">
      <c r="A53" s="197">
        <v>45017</v>
      </c>
      <c r="B53" s="193">
        <f t="shared" si="0"/>
        <v>89208</v>
      </c>
      <c r="C53" s="193">
        <f t="shared" si="1"/>
        <v>11151</v>
      </c>
      <c r="D53" s="193">
        <v>10035</v>
      </c>
      <c r="E53" s="192">
        <v>1116</v>
      </c>
    </row>
    <row r="54" spans="1:5" x14ac:dyDescent="0.2">
      <c r="A54" s="197">
        <v>45047</v>
      </c>
      <c r="B54" s="193">
        <f t="shared" si="0"/>
        <v>78057</v>
      </c>
      <c r="C54" s="193">
        <f t="shared" si="1"/>
        <v>11151</v>
      </c>
      <c r="D54" s="193">
        <v>10085</v>
      </c>
      <c r="E54" s="192">
        <v>1066</v>
      </c>
    </row>
    <row r="55" spans="1:5" x14ac:dyDescent="0.2">
      <c r="A55" s="197">
        <v>45078</v>
      </c>
      <c r="B55" s="193">
        <f t="shared" si="0"/>
        <v>66906</v>
      </c>
      <c r="C55" s="193">
        <f t="shared" si="1"/>
        <v>11151</v>
      </c>
      <c r="D55" s="193">
        <v>10135</v>
      </c>
      <c r="E55" s="192">
        <v>1016</v>
      </c>
    </row>
    <row r="56" spans="1:5" x14ac:dyDescent="0.2">
      <c r="A56" s="197">
        <v>45108</v>
      </c>
      <c r="B56" s="193">
        <f t="shared" si="0"/>
        <v>55755</v>
      </c>
      <c r="C56" s="193">
        <f t="shared" si="1"/>
        <v>11151</v>
      </c>
      <c r="D56" s="193">
        <v>10185</v>
      </c>
      <c r="E56" s="192">
        <v>966</v>
      </c>
    </row>
    <row r="57" spans="1:5" x14ac:dyDescent="0.2">
      <c r="A57" s="197">
        <v>45139</v>
      </c>
      <c r="B57" s="193">
        <f t="shared" si="0"/>
        <v>44604</v>
      </c>
      <c r="C57" s="193">
        <f t="shared" si="1"/>
        <v>11151</v>
      </c>
      <c r="D57" s="193">
        <v>10235</v>
      </c>
      <c r="E57" s="192">
        <v>916</v>
      </c>
    </row>
    <row r="58" spans="1:5" x14ac:dyDescent="0.2">
      <c r="A58" s="197">
        <v>45170</v>
      </c>
      <c r="B58" s="193">
        <f t="shared" si="0"/>
        <v>33453</v>
      </c>
      <c r="C58" s="193">
        <f t="shared" si="1"/>
        <v>11151</v>
      </c>
      <c r="D58" s="193">
        <v>10285</v>
      </c>
      <c r="E58" s="192">
        <v>866</v>
      </c>
    </row>
    <row r="59" spans="1:5" x14ac:dyDescent="0.2">
      <c r="A59" s="197">
        <v>45200</v>
      </c>
      <c r="B59" s="193">
        <f t="shared" si="0"/>
        <v>22302</v>
      </c>
      <c r="C59" s="193">
        <f t="shared" si="1"/>
        <v>11151</v>
      </c>
      <c r="D59" s="193">
        <v>10335</v>
      </c>
      <c r="E59" s="192">
        <v>816</v>
      </c>
    </row>
    <row r="60" spans="1:5" x14ac:dyDescent="0.2">
      <c r="A60" s="197">
        <v>45231</v>
      </c>
      <c r="B60" s="193">
        <f t="shared" si="0"/>
        <v>11151</v>
      </c>
      <c r="C60" s="193">
        <f t="shared" si="1"/>
        <v>11151</v>
      </c>
      <c r="D60" s="193">
        <v>10385</v>
      </c>
      <c r="E60" s="192">
        <v>766</v>
      </c>
    </row>
    <row r="61" spans="1:5" ht="17" thickBot="1" x14ac:dyDescent="0.25">
      <c r="A61" s="198">
        <v>45261</v>
      </c>
      <c r="B61" s="196">
        <f t="shared" si="0"/>
        <v>0</v>
      </c>
      <c r="C61" s="196">
        <f t="shared" si="1"/>
        <v>11151</v>
      </c>
      <c r="D61" s="196">
        <v>10435</v>
      </c>
      <c r="E61" s="142">
        <v>716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/>
  </sheetPr>
  <dimension ref="A1:E61"/>
  <sheetViews>
    <sheetView topLeftCell="A32" workbookViewId="0">
      <selection sqref="A1:E61"/>
    </sheetView>
  </sheetViews>
  <sheetFormatPr baseColWidth="10" defaultRowHeight="16" x14ac:dyDescent="0.2"/>
  <cols>
    <col min="1" max="1" width="12.6640625" bestFit="1" customWidth="1"/>
    <col min="2" max="2" width="17.1640625" bestFit="1" customWidth="1"/>
    <col min="3" max="3" width="15.6640625" bestFit="1" customWidth="1"/>
    <col min="4" max="4" width="14.33203125" bestFit="1" customWidth="1"/>
    <col min="5" max="5" width="11.83203125" bestFit="1" customWidth="1"/>
  </cols>
  <sheetData>
    <row r="1" spans="1:5" ht="17" thickBot="1" x14ac:dyDescent="0.25">
      <c r="A1" s="199" t="s">
        <v>172</v>
      </c>
      <c r="B1" s="200" t="s">
        <v>9</v>
      </c>
      <c r="C1" s="200" t="s">
        <v>173</v>
      </c>
      <c r="D1" s="200" t="s">
        <v>174</v>
      </c>
      <c r="E1" s="201" t="s">
        <v>175</v>
      </c>
    </row>
    <row r="2" spans="1:5" x14ac:dyDescent="0.2">
      <c r="A2" s="197">
        <v>43831</v>
      </c>
      <c r="B2" s="193">
        <f>SUM(C2:C61)-C2</f>
        <v>162958</v>
      </c>
      <c r="C2" s="193">
        <f>D2+E2</f>
        <v>2762</v>
      </c>
      <c r="D2" s="193">
        <v>2262</v>
      </c>
      <c r="E2" s="192">
        <v>500</v>
      </c>
    </row>
    <row r="3" spans="1:5" x14ac:dyDescent="0.2">
      <c r="A3" s="197">
        <v>43862</v>
      </c>
      <c r="B3" s="57">
        <f>B2-C3</f>
        <v>160196</v>
      </c>
      <c r="C3" s="57">
        <f>D3+E3</f>
        <v>2762</v>
      </c>
      <c r="D3" s="57">
        <v>2270</v>
      </c>
      <c r="E3" s="62">
        <v>492</v>
      </c>
    </row>
    <row r="4" spans="1:5" x14ac:dyDescent="0.2">
      <c r="A4" s="197">
        <v>43891</v>
      </c>
      <c r="B4" s="57">
        <f t="shared" ref="B4:B61" si="0">B3-C4</f>
        <v>157434</v>
      </c>
      <c r="C4" s="57">
        <f t="shared" ref="C4:C61" si="1">D4+E4</f>
        <v>2762</v>
      </c>
      <c r="D4" s="193">
        <v>2278</v>
      </c>
      <c r="E4" s="192">
        <v>484</v>
      </c>
    </row>
    <row r="5" spans="1:5" x14ac:dyDescent="0.2">
      <c r="A5" s="197">
        <v>43922</v>
      </c>
      <c r="B5" s="57">
        <f t="shared" si="0"/>
        <v>154672</v>
      </c>
      <c r="C5" s="57">
        <f t="shared" si="1"/>
        <v>2762</v>
      </c>
      <c r="D5" s="57">
        <v>2286</v>
      </c>
      <c r="E5" s="62">
        <v>476</v>
      </c>
    </row>
    <row r="6" spans="1:5" x14ac:dyDescent="0.2">
      <c r="A6" s="197">
        <v>43952</v>
      </c>
      <c r="B6" s="57">
        <f t="shared" si="0"/>
        <v>151910</v>
      </c>
      <c r="C6" s="57">
        <f t="shared" si="1"/>
        <v>2762</v>
      </c>
      <c r="D6" s="193">
        <v>2294</v>
      </c>
      <c r="E6" s="192">
        <v>468</v>
      </c>
    </row>
    <row r="7" spans="1:5" x14ac:dyDescent="0.2">
      <c r="A7" s="197">
        <v>43983</v>
      </c>
      <c r="B7" s="57">
        <f t="shared" si="0"/>
        <v>149148</v>
      </c>
      <c r="C7" s="57">
        <f t="shared" si="1"/>
        <v>2762</v>
      </c>
      <c r="D7" s="57">
        <v>2302</v>
      </c>
      <c r="E7" s="62">
        <v>460</v>
      </c>
    </row>
    <row r="8" spans="1:5" x14ac:dyDescent="0.2">
      <c r="A8" s="197">
        <v>44013</v>
      </c>
      <c r="B8" s="57">
        <f t="shared" si="0"/>
        <v>146386</v>
      </c>
      <c r="C8" s="57">
        <f t="shared" si="1"/>
        <v>2762</v>
      </c>
      <c r="D8" s="193">
        <v>2310</v>
      </c>
      <c r="E8" s="192">
        <v>452</v>
      </c>
    </row>
    <row r="9" spans="1:5" x14ac:dyDescent="0.2">
      <c r="A9" s="197">
        <v>44044</v>
      </c>
      <c r="B9" s="57">
        <f t="shared" si="0"/>
        <v>143624</v>
      </c>
      <c r="C9" s="57">
        <f t="shared" si="1"/>
        <v>2762</v>
      </c>
      <c r="D9" s="57">
        <v>2318</v>
      </c>
      <c r="E9" s="62">
        <v>444</v>
      </c>
    </row>
    <row r="10" spans="1:5" x14ac:dyDescent="0.2">
      <c r="A10" s="197">
        <v>44075</v>
      </c>
      <c r="B10" s="57">
        <f t="shared" si="0"/>
        <v>140862</v>
      </c>
      <c r="C10" s="57">
        <f t="shared" si="1"/>
        <v>2762</v>
      </c>
      <c r="D10" s="193">
        <v>2326</v>
      </c>
      <c r="E10" s="192">
        <v>436</v>
      </c>
    </row>
    <row r="11" spans="1:5" x14ac:dyDescent="0.2">
      <c r="A11" s="197">
        <v>44105</v>
      </c>
      <c r="B11" s="57">
        <f t="shared" si="0"/>
        <v>138100</v>
      </c>
      <c r="C11" s="57">
        <f t="shared" si="1"/>
        <v>2762</v>
      </c>
      <c r="D11" s="57">
        <v>2334</v>
      </c>
      <c r="E11" s="62">
        <v>428</v>
      </c>
    </row>
    <row r="12" spans="1:5" x14ac:dyDescent="0.2">
      <c r="A12" s="197">
        <v>44136</v>
      </c>
      <c r="B12" s="57">
        <f t="shared" si="0"/>
        <v>135338</v>
      </c>
      <c r="C12" s="57">
        <f t="shared" si="1"/>
        <v>2762</v>
      </c>
      <c r="D12" s="193">
        <v>2342</v>
      </c>
      <c r="E12" s="192">
        <v>420</v>
      </c>
    </row>
    <row r="13" spans="1:5" x14ac:dyDescent="0.2">
      <c r="A13" s="197">
        <v>44166</v>
      </c>
      <c r="B13" s="57">
        <f t="shared" si="0"/>
        <v>132576</v>
      </c>
      <c r="C13" s="57">
        <f t="shared" si="1"/>
        <v>2762</v>
      </c>
      <c r="D13" s="57">
        <v>2350</v>
      </c>
      <c r="E13" s="62">
        <v>412</v>
      </c>
    </row>
    <row r="14" spans="1:5" x14ac:dyDescent="0.2">
      <c r="A14" s="197">
        <v>44197</v>
      </c>
      <c r="B14" s="57">
        <f t="shared" si="0"/>
        <v>129814</v>
      </c>
      <c r="C14" s="57">
        <f t="shared" si="1"/>
        <v>2762</v>
      </c>
      <c r="D14" s="193">
        <v>2358</v>
      </c>
      <c r="E14" s="192">
        <v>404</v>
      </c>
    </row>
    <row r="15" spans="1:5" x14ac:dyDescent="0.2">
      <c r="A15" s="197">
        <v>44228</v>
      </c>
      <c r="B15" s="57">
        <f t="shared" si="0"/>
        <v>127052</v>
      </c>
      <c r="C15" s="57">
        <f t="shared" si="1"/>
        <v>2762</v>
      </c>
      <c r="D15" s="57">
        <v>2366</v>
      </c>
      <c r="E15" s="62">
        <v>396</v>
      </c>
    </row>
    <row r="16" spans="1:5" x14ac:dyDescent="0.2">
      <c r="A16" s="197">
        <v>44256</v>
      </c>
      <c r="B16" s="57">
        <f t="shared" si="0"/>
        <v>124290</v>
      </c>
      <c r="C16" s="57">
        <f t="shared" si="1"/>
        <v>2762</v>
      </c>
      <c r="D16" s="193">
        <v>2374</v>
      </c>
      <c r="E16" s="192">
        <v>388</v>
      </c>
    </row>
    <row r="17" spans="1:5" x14ac:dyDescent="0.2">
      <c r="A17" s="197">
        <v>44287</v>
      </c>
      <c r="B17" s="57">
        <f t="shared" si="0"/>
        <v>121528</v>
      </c>
      <c r="C17" s="57">
        <f t="shared" si="1"/>
        <v>2762</v>
      </c>
      <c r="D17" s="57">
        <v>2382</v>
      </c>
      <c r="E17" s="62">
        <v>380</v>
      </c>
    </row>
    <row r="18" spans="1:5" x14ac:dyDescent="0.2">
      <c r="A18" s="197">
        <v>44317</v>
      </c>
      <c r="B18" s="57">
        <f t="shared" si="0"/>
        <v>118766</v>
      </c>
      <c r="C18" s="57">
        <f t="shared" si="1"/>
        <v>2762</v>
      </c>
      <c r="D18" s="193">
        <v>2390</v>
      </c>
      <c r="E18" s="192">
        <v>372</v>
      </c>
    </row>
    <row r="19" spans="1:5" x14ac:dyDescent="0.2">
      <c r="A19" s="197">
        <v>44348</v>
      </c>
      <c r="B19" s="57">
        <f t="shared" si="0"/>
        <v>116004</v>
      </c>
      <c r="C19" s="57">
        <f t="shared" si="1"/>
        <v>2762</v>
      </c>
      <c r="D19" s="57">
        <v>2398</v>
      </c>
      <c r="E19" s="62">
        <v>364</v>
      </c>
    </row>
    <row r="20" spans="1:5" x14ac:dyDescent="0.2">
      <c r="A20" s="197">
        <v>44378</v>
      </c>
      <c r="B20" s="57">
        <f t="shared" si="0"/>
        <v>113242</v>
      </c>
      <c r="C20" s="57">
        <f t="shared" si="1"/>
        <v>2762</v>
      </c>
      <c r="D20" s="193">
        <v>2406</v>
      </c>
      <c r="E20" s="192">
        <v>356</v>
      </c>
    </row>
    <row r="21" spans="1:5" x14ac:dyDescent="0.2">
      <c r="A21" s="197">
        <v>44409</v>
      </c>
      <c r="B21" s="57">
        <f t="shared" si="0"/>
        <v>110480</v>
      </c>
      <c r="C21" s="57">
        <f t="shared" si="1"/>
        <v>2762</v>
      </c>
      <c r="D21" s="57">
        <v>2414</v>
      </c>
      <c r="E21" s="62">
        <v>348</v>
      </c>
    </row>
    <row r="22" spans="1:5" x14ac:dyDescent="0.2">
      <c r="A22" s="197">
        <v>44440</v>
      </c>
      <c r="B22" s="57">
        <f t="shared" si="0"/>
        <v>107718</v>
      </c>
      <c r="C22" s="57">
        <f t="shared" si="1"/>
        <v>2762</v>
      </c>
      <c r="D22" s="193">
        <v>2422</v>
      </c>
      <c r="E22" s="192">
        <v>340</v>
      </c>
    </row>
    <row r="23" spans="1:5" x14ac:dyDescent="0.2">
      <c r="A23" s="197">
        <v>44470</v>
      </c>
      <c r="B23" s="57">
        <f t="shared" si="0"/>
        <v>104956</v>
      </c>
      <c r="C23" s="57">
        <f t="shared" si="1"/>
        <v>2762</v>
      </c>
      <c r="D23" s="57">
        <v>2430</v>
      </c>
      <c r="E23" s="62">
        <v>332</v>
      </c>
    </row>
    <row r="24" spans="1:5" x14ac:dyDescent="0.2">
      <c r="A24" s="197">
        <v>44501</v>
      </c>
      <c r="B24" s="57">
        <f t="shared" si="0"/>
        <v>102194</v>
      </c>
      <c r="C24" s="57">
        <f t="shared" si="1"/>
        <v>2762</v>
      </c>
      <c r="D24" s="193">
        <v>2438</v>
      </c>
      <c r="E24" s="192">
        <v>324</v>
      </c>
    </row>
    <row r="25" spans="1:5" x14ac:dyDescent="0.2">
      <c r="A25" s="197">
        <v>44531</v>
      </c>
      <c r="B25" s="57">
        <f t="shared" si="0"/>
        <v>99432</v>
      </c>
      <c r="C25" s="57">
        <f t="shared" si="1"/>
        <v>2762</v>
      </c>
      <c r="D25" s="57">
        <v>2446</v>
      </c>
      <c r="E25" s="62">
        <v>316</v>
      </c>
    </row>
    <row r="26" spans="1:5" x14ac:dyDescent="0.2">
      <c r="A26" s="197">
        <v>44562</v>
      </c>
      <c r="B26" s="57">
        <f t="shared" si="0"/>
        <v>96670</v>
      </c>
      <c r="C26" s="57">
        <f t="shared" si="1"/>
        <v>2762</v>
      </c>
      <c r="D26" s="193">
        <v>2454</v>
      </c>
      <c r="E26" s="192">
        <v>308</v>
      </c>
    </row>
    <row r="27" spans="1:5" x14ac:dyDescent="0.2">
      <c r="A27" s="197">
        <v>44593</v>
      </c>
      <c r="B27" s="57">
        <f t="shared" si="0"/>
        <v>93908</v>
      </c>
      <c r="C27" s="57">
        <f t="shared" si="1"/>
        <v>2762</v>
      </c>
      <c r="D27" s="57">
        <v>2462</v>
      </c>
      <c r="E27" s="62">
        <v>300</v>
      </c>
    </row>
    <row r="28" spans="1:5" x14ac:dyDescent="0.2">
      <c r="A28" s="197">
        <v>44621</v>
      </c>
      <c r="B28" s="57">
        <f t="shared" si="0"/>
        <v>91146</v>
      </c>
      <c r="C28" s="57">
        <f t="shared" si="1"/>
        <v>2762</v>
      </c>
      <c r="D28" s="193">
        <v>2470</v>
      </c>
      <c r="E28" s="192">
        <v>292</v>
      </c>
    </row>
    <row r="29" spans="1:5" x14ac:dyDescent="0.2">
      <c r="A29" s="197">
        <v>44652</v>
      </c>
      <c r="B29" s="57">
        <f t="shared" si="0"/>
        <v>88384</v>
      </c>
      <c r="C29" s="57">
        <f t="shared" si="1"/>
        <v>2762</v>
      </c>
      <c r="D29" s="57">
        <v>2478</v>
      </c>
      <c r="E29" s="62">
        <v>284</v>
      </c>
    </row>
    <row r="30" spans="1:5" x14ac:dyDescent="0.2">
      <c r="A30" s="197">
        <v>44682</v>
      </c>
      <c r="B30" s="57">
        <f t="shared" si="0"/>
        <v>85622</v>
      </c>
      <c r="C30" s="57">
        <f t="shared" si="1"/>
        <v>2762</v>
      </c>
      <c r="D30" s="193">
        <v>2486</v>
      </c>
      <c r="E30" s="192">
        <v>276</v>
      </c>
    </row>
    <row r="31" spans="1:5" x14ac:dyDescent="0.2">
      <c r="A31" s="197">
        <v>44713</v>
      </c>
      <c r="B31" s="57">
        <f t="shared" si="0"/>
        <v>82860</v>
      </c>
      <c r="C31" s="57">
        <f t="shared" si="1"/>
        <v>2762</v>
      </c>
      <c r="D31" s="57">
        <v>2494</v>
      </c>
      <c r="E31" s="62">
        <v>268</v>
      </c>
    </row>
    <row r="32" spans="1:5" x14ac:dyDescent="0.2">
      <c r="A32" s="197">
        <v>44743</v>
      </c>
      <c r="B32" s="57">
        <f t="shared" si="0"/>
        <v>80098</v>
      </c>
      <c r="C32" s="57">
        <f t="shared" si="1"/>
        <v>2762</v>
      </c>
      <c r="D32" s="193">
        <v>2502</v>
      </c>
      <c r="E32" s="192">
        <v>260</v>
      </c>
    </row>
    <row r="33" spans="1:5" x14ac:dyDescent="0.2">
      <c r="A33" s="197">
        <v>44774</v>
      </c>
      <c r="B33" s="57">
        <f t="shared" si="0"/>
        <v>77336</v>
      </c>
      <c r="C33" s="57">
        <f t="shared" si="1"/>
        <v>2762</v>
      </c>
      <c r="D33" s="57">
        <v>2510</v>
      </c>
      <c r="E33" s="62">
        <v>252</v>
      </c>
    </row>
    <row r="34" spans="1:5" x14ac:dyDescent="0.2">
      <c r="A34" s="197">
        <v>44805</v>
      </c>
      <c r="B34" s="57">
        <f t="shared" si="0"/>
        <v>74574</v>
      </c>
      <c r="C34" s="57">
        <f t="shared" si="1"/>
        <v>2762</v>
      </c>
      <c r="D34" s="193">
        <v>2518</v>
      </c>
      <c r="E34" s="192">
        <v>244</v>
      </c>
    </row>
    <row r="35" spans="1:5" x14ac:dyDescent="0.2">
      <c r="A35" s="197">
        <v>44835</v>
      </c>
      <c r="B35" s="57">
        <f t="shared" si="0"/>
        <v>71812</v>
      </c>
      <c r="C35" s="57">
        <f t="shared" si="1"/>
        <v>2762</v>
      </c>
      <c r="D35" s="193">
        <v>2526</v>
      </c>
      <c r="E35" s="62">
        <v>236</v>
      </c>
    </row>
    <row r="36" spans="1:5" x14ac:dyDescent="0.2">
      <c r="A36" s="197">
        <v>44866</v>
      </c>
      <c r="B36" s="57">
        <f t="shared" si="0"/>
        <v>69050</v>
      </c>
      <c r="C36" s="57">
        <f t="shared" si="1"/>
        <v>2762</v>
      </c>
      <c r="D36" s="57">
        <v>2534</v>
      </c>
      <c r="E36" s="192">
        <v>228</v>
      </c>
    </row>
    <row r="37" spans="1:5" x14ac:dyDescent="0.2">
      <c r="A37" s="197">
        <v>44896</v>
      </c>
      <c r="B37" s="57">
        <f t="shared" si="0"/>
        <v>66288</v>
      </c>
      <c r="C37" s="57">
        <f t="shared" si="1"/>
        <v>2762</v>
      </c>
      <c r="D37" s="193">
        <v>2542</v>
      </c>
      <c r="E37" s="192">
        <v>220</v>
      </c>
    </row>
    <row r="38" spans="1:5" x14ac:dyDescent="0.2">
      <c r="A38" s="197">
        <v>44927</v>
      </c>
      <c r="B38" s="57">
        <f t="shared" si="0"/>
        <v>63526</v>
      </c>
      <c r="C38" s="57">
        <f t="shared" si="1"/>
        <v>2762</v>
      </c>
      <c r="D38" s="57">
        <v>2550</v>
      </c>
      <c r="E38" s="62">
        <v>212</v>
      </c>
    </row>
    <row r="39" spans="1:5" x14ac:dyDescent="0.2">
      <c r="A39" s="197">
        <v>44958</v>
      </c>
      <c r="B39" s="57">
        <f>B38-C39</f>
        <v>60764</v>
      </c>
      <c r="C39" s="57">
        <f t="shared" si="1"/>
        <v>2762</v>
      </c>
      <c r="D39" s="193">
        <v>2558</v>
      </c>
      <c r="E39" s="192">
        <v>204</v>
      </c>
    </row>
    <row r="40" spans="1:5" x14ac:dyDescent="0.2">
      <c r="A40" s="197">
        <v>44986</v>
      </c>
      <c r="B40" s="57">
        <f t="shared" si="0"/>
        <v>58002</v>
      </c>
      <c r="C40" s="57">
        <f t="shared" si="1"/>
        <v>2762</v>
      </c>
      <c r="D40" s="57">
        <v>2566</v>
      </c>
      <c r="E40" s="62">
        <v>196</v>
      </c>
    </row>
    <row r="41" spans="1:5" x14ac:dyDescent="0.2">
      <c r="A41" s="197">
        <v>45017</v>
      </c>
      <c r="B41" s="57">
        <f t="shared" si="0"/>
        <v>55240</v>
      </c>
      <c r="C41" s="57">
        <f t="shared" si="1"/>
        <v>2762</v>
      </c>
      <c r="D41" s="193">
        <v>2574</v>
      </c>
      <c r="E41" s="192">
        <v>188</v>
      </c>
    </row>
    <row r="42" spans="1:5" x14ac:dyDescent="0.2">
      <c r="A42" s="197">
        <v>45047</v>
      </c>
      <c r="B42" s="57">
        <f t="shared" si="0"/>
        <v>52478</v>
      </c>
      <c r="C42" s="57">
        <f t="shared" si="1"/>
        <v>2762</v>
      </c>
      <c r="D42" s="57">
        <v>2582</v>
      </c>
      <c r="E42" s="62">
        <v>180</v>
      </c>
    </row>
    <row r="43" spans="1:5" x14ac:dyDescent="0.2">
      <c r="A43" s="197">
        <v>45078</v>
      </c>
      <c r="B43" s="57">
        <f t="shared" si="0"/>
        <v>49716</v>
      </c>
      <c r="C43" s="57">
        <f t="shared" si="1"/>
        <v>2762</v>
      </c>
      <c r="D43" s="193">
        <v>2590</v>
      </c>
      <c r="E43" s="192">
        <v>172</v>
      </c>
    </row>
    <row r="44" spans="1:5" x14ac:dyDescent="0.2">
      <c r="A44" s="197">
        <v>45108</v>
      </c>
      <c r="B44" s="57">
        <f t="shared" si="0"/>
        <v>46954</v>
      </c>
      <c r="C44" s="57">
        <f t="shared" si="1"/>
        <v>2762</v>
      </c>
      <c r="D44" s="57">
        <v>2598</v>
      </c>
      <c r="E44" s="62">
        <v>164</v>
      </c>
    </row>
    <row r="45" spans="1:5" x14ac:dyDescent="0.2">
      <c r="A45" s="197">
        <v>45139</v>
      </c>
      <c r="B45" s="57">
        <f t="shared" si="0"/>
        <v>44192</v>
      </c>
      <c r="C45" s="57">
        <f t="shared" si="1"/>
        <v>2762</v>
      </c>
      <c r="D45" s="193">
        <v>2606</v>
      </c>
      <c r="E45" s="192">
        <v>156</v>
      </c>
    </row>
    <row r="46" spans="1:5" x14ac:dyDescent="0.2">
      <c r="A46" s="197">
        <v>45170</v>
      </c>
      <c r="B46" s="57">
        <f t="shared" si="0"/>
        <v>41430</v>
      </c>
      <c r="C46" s="57">
        <f t="shared" si="1"/>
        <v>2762</v>
      </c>
      <c r="D46" s="57">
        <v>2614</v>
      </c>
      <c r="E46" s="62">
        <v>148</v>
      </c>
    </row>
    <row r="47" spans="1:5" x14ac:dyDescent="0.2">
      <c r="A47" s="197">
        <v>45200</v>
      </c>
      <c r="B47" s="57">
        <f t="shared" si="0"/>
        <v>38668</v>
      </c>
      <c r="C47" s="57">
        <f t="shared" si="1"/>
        <v>2762</v>
      </c>
      <c r="D47" s="193">
        <v>2622</v>
      </c>
      <c r="E47" s="192">
        <v>140</v>
      </c>
    </row>
    <row r="48" spans="1:5" x14ac:dyDescent="0.2">
      <c r="A48" s="197">
        <v>45231</v>
      </c>
      <c r="B48" s="57">
        <f t="shared" si="0"/>
        <v>35906</v>
      </c>
      <c r="C48" s="57">
        <f t="shared" si="1"/>
        <v>2762</v>
      </c>
      <c r="D48" s="57">
        <v>2630</v>
      </c>
      <c r="E48" s="62">
        <v>132</v>
      </c>
    </row>
    <row r="49" spans="1:5" x14ac:dyDescent="0.2">
      <c r="A49" s="197">
        <v>45261</v>
      </c>
      <c r="B49" s="57">
        <f t="shared" si="0"/>
        <v>33144</v>
      </c>
      <c r="C49" s="57">
        <f t="shared" si="1"/>
        <v>2762</v>
      </c>
      <c r="D49" s="193">
        <v>2638</v>
      </c>
      <c r="E49" s="192">
        <v>124</v>
      </c>
    </row>
    <row r="50" spans="1:5" x14ac:dyDescent="0.2">
      <c r="A50" s="197">
        <v>45292</v>
      </c>
      <c r="B50" s="57">
        <f t="shared" si="0"/>
        <v>30382</v>
      </c>
      <c r="C50" s="57">
        <f t="shared" si="1"/>
        <v>2762</v>
      </c>
      <c r="D50" s="57">
        <v>2646</v>
      </c>
      <c r="E50" s="62">
        <v>116</v>
      </c>
    </row>
    <row r="51" spans="1:5" x14ac:dyDescent="0.2">
      <c r="A51" s="197">
        <v>45323</v>
      </c>
      <c r="B51" s="57">
        <f t="shared" si="0"/>
        <v>27620</v>
      </c>
      <c r="C51" s="57">
        <f t="shared" si="1"/>
        <v>2762</v>
      </c>
      <c r="D51" s="193">
        <v>2654</v>
      </c>
      <c r="E51" s="192">
        <v>108</v>
      </c>
    </row>
    <row r="52" spans="1:5" x14ac:dyDescent="0.2">
      <c r="A52" s="197">
        <v>45352</v>
      </c>
      <c r="B52" s="57">
        <f t="shared" si="0"/>
        <v>24858</v>
      </c>
      <c r="C52" s="57">
        <f t="shared" si="1"/>
        <v>2762</v>
      </c>
      <c r="D52" s="57">
        <v>2662</v>
      </c>
      <c r="E52" s="62">
        <v>100</v>
      </c>
    </row>
    <row r="53" spans="1:5" x14ac:dyDescent="0.2">
      <c r="A53" s="197">
        <v>45383</v>
      </c>
      <c r="B53" s="57">
        <f t="shared" si="0"/>
        <v>22096</v>
      </c>
      <c r="C53" s="57">
        <f t="shared" si="1"/>
        <v>2762</v>
      </c>
      <c r="D53" s="193">
        <v>2670</v>
      </c>
      <c r="E53" s="192">
        <v>92</v>
      </c>
    </row>
    <row r="54" spans="1:5" x14ac:dyDescent="0.2">
      <c r="A54" s="197">
        <v>45413</v>
      </c>
      <c r="B54" s="57">
        <f t="shared" si="0"/>
        <v>19334</v>
      </c>
      <c r="C54" s="57">
        <f t="shared" si="1"/>
        <v>2762</v>
      </c>
      <c r="D54" s="57">
        <v>2678</v>
      </c>
      <c r="E54" s="62">
        <v>84</v>
      </c>
    </row>
    <row r="55" spans="1:5" x14ac:dyDescent="0.2">
      <c r="A55" s="197">
        <v>45444</v>
      </c>
      <c r="B55" s="57">
        <f t="shared" si="0"/>
        <v>16572</v>
      </c>
      <c r="C55" s="57">
        <f t="shared" si="1"/>
        <v>2762</v>
      </c>
      <c r="D55" s="193">
        <v>2686</v>
      </c>
      <c r="E55" s="192">
        <v>76</v>
      </c>
    </row>
    <row r="56" spans="1:5" x14ac:dyDescent="0.2">
      <c r="A56" s="197">
        <v>45474</v>
      </c>
      <c r="B56" s="57">
        <f t="shared" si="0"/>
        <v>13810</v>
      </c>
      <c r="C56" s="57">
        <f t="shared" si="1"/>
        <v>2762</v>
      </c>
      <c r="D56" s="57">
        <v>2694</v>
      </c>
      <c r="E56" s="62">
        <v>68</v>
      </c>
    </row>
    <row r="57" spans="1:5" x14ac:dyDescent="0.2">
      <c r="A57" s="197">
        <v>45505</v>
      </c>
      <c r="B57" s="57">
        <f t="shared" si="0"/>
        <v>11048</v>
      </c>
      <c r="C57" s="57">
        <f t="shared" si="1"/>
        <v>2762</v>
      </c>
      <c r="D57" s="193">
        <v>2702</v>
      </c>
      <c r="E57" s="192">
        <v>60</v>
      </c>
    </row>
    <row r="58" spans="1:5" x14ac:dyDescent="0.2">
      <c r="A58" s="197">
        <v>45536</v>
      </c>
      <c r="B58" s="57">
        <f t="shared" si="0"/>
        <v>8286</v>
      </c>
      <c r="C58" s="57">
        <f t="shared" si="1"/>
        <v>2762</v>
      </c>
      <c r="D58" s="57">
        <v>2710</v>
      </c>
      <c r="E58" s="62">
        <v>52</v>
      </c>
    </row>
    <row r="59" spans="1:5" x14ac:dyDescent="0.2">
      <c r="A59" s="197">
        <v>45566</v>
      </c>
      <c r="B59" s="57">
        <f t="shared" si="0"/>
        <v>5524</v>
      </c>
      <c r="C59" s="57">
        <f t="shared" si="1"/>
        <v>2762</v>
      </c>
      <c r="D59" s="193">
        <v>2718</v>
      </c>
      <c r="E59" s="192">
        <v>44</v>
      </c>
    </row>
    <row r="60" spans="1:5" x14ac:dyDescent="0.2">
      <c r="A60" s="197">
        <v>45597</v>
      </c>
      <c r="B60" s="57">
        <f t="shared" si="0"/>
        <v>2762</v>
      </c>
      <c r="C60" s="57">
        <f t="shared" si="1"/>
        <v>2762</v>
      </c>
      <c r="D60" s="57">
        <v>2726</v>
      </c>
      <c r="E60" s="62">
        <v>36</v>
      </c>
    </row>
    <row r="61" spans="1:5" ht="17" thickBot="1" x14ac:dyDescent="0.25">
      <c r="A61" s="198">
        <v>45627</v>
      </c>
      <c r="B61" s="194">
        <f t="shared" si="0"/>
        <v>0</v>
      </c>
      <c r="C61" s="194">
        <f t="shared" si="1"/>
        <v>2762</v>
      </c>
      <c r="D61" s="196">
        <v>2734</v>
      </c>
      <c r="E61" s="142">
        <v>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3"/>
  <sheetViews>
    <sheetView tabSelected="1" workbookViewId="0">
      <selection activeCell="L13" sqref="L13"/>
    </sheetView>
  </sheetViews>
  <sheetFormatPr baseColWidth="10" defaultRowHeight="16" x14ac:dyDescent="0.2"/>
  <cols>
    <col min="1" max="1" width="17.1640625" customWidth="1"/>
    <col min="4" max="4" width="12.33203125" bestFit="1" customWidth="1"/>
    <col min="6" max="6" width="20.5" customWidth="1"/>
    <col min="7" max="7" width="18.6640625" bestFit="1" customWidth="1"/>
  </cols>
  <sheetData>
    <row r="1" spans="1:10" ht="17" thickBot="1" x14ac:dyDescent="0.25">
      <c r="A1" t="s">
        <v>123</v>
      </c>
      <c r="B1">
        <v>820</v>
      </c>
      <c r="C1" t="s">
        <v>179</v>
      </c>
    </row>
    <row r="2" spans="1:10" x14ac:dyDescent="0.2">
      <c r="A2" t="s">
        <v>124</v>
      </c>
      <c r="B2" s="5">
        <v>0.25</v>
      </c>
      <c r="C2" s="202"/>
      <c r="D2" s="203"/>
      <c r="E2" s="203"/>
      <c r="F2" s="203"/>
      <c r="G2" s="203"/>
      <c r="H2" s="203" t="s">
        <v>180</v>
      </c>
      <c r="I2" s="203"/>
      <c r="J2" s="204"/>
    </row>
    <row r="3" spans="1:10" x14ac:dyDescent="0.2">
      <c r="B3">
        <f>B1*(1+B2)</f>
        <v>1025</v>
      </c>
      <c r="C3" s="4"/>
      <c r="D3" s="2"/>
      <c r="E3" s="2" t="s">
        <v>102</v>
      </c>
      <c r="F3" s="2"/>
      <c r="G3" s="2"/>
      <c r="H3" s="2" t="s">
        <v>183</v>
      </c>
      <c r="I3" s="2"/>
      <c r="J3" s="205"/>
    </row>
    <row r="4" spans="1:10" x14ac:dyDescent="0.2">
      <c r="C4" s="206"/>
      <c r="D4" s="2" t="s">
        <v>122</v>
      </c>
      <c r="E4" s="2" t="s">
        <v>110</v>
      </c>
      <c r="F4" s="207">
        <v>7000</v>
      </c>
      <c r="G4" s="2"/>
      <c r="H4" s="2"/>
      <c r="I4" s="2"/>
      <c r="J4" s="205"/>
    </row>
    <row r="5" spans="1:10" x14ac:dyDescent="0.2">
      <c r="A5" s="49"/>
      <c r="B5" s="49"/>
      <c r="C5" s="208"/>
      <c r="D5" s="209"/>
      <c r="E5" s="209"/>
      <c r="F5" s="209" t="s">
        <v>132</v>
      </c>
      <c r="G5" s="2"/>
      <c r="H5" s="2"/>
      <c r="I5" s="2"/>
      <c r="J5" s="205"/>
    </row>
    <row r="6" spans="1:10" x14ac:dyDescent="0.2">
      <c r="C6" s="206"/>
      <c r="D6" s="2" t="s">
        <v>111</v>
      </c>
      <c r="E6" s="210">
        <v>0.02</v>
      </c>
      <c r="F6" s="2">
        <f>$F$4*E6</f>
        <v>140</v>
      </c>
      <c r="G6" s="2"/>
      <c r="H6" s="2"/>
      <c r="I6" s="2"/>
      <c r="J6" s="205"/>
    </row>
    <row r="7" spans="1:10" x14ac:dyDescent="0.2">
      <c r="C7" s="4"/>
      <c r="D7" s="2" t="s">
        <v>97</v>
      </c>
      <c r="E7" s="210">
        <v>0.02</v>
      </c>
      <c r="F7" s="2">
        <f t="shared" ref="F7:F10" si="0">$F$4*E7</f>
        <v>140</v>
      </c>
      <c r="G7" s="2"/>
      <c r="H7" s="2"/>
      <c r="I7" s="2"/>
      <c r="J7" s="205"/>
    </row>
    <row r="8" spans="1:10" x14ac:dyDescent="0.2">
      <c r="C8" s="4"/>
      <c r="D8" s="2" t="s">
        <v>98</v>
      </c>
      <c r="E8" s="210">
        <v>0.02</v>
      </c>
      <c r="F8" s="2">
        <f t="shared" si="0"/>
        <v>140</v>
      </c>
      <c r="G8" s="2"/>
      <c r="H8" s="2"/>
      <c r="I8" s="2"/>
      <c r="J8" s="205"/>
    </row>
    <row r="9" spans="1:10" x14ac:dyDescent="0.2">
      <c r="C9" s="4"/>
      <c r="D9" s="2" t="s">
        <v>99</v>
      </c>
      <c r="E9" s="210">
        <v>0.02</v>
      </c>
      <c r="F9" s="2">
        <f t="shared" si="0"/>
        <v>140</v>
      </c>
      <c r="G9" s="2"/>
      <c r="H9" s="2"/>
      <c r="I9" s="2"/>
      <c r="J9" s="205"/>
    </row>
    <row r="10" spans="1:10" x14ac:dyDescent="0.2">
      <c r="C10" s="4"/>
      <c r="D10" s="2" t="s">
        <v>100</v>
      </c>
      <c r="E10" s="210">
        <v>0.02</v>
      </c>
      <c r="F10" s="2">
        <f t="shared" si="0"/>
        <v>140</v>
      </c>
      <c r="G10" s="2"/>
      <c r="H10" s="2"/>
      <c r="I10" s="2"/>
      <c r="J10" s="205"/>
    </row>
    <row r="11" spans="1:10" x14ac:dyDescent="0.2">
      <c r="C11" s="4"/>
      <c r="D11" s="2"/>
      <c r="E11" s="2"/>
      <c r="F11" s="2"/>
      <c r="G11" s="2"/>
      <c r="H11" s="2"/>
      <c r="I11" s="2"/>
      <c r="J11" s="205"/>
    </row>
    <row r="12" spans="1:10" x14ac:dyDescent="0.2">
      <c r="C12" s="4" t="s">
        <v>112</v>
      </c>
      <c r="D12" s="2"/>
      <c r="E12" s="211">
        <v>40</v>
      </c>
      <c r="F12" s="2"/>
      <c r="G12" s="2"/>
      <c r="H12" s="2"/>
      <c r="I12" s="2"/>
      <c r="J12" s="205"/>
    </row>
    <row r="13" spans="1:10" x14ac:dyDescent="0.2">
      <c r="C13" s="4"/>
      <c r="D13" s="2"/>
      <c r="E13" s="2"/>
      <c r="F13" s="2"/>
      <c r="G13" s="2"/>
      <c r="H13" s="2"/>
      <c r="I13" s="2"/>
      <c r="J13" s="205"/>
    </row>
    <row r="14" spans="1:10" x14ac:dyDescent="0.2">
      <c r="C14" s="4" t="s">
        <v>113</v>
      </c>
      <c r="D14" s="2"/>
      <c r="E14" s="207">
        <v>0.01</v>
      </c>
      <c r="F14" s="2"/>
      <c r="G14" s="2"/>
      <c r="H14" s="2"/>
      <c r="I14" s="2"/>
      <c r="J14" s="205"/>
    </row>
    <row r="15" spans="1:10" x14ac:dyDescent="0.2">
      <c r="C15" s="4"/>
      <c r="D15" s="2"/>
      <c r="E15" s="2"/>
      <c r="F15" s="2" t="s">
        <v>125</v>
      </c>
      <c r="G15" s="2" t="s">
        <v>126</v>
      </c>
      <c r="H15" s="2"/>
      <c r="I15" s="2"/>
      <c r="J15" s="205"/>
    </row>
    <row r="16" spans="1:10" x14ac:dyDescent="0.2">
      <c r="C16" s="4" t="s">
        <v>114</v>
      </c>
      <c r="D16" s="2" t="s">
        <v>111</v>
      </c>
      <c r="E16" s="207">
        <v>4.5</v>
      </c>
      <c r="F16" s="2">
        <v>900</v>
      </c>
      <c r="G16" s="2" t="s">
        <v>127</v>
      </c>
      <c r="H16" s="2" t="s">
        <v>95</v>
      </c>
      <c r="I16" s="2" t="s">
        <v>150</v>
      </c>
      <c r="J16" s="205">
        <v>450</v>
      </c>
    </row>
    <row r="17" spans="3:10" x14ac:dyDescent="0.2">
      <c r="C17" s="4"/>
      <c r="D17" s="2" t="s">
        <v>97</v>
      </c>
      <c r="E17" s="207">
        <v>30</v>
      </c>
      <c r="F17" s="2">
        <v>3600</v>
      </c>
      <c r="G17" s="2" t="s">
        <v>149</v>
      </c>
      <c r="H17" s="2"/>
      <c r="I17" s="2" t="s">
        <v>151</v>
      </c>
      <c r="J17" s="205">
        <v>450</v>
      </c>
    </row>
    <row r="18" spans="3:10" x14ac:dyDescent="0.2">
      <c r="C18" s="4"/>
      <c r="D18" s="2" t="s">
        <v>98</v>
      </c>
      <c r="E18" s="207">
        <v>80</v>
      </c>
      <c r="F18" s="2">
        <v>7500</v>
      </c>
      <c r="G18" s="2" t="s">
        <v>105</v>
      </c>
      <c r="H18" s="2" t="s">
        <v>96</v>
      </c>
      <c r="I18" s="2"/>
      <c r="J18" s="205"/>
    </row>
    <row r="19" spans="3:10" x14ac:dyDescent="0.2">
      <c r="C19" s="4"/>
      <c r="D19" s="2" t="s">
        <v>99</v>
      </c>
      <c r="E19" s="207">
        <v>132</v>
      </c>
      <c r="F19" s="2">
        <v>7800</v>
      </c>
      <c r="G19" s="2" t="s">
        <v>104</v>
      </c>
      <c r="H19" s="2"/>
      <c r="I19" s="2"/>
      <c r="J19" s="205"/>
    </row>
    <row r="20" spans="3:10" x14ac:dyDescent="0.2">
      <c r="C20" s="4"/>
      <c r="D20" s="2" t="s">
        <v>100</v>
      </c>
      <c r="E20" s="207">
        <v>190</v>
      </c>
      <c r="F20" s="2">
        <v>8700</v>
      </c>
      <c r="G20" s="2" t="s">
        <v>103</v>
      </c>
      <c r="H20" s="2" t="s">
        <v>101</v>
      </c>
      <c r="I20" s="2"/>
      <c r="J20" s="205"/>
    </row>
    <row r="21" spans="3:10" x14ac:dyDescent="0.2">
      <c r="C21" s="4"/>
      <c r="D21" s="2"/>
      <c r="E21" s="2"/>
      <c r="F21" s="2"/>
      <c r="G21" s="2"/>
      <c r="H21" s="2"/>
      <c r="I21" s="2"/>
      <c r="J21" s="205"/>
    </row>
    <row r="22" spans="3:10" x14ac:dyDescent="0.2">
      <c r="C22" s="4"/>
      <c r="D22" s="2" t="s">
        <v>145</v>
      </c>
      <c r="E22" s="207">
        <v>2</v>
      </c>
      <c r="F22" s="2"/>
      <c r="G22" s="2"/>
      <c r="H22" s="2"/>
      <c r="I22" s="2"/>
      <c r="J22" s="205"/>
    </row>
    <row r="23" spans="3:10" x14ac:dyDescent="0.2">
      <c r="C23" s="4"/>
      <c r="D23" s="2"/>
      <c r="E23" s="2"/>
      <c r="F23" s="2"/>
      <c r="G23" s="2"/>
      <c r="H23" s="2"/>
      <c r="I23" s="2"/>
      <c r="J23" s="205"/>
    </row>
    <row r="24" spans="3:10" ht="17" thickBot="1" x14ac:dyDescent="0.25">
      <c r="C24" s="3"/>
      <c r="D24" s="212" t="s">
        <v>146</v>
      </c>
      <c r="E24" s="213">
        <v>311</v>
      </c>
      <c r="F24" s="212"/>
      <c r="G24" s="212"/>
      <c r="H24" s="212"/>
      <c r="I24" s="212"/>
      <c r="J24" s="214"/>
    </row>
    <row r="31" spans="3:10" ht="17" thickBot="1" x14ac:dyDescent="0.25">
      <c r="C31" t="s">
        <v>178</v>
      </c>
    </row>
    <row r="32" spans="3:10" x14ac:dyDescent="0.2">
      <c r="C32" s="202"/>
      <c r="D32" s="203"/>
      <c r="E32" s="203" t="s">
        <v>102</v>
      </c>
      <c r="F32" s="203"/>
      <c r="G32" s="203"/>
      <c r="H32" s="203" t="s">
        <v>181</v>
      </c>
      <c r="I32" s="203"/>
      <c r="J32" s="204"/>
    </row>
    <row r="33" spans="3:10" x14ac:dyDescent="0.2">
      <c r="C33" s="206"/>
      <c r="D33" s="2" t="s">
        <v>122</v>
      </c>
      <c r="E33" s="2" t="s">
        <v>110</v>
      </c>
      <c r="F33" s="207">
        <v>7000</v>
      </c>
      <c r="G33" s="2"/>
      <c r="H33" s="2" t="s">
        <v>182</v>
      </c>
      <c r="I33" s="2"/>
      <c r="J33" s="205"/>
    </row>
    <row r="34" spans="3:10" x14ac:dyDescent="0.2">
      <c r="C34" s="208"/>
      <c r="D34" s="209"/>
      <c r="E34" s="209"/>
      <c r="F34" s="209" t="s">
        <v>132</v>
      </c>
      <c r="G34" s="2"/>
      <c r="H34" s="2"/>
      <c r="I34" s="2"/>
      <c r="J34" s="205"/>
    </row>
    <row r="35" spans="3:10" x14ac:dyDescent="0.2">
      <c r="C35" s="206"/>
      <c r="D35" s="2" t="s">
        <v>111</v>
      </c>
      <c r="E35" s="210">
        <v>0.01</v>
      </c>
      <c r="F35" s="2">
        <f>$F$4*E35</f>
        <v>70</v>
      </c>
      <c r="G35" s="2"/>
      <c r="H35" s="2"/>
      <c r="I35" s="2"/>
      <c r="J35" s="205"/>
    </row>
    <row r="36" spans="3:10" x14ac:dyDescent="0.2">
      <c r="C36" s="4"/>
      <c r="D36" s="2" t="s">
        <v>97</v>
      </c>
      <c r="E36" s="210">
        <v>0.01</v>
      </c>
      <c r="F36" s="2">
        <f t="shared" ref="F36:F39" si="1">$F$4*E36</f>
        <v>70</v>
      </c>
      <c r="G36" s="2"/>
      <c r="H36" s="2"/>
      <c r="I36" s="2"/>
      <c r="J36" s="205"/>
    </row>
    <row r="37" spans="3:10" x14ac:dyDescent="0.2">
      <c r="C37" s="4"/>
      <c r="D37" s="2" t="s">
        <v>98</v>
      </c>
      <c r="E37" s="210">
        <v>0.01</v>
      </c>
      <c r="F37" s="2">
        <f t="shared" si="1"/>
        <v>70</v>
      </c>
      <c r="G37" s="2"/>
      <c r="H37" s="2"/>
      <c r="I37" s="2"/>
      <c r="J37" s="205"/>
    </row>
    <row r="38" spans="3:10" x14ac:dyDescent="0.2">
      <c r="C38" s="4"/>
      <c r="D38" s="2" t="s">
        <v>99</v>
      </c>
      <c r="E38" s="210">
        <v>0.01</v>
      </c>
      <c r="F38" s="2">
        <f t="shared" si="1"/>
        <v>70</v>
      </c>
      <c r="G38" s="2"/>
      <c r="H38" s="2"/>
      <c r="I38" s="2"/>
      <c r="J38" s="205"/>
    </row>
    <row r="39" spans="3:10" x14ac:dyDescent="0.2">
      <c r="C39" s="4"/>
      <c r="D39" s="2" t="s">
        <v>100</v>
      </c>
      <c r="E39" s="210">
        <v>0.01</v>
      </c>
      <c r="F39" s="2">
        <f t="shared" si="1"/>
        <v>70</v>
      </c>
      <c r="G39" s="2"/>
      <c r="H39" s="2"/>
      <c r="I39" s="2"/>
      <c r="J39" s="205"/>
    </row>
    <row r="40" spans="3:10" x14ac:dyDescent="0.2">
      <c r="C40" s="4"/>
      <c r="D40" s="2"/>
      <c r="E40" s="2"/>
      <c r="F40" s="2"/>
      <c r="G40" s="2"/>
      <c r="H40" s="2"/>
      <c r="I40" s="2"/>
      <c r="J40" s="205"/>
    </row>
    <row r="41" spans="3:10" x14ac:dyDescent="0.2">
      <c r="C41" s="4" t="s">
        <v>112</v>
      </c>
      <c r="D41" s="2"/>
      <c r="E41" s="211">
        <v>40</v>
      </c>
      <c r="F41" s="2"/>
      <c r="G41" s="2"/>
      <c r="H41" s="2"/>
      <c r="I41" s="2"/>
      <c r="J41" s="205"/>
    </row>
    <row r="42" spans="3:10" x14ac:dyDescent="0.2">
      <c r="C42" s="4"/>
      <c r="D42" s="2"/>
      <c r="E42" s="2"/>
      <c r="F42" s="2"/>
      <c r="G42" s="2"/>
      <c r="H42" s="2"/>
      <c r="I42" s="2"/>
      <c r="J42" s="205"/>
    </row>
    <row r="43" spans="3:10" x14ac:dyDescent="0.2">
      <c r="C43" s="4" t="s">
        <v>113</v>
      </c>
      <c r="D43" s="2"/>
      <c r="E43" s="207">
        <v>0.01</v>
      </c>
      <c r="F43" s="2"/>
      <c r="G43" s="2"/>
      <c r="H43" s="2"/>
      <c r="I43" s="2"/>
      <c r="J43" s="205"/>
    </row>
    <row r="44" spans="3:10" x14ac:dyDescent="0.2">
      <c r="C44" s="4"/>
      <c r="D44" s="2"/>
      <c r="E44" s="2"/>
      <c r="F44" s="2" t="s">
        <v>125</v>
      </c>
      <c r="G44" s="2" t="s">
        <v>126</v>
      </c>
      <c r="H44" s="2"/>
      <c r="I44" s="2"/>
      <c r="J44" s="205"/>
    </row>
    <row r="45" spans="3:10" x14ac:dyDescent="0.2">
      <c r="C45" s="4" t="s">
        <v>114</v>
      </c>
      <c r="D45" s="2" t="s">
        <v>111</v>
      </c>
      <c r="E45" s="207">
        <v>4.5</v>
      </c>
      <c r="F45" s="2">
        <v>600</v>
      </c>
      <c r="G45" s="2" t="s">
        <v>127</v>
      </c>
      <c r="H45" s="2" t="s">
        <v>95</v>
      </c>
      <c r="I45" s="2" t="s">
        <v>150</v>
      </c>
      <c r="J45" s="205">
        <v>450</v>
      </c>
    </row>
    <row r="46" spans="3:10" x14ac:dyDescent="0.2">
      <c r="C46" s="4"/>
      <c r="D46" s="2" t="s">
        <v>97</v>
      </c>
      <c r="E46" s="207">
        <v>30</v>
      </c>
      <c r="F46" s="2">
        <v>2400</v>
      </c>
      <c r="G46" s="2" t="s">
        <v>149</v>
      </c>
      <c r="H46" s="2"/>
      <c r="I46" s="2" t="s">
        <v>151</v>
      </c>
      <c r="J46" s="205">
        <v>450</v>
      </c>
    </row>
    <row r="47" spans="3:10" x14ac:dyDescent="0.2">
      <c r="C47" s="4"/>
      <c r="D47" s="2" t="s">
        <v>98</v>
      </c>
      <c r="E47" s="207">
        <v>80</v>
      </c>
      <c r="F47" s="2">
        <v>5000</v>
      </c>
      <c r="G47" s="2" t="s">
        <v>105</v>
      </c>
      <c r="H47" s="2" t="s">
        <v>96</v>
      </c>
      <c r="I47" s="2"/>
      <c r="J47" s="205"/>
    </row>
    <row r="48" spans="3:10" x14ac:dyDescent="0.2">
      <c r="C48" s="4"/>
      <c r="D48" s="2" t="s">
        <v>99</v>
      </c>
      <c r="E48" s="207">
        <v>132</v>
      </c>
      <c r="F48" s="2">
        <v>5200</v>
      </c>
      <c r="G48" s="2" t="s">
        <v>104</v>
      </c>
      <c r="H48" s="2"/>
      <c r="I48" s="2"/>
      <c r="J48" s="205"/>
    </row>
    <row r="49" spans="3:10" x14ac:dyDescent="0.2">
      <c r="C49" s="4"/>
      <c r="D49" s="2" t="s">
        <v>100</v>
      </c>
      <c r="E49" s="207">
        <v>190</v>
      </c>
      <c r="F49" s="2">
        <v>5800</v>
      </c>
      <c r="G49" s="2" t="s">
        <v>103</v>
      </c>
      <c r="H49" s="2" t="s">
        <v>101</v>
      </c>
      <c r="I49" s="2"/>
      <c r="J49" s="205"/>
    </row>
    <row r="50" spans="3:10" x14ac:dyDescent="0.2">
      <c r="C50" s="4"/>
      <c r="D50" s="2"/>
      <c r="E50" s="2"/>
      <c r="F50" s="2"/>
      <c r="G50" s="2"/>
      <c r="H50" s="2"/>
      <c r="I50" s="2"/>
      <c r="J50" s="205"/>
    </row>
    <row r="51" spans="3:10" x14ac:dyDescent="0.2">
      <c r="C51" s="4"/>
      <c r="D51" s="2" t="s">
        <v>145</v>
      </c>
      <c r="E51" s="207">
        <v>2</v>
      </c>
      <c r="F51" s="2"/>
      <c r="G51" s="2"/>
      <c r="H51" s="2"/>
      <c r="I51" s="2"/>
      <c r="J51" s="205"/>
    </row>
    <row r="52" spans="3:10" x14ac:dyDescent="0.2">
      <c r="C52" s="4"/>
      <c r="D52" s="2"/>
      <c r="E52" s="2"/>
      <c r="F52" s="2"/>
      <c r="G52" s="2"/>
      <c r="H52" s="2"/>
      <c r="I52" s="2"/>
      <c r="J52" s="205"/>
    </row>
    <row r="53" spans="3:10" ht="17" thickBot="1" x14ac:dyDescent="0.25">
      <c r="C53" s="3"/>
      <c r="D53" s="212" t="s">
        <v>146</v>
      </c>
      <c r="E53" s="213">
        <v>311</v>
      </c>
      <c r="F53" s="212"/>
      <c r="G53" s="212"/>
      <c r="H53" s="212"/>
      <c r="I53" s="212"/>
      <c r="J53" s="214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1:R159"/>
  <sheetViews>
    <sheetView workbookViewId="0">
      <selection activeCell="H144" sqref="H144"/>
    </sheetView>
  </sheetViews>
  <sheetFormatPr baseColWidth="10" defaultRowHeight="16" x14ac:dyDescent="0.2"/>
  <cols>
    <col min="1" max="1" width="28.83203125" bestFit="1" customWidth="1"/>
    <col min="2" max="2" width="12.83203125" customWidth="1"/>
    <col min="4" max="4" width="11.5" bestFit="1" customWidth="1"/>
    <col min="5" max="5" width="13.33203125" customWidth="1"/>
    <col min="6" max="6" width="12.1640625" bestFit="1" customWidth="1"/>
    <col min="7" max="7" width="14" bestFit="1" customWidth="1"/>
    <col min="8" max="8" width="20.33203125" bestFit="1" customWidth="1"/>
    <col min="9" max="9" width="11.6640625" bestFit="1" customWidth="1"/>
    <col min="10" max="10" width="15" customWidth="1"/>
    <col min="11" max="11" width="16.33203125" customWidth="1"/>
    <col min="12" max="12" width="17.33203125" customWidth="1"/>
  </cols>
  <sheetData>
    <row r="1" spans="1:11" x14ac:dyDescent="0.2">
      <c r="A1" s="31" t="s">
        <v>0</v>
      </c>
      <c r="B1" s="26">
        <v>2018</v>
      </c>
      <c r="C1" s="26">
        <v>2019</v>
      </c>
      <c r="D1" s="23">
        <v>2020</v>
      </c>
      <c r="E1" s="34">
        <v>2021</v>
      </c>
      <c r="F1" s="33">
        <v>2022</v>
      </c>
    </row>
    <row r="2" spans="1:11" x14ac:dyDescent="0.2">
      <c r="A2" s="1" t="s">
        <v>93</v>
      </c>
      <c r="B2" s="67">
        <f>SUM(B3:B4)</f>
        <v>15000</v>
      </c>
      <c r="C2" s="67">
        <f t="shared" ref="C2:F2" si="0">SUM(C3:C4)</f>
        <v>15000</v>
      </c>
      <c r="D2" s="67">
        <f t="shared" si="0"/>
        <v>35000</v>
      </c>
      <c r="E2" s="67">
        <f t="shared" si="0"/>
        <v>15000</v>
      </c>
      <c r="F2" s="70">
        <f t="shared" si="0"/>
        <v>15000</v>
      </c>
    </row>
    <row r="3" spans="1:11" x14ac:dyDescent="0.2">
      <c r="A3" s="16" t="s">
        <v>131</v>
      </c>
      <c r="B3" s="146">
        <v>10000</v>
      </c>
      <c r="C3" s="146">
        <v>10000</v>
      </c>
      <c r="D3" s="147">
        <v>20000</v>
      </c>
      <c r="E3" s="148">
        <v>10000</v>
      </c>
      <c r="F3" s="149">
        <v>10000</v>
      </c>
      <c r="K3" s="81"/>
    </row>
    <row r="4" spans="1:11" x14ac:dyDescent="0.2">
      <c r="A4" s="16" t="s">
        <v>147</v>
      </c>
      <c r="B4" s="146">
        <v>5000</v>
      </c>
      <c r="C4" s="146">
        <v>5000</v>
      </c>
      <c r="D4" s="146">
        <v>15000</v>
      </c>
      <c r="E4" s="151">
        <v>5000</v>
      </c>
      <c r="F4" s="149">
        <v>5000</v>
      </c>
      <c r="K4" s="81"/>
    </row>
    <row r="5" spans="1:11" x14ac:dyDescent="0.2">
      <c r="A5" s="47" t="s">
        <v>1</v>
      </c>
      <c r="B5" s="68">
        <f>B2</f>
        <v>15000</v>
      </c>
      <c r="C5" s="68">
        <f>C2</f>
        <v>15000</v>
      </c>
      <c r="D5" s="68">
        <f>D2</f>
        <v>35000</v>
      </c>
      <c r="E5" s="68">
        <v>20000</v>
      </c>
      <c r="F5" s="74">
        <v>20000</v>
      </c>
      <c r="K5" s="81"/>
    </row>
    <row r="6" spans="1:11" x14ac:dyDescent="0.2">
      <c r="A6" s="4" t="s">
        <v>2</v>
      </c>
      <c r="B6" s="67"/>
      <c r="C6" s="67">
        <f>B5</f>
        <v>15000</v>
      </c>
      <c r="D6" s="69">
        <f>C6+C5</f>
        <v>30000</v>
      </c>
      <c r="E6" s="69">
        <f t="shared" ref="E6:F6" si="1">D6+D5</f>
        <v>65000</v>
      </c>
      <c r="F6" s="70">
        <f t="shared" si="1"/>
        <v>85000</v>
      </c>
    </row>
    <row r="7" spans="1:11" ht="17" thickBot="1" x14ac:dyDescent="0.25">
      <c r="A7" s="32" t="s">
        <v>3</v>
      </c>
      <c r="B7" s="51">
        <f>B5</f>
        <v>15000</v>
      </c>
      <c r="C7" s="51">
        <f>B5+C5</f>
        <v>30000</v>
      </c>
      <c r="D7" s="51">
        <f>B5+C5+D5</f>
        <v>65000</v>
      </c>
      <c r="E7" s="51">
        <f>B5+C5+D5+E5</f>
        <v>85000</v>
      </c>
      <c r="F7" s="71">
        <f>B5+C5+D5+E5+F5</f>
        <v>105000</v>
      </c>
    </row>
    <row r="8" spans="1:11" ht="17" thickBot="1" x14ac:dyDescent="0.25">
      <c r="H8" s="48"/>
    </row>
    <row r="9" spans="1:11" x14ac:dyDescent="0.2">
      <c r="A9" s="31" t="s">
        <v>5</v>
      </c>
      <c r="B9" s="26">
        <v>2018</v>
      </c>
      <c r="C9" s="26">
        <v>2019</v>
      </c>
      <c r="D9" s="23">
        <v>2020</v>
      </c>
      <c r="E9" s="34">
        <v>2021</v>
      </c>
      <c r="F9" s="33">
        <v>2022</v>
      </c>
      <c r="H9" s="48"/>
    </row>
    <row r="10" spans="1:11" x14ac:dyDescent="0.2">
      <c r="A10" s="1" t="s">
        <v>40</v>
      </c>
      <c r="B10" s="67">
        <f>SUM(B11:B13)</f>
        <v>30000</v>
      </c>
      <c r="C10" s="67"/>
      <c r="D10" s="67"/>
      <c r="E10" s="218"/>
      <c r="F10" s="145"/>
    </row>
    <row r="11" spans="1:11" x14ac:dyDescent="0.2">
      <c r="A11" s="16" t="s">
        <v>41</v>
      </c>
      <c r="B11" s="146">
        <v>10000</v>
      </c>
      <c r="C11" s="146"/>
      <c r="D11" s="146"/>
      <c r="E11" s="147"/>
      <c r="F11" s="149"/>
    </row>
    <row r="12" spans="1:11" x14ac:dyDescent="0.2">
      <c r="A12" s="16" t="s">
        <v>42</v>
      </c>
      <c r="B12" s="146">
        <v>10000</v>
      </c>
      <c r="C12" s="146"/>
      <c r="D12" s="146"/>
      <c r="E12" s="147"/>
      <c r="F12" s="149"/>
    </row>
    <row r="13" spans="1:11" x14ac:dyDescent="0.2">
      <c r="A13" s="16" t="s">
        <v>43</v>
      </c>
      <c r="B13" s="150">
        <v>10000</v>
      </c>
      <c r="C13" s="146"/>
      <c r="D13" s="146"/>
      <c r="E13" s="147"/>
      <c r="F13" s="149"/>
    </row>
    <row r="14" spans="1:11" x14ac:dyDescent="0.2">
      <c r="A14" s="1" t="s">
        <v>39</v>
      </c>
      <c r="B14" s="67">
        <f>SUM(B15:B18)</f>
        <v>250000</v>
      </c>
      <c r="C14" s="67">
        <f t="shared" ref="C14:F14" si="2">SUM(C15:C18)</f>
        <v>550000</v>
      </c>
      <c r="D14" s="67">
        <f t="shared" si="2"/>
        <v>700000</v>
      </c>
      <c r="E14" s="67"/>
      <c r="F14" s="70">
        <f t="shared" si="2"/>
        <v>400000</v>
      </c>
    </row>
    <row r="15" spans="1:11" x14ac:dyDescent="0.2">
      <c r="A15" s="16" t="s">
        <v>164</v>
      </c>
      <c r="B15" s="146">
        <v>250000</v>
      </c>
      <c r="C15" s="146"/>
      <c r="D15" s="146"/>
      <c r="E15" s="147"/>
      <c r="F15" s="149"/>
    </row>
    <row r="16" spans="1:11" x14ac:dyDescent="0.2">
      <c r="A16" s="16" t="s">
        <v>165</v>
      </c>
      <c r="B16" s="146"/>
      <c r="C16" s="146">
        <v>550000</v>
      </c>
      <c r="D16" s="146"/>
      <c r="E16" s="147"/>
      <c r="F16" s="149"/>
    </row>
    <row r="17" spans="1:8" x14ac:dyDescent="0.2">
      <c r="A17" s="16" t="s">
        <v>176</v>
      </c>
      <c r="B17" s="146"/>
      <c r="C17" s="146"/>
      <c r="D17" s="146">
        <v>700000</v>
      </c>
      <c r="E17" s="147"/>
      <c r="F17" s="149"/>
    </row>
    <row r="18" spans="1:8" x14ac:dyDescent="0.2">
      <c r="A18" s="16" t="s">
        <v>186</v>
      </c>
      <c r="B18" s="146"/>
      <c r="C18" s="146"/>
      <c r="D18" s="146"/>
      <c r="E18" s="219"/>
      <c r="F18" s="149">
        <v>400000</v>
      </c>
    </row>
    <row r="19" spans="1:8" ht="17" thickBot="1" x14ac:dyDescent="0.25">
      <c r="A19" s="32" t="s">
        <v>4</v>
      </c>
      <c r="B19" s="51">
        <f>B10+B14</f>
        <v>280000</v>
      </c>
      <c r="C19" s="51">
        <f>C10+C14</f>
        <v>550000</v>
      </c>
      <c r="D19" s="51">
        <f>D10+D14</f>
        <v>700000</v>
      </c>
      <c r="E19" s="51"/>
      <c r="F19" s="71">
        <f t="shared" ref="F19" si="3">F10+F14</f>
        <v>400000</v>
      </c>
    </row>
    <row r="20" spans="1:8" ht="17" thickBot="1" x14ac:dyDescent="0.25"/>
    <row r="21" spans="1:8" x14ac:dyDescent="0.2">
      <c r="A21" s="31" t="s">
        <v>166</v>
      </c>
      <c r="B21" s="26">
        <v>2018</v>
      </c>
      <c r="C21" s="26">
        <v>2019</v>
      </c>
      <c r="D21" s="23">
        <v>2020</v>
      </c>
      <c r="E21" s="34">
        <v>2021</v>
      </c>
      <c r="F21" s="33">
        <v>2022</v>
      </c>
      <c r="H21" s="162"/>
    </row>
    <row r="22" spans="1:8" x14ac:dyDescent="0.2">
      <c r="A22" s="4" t="s">
        <v>6</v>
      </c>
      <c r="B22" s="67">
        <f>((18437+61)/2)*5</f>
        <v>46245</v>
      </c>
      <c r="C22" s="67">
        <f>((19188+61)/2)*5</f>
        <v>48122.5</v>
      </c>
      <c r="D22" s="67">
        <f>((19939+61)/2)*5</f>
        <v>50000</v>
      </c>
      <c r="E22" s="67">
        <f>((20690+61)/2)*5</f>
        <v>51877.5</v>
      </c>
      <c r="F22" s="70">
        <f>((21441+61)/2)*5</f>
        <v>53755</v>
      </c>
    </row>
    <row r="23" spans="1:8" x14ac:dyDescent="0.2">
      <c r="A23" s="4" t="s">
        <v>7</v>
      </c>
      <c r="B23" s="67">
        <f>(3661/2)*5</f>
        <v>9152.5</v>
      </c>
      <c r="C23" s="67">
        <f>(2910/2)*5</f>
        <v>7275</v>
      </c>
      <c r="D23" s="67">
        <f>(2159/2)*5</f>
        <v>5397.5</v>
      </c>
      <c r="E23" s="67">
        <f>(1408/2)*5</f>
        <v>3520</v>
      </c>
      <c r="F23" s="70">
        <f>(657/2)*5</f>
        <v>1642.5</v>
      </c>
    </row>
    <row r="24" spans="1:8" x14ac:dyDescent="0.2">
      <c r="A24" s="35" t="s">
        <v>8</v>
      </c>
      <c r="B24" s="60">
        <f>B22+B23</f>
        <v>55397.5</v>
      </c>
      <c r="C24" s="60">
        <f t="shared" ref="C24:F24" si="4">C22+C23</f>
        <v>55397.5</v>
      </c>
      <c r="D24" s="61">
        <f t="shared" si="4"/>
        <v>55397.5</v>
      </c>
      <c r="E24" s="139">
        <f t="shared" si="4"/>
        <v>55397.5</v>
      </c>
      <c r="F24" s="140">
        <f t="shared" si="4"/>
        <v>55397.5</v>
      </c>
    </row>
    <row r="25" spans="1:8" ht="17" thickBot="1" x14ac:dyDescent="0.25">
      <c r="A25" s="3" t="s">
        <v>9</v>
      </c>
      <c r="B25" s="141">
        <f>(B24*5)-B24</f>
        <v>221590</v>
      </c>
      <c r="C25" s="141">
        <f>B25-C24</f>
        <v>166192.5</v>
      </c>
      <c r="D25" s="141">
        <f t="shared" ref="D25:F25" si="5">C25-D24</f>
        <v>110795</v>
      </c>
      <c r="E25" s="141">
        <f t="shared" si="5"/>
        <v>55397.5</v>
      </c>
      <c r="F25" s="142">
        <f t="shared" si="5"/>
        <v>0</v>
      </c>
    </row>
    <row r="26" spans="1:8" ht="17" thickBot="1" x14ac:dyDescent="0.25">
      <c r="A26" s="2"/>
      <c r="B26" s="143"/>
      <c r="C26" s="143"/>
      <c r="D26" s="143"/>
      <c r="E26" s="143"/>
      <c r="F26" s="143"/>
    </row>
    <row r="27" spans="1:8" x14ac:dyDescent="0.2">
      <c r="A27" s="31" t="s">
        <v>167</v>
      </c>
      <c r="B27" s="26">
        <v>2018</v>
      </c>
      <c r="C27" s="26">
        <v>2019</v>
      </c>
      <c r="D27" s="23">
        <v>2020</v>
      </c>
      <c r="E27" s="34">
        <v>2021</v>
      </c>
      <c r="F27" s="33">
        <v>2022</v>
      </c>
    </row>
    <row r="28" spans="1:8" x14ac:dyDescent="0.2">
      <c r="A28" s="4" t="s">
        <v>6</v>
      </c>
      <c r="B28" s="67"/>
      <c r="C28" s="67">
        <v>97266</v>
      </c>
      <c r="D28" s="67">
        <v>103260</v>
      </c>
      <c r="E28" s="67">
        <v>109254</v>
      </c>
      <c r="F28" s="70">
        <v>115248</v>
      </c>
    </row>
    <row r="29" spans="1:8" x14ac:dyDescent="0.2">
      <c r="A29" s="4" t="s">
        <v>7</v>
      </c>
      <c r="B29" s="67"/>
      <c r="C29" s="67">
        <v>30330</v>
      </c>
      <c r="D29" s="67">
        <v>24336</v>
      </c>
      <c r="E29" s="67">
        <v>18342</v>
      </c>
      <c r="F29" s="70">
        <v>12348</v>
      </c>
    </row>
    <row r="30" spans="1:8" x14ac:dyDescent="0.2">
      <c r="A30" s="35" t="s">
        <v>8</v>
      </c>
      <c r="B30" s="60"/>
      <c r="C30" s="60">
        <f>SUM(C28:C29)</f>
        <v>127596</v>
      </c>
      <c r="D30" s="61">
        <f>SUM(D28:D29)</f>
        <v>127596</v>
      </c>
      <c r="E30" s="61">
        <f t="shared" ref="E30:F30" si="6">SUM(E28:E29)</f>
        <v>127596</v>
      </c>
      <c r="F30" s="63">
        <f t="shared" si="6"/>
        <v>127596</v>
      </c>
    </row>
    <row r="31" spans="1:8" ht="17" thickBot="1" x14ac:dyDescent="0.25">
      <c r="A31" s="3" t="s">
        <v>9</v>
      </c>
      <c r="B31" s="141"/>
      <c r="C31" s="141">
        <f>(C30*5)-C30</f>
        <v>510384</v>
      </c>
      <c r="D31" s="141">
        <f>C31-D30</f>
        <v>382788</v>
      </c>
      <c r="E31" s="141">
        <f t="shared" ref="E31:F31" si="7">D31-E30</f>
        <v>255192</v>
      </c>
      <c r="F31" s="142">
        <f t="shared" si="7"/>
        <v>127596</v>
      </c>
    </row>
    <row r="32" spans="1:8" ht="17" thickBot="1" x14ac:dyDescent="0.25">
      <c r="A32" s="2"/>
      <c r="B32" s="143"/>
      <c r="C32" s="143"/>
      <c r="D32" s="143"/>
      <c r="E32" s="143"/>
      <c r="F32" s="143"/>
    </row>
    <row r="33" spans="1:11" x14ac:dyDescent="0.2">
      <c r="A33" s="31" t="s">
        <v>177</v>
      </c>
      <c r="B33" s="26">
        <v>2018</v>
      </c>
      <c r="C33" s="26">
        <v>2019</v>
      </c>
      <c r="D33" s="23">
        <v>2020</v>
      </c>
      <c r="E33" s="34">
        <v>2021</v>
      </c>
      <c r="F33" s="33">
        <v>2022</v>
      </c>
    </row>
    <row r="34" spans="1:11" x14ac:dyDescent="0.2">
      <c r="A34" s="4" t="s">
        <v>6</v>
      </c>
      <c r="B34" s="67"/>
      <c r="C34" s="67"/>
      <c r="D34" s="67">
        <f>SUM('Pessimist Amortization Credit 3'!D2:'Pessimist Amortization Credit 3'!D13)</f>
        <v>40692</v>
      </c>
      <c r="E34" s="67">
        <f>SUM('Pessimist Amortization Credit 3'!D14:D25)</f>
        <v>45012</v>
      </c>
      <c r="F34" s="70">
        <f>SUM('Pessimist Amortization Credit 3'!D26:D37)</f>
        <v>49332</v>
      </c>
    </row>
    <row r="35" spans="1:11" x14ac:dyDescent="0.2">
      <c r="A35" s="4" t="s">
        <v>7</v>
      </c>
      <c r="B35" s="67"/>
      <c r="C35" s="67"/>
      <c r="D35" s="67">
        <f>SUM('Pessimist Amortization Credit 3'!E2:E13)</f>
        <v>75024</v>
      </c>
      <c r="E35" s="67">
        <f>SUM('Pessimist Amortization Credit 3'!E14:E25)</f>
        <v>70704</v>
      </c>
      <c r="F35" s="70">
        <f>SUM('Pessimist Amortization Credit 3'!E26:E37)</f>
        <v>66384</v>
      </c>
    </row>
    <row r="36" spans="1:11" x14ac:dyDescent="0.2">
      <c r="A36" s="35" t="s">
        <v>8</v>
      </c>
      <c r="B36" s="60"/>
      <c r="C36" s="60"/>
      <c r="D36" s="61">
        <f>SUM(D34:D35)</f>
        <v>115716</v>
      </c>
      <c r="E36" s="61">
        <f t="shared" ref="E36:F36" si="8">SUM(E34:E35)</f>
        <v>115716</v>
      </c>
      <c r="F36" s="63">
        <f t="shared" si="8"/>
        <v>115716</v>
      </c>
    </row>
    <row r="37" spans="1:11" ht="17" thickBot="1" x14ac:dyDescent="0.25">
      <c r="A37" s="3" t="s">
        <v>9</v>
      </c>
      <c r="B37" s="141"/>
      <c r="C37" s="141"/>
      <c r="D37" s="141">
        <f>(D36*10)-D36</f>
        <v>1041444</v>
      </c>
      <c r="E37" s="141">
        <f>D37-D36</f>
        <v>925728</v>
      </c>
      <c r="F37" s="142">
        <f>E37-E36</f>
        <v>810012</v>
      </c>
    </row>
    <row r="38" spans="1:11" ht="17" thickBot="1" x14ac:dyDescent="0.25">
      <c r="A38" s="2"/>
      <c r="B38" s="143"/>
      <c r="C38" s="143"/>
      <c r="D38" s="143"/>
      <c r="E38" s="143"/>
      <c r="F38" s="143"/>
    </row>
    <row r="39" spans="1:11" x14ac:dyDescent="0.2">
      <c r="A39" s="31" t="s">
        <v>187</v>
      </c>
      <c r="B39" s="26">
        <v>2018</v>
      </c>
      <c r="C39" s="26">
        <v>2019</v>
      </c>
      <c r="D39" s="23">
        <v>2020</v>
      </c>
      <c r="E39" s="34">
        <v>2021</v>
      </c>
      <c r="F39" s="33">
        <v>2022</v>
      </c>
    </row>
    <row r="40" spans="1:11" x14ac:dyDescent="0.2">
      <c r="A40" s="4" t="s">
        <v>6</v>
      </c>
      <c r="B40" s="67"/>
      <c r="C40" s="67"/>
      <c r="D40" s="67"/>
      <c r="E40" s="67"/>
      <c r="F40" s="70">
        <f>SUM('Pessimist Amortization Credit 4'!D2:'Pessimist Amortization Credit 4'!D13)</f>
        <v>25860</v>
      </c>
    </row>
    <row r="41" spans="1:11" x14ac:dyDescent="0.2">
      <c r="A41" s="4" t="s">
        <v>7</v>
      </c>
      <c r="B41" s="67"/>
      <c r="C41" s="67"/>
      <c r="D41" s="67"/>
      <c r="E41" s="67"/>
      <c r="F41" s="70">
        <f>SUM('Pessimist Amortization Credit 4'!E2:'Pessimist Amortization Credit 4'!E13)</f>
        <v>34944</v>
      </c>
    </row>
    <row r="42" spans="1:11" x14ac:dyDescent="0.2">
      <c r="A42" s="35" t="s">
        <v>8</v>
      </c>
      <c r="B42" s="60"/>
      <c r="C42" s="60"/>
      <c r="D42" s="61"/>
      <c r="E42" s="61"/>
      <c r="F42" s="63">
        <f t="shared" ref="F42" si="9">SUM(F40:F41)</f>
        <v>60804</v>
      </c>
    </row>
    <row r="43" spans="1:11" ht="17" thickBot="1" x14ac:dyDescent="0.25">
      <c r="A43" s="3" t="s">
        <v>9</v>
      </c>
      <c r="B43" s="141"/>
      <c r="C43" s="141"/>
      <c r="D43" s="141"/>
      <c r="E43" s="141"/>
      <c r="F43" s="142">
        <f>(F42*10)-F42</f>
        <v>547236</v>
      </c>
    </row>
    <row r="44" spans="1:11" x14ac:dyDescent="0.2">
      <c r="A44" s="2"/>
      <c r="B44" s="143"/>
      <c r="C44" s="143"/>
      <c r="D44" s="143"/>
      <c r="E44" s="143"/>
      <c r="F44" s="143"/>
    </row>
    <row r="45" spans="1:11" ht="17" thickBot="1" x14ac:dyDescent="0.25">
      <c r="A45" s="2"/>
      <c r="B45" s="143"/>
      <c r="C45" s="143"/>
      <c r="D45" s="143"/>
      <c r="E45" s="143"/>
      <c r="F45" s="143"/>
    </row>
    <row r="46" spans="1:11" x14ac:dyDescent="0.2">
      <c r="A46" s="27" t="s">
        <v>14</v>
      </c>
      <c r="B46" s="26">
        <v>2018</v>
      </c>
      <c r="C46" s="26">
        <v>2019</v>
      </c>
      <c r="D46" s="23">
        <v>2020</v>
      </c>
      <c r="E46" s="34">
        <v>2021</v>
      </c>
      <c r="F46" s="42">
        <v>2022</v>
      </c>
      <c r="G46" s="27" t="s">
        <v>16</v>
      </c>
      <c r="H46" s="30" t="s">
        <v>17</v>
      </c>
      <c r="J46" s="88" t="s">
        <v>116</v>
      </c>
      <c r="K46" s="89">
        <v>1</v>
      </c>
    </row>
    <row r="47" spans="1:11" x14ac:dyDescent="0.2">
      <c r="A47" s="15" t="s">
        <v>94</v>
      </c>
      <c r="B47" s="152">
        <f>B48</f>
        <v>17763.239999999998</v>
      </c>
      <c r="C47" s="152">
        <f t="shared" ref="C47:F47" si="10">C48</f>
        <v>71052.959999999992</v>
      </c>
      <c r="D47" s="152">
        <f t="shared" si="10"/>
        <v>213158.87999999998</v>
      </c>
      <c r="E47" s="152">
        <f t="shared" si="10"/>
        <v>319738.31999999995</v>
      </c>
      <c r="F47" s="152">
        <f t="shared" si="10"/>
        <v>373028.04</v>
      </c>
      <c r="G47" s="28">
        <v>0.22</v>
      </c>
      <c r="H47" s="6">
        <v>0.64</v>
      </c>
      <c r="J47" s="19" t="s">
        <v>117</v>
      </c>
      <c r="K47" s="90">
        <v>4</v>
      </c>
    </row>
    <row r="48" spans="1:11" x14ac:dyDescent="0.2">
      <c r="A48" s="9" t="s">
        <v>10</v>
      </c>
      <c r="B48" s="146">
        <f>1480.27*12</f>
        <v>17763.239999999998</v>
      </c>
      <c r="C48" s="146">
        <f>B48*K47</f>
        <v>71052.959999999992</v>
      </c>
      <c r="D48" s="147">
        <f>B48*K48</f>
        <v>213158.87999999998</v>
      </c>
      <c r="E48" s="148">
        <f>B48*K49</f>
        <v>319738.31999999995</v>
      </c>
      <c r="F48" s="151">
        <f>B48*K50</f>
        <v>373028.04</v>
      </c>
      <c r="G48" s="28">
        <v>0.22</v>
      </c>
      <c r="H48" s="6">
        <v>0.64</v>
      </c>
      <c r="J48" s="19" t="s">
        <v>118</v>
      </c>
      <c r="K48" s="90">
        <v>12</v>
      </c>
    </row>
    <row r="49" spans="1:11" x14ac:dyDescent="0.2">
      <c r="A49" s="4" t="s">
        <v>15</v>
      </c>
      <c r="B49" s="67">
        <f>SUM(B50:B52)</f>
        <v>0</v>
      </c>
      <c r="C49" s="67">
        <f>SUM(C50:C52)</f>
        <v>0</v>
      </c>
      <c r="D49" s="69">
        <f>SUM(D50:D52)</f>
        <v>53289.719999999994</v>
      </c>
      <c r="E49" s="144">
        <f>SUM(E50:E52)</f>
        <v>53289.719999999994</v>
      </c>
      <c r="F49" s="143">
        <f>SUM(F50:F52)</f>
        <v>53289.719999999994</v>
      </c>
      <c r="G49" s="28">
        <v>0.22</v>
      </c>
      <c r="H49" s="6">
        <v>0.64</v>
      </c>
      <c r="J49" s="19" t="s">
        <v>119</v>
      </c>
      <c r="K49" s="90">
        <v>18</v>
      </c>
    </row>
    <row r="50" spans="1:11" ht="17" thickBot="1" x14ac:dyDescent="0.25">
      <c r="A50" s="9" t="s">
        <v>106</v>
      </c>
      <c r="B50" s="146">
        <v>0</v>
      </c>
      <c r="C50" s="146">
        <v>0</v>
      </c>
      <c r="D50" s="147">
        <f>1480.27*12</f>
        <v>17763.239999999998</v>
      </c>
      <c r="E50" s="148">
        <f t="shared" ref="E50:F50" si="11">1480.27*12</f>
        <v>17763.239999999998</v>
      </c>
      <c r="F50" s="151">
        <f t="shared" si="11"/>
        <v>17763.239999999998</v>
      </c>
      <c r="G50" s="28">
        <v>0.22</v>
      </c>
      <c r="H50" s="6">
        <v>0.64</v>
      </c>
      <c r="J50" s="91" t="s">
        <v>120</v>
      </c>
      <c r="K50" s="92">
        <v>21</v>
      </c>
    </row>
    <row r="51" spans="1:11" x14ac:dyDescent="0.2">
      <c r="A51" s="9" t="s">
        <v>107</v>
      </c>
      <c r="B51" s="146">
        <v>0</v>
      </c>
      <c r="C51" s="146">
        <v>0</v>
      </c>
      <c r="D51" s="147">
        <f t="shared" ref="D51:F52" si="12">1480.27*12</f>
        <v>17763.239999999998</v>
      </c>
      <c r="E51" s="148">
        <f t="shared" si="12"/>
        <v>17763.239999999998</v>
      </c>
      <c r="F51" s="151">
        <f t="shared" si="12"/>
        <v>17763.239999999998</v>
      </c>
      <c r="G51" s="28">
        <v>0.22</v>
      </c>
      <c r="H51" s="6">
        <v>0.64</v>
      </c>
    </row>
    <row r="52" spans="1:11" ht="17" thickBot="1" x14ac:dyDescent="0.25">
      <c r="A52" s="10" t="s">
        <v>12</v>
      </c>
      <c r="B52" s="153">
        <v>0</v>
      </c>
      <c r="C52" s="153">
        <v>0</v>
      </c>
      <c r="D52" s="154">
        <f t="shared" si="12"/>
        <v>17763.239999999998</v>
      </c>
      <c r="E52" s="155">
        <f t="shared" si="12"/>
        <v>17763.239999999998</v>
      </c>
      <c r="F52" s="156">
        <f t="shared" si="12"/>
        <v>17763.239999999998</v>
      </c>
      <c r="G52" s="29">
        <v>0.22</v>
      </c>
      <c r="H52" s="7">
        <v>0.64</v>
      </c>
    </row>
    <row r="53" spans="1:11" ht="17" thickBot="1" x14ac:dyDescent="0.25">
      <c r="A53" s="10" t="s">
        <v>115</v>
      </c>
      <c r="B53" s="153">
        <f>B47+B49</f>
        <v>17763.239999999998</v>
      </c>
      <c r="C53" s="153">
        <f t="shared" ref="C53:F53" si="13">C47+C49</f>
        <v>71052.959999999992</v>
      </c>
      <c r="D53" s="153">
        <f t="shared" si="13"/>
        <v>266448.59999999998</v>
      </c>
      <c r="E53" s="153">
        <f t="shared" si="13"/>
        <v>373028.03999999992</v>
      </c>
      <c r="F53" s="153">
        <f t="shared" si="13"/>
        <v>426317.75999999995</v>
      </c>
      <c r="G53" s="29">
        <v>0.22</v>
      </c>
      <c r="H53" s="7">
        <v>0.64</v>
      </c>
    </row>
    <row r="54" spans="1:11" ht="17" thickBot="1" x14ac:dyDescent="0.25"/>
    <row r="55" spans="1:11" x14ac:dyDescent="0.2">
      <c r="A55" s="27" t="s">
        <v>13</v>
      </c>
      <c r="B55" s="26">
        <v>2018</v>
      </c>
      <c r="C55" s="26">
        <v>2019</v>
      </c>
      <c r="D55" s="23">
        <v>2020</v>
      </c>
      <c r="E55" s="34">
        <v>2021</v>
      </c>
      <c r="F55" s="33">
        <v>2022</v>
      </c>
      <c r="I55" s="5"/>
    </row>
    <row r="56" spans="1:11" x14ac:dyDescent="0.2">
      <c r="A56" s="15" t="s">
        <v>94</v>
      </c>
      <c r="B56" s="152">
        <f>B57</f>
        <v>11368.473599999999</v>
      </c>
      <c r="C56" s="152">
        <f>C57</f>
        <v>45473.894399999997</v>
      </c>
      <c r="D56" s="152">
        <f t="shared" ref="D56:F56" si="14">D57</f>
        <v>136421.6832</v>
      </c>
      <c r="E56" s="152">
        <f t="shared" si="14"/>
        <v>204632.52479999998</v>
      </c>
      <c r="F56" s="157">
        <f t="shared" si="14"/>
        <v>238737.94559999998</v>
      </c>
      <c r="I56" s="5"/>
    </row>
    <row r="57" spans="1:11" x14ac:dyDescent="0.2">
      <c r="A57" s="43" t="s">
        <v>10</v>
      </c>
      <c r="B57" s="146">
        <f>B48*$H$48</f>
        <v>11368.473599999999</v>
      </c>
      <c r="C57" s="146">
        <f>C48*$H$48</f>
        <v>45473.894399999997</v>
      </c>
      <c r="D57" s="147">
        <f t="shared" ref="D57:F57" si="15">D48*$H$48</f>
        <v>136421.6832</v>
      </c>
      <c r="E57" s="148">
        <f t="shared" si="15"/>
        <v>204632.52479999998</v>
      </c>
      <c r="F57" s="149">
        <f t="shared" si="15"/>
        <v>238737.94559999998</v>
      </c>
    </row>
    <row r="58" spans="1:11" x14ac:dyDescent="0.2">
      <c r="A58" s="4" t="s">
        <v>15</v>
      </c>
      <c r="B58" s="67">
        <f>B49*$H$48</f>
        <v>0</v>
      </c>
      <c r="C58" s="67">
        <f t="shared" ref="C58:F58" si="16">C49*$H$48</f>
        <v>0</v>
      </c>
      <c r="D58" s="69">
        <f t="shared" si="16"/>
        <v>34105.4208</v>
      </c>
      <c r="E58" s="144">
        <f t="shared" si="16"/>
        <v>34105.4208</v>
      </c>
      <c r="F58" s="145">
        <f t="shared" si="16"/>
        <v>34105.4208</v>
      </c>
    </row>
    <row r="59" spans="1:11" x14ac:dyDescent="0.2">
      <c r="A59" s="43" t="s">
        <v>11</v>
      </c>
      <c r="B59" s="146">
        <f t="shared" ref="B59:F60" si="17">B50*$H$48</f>
        <v>0</v>
      </c>
      <c r="C59" s="146">
        <f t="shared" si="17"/>
        <v>0</v>
      </c>
      <c r="D59" s="147">
        <f t="shared" si="17"/>
        <v>11368.473599999999</v>
      </c>
      <c r="E59" s="148">
        <f t="shared" si="17"/>
        <v>11368.473599999999</v>
      </c>
      <c r="F59" s="149">
        <f t="shared" si="17"/>
        <v>11368.473599999999</v>
      </c>
    </row>
    <row r="60" spans="1:11" x14ac:dyDescent="0.2">
      <c r="A60" s="43" t="s">
        <v>107</v>
      </c>
      <c r="B60" s="146">
        <f t="shared" si="17"/>
        <v>0</v>
      </c>
      <c r="C60" s="146">
        <f t="shared" si="17"/>
        <v>0</v>
      </c>
      <c r="D60" s="147">
        <f t="shared" si="17"/>
        <v>11368.473599999999</v>
      </c>
      <c r="E60" s="148">
        <f t="shared" si="17"/>
        <v>11368.473599999999</v>
      </c>
      <c r="F60" s="149">
        <f t="shared" si="17"/>
        <v>11368.473599999999</v>
      </c>
    </row>
    <row r="61" spans="1:11" ht="17" thickBot="1" x14ac:dyDescent="0.25">
      <c r="A61" s="44" t="s">
        <v>12</v>
      </c>
      <c r="B61" s="153">
        <f>B52*$H$48</f>
        <v>0</v>
      </c>
      <c r="C61" s="153">
        <f>C52*$H$48</f>
        <v>0</v>
      </c>
      <c r="D61" s="154">
        <f>D52*$H$48</f>
        <v>11368.473599999999</v>
      </c>
      <c r="E61" s="155">
        <f>E52*$H$48</f>
        <v>11368.473599999999</v>
      </c>
      <c r="F61" s="158">
        <f>F52*$H$48</f>
        <v>11368.473599999999</v>
      </c>
    </row>
    <row r="62" spans="1:11" ht="17" thickBot="1" x14ac:dyDescent="0.25">
      <c r="A62" s="44" t="s">
        <v>115</v>
      </c>
      <c r="B62" s="153">
        <f>B56+B58</f>
        <v>11368.473599999999</v>
      </c>
      <c r="C62" s="153">
        <f t="shared" ref="C62:F62" si="18">C56+C58</f>
        <v>45473.894399999997</v>
      </c>
      <c r="D62" s="153">
        <f t="shared" si="18"/>
        <v>170527.10399999999</v>
      </c>
      <c r="E62" s="153">
        <f t="shared" si="18"/>
        <v>238737.94559999998</v>
      </c>
      <c r="F62" s="159">
        <f t="shared" si="18"/>
        <v>272843.3664</v>
      </c>
    </row>
    <row r="63" spans="1:11" ht="17" thickBot="1" x14ac:dyDescent="0.25"/>
    <row r="64" spans="1:11" x14ac:dyDescent="0.2">
      <c r="A64" s="27" t="s">
        <v>18</v>
      </c>
      <c r="B64" s="26">
        <v>2018</v>
      </c>
      <c r="C64" s="26">
        <v>2019</v>
      </c>
      <c r="D64" s="23">
        <v>2020</v>
      </c>
      <c r="E64" s="34">
        <v>2021</v>
      </c>
      <c r="F64" s="33">
        <v>2022</v>
      </c>
    </row>
    <row r="65" spans="1:8" x14ac:dyDescent="0.2">
      <c r="A65" s="8" t="s">
        <v>19</v>
      </c>
      <c r="B65" s="67">
        <f>SUM(B66:B71)</f>
        <v>192900</v>
      </c>
      <c r="C65" s="67">
        <f t="shared" ref="C65:F65" si="19">SUM(C66:C71)</f>
        <v>769700</v>
      </c>
      <c r="D65" s="67">
        <f t="shared" si="19"/>
        <v>1605100</v>
      </c>
      <c r="E65" s="67">
        <f t="shared" si="19"/>
        <v>1669400</v>
      </c>
      <c r="F65" s="70">
        <f t="shared" si="19"/>
        <v>1861500</v>
      </c>
    </row>
    <row r="66" spans="1:8" x14ac:dyDescent="0.2">
      <c r="A66" s="9" t="s">
        <v>20</v>
      </c>
      <c r="B66" s="146">
        <f>100*Reference!F45</f>
        <v>60000</v>
      </c>
      <c r="C66" s="146">
        <f>100*Reference!F46</f>
        <v>240000</v>
      </c>
      <c r="D66" s="146">
        <f>100*Reference!F47</f>
        <v>500000</v>
      </c>
      <c r="E66" s="146">
        <f>100*Reference!F48</f>
        <v>520000</v>
      </c>
      <c r="F66" s="160">
        <f>100*Reference!F49</f>
        <v>580000</v>
      </c>
    </row>
    <row r="67" spans="1:8" x14ac:dyDescent="0.2">
      <c r="A67" s="9" t="s">
        <v>21</v>
      </c>
      <c r="B67" s="146">
        <f>20*Reference!F45</f>
        <v>12000</v>
      </c>
      <c r="C67" s="146">
        <f>20*Reference!F46</f>
        <v>48000</v>
      </c>
      <c r="D67" s="146">
        <f>20*Reference!F47</f>
        <v>100000</v>
      </c>
      <c r="E67" s="146">
        <f>20*Reference!F48</f>
        <v>104000</v>
      </c>
      <c r="F67" s="160">
        <f>20*Reference!F49</f>
        <v>116000</v>
      </c>
    </row>
    <row r="68" spans="1:8" x14ac:dyDescent="0.2">
      <c r="A68" s="9" t="s">
        <v>22</v>
      </c>
      <c r="B68" s="146">
        <f>150*Reference!F45</f>
        <v>90000</v>
      </c>
      <c r="C68" s="146">
        <f>150*Reference!F46</f>
        <v>360000</v>
      </c>
      <c r="D68" s="146">
        <f>150*Reference!F47</f>
        <v>750000</v>
      </c>
      <c r="E68" s="146">
        <f>150*Reference!F48</f>
        <v>780000</v>
      </c>
      <c r="F68" s="160">
        <f>150*Reference!F49</f>
        <v>870000</v>
      </c>
    </row>
    <row r="69" spans="1:8" ht="32" x14ac:dyDescent="0.2">
      <c r="A69" s="11" t="s">
        <v>24</v>
      </c>
      <c r="B69" s="146">
        <f>50*Reference!F45</f>
        <v>30000</v>
      </c>
      <c r="C69" s="146">
        <f>50*Reference!F46</f>
        <v>120000</v>
      </c>
      <c r="D69" s="146">
        <f>50*Reference!F47</f>
        <v>250000</v>
      </c>
      <c r="E69" s="146">
        <f>50*Reference!F48</f>
        <v>260000</v>
      </c>
      <c r="F69" s="160">
        <f>50*Reference!F49</f>
        <v>290000</v>
      </c>
      <c r="H69" s="78"/>
    </row>
    <row r="70" spans="1:8" x14ac:dyDescent="0.2">
      <c r="A70" s="9" t="s">
        <v>23</v>
      </c>
      <c r="B70" s="146">
        <v>800</v>
      </c>
      <c r="C70" s="146">
        <v>1500</v>
      </c>
      <c r="D70" s="147">
        <v>4500</v>
      </c>
      <c r="E70" s="148">
        <v>4500</v>
      </c>
      <c r="F70" s="149">
        <v>4500</v>
      </c>
    </row>
    <row r="71" spans="1:8" x14ac:dyDescent="0.2">
      <c r="A71" s="9" t="s">
        <v>121</v>
      </c>
      <c r="B71" s="146">
        <v>100</v>
      </c>
      <c r="C71" s="146">
        <v>200</v>
      </c>
      <c r="D71" s="147">
        <v>600</v>
      </c>
      <c r="E71" s="148">
        <v>900</v>
      </c>
      <c r="F71" s="149">
        <v>1000</v>
      </c>
    </row>
    <row r="72" spans="1:8" x14ac:dyDescent="0.2">
      <c r="A72" s="8" t="s">
        <v>25</v>
      </c>
      <c r="B72" s="67">
        <f>SUM(B73:B80)</f>
        <v>376080</v>
      </c>
      <c r="C72" s="67">
        <f t="shared" ref="C72:F72" si="20">SUM(C73:C80)</f>
        <v>1255990</v>
      </c>
      <c r="D72" s="67">
        <f t="shared" si="20"/>
        <v>2580153.2000000002</v>
      </c>
      <c r="E72" s="67">
        <f t="shared" si="20"/>
        <v>2680319.6639999999</v>
      </c>
      <c r="F72" s="70">
        <f t="shared" si="20"/>
        <v>2980489.4572800002</v>
      </c>
    </row>
    <row r="73" spans="1:8" ht="32" x14ac:dyDescent="0.2">
      <c r="A73" s="11" t="s">
        <v>26</v>
      </c>
      <c r="B73" s="146">
        <f>500*Reference!F45</f>
        <v>300000</v>
      </c>
      <c r="C73" s="146">
        <f>500*Reference!F46</f>
        <v>1200000</v>
      </c>
      <c r="D73" s="146">
        <f>500*Reference!F47</f>
        <v>2500000</v>
      </c>
      <c r="E73" s="146">
        <f>500*Reference!F48</f>
        <v>2600000</v>
      </c>
      <c r="F73" s="160">
        <f>500*Reference!F49</f>
        <v>2900000</v>
      </c>
    </row>
    <row r="74" spans="1:8" x14ac:dyDescent="0.2">
      <c r="A74" s="9" t="s">
        <v>27</v>
      </c>
      <c r="B74" s="146">
        <f>500*12</f>
        <v>6000</v>
      </c>
      <c r="C74" s="146">
        <f>1000*12</f>
        <v>12000</v>
      </c>
      <c r="D74" s="147">
        <f>3000*12</f>
        <v>36000</v>
      </c>
      <c r="E74" s="147">
        <f>3000*12</f>
        <v>36000</v>
      </c>
      <c r="F74" s="160">
        <f>3000*12</f>
        <v>36000</v>
      </c>
    </row>
    <row r="75" spans="1:8" x14ac:dyDescent="0.2">
      <c r="A75" s="12" t="s">
        <v>28</v>
      </c>
      <c r="B75" s="150">
        <v>300</v>
      </c>
      <c r="C75" s="150">
        <v>300</v>
      </c>
      <c r="D75" s="150">
        <v>300</v>
      </c>
      <c r="E75" s="150">
        <v>300</v>
      </c>
      <c r="F75" s="161">
        <v>300</v>
      </c>
    </row>
    <row r="76" spans="1:8" x14ac:dyDescent="0.2">
      <c r="A76" s="12" t="s">
        <v>29</v>
      </c>
      <c r="B76" s="146">
        <v>30</v>
      </c>
      <c r="C76" s="146">
        <v>30</v>
      </c>
      <c r="D76" s="146">
        <v>30</v>
      </c>
      <c r="E76" s="146">
        <v>30</v>
      </c>
      <c r="F76" s="160">
        <v>30</v>
      </c>
    </row>
    <row r="77" spans="1:8" x14ac:dyDescent="0.2">
      <c r="A77" s="12" t="s">
        <v>30</v>
      </c>
      <c r="B77" s="146">
        <v>250</v>
      </c>
      <c r="C77" s="146">
        <v>0</v>
      </c>
      <c r="D77" s="147">
        <v>0</v>
      </c>
      <c r="E77" s="148">
        <v>0</v>
      </c>
      <c r="F77" s="149">
        <v>0</v>
      </c>
    </row>
    <row r="78" spans="1:8" x14ac:dyDescent="0.2">
      <c r="A78" s="12" t="s">
        <v>31</v>
      </c>
      <c r="B78" s="146">
        <v>8000</v>
      </c>
      <c r="C78" s="146">
        <f>B78*1.02</f>
        <v>8160</v>
      </c>
      <c r="D78" s="147">
        <f t="shared" ref="D78:F78" si="21">C78*1.02</f>
        <v>8323.2000000000007</v>
      </c>
      <c r="E78" s="148">
        <f t="shared" si="21"/>
        <v>8489.6640000000007</v>
      </c>
      <c r="F78" s="149">
        <f t="shared" si="21"/>
        <v>8659.4572800000005</v>
      </c>
    </row>
    <row r="79" spans="1:8" x14ac:dyDescent="0.2">
      <c r="A79" s="12" t="s">
        <v>57</v>
      </c>
      <c r="B79" s="146">
        <v>60000</v>
      </c>
      <c r="C79" s="146">
        <v>35000</v>
      </c>
      <c r="D79" s="147">
        <v>35000</v>
      </c>
      <c r="E79" s="146">
        <v>35000</v>
      </c>
      <c r="F79" s="160">
        <v>35000</v>
      </c>
    </row>
    <row r="80" spans="1:8" x14ac:dyDescent="0.2">
      <c r="A80" s="12" t="s">
        <v>32</v>
      </c>
      <c r="B80" s="146">
        <v>1500</v>
      </c>
      <c r="C80" s="146">
        <v>500</v>
      </c>
      <c r="D80" s="147">
        <v>500</v>
      </c>
      <c r="E80" s="148">
        <v>500</v>
      </c>
      <c r="F80" s="149">
        <v>500</v>
      </c>
    </row>
    <row r="81" spans="1:11" ht="17" thickBot="1" x14ac:dyDescent="0.25">
      <c r="A81" s="36" t="s">
        <v>33</v>
      </c>
      <c r="B81" s="51">
        <f>B65+B72</f>
        <v>568980</v>
      </c>
      <c r="C81" s="51">
        <f t="shared" ref="C81:F81" si="22">C65+C72</f>
        <v>2025690</v>
      </c>
      <c r="D81" s="51">
        <f t="shared" si="22"/>
        <v>4185253.2</v>
      </c>
      <c r="E81" s="51">
        <f t="shared" si="22"/>
        <v>4349719.6639999999</v>
      </c>
      <c r="F81" s="71">
        <f t="shared" si="22"/>
        <v>4841989.4572800007</v>
      </c>
    </row>
    <row r="82" spans="1:11" ht="17" thickBot="1" x14ac:dyDescent="0.25"/>
    <row r="83" spans="1:11" x14ac:dyDescent="0.2">
      <c r="A83" s="37" t="s">
        <v>34</v>
      </c>
      <c r="B83" s="23">
        <v>2018</v>
      </c>
      <c r="C83" s="26">
        <v>2019</v>
      </c>
      <c r="D83" s="23">
        <v>2020</v>
      </c>
      <c r="E83" s="34">
        <v>2021</v>
      </c>
      <c r="F83" s="33">
        <v>2022</v>
      </c>
    </row>
    <row r="84" spans="1:11" x14ac:dyDescent="0.2">
      <c r="A84" s="4" t="s">
        <v>148</v>
      </c>
      <c r="B84" s="83">
        <f>B94*0.5%</f>
        <v>2952</v>
      </c>
      <c r="C84" s="50">
        <f>D94*1.1%</f>
        <v>25977.600000000002</v>
      </c>
      <c r="D84" s="50">
        <f>F94*1.4%</f>
        <v>68880</v>
      </c>
      <c r="E84" s="50">
        <f>H94*1.1%</f>
        <v>56284.800000000003</v>
      </c>
      <c r="F84" s="84">
        <f>J94*1.1%</f>
        <v>62779.200000000004</v>
      </c>
    </row>
    <row r="85" spans="1:11" ht="17" thickBot="1" x14ac:dyDescent="0.25">
      <c r="A85" s="32" t="s">
        <v>33</v>
      </c>
      <c r="B85" s="56">
        <f>SUM(B84:B84)</f>
        <v>2952</v>
      </c>
      <c r="C85" s="51">
        <f>SUM(C84:C84)</f>
        <v>25977.600000000002</v>
      </c>
      <c r="D85" s="51">
        <f>SUM(D84:D84)</f>
        <v>68880</v>
      </c>
      <c r="E85" s="51">
        <f>SUM(E84:E84)</f>
        <v>56284.800000000003</v>
      </c>
      <c r="F85" s="71">
        <f>SUM(F84:F84)</f>
        <v>62779.200000000004</v>
      </c>
    </row>
    <row r="86" spans="1:11" ht="17" thickBot="1" x14ac:dyDescent="0.25"/>
    <row r="87" spans="1:11" x14ac:dyDescent="0.2">
      <c r="A87" s="85" t="s">
        <v>35</v>
      </c>
      <c r="B87" s="23">
        <v>2018</v>
      </c>
      <c r="C87" s="23">
        <v>2019</v>
      </c>
      <c r="D87" s="23">
        <v>2020</v>
      </c>
      <c r="E87" s="23">
        <v>2021</v>
      </c>
      <c r="F87" s="24">
        <v>2022</v>
      </c>
    </row>
    <row r="88" spans="1:11" x14ac:dyDescent="0.2">
      <c r="A88" s="19" t="s">
        <v>36</v>
      </c>
      <c r="B88" s="52">
        <f>SUM(B89:B90)/3</f>
        <v>5000</v>
      </c>
      <c r="C88" s="52">
        <f t="shared" ref="C88:F88" si="23">SUM(C89:C90)/3</f>
        <v>5000</v>
      </c>
      <c r="D88" s="52">
        <f>SUM(D89:D90)/3</f>
        <v>11666.666666666666</v>
      </c>
      <c r="E88" s="52">
        <f t="shared" si="23"/>
        <v>5000</v>
      </c>
      <c r="F88" s="53">
        <f t="shared" si="23"/>
        <v>5000</v>
      </c>
    </row>
    <row r="89" spans="1:11" x14ac:dyDescent="0.2">
      <c r="A89" s="86" t="s">
        <v>131</v>
      </c>
      <c r="B89" s="54">
        <v>10000</v>
      </c>
      <c r="C89" s="54">
        <v>10000</v>
      </c>
      <c r="D89" s="54">
        <v>20000</v>
      </c>
      <c r="E89" s="54">
        <v>10000</v>
      </c>
      <c r="F89" s="55">
        <v>10000</v>
      </c>
    </row>
    <row r="90" spans="1:11" x14ac:dyDescent="0.2">
      <c r="A90" s="86" t="s">
        <v>130</v>
      </c>
      <c r="B90" s="54">
        <v>5000</v>
      </c>
      <c r="C90" s="54">
        <v>5000</v>
      </c>
      <c r="D90" s="54">
        <v>15000</v>
      </c>
      <c r="E90" s="54">
        <v>5000</v>
      </c>
      <c r="F90" s="55">
        <v>5000</v>
      </c>
    </row>
    <row r="91" spans="1:11" ht="17" thickBot="1" x14ac:dyDescent="0.25">
      <c r="A91" s="87" t="s">
        <v>33</v>
      </c>
      <c r="B91" s="56">
        <f>B88</f>
        <v>5000</v>
      </c>
      <c r="C91" s="56">
        <f>B88+C88</f>
        <v>10000</v>
      </c>
      <c r="D91" s="56">
        <f>B88+C88+D88</f>
        <v>21666.666666666664</v>
      </c>
      <c r="E91" s="56">
        <f>C88+D88+E88</f>
        <v>21666.666666666664</v>
      </c>
      <c r="F91" s="71">
        <f>D88+E88+F88</f>
        <v>21666.666666666664</v>
      </c>
    </row>
    <row r="92" spans="1:11" ht="17" thickBot="1" x14ac:dyDescent="0.25"/>
    <row r="93" spans="1:11" x14ac:dyDescent="0.2">
      <c r="A93" s="20" t="s">
        <v>37</v>
      </c>
      <c r="B93" s="82">
        <v>2018</v>
      </c>
      <c r="C93" s="58" t="s">
        <v>38</v>
      </c>
      <c r="D93" s="82">
        <v>2019</v>
      </c>
      <c r="E93" s="39" t="s">
        <v>38</v>
      </c>
      <c r="F93" s="82">
        <v>2020</v>
      </c>
      <c r="G93" s="40" t="s">
        <v>38</v>
      </c>
      <c r="H93" s="40">
        <v>2021</v>
      </c>
      <c r="I93" s="40" t="s">
        <v>38</v>
      </c>
      <c r="J93" s="40">
        <v>2022</v>
      </c>
      <c r="K93" s="21" t="s">
        <v>38</v>
      </c>
    </row>
    <row r="94" spans="1:11" x14ac:dyDescent="0.2">
      <c r="A94" s="126" t="s">
        <v>108</v>
      </c>
      <c r="B94" s="72">
        <f>(820*120%)*Reference!F45</f>
        <v>590400</v>
      </c>
      <c r="C94" s="94">
        <f>B94/B97</f>
        <v>0.96787995927822124</v>
      </c>
      <c r="D94" s="93">
        <f>(820*120%)*Reference!F46</f>
        <v>2361600</v>
      </c>
      <c r="E94" s="94">
        <f>D94/D97</f>
        <v>0.94758889664636348</v>
      </c>
      <c r="F94" s="93">
        <f>(820*120%)*Reference!F47</f>
        <v>4920000</v>
      </c>
      <c r="G94" s="94">
        <f>F94/F97</f>
        <v>0.93388404652716617</v>
      </c>
      <c r="H94" s="93">
        <f>(820*120%)*Reference!F48</f>
        <v>5116800</v>
      </c>
      <c r="I94" s="94">
        <f>H94/H97</f>
        <v>0.89902043879956317</v>
      </c>
      <c r="J94" s="93">
        <f>(820*120%)*Reference!F49</f>
        <v>5707200</v>
      </c>
      <c r="K94" s="123">
        <f>J94/J97</f>
        <v>0.87340040339982183</v>
      </c>
    </row>
    <row r="95" spans="1:11" x14ac:dyDescent="0.2">
      <c r="A95" s="126" t="s">
        <v>109</v>
      </c>
      <c r="B95" s="72">
        <f>(((((Reference!F4*1%)*Reference!E12)*Reference!E14)*Reference!E16)*Reference!E22)*Reference!E24</f>
        <v>78372</v>
      </c>
      <c r="C95" s="95"/>
      <c r="D95" s="93">
        <f>(((((Reference!F4*1%)*Reference!E12)*Reference!E14)*Reference!E17)*Reference!E22)*Reference!E24</f>
        <v>522480</v>
      </c>
      <c r="E95" s="95"/>
      <c r="F95" s="93">
        <f>(((((Reference!F4*1%)*Reference!E12)*Reference!E14)*Reference!E18)*Reference!E22)*Reference!E24</f>
        <v>1393280</v>
      </c>
      <c r="G95" s="95"/>
      <c r="H95" s="93">
        <f>(((((Reference!F4*1%)*Reference!E12)*Reference!E14)*Reference!E19)*Reference!E22)*Reference!E24</f>
        <v>2298912</v>
      </c>
      <c r="I95" s="95"/>
      <c r="J95" s="93">
        <f>(((((Reference!F4*1%)*Reference!E12)*Reference!E14)*Reference!E20)*Reference!E22)*Reference!E24</f>
        <v>3309040</v>
      </c>
      <c r="K95" s="124"/>
    </row>
    <row r="96" spans="1:11" x14ac:dyDescent="0.2">
      <c r="A96" s="126" t="s">
        <v>184</v>
      </c>
      <c r="B96" s="72">
        <f>B95*25%</f>
        <v>19593</v>
      </c>
      <c r="C96" s="96">
        <f>B96/B97</f>
        <v>3.2120040721778771E-2</v>
      </c>
      <c r="D96" s="93">
        <f>D95*25%</f>
        <v>130620</v>
      </c>
      <c r="E96" s="96">
        <f>D96/D97</f>
        <v>5.2411103353636516E-2</v>
      </c>
      <c r="F96" s="93">
        <f>F95*25%</f>
        <v>348320</v>
      </c>
      <c r="G96" s="96">
        <f>F96/F97</f>
        <v>6.6115953472833847E-2</v>
      </c>
      <c r="H96" s="93">
        <f>H95*25%</f>
        <v>574728</v>
      </c>
      <c r="I96" s="96">
        <f>H96/H97</f>
        <v>0.10097956120043686</v>
      </c>
      <c r="J96" s="93">
        <f>J95*25%</f>
        <v>827260</v>
      </c>
      <c r="K96" s="125">
        <f>J96/J97</f>
        <v>0.12659959660017814</v>
      </c>
    </row>
    <row r="97" spans="1:11" x14ac:dyDescent="0.2">
      <c r="A97" s="127" t="s">
        <v>44</v>
      </c>
      <c r="B97" s="59">
        <f>B94+B96</f>
        <v>609993</v>
      </c>
      <c r="C97" s="97">
        <v>1</v>
      </c>
      <c r="D97" s="59">
        <f>D94+D96</f>
        <v>2492220</v>
      </c>
      <c r="E97" s="103">
        <v>1</v>
      </c>
      <c r="F97" s="59">
        <f>F94+F96</f>
        <v>5268320</v>
      </c>
      <c r="G97" s="106">
        <v>1</v>
      </c>
      <c r="H97" s="59">
        <f>H94+H96</f>
        <v>5691528</v>
      </c>
      <c r="I97" s="106">
        <v>1</v>
      </c>
      <c r="J97" s="59">
        <f>J94+J96</f>
        <v>6534460</v>
      </c>
      <c r="K97" s="109">
        <v>1</v>
      </c>
    </row>
    <row r="98" spans="1:11" x14ac:dyDescent="0.2">
      <c r="A98" s="128" t="s">
        <v>45</v>
      </c>
      <c r="B98" s="57">
        <f>B66+B67+B68+B69+B73</f>
        <v>492000</v>
      </c>
      <c r="C98" s="98">
        <f t="shared" ref="C98:C116" si="24">B98/$B$97</f>
        <v>0.80656663273185103</v>
      </c>
      <c r="D98" s="57">
        <f>C66+C67+C68+C69+C73</f>
        <v>1968000</v>
      </c>
      <c r="E98" s="104">
        <f>D98/$D$97</f>
        <v>0.78965741387196953</v>
      </c>
      <c r="F98" s="57">
        <f>D66+D67+D68+D69+D73</f>
        <v>4100000</v>
      </c>
      <c r="G98" s="107">
        <f>F98/$F$97</f>
        <v>0.77823670543930512</v>
      </c>
      <c r="H98" s="57">
        <f>E66+E67+E68+E69+E73</f>
        <v>4264000</v>
      </c>
      <c r="I98" s="107">
        <f>H98/$H$97</f>
        <v>0.74918369899963599</v>
      </c>
      <c r="J98" s="57">
        <f>F66+F67+F68+F69+F73</f>
        <v>4756000</v>
      </c>
      <c r="K98" s="110">
        <f>J98/$J$97</f>
        <v>0.72783366949985151</v>
      </c>
    </row>
    <row r="99" spans="1:11" x14ac:dyDescent="0.2">
      <c r="A99" s="129" t="s">
        <v>46</v>
      </c>
      <c r="B99" s="112">
        <f>B97-B98</f>
        <v>117993</v>
      </c>
      <c r="C99" s="113">
        <f t="shared" si="24"/>
        <v>0.19343336726814897</v>
      </c>
      <c r="D99" s="112">
        <f>D97-D98</f>
        <v>524220</v>
      </c>
      <c r="E99" s="114">
        <f>D99/$D$97</f>
        <v>0.21034258612803042</v>
      </c>
      <c r="F99" s="112">
        <f>F97-F98</f>
        <v>1168320</v>
      </c>
      <c r="G99" s="115">
        <f t="shared" ref="G99:G116" si="25">F99/$F$97</f>
        <v>0.22176329456069488</v>
      </c>
      <c r="H99" s="112">
        <f>H97-H98</f>
        <v>1427528</v>
      </c>
      <c r="I99" s="115">
        <f t="shared" ref="I99:I116" si="26">H99/$H$97</f>
        <v>0.25081630100036406</v>
      </c>
      <c r="J99" s="112">
        <f>J97-J98</f>
        <v>1778460</v>
      </c>
      <c r="K99" s="116">
        <f t="shared" ref="K99:K116" si="27">J99/$J$97</f>
        <v>0.27216633050014843</v>
      </c>
    </row>
    <row r="100" spans="1:11" x14ac:dyDescent="0.2">
      <c r="A100" s="128" t="s">
        <v>57</v>
      </c>
      <c r="B100" s="57">
        <f>B79</f>
        <v>60000</v>
      </c>
      <c r="C100" s="99">
        <f t="shared" si="24"/>
        <v>9.8361784479494022E-2</v>
      </c>
      <c r="D100" s="57">
        <f>C79</f>
        <v>35000</v>
      </c>
      <c r="E100" s="104">
        <f t="shared" ref="E100:E116" si="28">D100/$D$97</f>
        <v>1.4043704006869377E-2</v>
      </c>
      <c r="F100" s="57">
        <f>D79</f>
        <v>35000</v>
      </c>
      <c r="G100" s="107">
        <f t="shared" si="25"/>
        <v>6.6434840708233366E-3</v>
      </c>
      <c r="H100" s="57">
        <f>E79</f>
        <v>35000</v>
      </c>
      <c r="I100" s="107">
        <f t="shared" si="26"/>
        <v>6.1494909627080813E-3</v>
      </c>
      <c r="J100" s="57">
        <f>F79</f>
        <v>35000</v>
      </c>
      <c r="K100" s="110">
        <f t="shared" si="27"/>
        <v>5.3562191826103459E-3</v>
      </c>
    </row>
    <row r="101" spans="1:11" x14ac:dyDescent="0.2">
      <c r="A101" s="128" t="s">
        <v>128</v>
      </c>
      <c r="B101" s="57">
        <f>B75+B76+B77+B78+B80</f>
        <v>10080</v>
      </c>
      <c r="C101" s="99">
        <f t="shared" si="24"/>
        <v>1.6524779792554997E-2</v>
      </c>
      <c r="D101" s="57">
        <f>C75+C76+C77+C78+C80</f>
        <v>8990</v>
      </c>
      <c r="E101" s="104">
        <f>D101/$D$97</f>
        <v>3.6072256863358774E-3</v>
      </c>
      <c r="F101" s="57">
        <f>D75+D76+D77+D78+D80</f>
        <v>9153.2000000000007</v>
      </c>
      <c r="G101" s="107">
        <f t="shared" si="25"/>
        <v>1.7374039542017192E-3</v>
      </c>
      <c r="H101" s="57">
        <f>E75+E76+E77+E78+E80</f>
        <v>9319.6640000000007</v>
      </c>
      <c r="I101" s="107">
        <f t="shared" si="26"/>
        <v>1.6374625583850243E-3</v>
      </c>
      <c r="J101" s="57">
        <f>F75+F76+F77+F78+F80</f>
        <v>9489.4572800000005</v>
      </c>
      <c r="K101" s="110">
        <f t="shared" si="27"/>
        <v>1.4522175175913543E-3</v>
      </c>
    </row>
    <row r="102" spans="1:11" x14ac:dyDescent="0.2">
      <c r="A102" s="127" t="s">
        <v>47</v>
      </c>
      <c r="B102" s="59">
        <f>B100+B101</f>
        <v>70080</v>
      </c>
      <c r="C102" s="100">
        <f t="shared" si="24"/>
        <v>0.11488656427204902</v>
      </c>
      <c r="D102" s="59">
        <f>D100+D101</f>
        <v>43990</v>
      </c>
      <c r="E102" s="105">
        <f t="shared" si="28"/>
        <v>1.7650929693205256E-2</v>
      </c>
      <c r="F102" s="59">
        <f>F100+F101</f>
        <v>44153.2</v>
      </c>
      <c r="G102" s="108">
        <f t="shared" si="25"/>
        <v>8.3808880250250545E-3</v>
      </c>
      <c r="H102" s="59">
        <f>H100+H101</f>
        <v>44319.664000000004</v>
      </c>
      <c r="I102" s="108">
        <f t="shared" si="26"/>
        <v>7.7869535210931063E-3</v>
      </c>
      <c r="J102" s="59">
        <f>SUM(J100+J101)</f>
        <v>44489.457280000002</v>
      </c>
      <c r="K102" s="111">
        <f t="shared" si="27"/>
        <v>6.8084367002017006E-3</v>
      </c>
    </row>
    <row r="103" spans="1:11" x14ac:dyDescent="0.2">
      <c r="A103" s="128" t="s">
        <v>58</v>
      </c>
      <c r="B103" s="57">
        <f>500*12</f>
        <v>6000</v>
      </c>
      <c r="C103" s="99">
        <f t="shared" si="24"/>
        <v>9.8361784479494025E-3</v>
      </c>
      <c r="D103" s="57">
        <f>1000*12</f>
        <v>12000</v>
      </c>
      <c r="E103" s="104">
        <f t="shared" si="28"/>
        <v>4.8149842309266437E-3</v>
      </c>
      <c r="F103" s="57">
        <f>3000*12</f>
        <v>36000</v>
      </c>
      <c r="G103" s="107">
        <f t="shared" si="25"/>
        <v>6.8332979014182893E-3</v>
      </c>
      <c r="H103" s="57">
        <f>3000*12</f>
        <v>36000</v>
      </c>
      <c r="I103" s="107">
        <f t="shared" si="26"/>
        <v>6.3251907044997403E-3</v>
      </c>
      <c r="J103" s="57">
        <f>3000*12</f>
        <v>36000</v>
      </c>
      <c r="K103" s="110">
        <f t="shared" si="27"/>
        <v>5.5092540163992126E-3</v>
      </c>
    </row>
    <row r="104" spans="1:11" x14ac:dyDescent="0.2">
      <c r="A104" s="128" t="s">
        <v>129</v>
      </c>
      <c r="B104" s="57">
        <f>B70+B71</f>
        <v>900</v>
      </c>
      <c r="C104" s="99">
        <f t="shared" si="24"/>
        <v>1.4754267671924105E-3</v>
      </c>
      <c r="D104" s="57">
        <f>C70+C71</f>
        <v>1700</v>
      </c>
      <c r="E104" s="104">
        <f t="shared" si="28"/>
        <v>6.8212276604794119E-4</v>
      </c>
      <c r="F104" s="57">
        <f>D70+D71</f>
        <v>5100</v>
      </c>
      <c r="G104" s="107">
        <f t="shared" si="25"/>
        <v>9.6805053603425759E-4</v>
      </c>
      <c r="H104" s="57">
        <f>E70+E71</f>
        <v>5400</v>
      </c>
      <c r="I104" s="107">
        <f t="shared" si="26"/>
        <v>9.4877860567496109E-4</v>
      </c>
      <c r="J104" s="57">
        <f>F70+F71</f>
        <v>5500</v>
      </c>
      <c r="K104" s="110">
        <f t="shared" si="27"/>
        <v>8.4169158583876865E-4</v>
      </c>
    </row>
    <row r="105" spans="1:11" x14ac:dyDescent="0.2">
      <c r="A105" s="128" t="s">
        <v>55</v>
      </c>
      <c r="B105" s="57">
        <f>B53</f>
        <v>17763.239999999998</v>
      </c>
      <c r="C105" s="99">
        <f t="shared" si="24"/>
        <v>2.9120399742292122E-2</v>
      </c>
      <c r="D105" s="57">
        <f>C53</f>
        <v>71052.959999999992</v>
      </c>
      <c r="E105" s="104">
        <f t="shared" si="28"/>
        <v>2.8509906830055127E-2</v>
      </c>
      <c r="F105" s="57">
        <f>D53</f>
        <v>266448.59999999998</v>
      </c>
      <c r="G105" s="107">
        <f t="shared" si="25"/>
        <v>5.0575629422662249E-2</v>
      </c>
      <c r="H105" s="57">
        <f>E53</f>
        <v>373028.03999999992</v>
      </c>
      <c r="I105" s="107">
        <f t="shared" si="26"/>
        <v>6.5540930309048798E-2</v>
      </c>
      <c r="J105" s="57">
        <f>F53</f>
        <v>426317.75999999995</v>
      </c>
      <c r="K105" s="110">
        <f t="shared" si="27"/>
        <v>6.5241467542842088E-2</v>
      </c>
    </row>
    <row r="106" spans="1:11" x14ac:dyDescent="0.2">
      <c r="A106" s="128" t="s">
        <v>56</v>
      </c>
      <c r="B106" s="57">
        <f>B62</f>
        <v>11368.473599999999</v>
      </c>
      <c r="C106" s="99">
        <f t="shared" si="24"/>
        <v>1.863705583506696E-2</v>
      </c>
      <c r="D106" s="57">
        <f>C62</f>
        <v>45473.894399999997</v>
      </c>
      <c r="E106" s="104">
        <f t="shared" si="28"/>
        <v>1.8246340371235282E-2</v>
      </c>
      <c r="F106" s="57">
        <f>D62</f>
        <v>170527.10399999999</v>
      </c>
      <c r="G106" s="107">
        <f t="shared" si="25"/>
        <v>3.2368402830503844E-2</v>
      </c>
      <c r="H106" s="57">
        <f>E62</f>
        <v>238737.94559999998</v>
      </c>
      <c r="I106" s="107">
        <f t="shared" si="26"/>
        <v>4.1946195397791236E-2</v>
      </c>
      <c r="J106" s="57">
        <f>F62</f>
        <v>272843.3664</v>
      </c>
      <c r="K106" s="110">
        <f t="shared" si="27"/>
        <v>4.1754539227418945E-2</v>
      </c>
    </row>
    <row r="107" spans="1:11" x14ac:dyDescent="0.2">
      <c r="A107" s="128" t="s">
        <v>135</v>
      </c>
      <c r="B107" s="57">
        <f>B85</f>
        <v>2952</v>
      </c>
      <c r="C107" s="99">
        <f t="shared" si="24"/>
        <v>4.8393997963911061E-3</v>
      </c>
      <c r="D107" s="57">
        <f>C85</f>
        <v>25977.600000000002</v>
      </c>
      <c r="E107" s="104">
        <f t="shared" si="28"/>
        <v>1.0423477863109999E-2</v>
      </c>
      <c r="F107" s="57">
        <f>D85</f>
        <v>68880</v>
      </c>
      <c r="G107" s="107">
        <f t="shared" si="25"/>
        <v>1.3074376651380327E-2</v>
      </c>
      <c r="H107" s="57">
        <f>E85</f>
        <v>56284.800000000003</v>
      </c>
      <c r="I107" s="107">
        <f t="shared" si="26"/>
        <v>9.8892248267951951E-3</v>
      </c>
      <c r="J107" s="57">
        <f>F85</f>
        <v>62779.200000000004</v>
      </c>
      <c r="K107" s="110">
        <f t="shared" si="27"/>
        <v>9.6074044373980413E-3</v>
      </c>
    </row>
    <row r="108" spans="1:11" x14ac:dyDescent="0.2">
      <c r="A108" s="127" t="s">
        <v>48</v>
      </c>
      <c r="B108" s="59">
        <f>SUM(B103:B107)</f>
        <v>38983.713599999995</v>
      </c>
      <c r="C108" s="100">
        <f t="shared" si="24"/>
        <v>6.3908460588891991E-2</v>
      </c>
      <c r="D108" s="59">
        <f>SUM(D103:D107)</f>
        <v>156204.45439999999</v>
      </c>
      <c r="E108" s="105">
        <f t="shared" si="28"/>
        <v>6.267683206137499E-2</v>
      </c>
      <c r="F108" s="59">
        <f>SUM(F103:F107)</f>
        <v>546955.70399999991</v>
      </c>
      <c r="G108" s="108">
        <f t="shared" si="25"/>
        <v>0.10381975734199896</v>
      </c>
      <c r="H108" s="59">
        <f>SUM(H103:H107)</f>
        <v>709450.78559999994</v>
      </c>
      <c r="I108" s="108">
        <f t="shared" si="26"/>
        <v>0.12465031984380995</v>
      </c>
      <c r="J108" s="59">
        <f>SUM(J103:J107)</f>
        <v>803440.3263999999</v>
      </c>
      <c r="K108" s="111">
        <f t="shared" si="27"/>
        <v>0.12295435680989705</v>
      </c>
    </row>
    <row r="109" spans="1:11" s="13" customFormat="1" x14ac:dyDescent="0.2">
      <c r="A109" s="129" t="s">
        <v>49</v>
      </c>
      <c r="B109" s="112">
        <f>B102+B108</f>
        <v>109063.71359999999</v>
      </c>
      <c r="C109" s="113">
        <f t="shared" si="24"/>
        <v>0.17879502486094101</v>
      </c>
      <c r="D109" s="112">
        <f>D102+D108</f>
        <v>200194.45439999999</v>
      </c>
      <c r="E109" s="114">
        <f t="shared" si="28"/>
        <v>8.0327761754580243E-2</v>
      </c>
      <c r="F109" s="112">
        <f>F102+F108</f>
        <v>591108.90399999986</v>
      </c>
      <c r="G109" s="115">
        <f t="shared" si="25"/>
        <v>0.112200645367024</v>
      </c>
      <c r="H109" s="112">
        <f>H102+H108</f>
        <v>753770.44959999993</v>
      </c>
      <c r="I109" s="115">
        <f t="shared" si="26"/>
        <v>0.13243727336490305</v>
      </c>
      <c r="J109" s="112">
        <f>J102+J108</f>
        <v>847929.78367999988</v>
      </c>
      <c r="K109" s="116">
        <f t="shared" si="27"/>
        <v>0.12976279351009876</v>
      </c>
    </row>
    <row r="110" spans="1:11" x14ac:dyDescent="0.2">
      <c r="A110" s="129" t="s">
        <v>50</v>
      </c>
      <c r="B110" s="112">
        <f>B99-B109</f>
        <v>8929.2864000000118</v>
      </c>
      <c r="C110" s="113">
        <f t="shared" si="24"/>
        <v>1.4638342407207971E-2</v>
      </c>
      <c r="D110" s="112">
        <f>D99-D109</f>
        <v>324025.54560000001</v>
      </c>
      <c r="E110" s="114">
        <f t="shared" si="28"/>
        <v>0.13001482437345019</v>
      </c>
      <c r="F110" s="112">
        <f>F99-F109</f>
        <v>577211.09600000014</v>
      </c>
      <c r="G110" s="115">
        <f t="shared" si="25"/>
        <v>0.10956264919367087</v>
      </c>
      <c r="H110" s="112">
        <f>H99-H109</f>
        <v>673757.55040000007</v>
      </c>
      <c r="I110" s="115">
        <f t="shared" si="26"/>
        <v>0.118379027635461</v>
      </c>
      <c r="J110" s="112">
        <f>J99-J109</f>
        <v>930530.21632000012</v>
      </c>
      <c r="K110" s="116">
        <f t="shared" si="27"/>
        <v>0.14240353699004971</v>
      </c>
    </row>
    <row r="111" spans="1:11" x14ac:dyDescent="0.2">
      <c r="A111" s="130" t="s">
        <v>61</v>
      </c>
      <c r="B111" s="57">
        <f>B91</f>
        <v>5000</v>
      </c>
      <c r="C111" s="98">
        <f t="shared" si="24"/>
        <v>8.1968153732911685E-3</v>
      </c>
      <c r="D111" s="57">
        <f>C91</f>
        <v>10000</v>
      </c>
      <c r="E111" s="104">
        <f t="shared" si="28"/>
        <v>4.0124868591055367E-3</v>
      </c>
      <c r="F111" s="57">
        <f>D91</f>
        <v>21666.666666666664</v>
      </c>
      <c r="G111" s="107">
        <f t="shared" si="25"/>
        <v>4.1126329962239694E-3</v>
      </c>
      <c r="H111" s="57">
        <f>E91</f>
        <v>21666.666666666664</v>
      </c>
      <c r="I111" s="107">
        <f t="shared" si="26"/>
        <v>3.8068277388192879E-3</v>
      </c>
      <c r="J111" s="57">
        <f>F91</f>
        <v>21666.666666666664</v>
      </c>
      <c r="K111" s="110">
        <f t="shared" si="27"/>
        <v>3.3157547320921184E-3</v>
      </c>
    </row>
    <row r="112" spans="1:11" x14ac:dyDescent="0.2">
      <c r="A112" s="18" t="s">
        <v>59</v>
      </c>
      <c r="B112" s="61">
        <f>B110-B111</f>
        <v>3929.2864000000118</v>
      </c>
      <c r="C112" s="101">
        <f t="shared" si="24"/>
        <v>6.4415270339168024E-3</v>
      </c>
      <c r="D112" s="61">
        <f>D110-D111</f>
        <v>314025.54560000001</v>
      </c>
      <c r="E112" s="117">
        <f t="shared" si="28"/>
        <v>0.12600233751434464</v>
      </c>
      <c r="F112" s="61">
        <f>F110-F111</f>
        <v>555544.42933333351</v>
      </c>
      <c r="G112" s="118">
        <f t="shared" si="25"/>
        <v>0.10545001619744691</v>
      </c>
      <c r="H112" s="61">
        <f>H110-H111</f>
        <v>652090.88373333344</v>
      </c>
      <c r="I112" s="118">
        <f t="shared" si="26"/>
        <v>0.11457219989664172</v>
      </c>
      <c r="J112" s="61">
        <f>J110-J111</f>
        <v>908863.5496533335</v>
      </c>
      <c r="K112" s="119">
        <f t="shared" si="27"/>
        <v>0.13908778225795759</v>
      </c>
    </row>
    <row r="113" spans="1:11" x14ac:dyDescent="0.2">
      <c r="A113" s="19" t="s">
        <v>51</v>
      </c>
      <c r="B113" s="57">
        <f>B23</f>
        <v>9152.5</v>
      </c>
      <c r="C113" s="98">
        <f t="shared" si="24"/>
        <v>1.5004270540809484E-2</v>
      </c>
      <c r="D113" s="57">
        <f>C23+C29</f>
        <v>37605</v>
      </c>
      <c r="E113" s="104">
        <f t="shared" si="28"/>
        <v>1.5088956833666369E-2</v>
      </c>
      <c r="F113" s="57">
        <f>D23+D29+D35</f>
        <v>104757.5</v>
      </c>
      <c r="G113" s="107">
        <f t="shared" si="25"/>
        <v>1.9884422358550733E-2</v>
      </c>
      <c r="H113" s="57">
        <f>E23+E29+E35</f>
        <v>92566</v>
      </c>
      <c r="I113" s="107">
        <f t="shared" si="26"/>
        <v>1.626382229868675E-2</v>
      </c>
      <c r="J113" s="57">
        <f>F23+F29+F35+F41</f>
        <v>115318.5</v>
      </c>
      <c r="K113" s="110">
        <f t="shared" si="27"/>
        <v>1.7647747480281462E-2</v>
      </c>
    </row>
    <row r="114" spans="1:11" x14ac:dyDescent="0.2">
      <c r="A114" s="18" t="s">
        <v>52</v>
      </c>
      <c r="B114" s="61">
        <f>B112-B113</f>
        <v>-5223.2135999999882</v>
      </c>
      <c r="C114" s="101">
        <f t="shared" si="24"/>
        <v>-8.5627435068926835E-3</v>
      </c>
      <c r="D114" s="61">
        <f>D112-D113</f>
        <v>276420.54560000001</v>
      </c>
      <c r="E114" s="117">
        <f t="shared" si="28"/>
        <v>0.11091338068067827</v>
      </c>
      <c r="F114" s="61">
        <f>F112-F113</f>
        <v>450786.92933333351</v>
      </c>
      <c r="G114" s="118">
        <f t="shared" si="25"/>
        <v>8.5565593838896184E-2</v>
      </c>
      <c r="H114" s="61">
        <f>H112-H113</f>
        <v>559524.88373333344</v>
      </c>
      <c r="I114" s="118">
        <f t="shared" si="26"/>
        <v>9.8308377597954966E-2</v>
      </c>
      <c r="J114" s="61">
        <f>J112-J113</f>
        <v>793545.0496533335</v>
      </c>
      <c r="K114" s="119">
        <f t="shared" si="27"/>
        <v>0.12144003477767612</v>
      </c>
    </row>
    <row r="115" spans="1:11" x14ac:dyDescent="0.2">
      <c r="A115" s="19" t="s">
        <v>53</v>
      </c>
      <c r="B115" s="57">
        <f>IF(B114&gt;0,B114*30%,0)</f>
        <v>0</v>
      </c>
      <c r="C115" s="98">
        <f t="shared" si="24"/>
        <v>0</v>
      </c>
      <c r="D115" s="57">
        <f>IF(D114&gt;0,(D114*30%)+B114,0)</f>
        <v>77702.95008000001</v>
      </c>
      <c r="E115" s="104">
        <f t="shared" si="28"/>
        <v>3.1178206610973352E-2</v>
      </c>
      <c r="F115" s="57">
        <f>IF(F114&gt;0,F114*30%,0)</f>
        <v>135236.07880000005</v>
      </c>
      <c r="G115" s="107">
        <f t="shared" si="25"/>
        <v>2.5669678151668852E-2</v>
      </c>
      <c r="H115" s="57">
        <f>IF(H114&gt;0,H114*30%,0)</f>
        <v>167857.46512000004</v>
      </c>
      <c r="I115" s="107">
        <f t="shared" si="26"/>
        <v>2.9492513279386491E-2</v>
      </c>
      <c r="J115" s="57">
        <f>IF(J114&gt;0,J114*30%,0)</f>
        <v>238063.51489600004</v>
      </c>
      <c r="K115" s="110">
        <f t="shared" si="27"/>
        <v>3.6432010433302832E-2</v>
      </c>
    </row>
    <row r="116" spans="1:11" ht="17" thickBot="1" x14ac:dyDescent="0.25">
      <c r="A116" s="17" t="s">
        <v>54</v>
      </c>
      <c r="B116" s="56">
        <f>B114-B115</f>
        <v>-5223.2135999999882</v>
      </c>
      <c r="C116" s="102">
        <f t="shared" si="24"/>
        <v>-8.5627435068926835E-3</v>
      </c>
      <c r="D116" s="56">
        <f>D114-D115</f>
        <v>198717.59552</v>
      </c>
      <c r="E116" s="120">
        <f t="shared" si="28"/>
        <v>7.9735174069704928E-2</v>
      </c>
      <c r="F116" s="56">
        <f>F114-F115</f>
        <v>315550.85053333349</v>
      </c>
      <c r="G116" s="121">
        <f t="shared" si="25"/>
        <v>5.9895915687227332E-2</v>
      </c>
      <c r="H116" s="56">
        <f>H114-H115</f>
        <v>391667.41861333337</v>
      </c>
      <c r="I116" s="121">
        <f t="shared" si="26"/>
        <v>6.8815864318568468E-2</v>
      </c>
      <c r="J116" s="56">
        <f>J114-J115</f>
        <v>555481.53475733346</v>
      </c>
      <c r="K116" s="122">
        <f t="shared" si="27"/>
        <v>8.5008024344373281E-2</v>
      </c>
    </row>
    <row r="118" spans="1:11" ht="17" thickBot="1" x14ac:dyDescent="0.25"/>
    <row r="119" spans="1:11" x14ac:dyDescent="0.2">
      <c r="A119" s="22" t="s">
        <v>64</v>
      </c>
      <c r="B119" s="23">
        <v>2018</v>
      </c>
      <c r="C119" s="23">
        <v>2019</v>
      </c>
      <c r="D119" s="23">
        <v>2020</v>
      </c>
      <c r="E119" s="23">
        <v>2021</v>
      </c>
      <c r="F119" s="24">
        <v>2022</v>
      </c>
    </row>
    <row r="120" spans="1:11" x14ac:dyDescent="0.2">
      <c r="A120" s="25" t="s">
        <v>65</v>
      </c>
      <c r="B120" s="61">
        <f>B97</f>
        <v>609993</v>
      </c>
      <c r="C120" s="61">
        <f>D97</f>
        <v>2492220</v>
      </c>
      <c r="D120" s="61">
        <f>F97</f>
        <v>5268320</v>
      </c>
      <c r="E120" s="61">
        <f>H97</f>
        <v>5691528</v>
      </c>
      <c r="F120" s="63">
        <f>J97</f>
        <v>6534460</v>
      </c>
    </row>
    <row r="121" spans="1:11" x14ac:dyDescent="0.2">
      <c r="A121" s="19" t="s">
        <v>66</v>
      </c>
      <c r="B121" s="57">
        <f>B103+B105+B106+B70+B75+B76+B77+B24+B71+B78+B80+B79</f>
        <v>161509.21359999999</v>
      </c>
      <c r="C121" s="57">
        <f>D103+D105+D106+C70+C75+C76+C77+C24+C78+C80+C71+C79</f>
        <v>229614.35439999998</v>
      </c>
      <c r="D121" s="57">
        <f>F103+F105+F106+D70+D75+D76+D77+D24+D71+D78+D80+D79</f>
        <v>577626.40399999986</v>
      </c>
      <c r="E121" s="57">
        <f>H103+H105+H106+E70+E75+E76+E77+E24+E71+E78+E80+E79</f>
        <v>752883.14959999989</v>
      </c>
      <c r="F121" s="62">
        <f>J103+J105+J106+F70+F75+F76+F77+F24+F71+F78+F80+F79</f>
        <v>840548.08367999992</v>
      </c>
    </row>
    <row r="122" spans="1:11" x14ac:dyDescent="0.2">
      <c r="A122" s="19" t="s">
        <v>67</v>
      </c>
      <c r="B122" s="57">
        <f>B98+B84</f>
        <v>494952</v>
      </c>
      <c r="C122" s="57">
        <f>D98+C84</f>
        <v>1993977.6</v>
      </c>
      <c r="D122" s="57">
        <f>F98+D84</f>
        <v>4168880</v>
      </c>
      <c r="E122" s="57">
        <f>H98+E84</f>
        <v>4320284.8</v>
      </c>
      <c r="F122" s="62">
        <f>J98+F84+F79</f>
        <v>4853779.2</v>
      </c>
    </row>
    <row r="123" spans="1:11" x14ac:dyDescent="0.2">
      <c r="A123" s="18" t="s">
        <v>64</v>
      </c>
      <c r="B123" s="61">
        <f>B121/((B97-B122)/B97)</f>
        <v>856385.89486795827</v>
      </c>
      <c r="C123" s="61">
        <f>C121/((D97-C122)/D97)</f>
        <v>1148536.3074735671</v>
      </c>
      <c r="D123" s="61">
        <f>D121/((F97-D122)/F97)</f>
        <v>2767882.5008379533</v>
      </c>
      <c r="E123" s="61">
        <f>E121/((H97-E122)/H97)</f>
        <v>3124942.0428678058</v>
      </c>
      <c r="F123" s="63">
        <f>F121/((J97-F122)/J97)</f>
        <v>3268037.4708175478</v>
      </c>
    </row>
    <row r="124" spans="1:11" ht="17" thickBot="1" x14ac:dyDescent="0.25">
      <c r="A124" s="17" t="s">
        <v>68</v>
      </c>
      <c r="B124" s="66">
        <f>B123/(B97/360)</f>
        <v>505.41386893368445</v>
      </c>
      <c r="C124" s="66">
        <f>C123/(D97/360)</f>
        <v>165.90552627395823</v>
      </c>
      <c r="D124" s="66">
        <f>D123/(F97/360)</f>
        <v>189.13765684348391</v>
      </c>
      <c r="E124" s="66">
        <f>E123/(H97/360)</f>
        <v>197.65854361647877</v>
      </c>
      <c r="F124" s="131">
        <f>F123/(J97/360)</f>
        <v>180.044485618447</v>
      </c>
    </row>
    <row r="125" spans="1:11" ht="17" thickBot="1" x14ac:dyDescent="0.25"/>
    <row r="126" spans="1:11" x14ac:dyDescent="0.2">
      <c r="A126" s="41" t="s">
        <v>75</v>
      </c>
      <c r="B126" s="26" t="s">
        <v>134</v>
      </c>
      <c r="C126" s="26">
        <v>2018</v>
      </c>
      <c r="D126" s="26">
        <v>2019</v>
      </c>
      <c r="E126" s="23">
        <v>2020</v>
      </c>
      <c r="F126" s="34">
        <v>2021</v>
      </c>
      <c r="G126" s="33">
        <v>2022</v>
      </c>
    </row>
    <row r="127" spans="1:11" x14ac:dyDescent="0.2">
      <c r="A127" s="4" t="s">
        <v>70</v>
      </c>
      <c r="B127" s="67">
        <f>B144+B145-B135</f>
        <v>291987.5</v>
      </c>
      <c r="C127" s="67">
        <f t="shared" ref="C127:G127" si="29">C144+C145-C135</f>
        <v>236366.78640000001</v>
      </c>
      <c r="D127" s="67">
        <f t="shared" si="29"/>
        <v>885070.88192000007</v>
      </c>
      <c r="E127" s="67">
        <f t="shared" si="29"/>
        <v>2045738.8991200002</v>
      </c>
      <c r="F127" s="67">
        <f t="shared" si="29"/>
        <v>2145363.4844000004</v>
      </c>
      <c r="G127" s="70">
        <f t="shared" si="29"/>
        <v>2956038.1858240003</v>
      </c>
    </row>
    <row r="128" spans="1:11" x14ac:dyDescent="0.2">
      <c r="A128" s="38" t="s">
        <v>69</v>
      </c>
      <c r="B128" s="72">
        <f>B136+B137-B146-B148</f>
        <v>-181234</v>
      </c>
      <c r="C128" s="72">
        <f t="shared" ref="C128:F128" si="30">C136+C137-C146-C148</f>
        <v>49144.5</v>
      </c>
      <c r="D128" s="72">
        <f>D136+D137-D146-D148</f>
        <v>204105.2</v>
      </c>
      <c r="E128" s="72">
        <f>E136+E137-E146-E148</f>
        <v>436688.33333333326</v>
      </c>
      <c r="F128" s="72">
        <f t="shared" si="30"/>
        <v>490847.6</v>
      </c>
      <c r="G128" s="62">
        <f>G136+G137-G146-G148</f>
        <v>578520.06666666653</v>
      </c>
    </row>
    <row r="129" spans="1:18" ht="17" thickBot="1" x14ac:dyDescent="0.25">
      <c r="A129" s="36" t="s">
        <v>74</v>
      </c>
      <c r="B129" s="51">
        <f>B127-B128</f>
        <v>473221.5</v>
      </c>
      <c r="C129" s="51">
        <f t="shared" ref="C129:F129" si="31">C127-C128</f>
        <v>187222.28640000001</v>
      </c>
      <c r="D129" s="51">
        <f t="shared" si="31"/>
        <v>680965.68192000012</v>
      </c>
      <c r="E129" s="51">
        <f t="shared" si="31"/>
        <v>1609050.5657866669</v>
      </c>
      <c r="F129" s="51">
        <f t="shared" si="31"/>
        <v>1654515.8844000003</v>
      </c>
      <c r="G129" s="71">
        <f>G127-G128</f>
        <v>2377518.1191573339</v>
      </c>
    </row>
    <row r="131" spans="1:18" ht="17" thickBot="1" x14ac:dyDescent="0.25"/>
    <row r="132" spans="1:18" x14ac:dyDescent="0.2">
      <c r="A132" s="41" t="s">
        <v>76</v>
      </c>
      <c r="B132" s="26" t="s">
        <v>142</v>
      </c>
      <c r="C132" s="185">
        <v>43435</v>
      </c>
      <c r="D132" s="185">
        <v>43800</v>
      </c>
      <c r="E132" s="185">
        <v>44166</v>
      </c>
      <c r="F132" s="185">
        <v>44531</v>
      </c>
      <c r="G132" s="186">
        <v>44896</v>
      </c>
    </row>
    <row r="133" spans="1:18" x14ac:dyDescent="0.2">
      <c r="A133" s="4" t="s">
        <v>73</v>
      </c>
      <c r="B133" s="67">
        <v>15000</v>
      </c>
      <c r="C133" s="67">
        <f>B2</f>
        <v>15000</v>
      </c>
      <c r="D133" s="67">
        <f>C2</f>
        <v>15000</v>
      </c>
      <c r="E133" s="67">
        <f>D2</f>
        <v>35000</v>
      </c>
      <c r="F133" s="67">
        <f>E2</f>
        <v>15000</v>
      </c>
      <c r="G133" s="70">
        <f>F2</f>
        <v>15000</v>
      </c>
    </row>
    <row r="134" spans="1:18" x14ac:dyDescent="0.2">
      <c r="A134" s="4" t="s">
        <v>77</v>
      </c>
      <c r="B134" s="67">
        <v>0</v>
      </c>
      <c r="C134" s="67">
        <f>B91</f>
        <v>5000</v>
      </c>
      <c r="D134" s="67">
        <f>C91</f>
        <v>10000</v>
      </c>
      <c r="E134" s="67">
        <f>D91</f>
        <v>21666.666666666664</v>
      </c>
      <c r="F134" s="67">
        <f>E91</f>
        <v>21666.666666666664</v>
      </c>
      <c r="G134" s="70">
        <f>F91</f>
        <v>21666.666666666664</v>
      </c>
    </row>
    <row r="135" spans="1:18" x14ac:dyDescent="0.2">
      <c r="A135" s="45" t="s">
        <v>78</v>
      </c>
      <c r="B135" s="68">
        <f>B133-B134</f>
        <v>15000</v>
      </c>
      <c r="C135" s="68">
        <f>C133-C134</f>
        <v>10000</v>
      </c>
      <c r="D135" s="68">
        <f>C135+D133-D134</f>
        <v>15000</v>
      </c>
      <c r="E135" s="68">
        <f>D135+E133-E134</f>
        <v>28333.333333333336</v>
      </c>
      <c r="F135" s="68">
        <f t="shared" ref="F135" si="32">E135+F133-F134</f>
        <v>21666.666666666672</v>
      </c>
      <c r="G135" s="74">
        <f>F135+G133-G134</f>
        <v>15000.000000000007</v>
      </c>
    </row>
    <row r="136" spans="1:18" x14ac:dyDescent="0.2">
      <c r="A136" s="4" t="s">
        <v>79</v>
      </c>
      <c r="B136" s="67">
        <v>3266</v>
      </c>
      <c r="C136" s="67">
        <f>'Cash Flow Statement'!L3+'Cash Flow Statement'!L4</f>
        <v>233890.5</v>
      </c>
      <c r="D136" s="67">
        <f>'Cash Flow Statement'!L22+'Cash Flow Statement'!L23</f>
        <v>944270</v>
      </c>
      <c r="E136" s="67">
        <f>'Cash Flow Statement'!L42+'Cash Flow Statement'!L43</f>
        <v>1979928.3333333333</v>
      </c>
      <c r="F136" s="67">
        <f>'Cash Flow Statement'!L63+'Cash Flow Statement'!L64</f>
        <v>2094538</v>
      </c>
      <c r="G136" s="70">
        <f>'Cash Flow Statement'!L84+'Cash Flow Statement'!L85</f>
        <v>2367251.6666666665</v>
      </c>
    </row>
    <row r="137" spans="1:18" x14ac:dyDescent="0.2">
      <c r="A137" s="4" t="s">
        <v>141</v>
      </c>
      <c r="B137" s="67">
        <v>0</v>
      </c>
      <c r="C137" s="67">
        <v>0</v>
      </c>
      <c r="D137" s="67">
        <v>0</v>
      </c>
      <c r="E137" s="67">
        <v>0</v>
      </c>
      <c r="F137" s="67">
        <v>0</v>
      </c>
      <c r="G137" s="70">
        <v>0</v>
      </c>
    </row>
    <row r="138" spans="1:18" x14ac:dyDescent="0.2">
      <c r="A138" s="4" t="s">
        <v>80</v>
      </c>
      <c r="B138" s="67">
        <v>473222</v>
      </c>
      <c r="C138" s="67">
        <v>187222</v>
      </c>
      <c r="D138" s="67">
        <v>680966</v>
      </c>
      <c r="E138" s="67">
        <v>1609050</v>
      </c>
      <c r="F138" s="67">
        <v>1654516</v>
      </c>
      <c r="G138" s="70">
        <v>2377518</v>
      </c>
    </row>
    <row r="139" spans="1:18" x14ac:dyDescent="0.2">
      <c r="A139" s="45" t="s">
        <v>81</v>
      </c>
      <c r="B139" s="68">
        <f>SUM(B136:B138)</f>
        <v>476488</v>
      </c>
      <c r="C139" s="68">
        <f>SUM(C136:C138)</f>
        <v>421112.5</v>
      </c>
      <c r="D139" s="68">
        <f>SUM(D136:D138)</f>
        <v>1625236</v>
      </c>
      <c r="E139" s="68">
        <f t="shared" ref="E139:G139" si="33">SUM(E136:E138)</f>
        <v>3588978.333333333</v>
      </c>
      <c r="F139" s="68">
        <f t="shared" si="33"/>
        <v>3749054</v>
      </c>
      <c r="G139" s="74">
        <f t="shared" si="33"/>
        <v>4744769.666666666</v>
      </c>
    </row>
    <row r="140" spans="1:18" x14ac:dyDescent="0.2">
      <c r="A140" s="35" t="s">
        <v>82</v>
      </c>
      <c r="B140" s="60">
        <f>B135+B139</f>
        <v>491488</v>
      </c>
      <c r="C140" s="60">
        <f>C135+C139</f>
        <v>431112.5</v>
      </c>
      <c r="D140" s="60">
        <f>D135+D139</f>
        <v>1640236</v>
      </c>
      <c r="E140" s="60">
        <f t="shared" ref="E140:G140" si="34">E135+E139</f>
        <v>3617311.6666666665</v>
      </c>
      <c r="F140" s="60">
        <f t="shared" si="34"/>
        <v>3770720.6666666665</v>
      </c>
      <c r="G140" s="63">
        <f t="shared" si="34"/>
        <v>4759769.666666666</v>
      </c>
      <c r="I140" s="78"/>
    </row>
    <row r="141" spans="1:18" x14ac:dyDescent="0.2">
      <c r="A141" s="14" t="s">
        <v>83</v>
      </c>
      <c r="B141" s="67">
        <f>B10</f>
        <v>30000</v>
      </c>
      <c r="C141" s="67">
        <f>B10</f>
        <v>30000</v>
      </c>
      <c r="D141" s="67">
        <f>C10+C141</f>
        <v>30000</v>
      </c>
      <c r="E141" s="67">
        <f>D10+D141</f>
        <v>30000</v>
      </c>
      <c r="F141" s="67">
        <f>E10+E141</f>
        <v>30000</v>
      </c>
      <c r="G141" s="70">
        <f>F10+F141</f>
        <v>30000</v>
      </c>
      <c r="M141" s="78"/>
      <c r="N141" s="78"/>
      <c r="O141" s="78"/>
      <c r="P141" s="78"/>
    </row>
    <row r="142" spans="1:18" x14ac:dyDescent="0.2">
      <c r="A142" s="14" t="s">
        <v>84</v>
      </c>
      <c r="B142" s="67">
        <v>0</v>
      </c>
      <c r="C142" s="67">
        <f>IF(C143&gt;0,C143,0)</f>
        <v>0</v>
      </c>
      <c r="D142" s="67">
        <f>C143</f>
        <v>-5223.2135999999882</v>
      </c>
      <c r="E142" s="69">
        <f>D143+D142</f>
        <v>193494.38192000001</v>
      </c>
      <c r="F142" s="69">
        <f t="shared" ref="F142:G142" si="35">E143+E142</f>
        <v>509045.2324533335</v>
      </c>
      <c r="G142" s="70">
        <f t="shared" si="35"/>
        <v>900712.65106666693</v>
      </c>
    </row>
    <row r="143" spans="1:18" x14ac:dyDescent="0.2">
      <c r="A143" s="14" t="s">
        <v>85</v>
      </c>
      <c r="B143" s="67">
        <v>0</v>
      </c>
      <c r="C143" s="67">
        <f>B116</f>
        <v>-5223.2135999999882</v>
      </c>
      <c r="D143" s="67">
        <f>D116</f>
        <v>198717.59552</v>
      </c>
      <c r="E143" s="67">
        <f>F116</f>
        <v>315550.85053333349</v>
      </c>
      <c r="F143" s="67">
        <f>H116</f>
        <v>391667.41861333337</v>
      </c>
      <c r="G143" s="70">
        <f>J116</f>
        <v>555481.53475733346</v>
      </c>
      <c r="I143" s="78"/>
      <c r="J143" s="78"/>
      <c r="K143" s="78"/>
      <c r="L143" s="78"/>
      <c r="M143" s="78"/>
      <c r="N143" s="78"/>
      <c r="O143" s="78"/>
      <c r="P143" s="78"/>
      <c r="Q143" s="78"/>
      <c r="R143" s="78"/>
    </row>
    <row r="144" spans="1:18" x14ac:dyDescent="0.2">
      <c r="A144" s="45" t="s">
        <v>86</v>
      </c>
      <c r="B144" s="68">
        <f>SUM(B141:B143)</f>
        <v>30000</v>
      </c>
      <c r="C144" s="68">
        <f t="shared" ref="C144:G144" si="36">SUM(C141:C143)</f>
        <v>24776.786400000012</v>
      </c>
      <c r="D144" s="68">
        <f t="shared" si="36"/>
        <v>223494.38192000001</v>
      </c>
      <c r="E144" s="68">
        <f t="shared" si="36"/>
        <v>539045.23245333345</v>
      </c>
      <c r="F144" s="68">
        <f>SUM(F141:F143)</f>
        <v>930712.65106666682</v>
      </c>
      <c r="G144" s="74">
        <f t="shared" si="36"/>
        <v>1486194.1858240003</v>
      </c>
    </row>
    <row r="145" spans="1:18" x14ac:dyDescent="0.2">
      <c r="A145" s="14" t="s">
        <v>143</v>
      </c>
      <c r="B145" s="67">
        <f>B25+B24</f>
        <v>276987.5</v>
      </c>
      <c r="C145" s="67">
        <f>SUM(C24:$F$24)</f>
        <v>221590</v>
      </c>
      <c r="D145" s="67">
        <f>SUM(D24:$F$24)+(D30*4)</f>
        <v>676576.5</v>
      </c>
      <c r="E145" s="67">
        <f>SUM(E24:$F$24)+(E30*3)+(E36*9)</f>
        <v>1535027</v>
      </c>
      <c r="F145" s="67">
        <f>SUM(F24:$F$24)++(E30*2)+(E36*8)</f>
        <v>1236317.5</v>
      </c>
      <c r="G145" s="70">
        <f>E30+(E36*7)++(F42*9)</f>
        <v>1484844</v>
      </c>
      <c r="M145" s="78"/>
      <c r="N145" s="78"/>
      <c r="O145" s="78"/>
      <c r="P145" s="78"/>
      <c r="Q145" s="78"/>
    </row>
    <row r="146" spans="1:18" x14ac:dyDescent="0.2">
      <c r="A146" s="14" t="s">
        <v>71</v>
      </c>
      <c r="B146" s="67">
        <v>184500</v>
      </c>
      <c r="C146" s="67">
        <v>184500</v>
      </c>
      <c r="D146" s="67">
        <v>738000</v>
      </c>
      <c r="E146" s="67">
        <v>1537500</v>
      </c>
      <c r="F146" s="67">
        <v>1599000</v>
      </c>
      <c r="G146" s="70">
        <v>1783500</v>
      </c>
    </row>
    <row r="147" spans="1:18" x14ac:dyDescent="0.2">
      <c r="A147" s="14" t="s">
        <v>144</v>
      </c>
      <c r="B147" s="67">
        <v>0</v>
      </c>
      <c r="C147" s="67">
        <v>0</v>
      </c>
      <c r="D147" s="67">
        <v>0</v>
      </c>
      <c r="E147" s="67">
        <v>0</v>
      </c>
      <c r="F147" s="67">
        <v>0</v>
      </c>
      <c r="G147" s="70">
        <v>0</v>
      </c>
      <c r="I147" s="78"/>
      <c r="M147" s="78"/>
      <c r="N147" s="78"/>
      <c r="O147" s="78"/>
      <c r="P147" s="78"/>
      <c r="Q147" s="78"/>
      <c r="R147" s="78"/>
    </row>
    <row r="148" spans="1:18" x14ac:dyDescent="0.2">
      <c r="A148" s="4" t="s">
        <v>72</v>
      </c>
      <c r="B148" s="67">
        <v>0</v>
      </c>
      <c r="C148" s="67">
        <f>B85/12</f>
        <v>246</v>
      </c>
      <c r="D148" s="67">
        <f>C85/12</f>
        <v>2164.8000000000002</v>
      </c>
      <c r="E148" s="67">
        <f>D85/12</f>
        <v>5740</v>
      </c>
      <c r="F148" s="67">
        <f>E85/12</f>
        <v>4690.4000000000005</v>
      </c>
      <c r="G148" s="70">
        <f>F85/12</f>
        <v>5231.6000000000004</v>
      </c>
    </row>
    <row r="149" spans="1:18" x14ac:dyDescent="0.2">
      <c r="A149" s="45" t="s">
        <v>88</v>
      </c>
      <c r="B149" s="68">
        <f>SUM(B145:B148)</f>
        <v>461487.5</v>
      </c>
      <c r="C149" s="68">
        <f>SUM(C145:C148)</f>
        <v>406336</v>
      </c>
      <c r="D149" s="68">
        <f>SUM(D145:D148)</f>
        <v>1416741.3</v>
      </c>
      <c r="E149" s="68">
        <f>SUM(E145:E148)</f>
        <v>3078267</v>
      </c>
      <c r="F149" s="68">
        <f t="shared" ref="F149" si="37">SUM(F145:F148)</f>
        <v>2840007.9</v>
      </c>
      <c r="G149" s="74">
        <f>SUM(G145:G148)</f>
        <v>3273575.6</v>
      </c>
      <c r="M149" s="78"/>
    </row>
    <row r="150" spans="1:18" ht="17" thickBot="1" x14ac:dyDescent="0.25">
      <c r="A150" s="36" t="s">
        <v>87</v>
      </c>
      <c r="B150" s="51">
        <f>B144+B149</f>
        <v>491487.5</v>
      </c>
      <c r="C150" s="51">
        <f>C144+C149</f>
        <v>431112.78639999998</v>
      </c>
      <c r="D150" s="51">
        <f>D144+D149</f>
        <v>1640235.6819200001</v>
      </c>
      <c r="E150" s="51">
        <f t="shared" ref="E150:G150" si="38">E144+E149</f>
        <v>3617312.2324533332</v>
      </c>
      <c r="F150" s="51">
        <f t="shared" si="38"/>
        <v>3770720.5510666668</v>
      </c>
      <c r="G150" s="71">
        <f t="shared" si="38"/>
        <v>4759769.7858240008</v>
      </c>
      <c r="I150" s="78"/>
    </row>
    <row r="151" spans="1:18" ht="17" thickBot="1" x14ac:dyDescent="0.25"/>
    <row r="152" spans="1:18" x14ac:dyDescent="0.2">
      <c r="A152" s="41" t="s">
        <v>89</v>
      </c>
      <c r="B152" s="26">
        <v>2018</v>
      </c>
      <c r="C152" s="26">
        <v>2019</v>
      </c>
      <c r="D152" s="23">
        <v>2020</v>
      </c>
      <c r="E152" s="34">
        <v>2021</v>
      </c>
      <c r="F152" s="33">
        <v>2022</v>
      </c>
    </row>
    <row r="153" spans="1:18" x14ac:dyDescent="0.2">
      <c r="A153" s="4" t="s">
        <v>90</v>
      </c>
      <c r="B153" s="187" t="s">
        <v>91</v>
      </c>
      <c r="C153" s="187" t="s">
        <v>91</v>
      </c>
      <c r="D153" s="188" t="s">
        <v>91</v>
      </c>
      <c r="E153" s="189" t="s">
        <v>91</v>
      </c>
      <c r="F153" s="190" t="s">
        <v>91</v>
      </c>
      <c r="G153" s="78"/>
      <c r="M153" s="78"/>
      <c r="N153" s="78"/>
      <c r="O153" s="78"/>
      <c r="P153" s="78"/>
      <c r="Q153" s="78"/>
    </row>
    <row r="154" spans="1:18" x14ac:dyDescent="0.2">
      <c r="A154" s="4" t="s">
        <v>92</v>
      </c>
      <c r="B154" s="187" t="s">
        <v>133</v>
      </c>
      <c r="C154" s="187" t="s">
        <v>133</v>
      </c>
      <c r="D154" s="187" t="s">
        <v>133</v>
      </c>
      <c r="E154" s="187" t="s">
        <v>133</v>
      </c>
      <c r="F154" s="191" t="s">
        <v>133</v>
      </c>
      <c r="G154" s="78"/>
    </row>
    <row r="155" spans="1:18" x14ac:dyDescent="0.2">
      <c r="A155" s="4" t="s">
        <v>136</v>
      </c>
      <c r="B155" s="73">
        <f>C139/(C146+C148)</f>
        <v>2.2794133567167894</v>
      </c>
      <c r="C155" s="73">
        <f>D139/(D146+D148)</f>
        <v>2.1957758596463921</v>
      </c>
      <c r="D155" s="73">
        <f>E139/(E146+E148)</f>
        <v>2.3256125640427499</v>
      </c>
      <c r="E155" s="73">
        <f>F139/(F146+F148)</f>
        <v>2.3377666911269159</v>
      </c>
      <c r="F155" s="76">
        <f>G139/(G146+G148)</f>
        <v>2.6525889444043287</v>
      </c>
      <c r="G155" s="78"/>
      <c r="L155" s="78"/>
      <c r="M155" s="78"/>
      <c r="N155" s="78"/>
    </row>
    <row r="156" spans="1:18" x14ac:dyDescent="0.2">
      <c r="A156" s="4" t="s">
        <v>137</v>
      </c>
      <c r="B156" s="73">
        <f>(C136+C138)/(C146+C148)</f>
        <v>2.2794133567167894</v>
      </c>
      <c r="C156" s="73">
        <f>(D136+D138)/(D146+D148)</f>
        <v>2.1957758596463921</v>
      </c>
      <c r="D156" s="73">
        <f>(E136+E138)/(E146+E148)</f>
        <v>2.3256125640427499</v>
      </c>
      <c r="E156" s="73">
        <f>(F136+F138)/(F146+F148)</f>
        <v>2.3377666911269159</v>
      </c>
      <c r="F156" s="76">
        <f>(G136+G138)/(G146+G148)</f>
        <v>2.6525889444043287</v>
      </c>
      <c r="L156" s="78"/>
      <c r="M156" s="78"/>
      <c r="N156" s="78"/>
      <c r="O156" s="78"/>
      <c r="P156" s="78"/>
    </row>
    <row r="157" spans="1:18" x14ac:dyDescent="0.2">
      <c r="A157" s="4" t="s">
        <v>138</v>
      </c>
      <c r="B157" s="75">
        <f>C149/C140</f>
        <v>0.94252892226507001</v>
      </c>
      <c r="C157" s="75">
        <f>D149/D140</f>
        <v>0.86374235171036362</v>
      </c>
      <c r="D157" s="75">
        <f>E149/E140</f>
        <v>0.85098196773202206</v>
      </c>
      <c r="E157" s="75">
        <f>F149/F140</f>
        <v>0.75317376996545837</v>
      </c>
      <c r="F157" s="77">
        <f>G149/G140</f>
        <v>0.68775924661340415</v>
      </c>
      <c r="L157" s="78"/>
      <c r="M157" s="78"/>
      <c r="N157" s="78"/>
      <c r="O157" s="78"/>
      <c r="P157" s="78"/>
      <c r="Q157" s="78"/>
    </row>
    <row r="158" spans="1:18" x14ac:dyDescent="0.2">
      <c r="A158" s="4" t="s">
        <v>139</v>
      </c>
      <c r="B158" s="75">
        <f>B116/B97</f>
        <v>-8.5627435068926835E-3</v>
      </c>
      <c r="C158" s="75">
        <f>D116/D97</f>
        <v>7.9735174069704928E-2</v>
      </c>
      <c r="D158" s="75">
        <f>F116/F97</f>
        <v>5.9895915687227332E-2</v>
      </c>
      <c r="E158" s="75">
        <f>H116/H97</f>
        <v>6.8815864318568468E-2</v>
      </c>
      <c r="F158" s="77">
        <f>J116/J97</f>
        <v>8.5008024344373281E-2</v>
      </c>
    </row>
    <row r="159" spans="1:18" ht="17" thickBot="1" x14ac:dyDescent="0.25">
      <c r="A159" s="3" t="s">
        <v>140</v>
      </c>
      <c r="B159" s="79">
        <f>B116/C141</f>
        <v>-0.17410711999999962</v>
      </c>
      <c r="C159" s="79">
        <f>D116/D141</f>
        <v>6.6239198506666668</v>
      </c>
      <c r="D159" s="79">
        <f>F116/E141</f>
        <v>10.51836168444445</v>
      </c>
      <c r="E159" s="79">
        <f>H116/F141</f>
        <v>13.055580620444445</v>
      </c>
      <c r="F159" s="80">
        <f>J116/G141</f>
        <v>18.516051158577781</v>
      </c>
    </row>
  </sheetData>
  <pageMargins left="0.7" right="0.7" top="0.75" bottom="0.75" header="0.3" footer="0.3"/>
  <pageSetup paperSize="9" orientation="portrait" horizontalDpi="0" verticalDpi="0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1:N98"/>
  <sheetViews>
    <sheetView topLeftCell="A61" workbookViewId="0">
      <selection activeCell="A82" sqref="A82:M98"/>
    </sheetView>
  </sheetViews>
  <sheetFormatPr baseColWidth="10" defaultRowHeight="16" x14ac:dyDescent="0.2"/>
  <cols>
    <col min="1" max="1" width="18.83203125" bestFit="1" customWidth="1"/>
    <col min="2" max="2" width="11.1640625" bestFit="1" customWidth="1"/>
    <col min="14" max="14" width="11.5" bestFit="1" customWidth="1"/>
  </cols>
  <sheetData>
    <row r="1" spans="1:14" x14ac:dyDescent="0.2">
      <c r="A1" s="88">
        <v>2018</v>
      </c>
      <c r="B1" s="164">
        <v>43101</v>
      </c>
      <c r="C1" s="165">
        <v>43132</v>
      </c>
      <c r="D1" s="165">
        <v>43160</v>
      </c>
      <c r="E1" s="165">
        <v>43191</v>
      </c>
      <c r="F1" s="165">
        <v>43221</v>
      </c>
      <c r="G1" s="165">
        <v>43252</v>
      </c>
      <c r="H1" s="165">
        <v>43282</v>
      </c>
      <c r="I1" s="165">
        <v>43313</v>
      </c>
      <c r="J1" s="165">
        <v>43344</v>
      </c>
      <c r="K1" s="165">
        <v>43374</v>
      </c>
      <c r="L1" s="165">
        <v>43405</v>
      </c>
      <c r="M1" s="166">
        <v>43435</v>
      </c>
      <c r="N1" t="s">
        <v>155</v>
      </c>
    </row>
    <row r="2" spans="1:14" x14ac:dyDescent="0.2">
      <c r="A2" s="167" t="s">
        <v>168</v>
      </c>
      <c r="B2" s="132">
        <f>SUM(B3:B4)</f>
        <v>1632.75</v>
      </c>
      <c r="C2" s="132">
        <f>SUM(C3:C4)</f>
        <v>149232.75</v>
      </c>
      <c r="D2" s="132">
        <f t="shared" ref="D2:M2" si="0">SUM(D3:D4)</f>
        <v>1632.75</v>
      </c>
      <c r="E2" s="132">
        <f t="shared" si="0"/>
        <v>1632.75</v>
      </c>
      <c r="F2" s="132">
        <f t="shared" si="0"/>
        <v>149232.75</v>
      </c>
      <c r="G2" s="132">
        <f t="shared" si="0"/>
        <v>1632.75</v>
      </c>
      <c r="H2" s="132">
        <f t="shared" si="0"/>
        <v>1632.75</v>
      </c>
      <c r="I2" s="132">
        <f t="shared" si="0"/>
        <v>149232.75</v>
      </c>
      <c r="J2" s="132">
        <f t="shared" si="0"/>
        <v>1632.75</v>
      </c>
      <c r="K2" s="132">
        <f t="shared" si="0"/>
        <v>1632.75</v>
      </c>
      <c r="L2" s="132">
        <f t="shared" si="0"/>
        <v>149232.75</v>
      </c>
      <c r="M2" s="168">
        <f t="shared" si="0"/>
        <v>1632.75</v>
      </c>
      <c r="N2" s="78">
        <f>SUM(B2:M2)</f>
        <v>609993</v>
      </c>
    </row>
    <row r="3" spans="1:14" x14ac:dyDescent="0.2">
      <c r="A3" s="169" t="s">
        <v>156</v>
      </c>
      <c r="B3" s="133">
        <v>0</v>
      </c>
      <c r="C3" s="133">
        <f>('Pessimist Scenario'!B94)/4</f>
        <v>147600</v>
      </c>
      <c r="D3" s="133">
        <v>0</v>
      </c>
      <c r="E3" s="133">
        <v>0</v>
      </c>
      <c r="F3" s="133">
        <f>('Pessimist Scenario'!B94)/4</f>
        <v>147600</v>
      </c>
      <c r="G3" s="133">
        <v>0</v>
      </c>
      <c r="H3" s="133">
        <v>0</v>
      </c>
      <c r="I3" s="133">
        <f>('Pessimist Scenario'!B94)/4</f>
        <v>147600</v>
      </c>
      <c r="J3" s="133">
        <v>0</v>
      </c>
      <c r="K3" s="133">
        <v>0</v>
      </c>
      <c r="L3" s="133">
        <f>('Pessimist Scenario'!B94)/4</f>
        <v>147600</v>
      </c>
      <c r="M3" s="170">
        <v>0</v>
      </c>
      <c r="N3" s="78">
        <f t="shared" ref="N3:N14" si="1">SUM(B3:M3)</f>
        <v>590400</v>
      </c>
    </row>
    <row r="4" spans="1:14" x14ac:dyDescent="0.2">
      <c r="A4" s="171" t="s">
        <v>157</v>
      </c>
      <c r="B4" s="134">
        <f>'Pessimist Scenario'!$B$96/12</f>
        <v>1632.75</v>
      </c>
      <c r="C4" s="134">
        <f>'Pessimist Scenario'!$B$96/12</f>
        <v>1632.75</v>
      </c>
      <c r="D4" s="134">
        <f>'Pessimist Scenario'!$B$96/12</f>
        <v>1632.75</v>
      </c>
      <c r="E4" s="134">
        <f>'Pessimist Scenario'!$B$96/12</f>
        <v>1632.75</v>
      </c>
      <c r="F4" s="134">
        <f>'Pessimist Scenario'!$B$96/12</f>
        <v>1632.75</v>
      </c>
      <c r="G4" s="134">
        <f>'Pessimist Scenario'!$B$96/12</f>
        <v>1632.75</v>
      </c>
      <c r="H4" s="134">
        <f>'Pessimist Scenario'!$B$96/12</f>
        <v>1632.75</v>
      </c>
      <c r="I4" s="134">
        <f>'Pessimist Scenario'!$B$96/12</f>
        <v>1632.75</v>
      </c>
      <c r="J4" s="134">
        <f>'Pessimist Scenario'!$B$96/12</f>
        <v>1632.75</v>
      </c>
      <c r="K4" s="134">
        <f>'Pessimist Scenario'!$B$96/12</f>
        <v>1632.75</v>
      </c>
      <c r="L4" s="134">
        <f>'Pessimist Scenario'!$B$96/12</f>
        <v>1632.75</v>
      </c>
      <c r="M4" s="172">
        <f>'Pessimist Scenario'!$B$96/12</f>
        <v>1632.75</v>
      </c>
      <c r="N4" s="78">
        <f t="shared" si="1"/>
        <v>19593</v>
      </c>
    </row>
    <row r="5" spans="1:14" x14ac:dyDescent="0.2">
      <c r="A5" s="167" t="s">
        <v>169</v>
      </c>
      <c r="B5" s="132">
        <f>SUM(B6:B9)</f>
        <v>146459.10113333334</v>
      </c>
      <c r="C5" s="132">
        <f t="shared" ref="C5:L5" si="2">SUM(C6:C9)</f>
        <v>28459.10113333333</v>
      </c>
      <c r="D5" s="132">
        <f t="shared" si="2"/>
        <v>8459.1011333333317</v>
      </c>
      <c r="E5" s="132">
        <f t="shared" si="2"/>
        <v>131459.10113333334</v>
      </c>
      <c r="F5" s="132">
        <f t="shared" si="2"/>
        <v>8459.1011333333317</v>
      </c>
      <c r="G5" s="132">
        <f t="shared" si="2"/>
        <v>28459.10113333333</v>
      </c>
      <c r="H5" s="132">
        <f t="shared" si="2"/>
        <v>131459.10113333334</v>
      </c>
      <c r="I5" s="132">
        <f t="shared" si="2"/>
        <v>8459.1011333333317</v>
      </c>
      <c r="J5" s="132">
        <f t="shared" si="2"/>
        <v>8459.1011333333317</v>
      </c>
      <c r="K5" s="132">
        <f t="shared" si="2"/>
        <v>151459.10113333334</v>
      </c>
      <c r="L5" s="132">
        <f t="shared" si="2"/>
        <v>8459.1011333333317</v>
      </c>
      <c r="M5" s="168">
        <f>SUM(M6:M9)</f>
        <v>8459.1011333333317</v>
      </c>
      <c r="N5" s="78">
        <f t="shared" si="1"/>
        <v>668509.21360000002</v>
      </c>
    </row>
    <row r="6" spans="1:14" x14ac:dyDescent="0.2">
      <c r="A6" s="173" t="s">
        <v>152</v>
      </c>
      <c r="B6" s="135">
        <v>0</v>
      </c>
      <c r="C6" s="135">
        <v>20000</v>
      </c>
      <c r="D6" s="135">
        <v>0</v>
      </c>
      <c r="E6" s="135">
        <v>0</v>
      </c>
      <c r="F6" s="135">
        <v>0</v>
      </c>
      <c r="G6" s="135">
        <v>20000</v>
      </c>
      <c r="H6" s="135">
        <v>0</v>
      </c>
      <c r="I6" s="135">
        <v>0</v>
      </c>
      <c r="J6" s="135">
        <v>0</v>
      </c>
      <c r="K6" s="135">
        <v>20000</v>
      </c>
      <c r="L6" s="135">
        <v>0</v>
      </c>
      <c r="M6" s="174">
        <v>0</v>
      </c>
      <c r="N6" s="78">
        <f t="shared" si="1"/>
        <v>60000</v>
      </c>
    </row>
    <row r="7" spans="1:14" x14ac:dyDescent="0.2">
      <c r="A7" s="173" t="s">
        <v>153</v>
      </c>
      <c r="B7" s="135">
        <f>(('Average Scenario'!$B$120-'Average Scenario'!$B$78)/12)</f>
        <v>8459.1011333333317</v>
      </c>
      <c r="C7" s="135">
        <f>(('Average Scenario'!$B$120-'Average Scenario'!$B$78)/12)</f>
        <v>8459.1011333333317</v>
      </c>
      <c r="D7" s="135">
        <f>(('Average Scenario'!$B$120-'Average Scenario'!$B$78)/12)</f>
        <v>8459.1011333333317</v>
      </c>
      <c r="E7" s="135">
        <f>(('Average Scenario'!$B$120-'Average Scenario'!$B$78)/12)</f>
        <v>8459.1011333333317</v>
      </c>
      <c r="F7" s="135">
        <f>(('Average Scenario'!$B$120-'Average Scenario'!$B$78)/12)</f>
        <v>8459.1011333333317</v>
      </c>
      <c r="G7" s="135">
        <f>(('Average Scenario'!$B$120-'Average Scenario'!$B$78)/12)</f>
        <v>8459.1011333333317</v>
      </c>
      <c r="H7" s="135">
        <f>(('Average Scenario'!$B$120-'Average Scenario'!$B$78)/12)</f>
        <v>8459.1011333333317</v>
      </c>
      <c r="I7" s="135">
        <f>(('Average Scenario'!$B$120-'Average Scenario'!$B$78)/12)</f>
        <v>8459.1011333333317</v>
      </c>
      <c r="J7" s="135">
        <f>(('Average Scenario'!$B$120-'Average Scenario'!$B$78)/12)</f>
        <v>8459.1011333333317</v>
      </c>
      <c r="K7" s="135">
        <f>(('Average Scenario'!$B$120-'Average Scenario'!$B$78)/12)</f>
        <v>8459.1011333333317</v>
      </c>
      <c r="L7" s="135">
        <f>(('Average Scenario'!$B$120-'Average Scenario'!$B$78)/12)</f>
        <v>8459.1011333333317</v>
      </c>
      <c r="M7" s="174">
        <f>(('Average Scenario'!$B$120-'Average Scenario'!$B$78)/12)</f>
        <v>8459.1011333333317</v>
      </c>
      <c r="N7" s="78">
        <f t="shared" si="1"/>
        <v>101509.21359999997</v>
      </c>
    </row>
    <row r="8" spans="1:14" x14ac:dyDescent="0.2">
      <c r="A8" s="173" t="s">
        <v>161</v>
      </c>
      <c r="B8" s="135">
        <f>'Average Scenario'!B5</f>
        <v>15000</v>
      </c>
      <c r="C8" s="135">
        <v>0</v>
      </c>
      <c r="D8" s="135">
        <v>0</v>
      </c>
      <c r="E8" s="135">
        <v>0</v>
      </c>
      <c r="F8" s="135">
        <v>0</v>
      </c>
      <c r="G8" s="135">
        <v>0</v>
      </c>
      <c r="H8" s="135">
        <v>0</v>
      </c>
      <c r="I8" s="135">
        <v>0</v>
      </c>
      <c r="J8" s="135">
        <v>0</v>
      </c>
      <c r="K8" s="135">
        <v>0</v>
      </c>
      <c r="L8" s="135">
        <v>0</v>
      </c>
      <c r="M8" s="174">
        <v>0</v>
      </c>
      <c r="N8" s="78">
        <f t="shared" si="1"/>
        <v>15000</v>
      </c>
    </row>
    <row r="9" spans="1:14" x14ac:dyDescent="0.2">
      <c r="A9" s="175" t="s">
        <v>170</v>
      </c>
      <c r="B9" s="136">
        <f>'Pessimist Scenario'!B98/4</f>
        <v>123000</v>
      </c>
      <c r="C9" s="136">
        <v>0</v>
      </c>
      <c r="D9" s="136">
        <v>0</v>
      </c>
      <c r="E9" s="136">
        <f>'Pessimist Scenario'!B98/4</f>
        <v>123000</v>
      </c>
      <c r="F9" s="136">
        <v>0</v>
      </c>
      <c r="G9" s="136">
        <v>0</v>
      </c>
      <c r="H9" s="136">
        <f>'Pessimist Scenario'!B98/4</f>
        <v>123000</v>
      </c>
      <c r="I9" s="136">
        <v>0</v>
      </c>
      <c r="J9" s="136">
        <v>0</v>
      </c>
      <c r="K9" s="136">
        <f>'Pessimist Scenario'!B98/4</f>
        <v>123000</v>
      </c>
      <c r="L9" s="136">
        <v>0</v>
      </c>
      <c r="M9" s="176">
        <v>0</v>
      </c>
      <c r="N9" s="78">
        <f t="shared" si="1"/>
        <v>492000</v>
      </c>
    </row>
    <row r="10" spans="1:14" x14ac:dyDescent="0.2">
      <c r="A10" s="177" t="s">
        <v>60</v>
      </c>
      <c r="B10" s="163">
        <f>B2-B5</f>
        <v>-144826.35113333334</v>
      </c>
      <c r="C10" s="137">
        <f t="shared" ref="C10:L10" si="3">C2-C5</f>
        <v>120773.64886666667</v>
      </c>
      <c r="D10" s="137">
        <f t="shared" si="3"/>
        <v>-6826.3511333333317</v>
      </c>
      <c r="E10" s="137">
        <f t="shared" si="3"/>
        <v>-129826.35113333334</v>
      </c>
      <c r="F10" s="137">
        <f t="shared" si="3"/>
        <v>140773.64886666666</v>
      </c>
      <c r="G10" s="137">
        <f t="shared" si="3"/>
        <v>-26826.35113333333</v>
      </c>
      <c r="H10" s="137">
        <f t="shared" si="3"/>
        <v>-129826.35113333334</v>
      </c>
      <c r="I10" s="137">
        <f t="shared" si="3"/>
        <v>140773.64886666666</v>
      </c>
      <c r="J10" s="137">
        <f t="shared" si="3"/>
        <v>-6826.3511333333317</v>
      </c>
      <c r="K10" s="137">
        <f t="shared" si="3"/>
        <v>-149826.35113333334</v>
      </c>
      <c r="L10" s="137">
        <f t="shared" si="3"/>
        <v>140773.64886666666</v>
      </c>
      <c r="M10" s="74">
        <f>M2-M5</f>
        <v>-6826.3511333333317</v>
      </c>
      <c r="N10" s="78"/>
    </row>
    <row r="11" spans="1:14" x14ac:dyDescent="0.2">
      <c r="A11" s="178" t="s">
        <v>154</v>
      </c>
      <c r="B11" s="138">
        <v>250000</v>
      </c>
      <c r="C11" s="138">
        <v>0</v>
      </c>
      <c r="D11" s="138">
        <v>0</v>
      </c>
      <c r="E11" s="138">
        <v>0</v>
      </c>
      <c r="F11" s="138">
        <v>0</v>
      </c>
      <c r="G11" s="138">
        <v>0</v>
      </c>
      <c r="H11" s="138">
        <v>0</v>
      </c>
      <c r="I11" s="138">
        <v>0</v>
      </c>
      <c r="J11" s="138">
        <v>0</v>
      </c>
      <c r="K11" s="138">
        <v>0</v>
      </c>
      <c r="L11" s="138">
        <v>0</v>
      </c>
      <c r="M11" s="179">
        <v>0</v>
      </c>
      <c r="N11" s="78">
        <f t="shared" si="1"/>
        <v>250000</v>
      </c>
    </row>
    <row r="12" spans="1:14" x14ac:dyDescent="0.2">
      <c r="A12" s="180" t="s">
        <v>171</v>
      </c>
      <c r="B12" s="135">
        <f>'Amortization Credit 1'!$C$2</f>
        <v>4603</v>
      </c>
      <c r="C12" s="135">
        <f>'Amortization Credit 1'!$C$2</f>
        <v>4603</v>
      </c>
      <c r="D12" s="135">
        <f>'Amortization Credit 1'!$C$2</f>
        <v>4603</v>
      </c>
      <c r="E12" s="135">
        <f>'Amortization Credit 1'!$C$2</f>
        <v>4603</v>
      </c>
      <c r="F12" s="135">
        <f>'Amortization Credit 1'!$C$2</f>
        <v>4603</v>
      </c>
      <c r="G12" s="135">
        <f>'Amortization Credit 1'!$C$2</f>
        <v>4603</v>
      </c>
      <c r="H12" s="135">
        <f>'Amortization Credit 1'!$C$2</f>
        <v>4603</v>
      </c>
      <c r="I12" s="135">
        <f>'Amortization Credit 1'!$C$2</f>
        <v>4603</v>
      </c>
      <c r="J12" s="135">
        <f>'Amortization Credit 1'!$C$2</f>
        <v>4603</v>
      </c>
      <c r="K12" s="135">
        <f>'Amortization Credit 1'!$C$2</f>
        <v>4603</v>
      </c>
      <c r="L12" s="135">
        <f>'Amortization Credit 1'!$C$2</f>
        <v>4603</v>
      </c>
      <c r="M12" s="174">
        <f>'Amortization Credit 1'!$C$2</f>
        <v>4603</v>
      </c>
      <c r="N12" s="78">
        <f t="shared" si="1"/>
        <v>55236</v>
      </c>
    </row>
    <row r="13" spans="1:14" x14ac:dyDescent="0.2">
      <c r="A13" s="180" t="s">
        <v>159</v>
      </c>
      <c r="B13" s="135">
        <v>0</v>
      </c>
      <c r="C13" s="135">
        <v>0</v>
      </c>
      <c r="D13" s="135">
        <v>0</v>
      </c>
      <c r="E13" s="135">
        <v>0</v>
      </c>
      <c r="F13" s="135">
        <v>0</v>
      </c>
      <c r="G13" s="135">
        <v>0</v>
      </c>
      <c r="H13" s="135">
        <v>0</v>
      </c>
      <c r="I13" s="135">
        <v>0</v>
      </c>
      <c r="J13" s="135">
        <v>0</v>
      </c>
      <c r="K13" s="135">
        <v>0</v>
      </c>
      <c r="L13" s="135">
        <v>0</v>
      </c>
      <c r="M13" s="174">
        <f>'Pessimist Scenario'!B115</f>
        <v>0</v>
      </c>
      <c r="N13" s="78">
        <f t="shared" si="1"/>
        <v>0</v>
      </c>
    </row>
    <row r="14" spans="1:14" x14ac:dyDescent="0.2">
      <c r="A14" s="184" t="s">
        <v>160</v>
      </c>
      <c r="B14" s="134">
        <v>0</v>
      </c>
      <c r="C14" s="134">
        <v>0</v>
      </c>
      <c r="D14" s="134">
        <v>0</v>
      </c>
      <c r="E14" s="134">
        <v>0</v>
      </c>
      <c r="F14" s="134">
        <v>0</v>
      </c>
      <c r="G14" s="134">
        <v>0</v>
      </c>
      <c r="H14" s="134">
        <v>0</v>
      </c>
      <c r="I14" s="134">
        <v>0</v>
      </c>
      <c r="J14" s="134">
        <v>0</v>
      </c>
      <c r="K14" s="134">
        <v>0</v>
      </c>
      <c r="L14" s="134">
        <v>0</v>
      </c>
      <c r="M14" s="172">
        <f>'Average Scenario'!B110</f>
        <v>5000</v>
      </c>
      <c r="N14" s="78">
        <f t="shared" si="1"/>
        <v>5000</v>
      </c>
    </row>
    <row r="15" spans="1:14" x14ac:dyDescent="0.2">
      <c r="A15" s="177" t="s">
        <v>62</v>
      </c>
      <c r="B15" s="163">
        <f>B10+B11-B12-B13+B14</f>
        <v>100570.64886666666</v>
      </c>
      <c r="C15" s="137">
        <f t="shared" ref="C15:L15" si="4">C10+C11-C12-C13+C14</f>
        <v>116170.64886666667</v>
      </c>
      <c r="D15" s="137">
        <f t="shared" si="4"/>
        <v>-11429.351133333332</v>
      </c>
      <c r="E15" s="137">
        <f t="shared" si="4"/>
        <v>-134429.35113333334</v>
      </c>
      <c r="F15" s="137">
        <f t="shared" si="4"/>
        <v>136170.64886666666</v>
      </c>
      <c r="G15" s="137">
        <f t="shared" si="4"/>
        <v>-31429.35113333333</v>
      </c>
      <c r="H15" s="137">
        <f t="shared" si="4"/>
        <v>-134429.35113333334</v>
      </c>
      <c r="I15" s="137">
        <f t="shared" si="4"/>
        <v>136170.64886666666</v>
      </c>
      <c r="J15" s="137">
        <f t="shared" si="4"/>
        <v>-11429.351133333332</v>
      </c>
      <c r="K15" s="137">
        <f t="shared" si="4"/>
        <v>-154429.35113333334</v>
      </c>
      <c r="L15" s="137">
        <f t="shared" si="4"/>
        <v>136170.64886666666</v>
      </c>
      <c r="M15" s="74">
        <f>M10+M11-M12-M13+M14</f>
        <v>-6429.3511333333317</v>
      </c>
      <c r="N15" s="78"/>
    </row>
    <row r="16" spans="1:14" x14ac:dyDescent="0.2">
      <c r="A16" s="177" t="s">
        <v>63</v>
      </c>
      <c r="B16" s="163">
        <f>B15/(1+8%)^1</f>
        <v>93120.97117283949</v>
      </c>
      <c r="C16" s="137">
        <f>C15/(1+8%)^1</f>
        <v>107565.41561728394</v>
      </c>
      <c r="D16" s="137">
        <f t="shared" ref="D16:M16" si="5">D15/(1+8%)^1</f>
        <v>-10582.732530864196</v>
      </c>
      <c r="E16" s="137">
        <f t="shared" si="5"/>
        <v>-124471.62141975309</v>
      </c>
      <c r="F16" s="137">
        <f t="shared" si="5"/>
        <v>126083.93413580245</v>
      </c>
      <c r="G16" s="137">
        <f t="shared" si="5"/>
        <v>-29101.25104938271</v>
      </c>
      <c r="H16" s="137">
        <f t="shared" si="5"/>
        <v>-124471.62141975309</v>
      </c>
      <c r="I16" s="137">
        <f t="shared" si="5"/>
        <v>126083.93413580245</v>
      </c>
      <c r="J16" s="137">
        <f t="shared" si="5"/>
        <v>-10582.732530864196</v>
      </c>
      <c r="K16" s="137">
        <f t="shared" si="5"/>
        <v>-142990.1399382716</v>
      </c>
      <c r="L16" s="137">
        <f t="shared" si="5"/>
        <v>126083.93413580245</v>
      </c>
      <c r="M16" s="74">
        <f t="shared" si="5"/>
        <v>-5953.1029012345662</v>
      </c>
      <c r="N16" s="78"/>
    </row>
    <row r="17" spans="1:14" ht="17" thickBot="1" x14ac:dyDescent="0.25">
      <c r="A17" s="46" t="s">
        <v>158</v>
      </c>
      <c r="B17" s="183">
        <f>B16</f>
        <v>93120.97117283949</v>
      </c>
      <c r="C17" s="64">
        <f>B17+C16</f>
        <v>200686.38679012342</v>
      </c>
      <c r="D17" s="64">
        <f t="shared" ref="D17:L17" si="6">C17+D16</f>
        <v>190103.65425925923</v>
      </c>
      <c r="E17" s="64">
        <f t="shared" si="6"/>
        <v>65632.032839506137</v>
      </c>
      <c r="F17" s="64">
        <f t="shared" si="6"/>
        <v>191715.96697530861</v>
      </c>
      <c r="G17" s="64">
        <f t="shared" si="6"/>
        <v>162614.71592592591</v>
      </c>
      <c r="H17" s="64">
        <f t="shared" si="6"/>
        <v>38143.094506172813</v>
      </c>
      <c r="I17" s="64">
        <f t="shared" si="6"/>
        <v>164227.02864197525</v>
      </c>
      <c r="J17" s="64">
        <f t="shared" si="6"/>
        <v>153644.29611111106</v>
      </c>
      <c r="K17" s="64">
        <f t="shared" si="6"/>
        <v>10654.156172839459</v>
      </c>
      <c r="L17" s="64">
        <f t="shared" si="6"/>
        <v>136738.0903086419</v>
      </c>
      <c r="M17" s="65">
        <f>L17+M16</f>
        <v>130784.98740740733</v>
      </c>
    </row>
    <row r="19" spans="1:14" ht="17" thickBot="1" x14ac:dyDescent="0.25"/>
    <row r="20" spans="1:14" x14ac:dyDescent="0.2">
      <c r="A20" s="88">
        <v>2019</v>
      </c>
      <c r="B20" s="164">
        <v>43466</v>
      </c>
      <c r="C20" s="165">
        <v>43497</v>
      </c>
      <c r="D20" s="165">
        <v>43525</v>
      </c>
      <c r="E20" s="165">
        <v>43556</v>
      </c>
      <c r="F20" s="165">
        <v>43586</v>
      </c>
      <c r="G20" s="165">
        <v>43617</v>
      </c>
      <c r="H20" s="165">
        <v>43647</v>
      </c>
      <c r="I20" s="165">
        <v>43678</v>
      </c>
      <c r="J20" s="165">
        <v>43709</v>
      </c>
      <c r="K20" s="165">
        <v>43739</v>
      </c>
      <c r="L20" s="165">
        <v>43770</v>
      </c>
      <c r="M20" s="166">
        <v>43800</v>
      </c>
      <c r="N20" t="s">
        <v>155</v>
      </c>
    </row>
    <row r="21" spans="1:14" x14ac:dyDescent="0.2">
      <c r="A21" s="167" t="s">
        <v>168</v>
      </c>
      <c r="B21" s="132">
        <f>SUM(B22:B23)</f>
        <v>10885</v>
      </c>
      <c r="C21" s="132">
        <f t="shared" ref="C21:M21" si="7">SUM(C22:C23)</f>
        <v>601285</v>
      </c>
      <c r="D21" s="132">
        <f t="shared" si="7"/>
        <v>10885</v>
      </c>
      <c r="E21" s="132">
        <f t="shared" si="7"/>
        <v>10885</v>
      </c>
      <c r="F21" s="132">
        <f t="shared" si="7"/>
        <v>601285</v>
      </c>
      <c r="G21" s="132">
        <f t="shared" si="7"/>
        <v>10885</v>
      </c>
      <c r="H21" s="132">
        <f t="shared" si="7"/>
        <v>10885</v>
      </c>
      <c r="I21" s="132">
        <f t="shared" si="7"/>
        <v>601285</v>
      </c>
      <c r="J21" s="132">
        <f t="shared" si="7"/>
        <v>10885</v>
      </c>
      <c r="K21" s="132">
        <f t="shared" si="7"/>
        <v>10885</v>
      </c>
      <c r="L21" s="132">
        <f t="shared" si="7"/>
        <v>601285</v>
      </c>
      <c r="M21" s="168">
        <f t="shared" si="7"/>
        <v>10885</v>
      </c>
      <c r="N21" s="78">
        <f>SUM(B21:M21)</f>
        <v>2492220</v>
      </c>
    </row>
    <row r="22" spans="1:14" x14ac:dyDescent="0.2">
      <c r="A22" s="169" t="s">
        <v>156</v>
      </c>
      <c r="B22" s="133">
        <v>0</v>
      </c>
      <c r="C22" s="133">
        <f>('Pessimist Scenario'!D94)/4</f>
        <v>590400</v>
      </c>
      <c r="D22" s="133">
        <v>0</v>
      </c>
      <c r="E22" s="133">
        <v>0</v>
      </c>
      <c r="F22" s="133">
        <f>('Pessimist Scenario'!D94)/4</f>
        <v>590400</v>
      </c>
      <c r="G22" s="133">
        <v>0</v>
      </c>
      <c r="H22" s="133">
        <v>0</v>
      </c>
      <c r="I22" s="133">
        <f>('Pessimist Scenario'!D94)/4</f>
        <v>590400</v>
      </c>
      <c r="J22" s="133">
        <v>0</v>
      </c>
      <c r="K22" s="133">
        <v>0</v>
      </c>
      <c r="L22" s="133">
        <f>('Pessimist Scenario'!D94)/4</f>
        <v>590400</v>
      </c>
      <c r="M22" s="170">
        <v>0</v>
      </c>
      <c r="N22" s="78">
        <f t="shared" ref="N22:N28" si="8">SUM(B22:M22)</f>
        <v>2361600</v>
      </c>
    </row>
    <row r="23" spans="1:14" x14ac:dyDescent="0.2">
      <c r="A23" s="171" t="s">
        <v>157</v>
      </c>
      <c r="B23" s="134">
        <f>'Pessimist Scenario'!$D$96/12</f>
        <v>10885</v>
      </c>
      <c r="C23" s="134">
        <f>'Pessimist Scenario'!$D$96/12</f>
        <v>10885</v>
      </c>
      <c r="D23" s="134">
        <f>'Pessimist Scenario'!$D$96/12</f>
        <v>10885</v>
      </c>
      <c r="E23" s="134">
        <f>'Pessimist Scenario'!$D$96/12</f>
        <v>10885</v>
      </c>
      <c r="F23" s="134">
        <f>'Pessimist Scenario'!$D$96/12</f>
        <v>10885</v>
      </c>
      <c r="G23" s="134">
        <f>'Pessimist Scenario'!$D$96/12</f>
        <v>10885</v>
      </c>
      <c r="H23" s="134">
        <f>'Pessimist Scenario'!$D$96/12</f>
        <v>10885</v>
      </c>
      <c r="I23" s="134">
        <f>'Pessimist Scenario'!$D$96/12</f>
        <v>10885</v>
      </c>
      <c r="J23" s="134">
        <f>'Pessimist Scenario'!$D$96/12</f>
        <v>10885</v>
      </c>
      <c r="K23" s="134">
        <f>'Pessimist Scenario'!$D$96/12</f>
        <v>10885</v>
      </c>
      <c r="L23" s="134">
        <f>'Pessimist Scenario'!$D$96/12</f>
        <v>10885</v>
      </c>
      <c r="M23" s="172">
        <f>'Pessimist Scenario'!$D$96/12</f>
        <v>10885</v>
      </c>
      <c r="N23" s="78">
        <f t="shared" si="8"/>
        <v>130620</v>
      </c>
    </row>
    <row r="24" spans="1:14" x14ac:dyDescent="0.2">
      <c r="A24" s="167" t="s">
        <v>169</v>
      </c>
      <c r="B24" s="132">
        <f>SUM(B25:B28)</f>
        <v>523217.86286666663</v>
      </c>
      <c r="C24" s="132">
        <f t="shared" ref="C24:M24" si="9">SUM(C25:C28)</f>
        <v>31217.862866666663</v>
      </c>
      <c r="D24" s="132">
        <f t="shared" si="9"/>
        <v>16217.862866666665</v>
      </c>
      <c r="E24" s="132">
        <f t="shared" si="9"/>
        <v>508217.86286666669</v>
      </c>
      <c r="F24" s="132">
        <f t="shared" si="9"/>
        <v>16217.862866666665</v>
      </c>
      <c r="G24" s="132">
        <f t="shared" si="9"/>
        <v>26217.862866666663</v>
      </c>
      <c r="H24" s="132">
        <f t="shared" si="9"/>
        <v>508217.86286666669</v>
      </c>
      <c r="I24" s="132">
        <f t="shared" si="9"/>
        <v>16217.862866666665</v>
      </c>
      <c r="J24" s="132">
        <f t="shared" si="9"/>
        <v>16217.862866666665</v>
      </c>
      <c r="K24" s="132">
        <f t="shared" si="9"/>
        <v>518217.86286666663</v>
      </c>
      <c r="L24" s="132">
        <f t="shared" si="9"/>
        <v>16217.862866666665</v>
      </c>
      <c r="M24" s="168">
        <f t="shared" si="9"/>
        <v>16217.862866666665</v>
      </c>
      <c r="N24" s="78">
        <f t="shared" si="8"/>
        <v>2212614.3543999996</v>
      </c>
    </row>
    <row r="25" spans="1:14" x14ac:dyDescent="0.2">
      <c r="A25" s="173" t="s">
        <v>152</v>
      </c>
      <c r="B25" s="135">
        <v>0</v>
      </c>
      <c r="C25" s="135">
        <v>15000</v>
      </c>
      <c r="D25" s="135">
        <v>0</v>
      </c>
      <c r="E25" s="135">
        <v>0</v>
      </c>
      <c r="F25" s="135">
        <v>0</v>
      </c>
      <c r="G25" s="135">
        <v>10000</v>
      </c>
      <c r="H25" s="135">
        <v>0</v>
      </c>
      <c r="I25" s="135">
        <v>0</v>
      </c>
      <c r="J25" s="135">
        <v>0</v>
      </c>
      <c r="K25" s="135">
        <v>10000</v>
      </c>
      <c r="L25" s="135">
        <v>0</v>
      </c>
      <c r="M25" s="174">
        <v>0</v>
      </c>
      <c r="N25" s="78">
        <f t="shared" si="8"/>
        <v>35000</v>
      </c>
    </row>
    <row r="26" spans="1:14" x14ac:dyDescent="0.2">
      <c r="A26" s="173" t="s">
        <v>153</v>
      </c>
      <c r="B26" s="135">
        <f>(('Average Scenario'!$C$120-'Average Scenario'!$C$78)/12)</f>
        <v>16217.862866666665</v>
      </c>
      <c r="C26" s="135">
        <f>(('Average Scenario'!$C$120-'Average Scenario'!$C$78)/12)</f>
        <v>16217.862866666665</v>
      </c>
      <c r="D26" s="135">
        <f>(('Average Scenario'!$C$120-'Average Scenario'!$C$78)/12)</f>
        <v>16217.862866666665</v>
      </c>
      <c r="E26" s="135">
        <f>(('Average Scenario'!$C$120-'Average Scenario'!$C$78)/12)</f>
        <v>16217.862866666665</v>
      </c>
      <c r="F26" s="135">
        <f>(('Average Scenario'!$C$120-'Average Scenario'!$C$78)/12)</f>
        <v>16217.862866666665</v>
      </c>
      <c r="G26" s="135">
        <f>(('Average Scenario'!$C$120-'Average Scenario'!$C$78)/12)</f>
        <v>16217.862866666665</v>
      </c>
      <c r="H26" s="135">
        <f>(('Average Scenario'!$C$120-'Average Scenario'!$C$78)/12)</f>
        <v>16217.862866666665</v>
      </c>
      <c r="I26" s="135">
        <f>(('Average Scenario'!$C$120-'Average Scenario'!$C$78)/12)</f>
        <v>16217.862866666665</v>
      </c>
      <c r="J26" s="135">
        <f>(('Average Scenario'!$C$120-'Average Scenario'!$C$78)/12)</f>
        <v>16217.862866666665</v>
      </c>
      <c r="K26" s="135">
        <f>(('Average Scenario'!$C$120-'Average Scenario'!$C$78)/12)</f>
        <v>16217.862866666665</v>
      </c>
      <c r="L26" s="135">
        <f>(('Average Scenario'!$C$120-'Average Scenario'!$C$78)/12)</f>
        <v>16217.862866666665</v>
      </c>
      <c r="M26" s="174">
        <f>(('Average Scenario'!$C$120-'Average Scenario'!$C$78)/12)</f>
        <v>16217.862866666665</v>
      </c>
      <c r="N26" s="78">
        <f t="shared" si="8"/>
        <v>194614.35439999998</v>
      </c>
    </row>
    <row r="27" spans="1:14" x14ac:dyDescent="0.2">
      <c r="A27" s="173" t="s">
        <v>161</v>
      </c>
      <c r="B27" s="135">
        <f>'Average Scenario'!C5</f>
        <v>15000</v>
      </c>
      <c r="C27" s="135">
        <v>0</v>
      </c>
      <c r="D27" s="135">
        <v>0</v>
      </c>
      <c r="E27" s="135">
        <v>0</v>
      </c>
      <c r="F27" s="135">
        <v>0</v>
      </c>
      <c r="G27" s="135">
        <v>0</v>
      </c>
      <c r="H27" s="135">
        <v>0</v>
      </c>
      <c r="I27" s="135">
        <v>0</v>
      </c>
      <c r="J27" s="135">
        <v>0</v>
      </c>
      <c r="K27" s="135">
        <v>0</v>
      </c>
      <c r="L27" s="135">
        <v>0</v>
      </c>
      <c r="M27" s="174">
        <v>0</v>
      </c>
      <c r="N27" s="78">
        <f t="shared" si="8"/>
        <v>15000</v>
      </c>
    </row>
    <row r="28" spans="1:14" x14ac:dyDescent="0.2">
      <c r="A28" s="175" t="s">
        <v>170</v>
      </c>
      <c r="B28" s="136">
        <f>'Pessimist Scenario'!D98/4</f>
        <v>492000</v>
      </c>
      <c r="C28" s="136">
        <v>0</v>
      </c>
      <c r="D28" s="136">
        <v>0</v>
      </c>
      <c r="E28" s="136">
        <f>'Pessimist Scenario'!D98/4</f>
        <v>492000</v>
      </c>
      <c r="F28" s="136">
        <v>0</v>
      </c>
      <c r="G28" s="136">
        <v>0</v>
      </c>
      <c r="H28" s="136">
        <f>'Pessimist Scenario'!D98/4</f>
        <v>492000</v>
      </c>
      <c r="I28" s="136">
        <v>0</v>
      </c>
      <c r="J28" s="136">
        <v>0</v>
      </c>
      <c r="K28" s="136">
        <f>'Pessimist Scenario'!D98/4</f>
        <v>492000</v>
      </c>
      <c r="L28" s="136">
        <v>0</v>
      </c>
      <c r="M28" s="176">
        <v>0</v>
      </c>
      <c r="N28" s="78">
        <f t="shared" si="8"/>
        <v>1968000</v>
      </c>
    </row>
    <row r="29" spans="1:14" x14ac:dyDescent="0.2">
      <c r="A29" s="177" t="s">
        <v>60</v>
      </c>
      <c r="B29" s="163">
        <f>B21-B24</f>
        <v>-512332.86286666663</v>
      </c>
      <c r="C29" s="137">
        <f t="shared" ref="C29:M29" si="10">C21-C24</f>
        <v>570067.13713333337</v>
      </c>
      <c r="D29" s="137">
        <f t="shared" si="10"/>
        <v>-5332.8628666666646</v>
      </c>
      <c r="E29" s="137">
        <f t="shared" si="10"/>
        <v>-497332.86286666669</v>
      </c>
      <c r="F29" s="137">
        <f t="shared" si="10"/>
        <v>585067.13713333337</v>
      </c>
      <c r="G29" s="137">
        <f t="shared" si="10"/>
        <v>-15332.862866666663</v>
      </c>
      <c r="H29" s="137">
        <f t="shared" si="10"/>
        <v>-497332.86286666669</v>
      </c>
      <c r="I29" s="137">
        <f t="shared" si="10"/>
        <v>585067.13713333337</v>
      </c>
      <c r="J29" s="137">
        <f t="shared" si="10"/>
        <v>-5332.8628666666646</v>
      </c>
      <c r="K29" s="137">
        <f t="shared" si="10"/>
        <v>-507332.86286666663</v>
      </c>
      <c r="L29" s="137">
        <f t="shared" si="10"/>
        <v>585067.13713333337</v>
      </c>
      <c r="M29" s="74">
        <f t="shared" si="10"/>
        <v>-5332.8628666666646</v>
      </c>
      <c r="N29" s="78"/>
    </row>
    <row r="30" spans="1:14" x14ac:dyDescent="0.2">
      <c r="A30" s="178" t="s">
        <v>154</v>
      </c>
      <c r="B30" s="138">
        <v>550000</v>
      </c>
      <c r="C30" s="138"/>
      <c r="D30" s="138">
        <v>0</v>
      </c>
      <c r="E30" s="138">
        <v>0</v>
      </c>
      <c r="F30" s="138">
        <v>0</v>
      </c>
      <c r="G30" s="138">
        <v>0</v>
      </c>
      <c r="H30" s="138">
        <v>0</v>
      </c>
      <c r="I30" s="138">
        <v>0</v>
      </c>
      <c r="J30" s="138">
        <v>0</v>
      </c>
      <c r="K30" s="138">
        <v>0</v>
      </c>
      <c r="L30" s="138">
        <v>0</v>
      </c>
      <c r="M30" s="179">
        <v>0</v>
      </c>
      <c r="N30" s="78">
        <f t="shared" ref="N30:N33" si="11">SUM(B30:M30)</f>
        <v>550000</v>
      </c>
    </row>
    <row r="31" spans="1:14" x14ac:dyDescent="0.2">
      <c r="A31" s="180" t="s">
        <v>171</v>
      </c>
      <c r="B31" s="135">
        <f>'Amortization Credit 1'!$C$2+'Amortization Credit 2'!$C$2</f>
        <v>15754</v>
      </c>
      <c r="C31" s="135">
        <f>'Amortization Credit 1'!$C$2+'Amortization Credit 2'!$C$2</f>
        <v>15754</v>
      </c>
      <c r="D31" s="135">
        <f>'Amortization Credit 1'!$C$2+'Amortization Credit 2'!$C$2</f>
        <v>15754</v>
      </c>
      <c r="E31" s="135">
        <f>'Amortization Credit 1'!$C$2+'Amortization Credit 2'!$C$2</f>
        <v>15754</v>
      </c>
      <c r="F31" s="135">
        <f>'Amortization Credit 1'!$C$2+'Amortization Credit 2'!$C$2</f>
        <v>15754</v>
      </c>
      <c r="G31" s="135">
        <f>'Amortization Credit 1'!$C$2+'Amortization Credit 2'!$C$2</f>
        <v>15754</v>
      </c>
      <c r="H31" s="135">
        <f>'Amortization Credit 1'!$C$2+'Amortization Credit 2'!$C$2</f>
        <v>15754</v>
      </c>
      <c r="I31" s="135">
        <f>'Amortization Credit 1'!$C$2+'Amortization Credit 2'!$C$2</f>
        <v>15754</v>
      </c>
      <c r="J31" s="135">
        <f>'Amortization Credit 1'!$C$2+'Amortization Credit 2'!$C$2</f>
        <v>15754</v>
      </c>
      <c r="K31" s="135">
        <f>'Amortization Credit 1'!$C$2+'Amortization Credit 2'!$C$2</f>
        <v>15754</v>
      </c>
      <c r="L31" s="135">
        <f>'Amortization Credit 1'!$C$2+'Amortization Credit 2'!$C$2</f>
        <v>15754</v>
      </c>
      <c r="M31" s="174">
        <f>'Amortization Credit 1'!$C$2+'Amortization Credit 2'!$C$2</f>
        <v>15754</v>
      </c>
      <c r="N31" s="78">
        <f t="shared" si="11"/>
        <v>189048</v>
      </c>
    </row>
    <row r="32" spans="1:14" x14ac:dyDescent="0.2">
      <c r="A32" s="180" t="s">
        <v>159</v>
      </c>
      <c r="B32" s="135">
        <v>0</v>
      </c>
      <c r="C32" s="135">
        <v>0</v>
      </c>
      <c r="D32" s="135">
        <v>0</v>
      </c>
      <c r="E32" s="135">
        <v>0</v>
      </c>
      <c r="F32" s="135">
        <v>0</v>
      </c>
      <c r="G32" s="135">
        <v>0</v>
      </c>
      <c r="H32" s="135">
        <v>0</v>
      </c>
      <c r="I32" s="135">
        <v>0</v>
      </c>
      <c r="J32" s="135">
        <v>0</v>
      </c>
      <c r="K32" s="135">
        <v>0</v>
      </c>
      <c r="L32" s="135">
        <v>0</v>
      </c>
      <c r="M32" s="174">
        <f>'Average Scenario'!D107</f>
        <v>170816.85439999998</v>
      </c>
      <c r="N32" s="78">
        <f t="shared" si="11"/>
        <v>170816.85439999998</v>
      </c>
    </row>
    <row r="33" spans="1:14" x14ac:dyDescent="0.2">
      <c r="A33" s="184" t="s">
        <v>160</v>
      </c>
      <c r="B33" s="134">
        <v>0</v>
      </c>
      <c r="C33" s="134">
        <v>0</v>
      </c>
      <c r="D33" s="134">
        <v>0</v>
      </c>
      <c r="E33" s="134">
        <v>0</v>
      </c>
      <c r="F33" s="134">
        <v>0</v>
      </c>
      <c r="G33" s="134">
        <v>0</v>
      </c>
      <c r="H33" s="134">
        <v>0</v>
      </c>
      <c r="I33" s="134">
        <v>0</v>
      </c>
      <c r="J33" s="134">
        <v>0</v>
      </c>
      <c r="K33" s="134">
        <v>0</v>
      </c>
      <c r="L33" s="134">
        <v>0</v>
      </c>
      <c r="M33" s="172">
        <f>'Average Scenario'!D110</f>
        <v>10000</v>
      </c>
      <c r="N33" s="78">
        <f t="shared" si="11"/>
        <v>10000</v>
      </c>
    </row>
    <row r="34" spans="1:14" x14ac:dyDescent="0.2">
      <c r="A34" s="177" t="s">
        <v>62</v>
      </c>
      <c r="B34" s="163">
        <f>B29+B30-B31-B32+B33</f>
        <v>21913.137133333366</v>
      </c>
      <c r="C34" s="137">
        <f t="shared" ref="C34:M34" si="12">C29+C30-C31-C32+C33</f>
        <v>554313.13713333337</v>
      </c>
      <c r="D34" s="137">
        <f t="shared" si="12"/>
        <v>-21086.862866666663</v>
      </c>
      <c r="E34" s="137">
        <f t="shared" si="12"/>
        <v>-513086.86286666669</v>
      </c>
      <c r="F34" s="137">
        <f t="shared" si="12"/>
        <v>569313.13713333337</v>
      </c>
      <c r="G34" s="137">
        <f t="shared" si="12"/>
        <v>-31086.862866666663</v>
      </c>
      <c r="H34" s="137">
        <f t="shared" si="12"/>
        <v>-513086.86286666669</v>
      </c>
      <c r="I34" s="137">
        <f t="shared" si="12"/>
        <v>569313.13713333337</v>
      </c>
      <c r="J34" s="137">
        <f t="shared" si="12"/>
        <v>-21086.862866666663</v>
      </c>
      <c r="K34" s="137">
        <f t="shared" si="12"/>
        <v>-523086.86286666663</v>
      </c>
      <c r="L34" s="137">
        <f t="shared" si="12"/>
        <v>569313.13713333337</v>
      </c>
      <c r="M34" s="74">
        <f t="shared" si="12"/>
        <v>-181903.71726666664</v>
      </c>
      <c r="N34" s="78"/>
    </row>
    <row r="35" spans="1:14" x14ac:dyDescent="0.2">
      <c r="A35" s="177" t="s">
        <v>63</v>
      </c>
      <c r="B35" s="163">
        <f>B34/(1+8%)^2</f>
        <v>18786.983139003227</v>
      </c>
      <c r="C35" s="137">
        <f t="shared" ref="C35:M35" si="13">C34/(1+8%)^2</f>
        <v>475234.17106767261</v>
      </c>
      <c r="D35" s="137">
        <f t="shared" si="13"/>
        <v>-18078.586133973473</v>
      </c>
      <c r="E35" s="137">
        <f t="shared" si="13"/>
        <v>-439889.28572245082</v>
      </c>
      <c r="F35" s="137">
        <f t="shared" si="13"/>
        <v>488094.25337219937</v>
      </c>
      <c r="G35" s="137">
        <f t="shared" si="13"/>
        <v>-26651.974336991305</v>
      </c>
      <c r="H35" s="137">
        <f t="shared" si="13"/>
        <v>-439889.28572245082</v>
      </c>
      <c r="I35" s="137">
        <f t="shared" si="13"/>
        <v>488094.25337219937</v>
      </c>
      <c r="J35" s="137">
        <f t="shared" si="13"/>
        <v>-18078.586133973473</v>
      </c>
      <c r="K35" s="137">
        <f t="shared" si="13"/>
        <v>-448462.67392546858</v>
      </c>
      <c r="L35" s="137">
        <f t="shared" si="13"/>
        <v>488094.25337219937</v>
      </c>
      <c r="M35" s="74">
        <f t="shared" si="13"/>
        <v>-155953.11836991308</v>
      </c>
      <c r="N35" s="78"/>
    </row>
    <row r="36" spans="1:14" ht="17" thickBot="1" x14ac:dyDescent="0.25">
      <c r="A36" s="46" t="s">
        <v>158</v>
      </c>
      <c r="B36" s="183">
        <f>M17+B35</f>
        <v>149571.97054641056</v>
      </c>
      <c r="C36" s="64">
        <f>B36+C35</f>
        <v>624806.1416140832</v>
      </c>
      <c r="D36" s="64">
        <f t="shared" ref="D36:L36" si="14">C36+D35</f>
        <v>606727.55548010976</v>
      </c>
      <c r="E36" s="64">
        <f t="shared" si="14"/>
        <v>166838.26975765894</v>
      </c>
      <c r="F36" s="64">
        <f t="shared" si="14"/>
        <v>654932.52312985831</v>
      </c>
      <c r="G36" s="64">
        <f t="shared" si="14"/>
        <v>628280.54879286699</v>
      </c>
      <c r="H36" s="64">
        <f t="shared" si="14"/>
        <v>188391.26307041617</v>
      </c>
      <c r="I36" s="64">
        <f t="shared" si="14"/>
        <v>676485.51644261554</v>
      </c>
      <c r="J36" s="64">
        <f t="shared" si="14"/>
        <v>658406.9303086421</v>
      </c>
      <c r="K36" s="64">
        <f t="shared" si="14"/>
        <v>209944.25638317352</v>
      </c>
      <c r="L36" s="64">
        <f t="shared" si="14"/>
        <v>698038.50975537288</v>
      </c>
      <c r="M36" s="65">
        <f>L36+M35</f>
        <v>542085.39138545981</v>
      </c>
    </row>
    <row r="39" spans="1:14" ht="17" thickBot="1" x14ac:dyDescent="0.25"/>
    <row r="40" spans="1:14" x14ac:dyDescent="0.2">
      <c r="A40" s="88">
        <v>2020</v>
      </c>
      <c r="B40" s="164">
        <v>43831</v>
      </c>
      <c r="C40" s="165">
        <v>43862</v>
      </c>
      <c r="D40" s="165">
        <v>43891</v>
      </c>
      <c r="E40" s="165">
        <v>43922</v>
      </c>
      <c r="F40" s="165">
        <v>43952</v>
      </c>
      <c r="G40" s="165">
        <v>43983</v>
      </c>
      <c r="H40" s="165">
        <v>44013</v>
      </c>
      <c r="I40" s="165">
        <v>44044</v>
      </c>
      <c r="J40" s="165">
        <v>44075</v>
      </c>
      <c r="K40" s="165">
        <v>44105</v>
      </c>
      <c r="L40" s="165">
        <v>44136</v>
      </c>
      <c r="M40" s="166">
        <v>44166</v>
      </c>
      <c r="N40" t="s">
        <v>155</v>
      </c>
    </row>
    <row r="41" spans="1:14" x14ac:dyDescent="0.2">
      <c r="A41" s="167" t="s">
        <v>168</v>
      </c>
      <c r="B41" s="132">
        <f>SUM(B42:B43)</f>
        <v>29026.666666666668</v>
      </c>
      <c r="C41" s="132">
        <f t="shared" ref="C41:M41" si="15">SUM(C42:C43)</f>
        <v>1259026.6666666667</v>
      </c>
      <c r="D41" s="132">
        <f t="shared" si="15"/>
        <v>29026.666666666668</v>
      </c>
      <c r="E41" s="132">
        <f t="shared" si="15"/>
        <v>29026.666666666668</v>
      </c>
      <c r="F41" s="132">
        <f t="shared" si="15"/>
        <v>1259026.6666666667</v>
      </c>
      <c r="G41" s="132">
        <f t="shared" si="15"/>
        <v>29026.666666666668</v>
      </c>
      <c r="H41" s="132">
        <f t="shared" si="15"/>
        <v>29026.666666666668</v>
      </c>
      <c r="I41" s="132">
        <f t="shared" si="15"/>
        <v>1259026.6666666667</v>
      </c>
      <c r="J41" s="132">
        <f t="shared" si="15"/>
        <v>29026.666666666668</v>
      </c>
      <c r="K41" s="132">
        <f t="shared" si="15"/>
        <v>29026.666666666668</v>
      </c>
      <c r="L41" s="132">
        <f t="shared" si="15"/>
        <v>1259026.6666666667</v>
      </c>
      <c r="M41" s="168">
        <f t="shared" si="15"/>
        <v>29026.666666666668</v>
      </c>
      <c r="N41" s="78">
        <f>SUM(B41:M41)</f>
        <v>5268320.0000000009</v>
      </c>
    </row>
    <row r="42" spans="1:14" x14ac:dyDescent="0.2">
      <c r="A42" s="169" t="s">
        <v>156</v>
      </c>
      <c r="B42" s="133">
        <v>0</v>
      </c>
      <c r="C42" s="133">
        <f>('Pessimist Scenario'!F94)/4</f>
        <v>1230000</v>
      </c>
      <c r="D42" s="133">
        <v>0</v>
      </c>
      <c r="E42" s="133">
        <v>0</v>
      </c>
      <c r="F42" s="133">
        <f>('Pessimist Scenario'!F94)/4</f>
        <v>1230000</v>
      </c>
      <c r="G42" s="133">
        <v>0</v>
      </c>
      <c r="H42" s="133">
        <v>0</v>
      </c>
      <c r="I42" s="133">
        <f>('Pessimist Scenario'!F94)/4</f>
        <v>1230000</v>
      </c>
      <c r="J42" s="133">
        <v>0</v>
      </c>
      <c r="K42" s="133">
        <v>0</v>
      </c>
      <c r="L42" s="133">
        <f>('Pessimist Scenario'!F94)/4</f>
        <v>1230000</v>
      </c>
      <c r="M42" s="170">
        <v>0</v>
      </c>
      <c r="N42" s="78">
        <f t="shared" ref="N42:N48" si="16">SUM(B42:M42)</f>
        <v>4920000</v>
      </c>
    </row>
    <row r="43" spans="1:14" x14ac:dyDescent="0.2">
      <c r="A43" s="171" t="s">
        <v>157</v>
      </c>
      <c r="B43" s="134">
        <f>'Pessimist Scenario'!$F$96/12</f>
        <v>29026.666666666668</v>
      </c>
      <c r="C43" s="134">
        <f>'Pessimist Scenario'!$F$96/12</f>
        <v>29026.666666666668</v>
      </c>
      <c r="D43" s="134">
        <f>'Pessimist Scenario'!$F$96/12</f>
        <v>29026.666666666668</v>
      </c>
      <c r="E43" s="134">
        <f>'Pessimist Scenario'!$F$96/12</f>
        <v>29026.666666666668</v>
      </c>
      <c r="F43" s="134">
        <f>'Pessimist Scenario'!$F$96/12</f>
        <v>29026.666666666668</v>
      </c>
      <c r="G43" s="134">
        <f>'Pessimist Scenario'!$F$96/12</f>
        <v>29026.666666666668</v>
      </c>
      <c r="H43" s="134">
        <f>'Pessimist Scenario'!$F$96/12</f>
        <v>29026.666666666668</v>
      </c>
      <c r="I43" s="134">
        <f>'Pessimist Scenario'!$F$96/12</f>
        <v>29026.666666666668</v>
      </c>
      <c r="J43" s="134">
        <f>'Pessimist Scenario'!$F$96/12</f>
        <v>29026.666666666668</v>
      </c>
      <c r="K43" s="134">
        <f>'Pessimist Scenario'!$F$96/12</f>
        <v>29026.666666666668</v>
      </c>
      <c r="L43" s="134">
        <f>'Pessimist Scenario'!$F$96/12</f>
        <v>29026.666666666668</v>
      </c>
      <c r="M43" s="172">
        <f>'Pessimist Scenario'!$F$96/12</f>
        <v>29026.666666666668</v>
      </c>
      <c r="N43" s="78">
        <f t="shared" si="16"/>
        <v>348320</v>
      </c>
    </row>
    <row r="44" spans="1:14" x14ac:dyDescent="0.2">
      <c r="A44" s="167" t="s">
        <v>169</v>
      </c>
      <c r="B44" s="132">
        <f>SUM(B45:B48)</f>
        <v>1105218.8670000001</v>
      </c>
      <c r="C44" s="132">
        <f t="shared" ref="C44:M44" si="17">SUM(C45:C48)</f>
        <v>60218.866999999991</v>
      </c>
      <c r="D44" s="132">
        <f t="shared" si="17"/>
        <v>45218.866999999991</v>
      </c>
      <c r="E44" s="132">
        <f t="shared" si="17"/>
        <v>1070218.8670000001</v>
      </c>
      <c r="F44" s="132">
        <f t="shared" si="17"/>
        <v>45218.866999999991</v>
      </c>
      <c r="G44" s="132">
        <f t="shared" si="17"/>
        <v>55218.866999999991</v>
      </c>
      <c r="H44" s="132">
        <f t="shared" si="17"/>
        <v>1070218.8670000001</v>
      </c>
      <c r="I44" s="132">
        <f t="shared" si="17"/>
        <v>45218.866999999991</v>
      </c>
      <c r="J44" s="132">
        <f t="shared" si="17"/>
        <v>45218.866999999991</v>
      </c>
      <c r="K44" s="132">
        <f t="shared" si="17"/>
        <v>1080218.8670000001</v>
      </c>
      <c r="L44" s="132">
        <f t="shared" si="17"/>
        <v>45218.866999999991</v>
      </c>
      <c r="M44" s="168">
        <f t="shared" si="17"/>
        <v>45218.866999999991</v>
      </c>
      <c r="N44" s="78">
        <f t="shared" si="16"/>
        <v>4712626.4040000001</v>
      </c>
    </row>
    <row r="45" spans="1:14" x14ac:dyDescent="0.2">
      <c r="A45" s="173" t="s">
        <v>152</v>
      </c>
      <c r="B45" s="135">
        <v>0</v>
      </c>
      <c r="C45" s="135">
        <v>15000</v>
      </c>
      <c r="D45" s="135">
        <v>0</v>
      </c>
      <c r="E45" s="135">
        <v>0</v>
      </c>
      <c r="F45" s="135">
        <v>0</v>
      </c>
      <c r="G45" s="135">
        <v>10000</v>
      </c>
      <c r="H45" s="135">
        <v>0</v>
      </c>
      <c r="I45" s="135">
        <v>0</v>
      </c>
      <c r="J45" s="135">
        <v>0</v>
      </c>
      <c r="K45" s="135">
        <v>10000</v>
      </c>
      <c r="L45" s="135">
        <v>0</v>
      </c>
      <c r="M45" s="174">
        <v>0</v>
      </c>
      <c r="N45" s="78">
        <f t="shared" si="16"/>
        <v>35000</v>
      </c>
    </row>
    <row r="46" spans="1:14" x14ac:dyDescent="0.2">
      <c r="A46" s="173" t="s">
        <v>153</v>
      </c>
      <c r="B46" s="135">
        <f>(('Average Scenario'!$D$120-'Average Scenario'!$D$78)/12)</f>
        <v>45218.866999999991</v>
      </c>
      <c r="C46" s="135">
        <f>(('Average Scenario'!$D$120-'Average Scenario'!$D$78)/12)</f>
        <v>45218.866999999991</v>
      </c>
      <c r="D46" s="135">
        <f>(('Average Scenario'!$D$120-'Average Scenario'!$D$78)/12)</f>
        <v>45218.866999999991</v>
      </c>
      <c r="E46" s="135">
        <f>(('Average Scenario'!$D$120-'Average Scenario'!$D$78)/12)</f>
        <v>45218.866999999991</v>
      </c>
      <c r="F46" s="135">
        <f>(('Average Scenario'!$D$120-'Average Scenario'!$D$78)/12)</f>
        <v>45218.866999999991</v>
      </c>
      <c r="G46" s="135">
        <f>(('Average Scenario'!$D$120-'Average Scenario'!$D$78)/12)</f>
        <v>45218.866999999991</v>
      </c>
      <c r="H46" s="135">
        <f>(('Average Scenario'!$D$120-'Average Scenario'!$D$78)/12)</f>
        <v>45218.866999999991</v>
      </c>
      <c r="I46" s="135">
        <f>(('Average Scenario'!$D$120-'Average Scenario'!$D$78)/12)</f>
        <v>45218.866999999991</v>
      </c>
      <c r="J46" s="135">
        <f>(('Average Scenario'!$D$120-'Average Scenario'!$D$78)/12)</f>
        <v>45218.866999999991</v>
      </c>
      <c r="K46" s="135">
        <f>(('Average Scenario'!$D$120-'Average Scenario'!$D$78)/12)</f>
        <v>45218.866999999991</v>
      </c>
      <c r="L46" s="135">
        <f>(('Average Scenario'!$D$120-'Average Scenario'!$D$78)/12)</f>
        <v>45218.866999999991</v>
      </c>
      <c r="M46" s="174">
        <f>(('Average Scenario'!$D$120-'Average Scenario'!$D$78)/12)</f>
        <v>45218.866999999991</v>
      </c>
      <c r="N46" s="78">
        <f t="shared" si="16"/>
        <v>542626.40399999975</v>
      </c>
    </row>
    <row r="47" spans="1:14" x14ac:dyDescent="0.2">
      <c r="A47" s="173" t="s">
        <v>161</v>
      </c>
      <c r="B47" s="135">
        <f>'Average Scenario'!D2</f>
        <v>35000</v>
      </c>
      <c r="C47" s="135">
        <v>0</v>
      </c>
      <c r="D47" s="135">
        <v>0</v>
      </c>
      <c r="E47" s="135">
        <v>0</v>
      </c>
      <c r="F47" s="135">
        <v>0</v>
      </c>
      <c r="G47" s="135">
        <v>0</v>
      </c>
      <c r="H47" s="135">
        <v>0</v>
      </c>
      <c r="I47" s="135">
        <v>0</v>
      </c>
      <c r="J47" s="135">
        <v>0</v>
      </c>
      <c r="K47" s="135">
        <v>0</v>
      </c>
      <c r="L47" s="135">
        <v>0</v>
      </c>
      <c r="M47" s="174">
        <v>0</v>
      </c>
      <c r="N47" s="78">
        <f t="shared" si="16"/>
        <v>35000</v>
      </c>
    </row>
    <row r="48" spans="1:14" x14ac:dyDescent="0.2">
      <c r="A48" s="175" t="s">
        <v>170</v>
      </c>
      <c r="B48" s="136">
        <f>'Pessimist Scenario'!F98/4</f>
        <v>1025000</v>
      </c>
      <c r="C48" s="136">
        <v>0</v>
      </c>
      <c r="D48" s="136">
        <v>0</v>
      </c>
      <c r="E48" s="136">
        <f>'Pessimist Scenario'!F98/4</f>
        <v>1025000</v>
      </c>
      <c r="F48" s="136">
        <v>0</v>
      </c>
      <c r="G48" s="136">
        <v>0</v>
      </c>
      <c r="H48" s="136">
        <f>'Pessimist Scenario'!F98/4</f>
        <v>1025000</v>
      </c>
      <c r="I48" s="136">
        <v>0</v>
      </c>
      <c r="J48" s="136">
        <v>0</v>
      </c>
      <c r="K48" s="136">
        <f>'Pessimist Scenario'!F98/4</f>
        <v>1025000</v>
      </c>
      <c r="L48" s="136">
        <v>0</v>
      </c>
      <c r="M48" s="176">
        <v>0</v>
      </c>
      <c r="N48" s="78">
        <f t="shared" si="16"/>
        <v>4100000</v>
      </c>
    </row>
    <row r="49" spans="1:14" x14ac:dyDescent="0.2">
      <c r="A49" s="177" t="s">
        <v>60</v>
      </c>
      <c r="B49" s="163">
        <f>B41-B44</f>
        <v>-1076192.2003333333</v>
      </c>
      <c r="C49" s="137">
        <f t="shared" ref="C49:M49" si="18">C41-C44</f>
        <v>1198807.7996666667</v>
      </c>
      <c r="D49" s="137">
        <f t="shared" si="18"/>
        <v>-16192.200333333323</v>
      </c>
      <c r="E49" s="137">
        <f t="shared" si="18"/>
        <v>-1041192.2003333335</v>
      </c>
      <c r="F49" s="137">
        <f t="shared" si="18"/>
        <v>1213807.7996666667</v>
      </c>
      <c r="G49" s="137">
        <f t="shared" si="18"/>
        <v>-26192.200333333323</v>
      </c>
      <c r="H49" s="137">
        <f t="shared" si="18"/>
        <v>-1041192.2003333335</v>
      </c>
      <c r="I49" s="137">
        <f t="shared" si="18"/>
        <v>1213807.7996666667</v>
      </c>
      <c r="J49" s="137">
        <f t="shared" si="18"/>
        <v>-16192.200333333323</v>
      </c>
      <c r="K49" s="137">
        <f t="shared" si="18"/>
        <v>-1051192.2003333333</v>
      </c>
      <c r="L49" s="137">
        <f t="shared" si="18"/>
        <v>1213807.7996666667</v>
      </c>
      <c r="M49" s="74">
        <f t="shared" si="18"/>
        <v>-16192.200333333323</v>
      </c>
      <c r="N49" s="78"/>
    </row>
    <row r="50" spans="1:14" x14ac:dyDescent="0.2">
      <c r="A50" s="178" t="s">
        <v>154</v>
      </c>
      <c r="B50" s="138">
        <f>700000</f>
        <v>700000</v>
      </c>
      <c r="C50" s="138"/>
      <c r="D50" s="138">
        <v>0</v>
      </c>
      <c r="E50" s="138">
        <v>0</v>
      </c>
      <c r="F50" s="138">
        <v>0</v>
      </c>
      <c r="G50" s="138">
        <v>0</v>
      </c>
      <c r="H50" s="138">
        <v>0</v>
      </c>
      <c r="I50" s="138">
        <v>0</v>
      </c>
      <c r="J50" s="138">
        <v>0</v>
      </c>
      <c r="K50" s="138">
        <v>0</v>
      </c>
      <c r="L50" s="138">
        <v>0</v>
      </c>
      <c r="M50" s="179">
        <v>0</v>
      </c>
      <c r="N50" s="78">
        <f t="shared" ref="N50:N53" si="19">SUM(B50:M50)</f>
        <v>700000</v>
      </c>
    </row>
    <row r="51" spans="1:14" x14ac:dyDescent="0.2">
      <c r="A51" s="180" t="s">
        <v>171</v>
      </c>
      <c r="B51" s="135">
        <f>'Amortization Credit 1'!$C$2+'Amortization Credit 2'!$C$2+'Pessimist Amortization Credit 3'!$C$2</f>
        <v>25397</v>
      </c>
      <c r="C51" s="135">
        <f>'Amortization Credit 1'!$C$2+'Amortization Credit 2'!$C$2+'Pessimist Amortization Credit 3'!$C$2</f>
        <v>25397</v>
      </c>
      <c r="D51" s="135">
        <f>'Amortization Credit 1'!$C$2+'Amortization Credit 2'!$C$2+'Pessimist Amortization Credit 3'!$C$2</f>
        <v>25397</v>
      </c>
      <c r="E51" s="135">
        <f>'Amortization Credit 1'!$C$2+'Amortization Credit 2'!$C$2+'Pessimist Amortization Credit 3'!$C$2</f>
        <v>25397</v>
      </c>
      <c r="F51" s="135">
        <f>'Amortization Credit 1'!$C$2+'Amortization Credit 2'!$C$2+'Pessimist Amortization Credit 3'!$C$2</f>
        <v>25397</v>
      </c>
      <c r="G51" s="135">
        <f>'Amortization Credit 1'!$C$2+'Amortization Credit 2'!$C$2+'Pessimist Amortization Credit 3'!$C$2</f>
        <v>25397</v>
      </c>
      <c r="H51" s="135">
        <f>'Amortization Credit 1'!$C$2+'Amortization Credit 2'!$C$2+'Pessimist Amortization Credit 3'!$C$2</f>
        <v>25397</v>
      </c>
      <c r="I51" s="135">
        <f>'Amortization Credit 1'!$C$2+'Amortization Credit 2'!$C$2+'Pessimist Amortization Credit 3'!$C$2</f>
        <v>25397</v>
      </c>
      <c r="J51" s="135">
        <f>'Amortization Credit 1'!$C$2+'Amortization Credit 2'!$C$2+'Pessimist Amortization Credit 3'!$C$2</f>
        <v>25397</v>
      </c>
      <c r="K51" s="135">
        <f>'Amortization Credit 1'!$C$2+'Amortization Credit 2'!$C$2+'Pessimist Amortization Credit 3'!$C$2</f>
        <v>25397</v>
      </c>
      <c r="L51" s="135">
        <f>'Amortization Credit 1'!$C$2+'Amortization Credit 2'!$C$2+'Pessimist Amortization Credit 3'!$C$2</f>
        <v>25397</v>
      </c>
      <c r="M51" s="174">
        <f>'Amortization Credit 1'!$C$2+'Amortization Credit 2'!$C$2+'Pessimist Amortization Credit 3'!$C$2</f>
        <v>25397</v>
      </c>
      <c r="N51" s="78">
        <f t="shared" si="19"/>
        <v>304764</v>
      </c>
    </row>
    <row r="52" spans="1:14" x14ac:dyDescent="0.2">
      <c r="A52" s="180" t="s">
        <v>159</v>
      </c>
      <c r="B52" s="135">
        <v>0</v>
      </c>
      <c r="C52" s="135">
        <v>0</v>
      </c>
      <c r="D52" s="135">
        <v>0</v>
      </c>
      <c r="E52" s="135">
        <v>0</v>
      </c>
      <c r="F52" s="135">
        <v>0</v>
      </c>
      <c r="G52" s="135">
        <v>0</v>
      </c>
      <c r="H52" s="135">
        <v>0</v>
      </c>
      <c r="I52" s="135">
        <v>0</v>
      </c>
      <c r="J52" s="135">
        <v>0</v>
      </c>
      <c r="K52" s="135">
        <v>0</v>
      </c>
      <c r="L52" s="135">
        <v>0</v>
      </c>
      <c r="M52" s="174">
        <f>'Average Scenario'!F107</f>
        <v>585700.70399999991</v>
      </c>
      <c r="N52" s="78">
        <f t="shared" si="19"/>
        <v>585700.70399999991</v>
      </c>
    </row>
    <row r="53" spans="1:14" x14ac:dyDescent="0.2">
      <c r="A53" s="184" t="s">
        <v>160</v>
      </c>
      <c r="B53" s="134">
        <v>0</v>
      </c>
      <c r="C53" s="134">
        <v>0</v>
      </c>
      <c r="D53" s="134">
        <v>0</v>
      </c>
      <c r="E53" s="134">
        <v>0</v>
      </c>
      <c r="F53" s="134">
        <v>0</v>
      </c>
      <c r="G53" s="134">
        <v>0</v>
      </c>
      <c r="H53" s="134">
        <v>0</v>
      </c>
      <c r="I53" s="134">
        <v>0</v>
      </c>
      <c r="J53" s="134">
        <v>0</v>
      </c>
      <c r="K53" s="134">
        <v>0</v>
      </c>
      <c r="L53" s="134">
        <v>0</v>
      </c>
      <c r="M53" s="172">
        <f>'Average Scenario'!F110</f>
        <v>21666.666666666664</v>
      </c>
      <c r="N53" s="78">
        <f t="shared" si="19"/>
        <v>21666.666666666664</v>
      </c>
    </row>
    <row r="54" spans="1:14" x14ac:dyDescent="0.2">
      <c r="A54" s="177" t="s">
        <v>62</v>
      </c>
      <c r="B54" s="163">
        <f>B49+B50-B51-B52+B53</f>
        <v>-401589.20033333334</v>
      </c>
      <c r="C54" s="163">
        <f t="shared" ref="C54:M54" si="20">C49+C50-C51-C52+C53</f>
        <v>1173410.7996666667</v>
      </c>
      <c r="D54" s="163">
        <f t="shared" si="20"/>
        <v>-41589.200333333327</v>
      </c>
      <c r="E54" s="163">
        <f t="shared" si="20"/>
        <v>-1066589.2003333336</v>
      </c>
      <c r="F54" s="163">
        <f t="shared" si="20"/>
        <v>1188410.7996666667</v>
      </c>
      <c r="G54" s="163">
        <f t="shared" si="20"/>
        <v>-51589.200333333327</v>
      </c>
      <c r="H54" s="163">
        <f t="shared" si="20"/>
        <v>-1066589.2003333336</v>
      </c>
      <c r="I54" s="163">
        <f t="shared" si="20"/>
        <v>1188410.7996666667</v>
      </c>
      <c r="J54" s="163">
        <f t="shared" si="20"/>
        <v>-41589.200333333327</v>
      </c>
      <c r="K54" s="163">
        <f t="shared" si="20"/>
        <v>-1076589.2003333333</v>
      </c>
      <c r="L54" s="163">
        <f t="shared" si="20"/>
        <v>1188410.7996666667</v>
      </c>
      <c r="M54" s="217">
        <f t="shared" si="20"/>
        <v>-605623.23766666662</v>
      </c>
      <c r="N54" s="78"/>
    </row>
    <row r="55" spans="1:14" x14ac:dyDescent="0.2">
      <c r="A55" s="177" t="s">
        <v>63</v>
      </c>
      <c r="B55" s="163">
        <f>B54/(1+8%)^3</f>
        <v>-318794.45487010782</v>
      </c>
      <c r="C55" s="137">
        <f t="shared" ref="C55:M55" si="21">C54/(1+8%)^3</f>
        <v>931491.3247366593</v>
      </c>
      <c r="D55" s="137">
        <f t="shared" si="21"/>
        <v>-33014.84810284678</v>
      </c>
      <c r="E55" s="137">
        <f t="shared" si="21"/>
        <v>-846692.89514852082</v>
      </c>
      <c r="F55" s="137">
        <f t="shared" si="21"/>
        <v>943398.80835196178</v>
      </c>
      <c r="G55" s="137">
        <f t="shared" si="21"/>
        <v>-40953.170513048477</v>
      </c>
      <c r="H55" s="137">
        <f t="shared" si="21"/>
        <v>-846692.89514852082</v>
      </c>
      <c r="I55" s="137">
        <f t="shared" si="21"/>
        <v>943398.80835196178</v>
      </c>
      <c r="J55" s="137">
        <f t="shared" si="21"/>
        <v>-33014.84810284678</v>
      </c>
      <c r="K55" s="137">
        <f t="shared" si="21"/>
        <v>-854631.21755872236</v>
      </c>
      <c r="L55" s="137">
        <f t="shared" si="21"/>
        <v>943398.80835196178</v>
      </c>
      <c r="M55" s="74">
        <f t="shared" si="21"/>
        <v>-480763.25197082077</v>
      </c>
      <c r="N55" s="78"/>
    </row>
    <row r="56" spans="1:14" ht="17" thickBot="1" x14ac:dyDescent="0.25">
      <c r="A56" s="46" t="s">
        <v>158</v>
      </c>
      <c r="B56" s="183">
        <f>M36+B55</f>
        <v>223290.93651535199</v>
      </c>
      <c r="C56" s="64">
        <f>B56+C55</f>
        <v>1154782.2612520112</v>
      </c>
      <c r="D56" s="64">
        <f t="shared" ref="D56:L56" si="22">C56+D55</f>
        <v>1121767.4131491643</v>
      </c>
      <c r="E56" s="64">
        <f t="shared" si="22"/>
        <v>275074.51800064347</v>
      </c>
      <c r="F56" s="64">
        <f t="shared" si="22"/>
        <v>1218473.3263526051</v>
      </c>
      <c r="G56" s="64">
        <f t="shared" si="22"/>
        <v>1177520.1558395566</v>
      </c>
      <c r="H56" s="64">
        <f t="shared" si="22"/>
        <v>330827.26069103577</v>
      </c>
      <c r="I56" s="64">
        <f t="shared" si="22"/>
        <v>1274226.0690429974</v>
      </c>
      <c r="J56" s="64">
        <f t="shared" si="22"/>
        <v>1241211.2209401506</v>
      </c>
      <c r="K56" s="64">
        <f t="shared" si="22"/>
        <v>386580.00338142819</v>
      </c>
      <c r="L56" s="64">
        <f t="shared" si="22"/>
        <v>1329978.81173339</v>
      </c>
      <c r="M56" s="65">
        <f>L56+M55</f>
        <v>849215.55976256914</v>
      </c>
    </row>
    <row r="60" spans="1:14" ht="17" thickBot="1" x14ac:dyDescent="0.25"/>
    <row r="61" spans="1:14" x14ac:dyDescent="0.2">
      <c r="A61" s="88">
        <v>2021</v>
      </c>
      <c r="B61" s="164">
        <v>44197</v>
      </c>
      <c r="C61" s="165">
        <v>44228</v>
      </c>
      <c r="D61" s="165">
        <v>44256</v>
      </c>
      <c r="E61" s="165">
        <v>44287</v>
      </c>
      <c r="F61" s="165">
        <v>44317</v>
      </c>
      <c r="G61" s="165">
        <v>44348</v>
      </c>
      <c r="H61" s="165">
        <v>44378</v>
      </c>
      <c r="I61" s="165">
        <v>44409</v>
      </c>
      <c r="J61" s="165">
        <v>44440</v>
      </c>
      <c r="K61" s="165">
        <v>44470</v>
      </c>
      <c r="L61" s="165">
        <v>44501</v>
      </c>
      <c r="M61" s="166">
        <v>44531</v>
      </c>
      <c r="N61" t="s">
        <v>155</v>
      </c>
    </row>
    <row r="62" spans="1:14" x14ac:dyDescent="0.2">
      <c r="A62" s="167" t="s">
        <v>168</v>
      </c>
      <c r="B62" s="132">
        <f>SUM(B63:B64)</f>
        <v>47894</v>
      </c>
      <c r="C62" s="132">
        <f t="shared" ref="C62:M62" si="23">SUM(C63:C64)</f>
        <v>1327094</v>
      </c>
      <c r="D62" s="132">
        <f t="shared" si="23"/>
        <v>47894</v>
      </c>
      <c r="E62" s="132">
        <f t="shared" si="23"/>
        <v>47894</v>
      </c>
      <c r="F62" s="132">
        <f t="shared" si="23"/>
        <v>1327094</v>
      </c>
      <c r="G62" s="132">
        <f t="shared" si="23"/>
        <v>47894</v>
      </c>
      <c r="H62" s="132">
        <f t="shared" si="23"/>
        <v>47894</v>
      </c>
      <c r="I62" s="132">
        <f t="shared" si="23"/>
        <v>1327094</v>
      </c>
      <c r="J62" s="132">
        <f t="shared" si="23"/>
        <v>47894</v>
      </c>
      <c r="K62" s="132">
        <f t="shared" si="23"/>
        <v>47894</v>
      </c>
      <c r="L62" s="132">
        <f t="shared" si="23"/>
        <v>1327094</v>
      </c>
      <c r="M62" s="168">
        <f t="shared" si="23"/>
        <v>47894</v>
      </c>
      <c r="N62" s="78">
        <f>SUM(B62:M62)</f>
        <v>5691528</v>
      </c>
    </row>
    <row r="63" spans="1:14" x14ac:dyDescent="0.2">
      <c r="A63" s="169" t="s">
        <v>156</v>
      </c>
      <c r="B63" s="133">
        <v>0</v>
      </c>
      <c r="C63" s="133">
        <f>('Pessimist Scenario'!H94)/4</f>
        <v>1279200</v>
      </c>
      <c r="D63" s="133">
        <v>0</v>
      </c>
      <c r="E63" s="133">
        <v>0</v>
      </c>
      <c r="F63" s="133">
        <f>('Pessimist Scenario'!H94)/4</f>
        <v>1279200</v>
      </c>
      <c r="G63" s="133">
        <v>0</v>
      </c>
      <c r="H63" s="133">
        <v>0</v>
      </c>
      <c r="I63" s="133">
        <f>('Pessimist Scenario'!H94)/4</f>
        <v>1279200</v>
      </c>
      <c r="J63" s="133">
        <v>0</v>
      </c>
      <c r="K63" s="133">
        <v>0</v>
      </c>
      <c r="L63" s="133">
        <f>('Pessimist Scenario'!H94)/4</f>
        <v>1279200</v>
      </c>
      <c r="M63" s="170">
        <v>0</v>
      </c>
      <c r="N63" s="78">
        <f t="shared" ref="N63:N69" si="24">SUM(B63:M63)</f>
        <v>5116800</v>
      </c>
    </row>
    <row r="64" spans="1:14" x14ac:dyDescent="0.2">
      <c r="A64" s="171" t="s">
        <v>157</v>
      </c>
      <c r="B64" s="134">
        <f>'Pessimist Scenario'!$H$96/12</f>
        <v>47894</v>
      </c>
      <c r="C64" s="134">
        <f>'Pessimist Scenario'!$H$96/12</f>
        <v>47894</v>
      </c>
      <c r="D64" s="134">
        <f>'Pessimist Scenario'!$H$96/12</f>
        <v>47894</v>
      </c>
      <c r="E64" s="134">
        <f>'Pessimist Scenario'!$H$96/12</f>
        <v>47894</v>
      </c>
      <c r="F64" s="134">
        <f>'Pessimist Scenario'!$H$96/12</f>
        <v>47894</v>
      </c>
      <c r="G64" s="134">
        <f>'Pessimist Scenario'!$H$96/12</f>
        <v>47894</v>
      </c>
      <c r="H64" s="134">
        <f>'Pessimist Scenario'!$H$96/12</f>
        <v>47894</v>
      </c>
      <c r="I64" s="134">
        <f>'Pessimist Scenario'!$H$96/12</f>
        <v>47894</v>
      </c>
      <c r="J64" s="134">
        <f>'Pessimist Scenario'!$H$96/12</f>
        <v>47894</v>
      </c>
      <c r="K64" s="134">
        <f>'Pessimist Scenario'!$H$96/12</f>
        <v>47894</v>
      </c>
      <c r="L64" s="134">
        <f>'Pessimist Scenario'!$H$96/12</f>
        <v>47894</v>
      </c>
      <c r="M64" s="172">
        <f>'Pessimist Scenario'!$H$96/12</f>
        <v>47894</v>
      </c>
      <c r="N64" s="78">
        <f t="shared" si="24"/>
        <v>574728</v>
      </c>
    </row>
    <row r="65" spans="1:14" x14ac:dyDescent="0.2">
      <c r="A65" s="167" t="s">
        <v>169</v>
      </c>
      <c r="B65" s="132">
        <f>SUM(B66:B69)</f>
        <v>1140823.5958</v>
      </c>
      <c r="C65" s="132">
        <f t="shared" ref="C65:M65" si="25">SUM(C66:C69)</f>
        <v>74823.595799999981</v>
      </c>
      <c r="D65" s="132">
        <f t="shared" si="25"/>
        <v>59823.595799999988</v>
      </c>
      <c r="E65" s="132">
        <f t="shared" si="25"/>
        <v>1125823.5958</v>
      </c>
      <c r="F65" s="132">
        <f t="shared" si="25"/>
        <v>59823.595799999988</v>
      </c>
      <c r="G65" s="132">
        <f t="shared" si="25"/>
        <v>69823.595799999981</v>
      </c>
      <c r="H65" s="132">
        <f t="shared" si="25"/>
        <v>1125823.5958</v>
      </c>
      <c r="I65" s="132">
        <f t="shared" si="25"/>
        <v>59823.595799999988</v>
      </c>
      <c r="J65" s="132">
        <f t="shared" si="25"/>
        <v>59823.595799999988</v>
      </c>
      <c r="K65" s="132">
        <f t="shared" si="25"/>
        <v>1135823.5958</v>
      </c>
      <c r="L65" s="132">
        <f t="shared" si="25"/>
        <v>59823.595799999988</v>
      </c>
      <c r="M65" s="168">
        <f t="shared" si="25"/>
        <v>59823.595799999988</v>
      </c>
      <c r="N65" s="78">
        <f t="shared" si="24"/>
        <v>5031883.1496000001</v>
      </c>
    </row>
    <row r="66" spans="1:14" x14ac:dyDescent="0.2">
      <c r="A66" s="173" t="s">
        <v>152</v>
      </c>
      <c r="B66" s="135">
        <v>0</v>
      </c>
      <c r="C66" s="135">
        <v>15000</v>
      </c>
      <c r="D66" s="135">
        <v>0</v>
      </c>
      <c r="E66" s="135">
        <v>0</v>
      </c>
      <c r="F66" s="135">
        <v>0</v>
      </c>
      <c r="G66" s="135">
        <v>10000</v>
      </c>
      <c r="H66" s="135">
        <v>0</v>
      </c>
      <c r="I66" s="135">
        <v>0</v>
      </c>
      <c r="J66" s="135">
        <v>0</v>
      </c>
      <c r="K66" s="135">
        <v>10000</v>
      </c>
      <c r="L66" s="135">
        <v>0</v>
      </c>
      <c r="M66" s="174">
        <v>0</v>
      </c>
      <c r="N66" s="78">
        <f t="shared" si="24"/>
        <v>35000</v>
      </c>
    </row>
    <row r="67" spans="1:14" x14ac:dyDescent="0.2">
      <c r="A67" s="173" t="s">
        <v>153</v>
      </c>
      <c r="B67" s="135">
        <f>(('Average Scenario'!$E$120-'Average Scenario'!$E$78)/12)</f>
        <v>59823.595799999988</v>
      </c>
      <c r="C67" s="135">
        <f>(('Average Scenario'!$E$120-'Average Scenario'!$E$78)/12)</f>
        <v>59823.595799999988</v>
      </c>
      <c r="D67" s="135">
        <f>(('Average Scenario'!$E$120-'Average Scenario'!$E$78)/12)</f>
        <v>59823.595799999988</v>
      </c>
      <c r="E67" s="135">
        <f>(('Average Scenario'!$E$120-'Average Scenario'!$E$78)/12)</f>
        <v>59823.595799999988</v>
      </c>
      <c r="F67" s="135">
        <f>(('Average Scenario'!$E$120-'Average Scenario'!$E$78)/12)</f>
        <v>59823.595799999988</v>
      </c>
      <c r="G67" s="135">
        <f>(('Average Scenario'!$E$120-'Average Scenario'!$E$78)/12)</f>
        <v>59823.595799999988</v>
      </c>
      <c r="H67" s="135">
        <f>(('Average Scenario'!$E$120-'Average Scenario'!$E$78)/12)</f>
        <v>59823.595799999988</v>
      </c>
      <c r="I67" s="135">
        <f>(('Average Scenario'!$E$120-'Average Scenario'!$E$78)/12)</f>
        <v>59823.595799999988</v>
      </c>
      <c r="J67" s="135">
        <f>(('Average Scenario'!$E$120-'Average Scenario'!$E$78)/12)</f>
        <v>59823.595799999988</v>
      </c>
      <c r="K67" s="135">
        <f>(('Average Scenario'!$E$120-'Average Scenario'!$E$78)/12)</f>
        <v>59823.595799999988</v>
      </c>
      <c r="L67" s="135">
        <f>(('Average Scenario'!$E$120-'Average Scenario'!$E$78)/12)</f>
        <v>59823.595799999988</v>
      </c>
      <c r="M67" s="174">
        <f>(('Average Scenario'!$E$120-'Average Scenario'!$E$78)/12)</f>
        <v>59823.595799999988</v>
      </c>
      <c r="N67" s="78">
        <f t="shared" si="24"/>
        <v>717883.1496</v>
      </c>
    </row>
    <row r="68" spans="1:14" x14ac:dyDescent="0.2">
      <c r="A68" s="173" t="s">
        <v>161</v>
      </c>
      <c r="B68" s="135">
        <f>'Average Scenario'!E2</f>
        <v>15000</v>
      </c>
      <c r="C68" s="135">
        <v>0</v>
      </c>
      <c r="D68" s="135">
        <v>0</v>
      </c>
      <c r="E68" s="135">
        <v>0</v>
      </c>
      <c r="F68" s="135">
        <v>0</v>
      </c>
      <c r="G68" s="135">
        <v>0</v>
      </c>
      <c r="H68" s="135">
        <v>0</v>
      </c>
      <c r="I68" s="135">
        <v>0</v>
      </c>
      <c r="J68" s="135">
        <v>0</v>
      </c>
      <c r="K68" s="135">
        <v>0</v>
      </c>
      <c r="L68" s="135">
        <v>0</v>
      </c>
      <c r="M68" s="174">
        <v>0</v>
      </c>
      <c r="N68" s="78">
        <f t="shared" si="24"/>
        <v>15000</v>
      </c>
    </row>
    <row r="69" spans="1:14" x14ac:dyDescent="0.2">
      <c r="A69" s="175" t="s">
        <v>170</v>
      </c>
      <c r="B69" s="136">
        <f>'Pessimist Scenario'!H98/4</f>
        <v>1066000</v>
      </c>
      <c r="C69" s="136">
        <v>0</v>
      </c>
      <c r="D69" s="136">
        <v>0</v>
      </c>
      <c r="E69" s="136">
        <f>'Pessimist Scenario'!H98/4</f>
        <v>1066000</v>
      </c>
      <c r="F69" s="136">
        <v>0</v>
      </c>
      <c r="G69" s="136">
        <v>0</v>
      </c>
      <c r="H69" s="136">
        <f>'Pessimist Scenario'!H98/4</f>
        <v>1066000</v>
      </c>
      <c r="I69" s="136">
        <v>0</v>
      </c>
      <c r="J69" s="136">
        <v>0</v>
      </c>
      <c r="K69" s="136">
        <f>'Pessimist Scenario'!H98/4</f>
        <v>1066000</v>
      </c>
      <c r="L69" s="136">
        <v>0</v>
      </c>
      <c r="M69" s="176">
        <v>0</v>
      </c>
      <c r="N69" s="78">
        <f t="shared" si="24"/>
        <v>4264000</v>
      </c>
    </row>
    <row r="70" spans="1:14" x14ac:dyDescent="0.2">
      <c r="A70" s="177" t="s">
        <v>60</v>
      </c>
      <c r="B70" s="163">
        <f>B62-B65</f>
        <v>-1092929.5958</v>
      </c>
      <c r="C70" s="137">
        <f t="shared" ref="C70:M70" si="26">C62-C65</f>
        <v>1252270.4042</v>
      </c>
      <c r="D70" s="137">
        <f t="shared" si="26"/>
        <v>-11929.595799999988</v>
      </c>
      <c r="E70" s="137">
        <f t="shared" si="26"/>
        <v>-1077929.5958</v>
      </c>
      <c r="F70" s="137">
        <f t="shared" si="26"/>
        <v>1267270.4042</v>
      </c>
      <c r="G70" s="137">
        <f t="shared" si="26"/>
        <v>-21929.595799999981</v>
      </c>
      <c r="H70" s="137">
        <f t="shared" si="26"/>
        <v>-1077929.5958</v>
      </c>
      <c r="I70" s="137">
        <f t="shared" si="26"/>
        <v>1267270.4042</v>
      </c>
      <c r="J70" s="137">
        <f t="shared" si="26"/>
        <v>-11929.595799999988</v>
      </c>
      <c r="K70" s="137">
        <f t="shared" si="26"/>
        <v>-1087929.5958</v>
      </c>
      <c r="L70" s="137">
        <f t="shared" si="26"/>
        <v>1267270.4042</v>
      </c>
      <c r="M70" s="74">
        <f t="shared" si="26"/>
        <v>-11929.595799999988</v>
      </c>
      <c r="N70" s="78"/>
    </row>
    <row r="71" spans="1:14" x14ac:dyDescent="0.2">
      <c r="A71" s="178" t="s">
        <v>154</v>
      </c>
      <c r="B71" s="138">
        <v>0</v>
      </c>
      <c r="C71" s="138">
        <v>0</v>
      </c>
      <c r="D71" s="138">
        <v>0</v>
      </c>
      <c r="E71" s="138">
        <v>0</v>
      </c>
      <c r="F71" s="138">
        <v>0</v>
      </c>
      <c r="G71" s="138">
        <v>0</v>
      </c>
      <c r="H71" s="138">
        <v>0</v>
      </c>
      <c r="I71" s="138">
        <v>0</v>
      </c>
      <c r="J71" s="138">
        <v>0</v>
      </c>
      <c r="K71" s="138">
        <v>0</v>
      </c>
      <c r="L71" s="138">
        <v>0</v>
      </c>
      <c r="M71" s="179">
        <v>0</v>
      </c>
      <c r="N71" s="78">
        <f t="shared" ref="N71:N72" si="27">SUM(B71:M71)</f>
        <v>0</v>
      </c>
    </row>
    <row r="72" spans="1:14" x14ac:dyDescent="0.2">
      <c r="A72" s="180" t="s">
        <v>171</v>
      </c>
      <c r="B72" s="135">
        <f>'Amortization Credit 1'!$C$2+'Amortization Credit 2'!$C$2+'Pessimist Amortization Credit 3'!$C$2</f>
        <v>25397</v>
      </c>
      <c r="C72" s="135">
        <f>'Amortization Credit 1'!$C$2+'Amortization Credit 2'!$C$2+'Pessimist Amortization Credit 3'!$C$2</f>
        <v>25397</v>
      </c>
      <c r="D72" s="135">
        <f>'Amortization Credit 1'!$C$2+'Amortization Credit 2'!$C$2+'Pessimist Amortization Credit 3'!$C$2</f>
        <v>25397</v>
      </c>
      <c r="E72" s="135">
        <f>'Amortization Credit 1'!$C$2+'Amortization Credit 2'!$C$2+'Pessimist Amortization Credit 3'!$C$2</f>
        <v>25397</v>
      </c>
      <c r="F72" s="135">
        <f>'Amortization Credit 1'!$C$2+'Amortization Credit 2'!$C$2+'Pessimist Amortization Credit 3'!$C$2</f>
        <v>25397</v>
      </c>
      <c r="G72" s="135">
        <f>'Amortization Credit 1'!$C$2+'Amortization Credit 2'!$C$2+'Pessimist Amortization Credit 3'!$C$2</f>
        <v>25397</v>
      </c>
      <c r="H72" s="135">
        <f>'Amortization Credit 1'!$C$2+'Amortization Credit 2'!$C$2+'Pessimist Amortization Credit 3'!$C$2</f>
        <v>25397</v>
      </c>
      <c r="I72" s="135">
        <f>'Amortization Credit 1'!$C$2+'Amortization Credit 2'!$C$2+'Pessimist Amortization Credit 3'!$C$2</f>
        <v>25397</v>
      </c>
      <c r="J72" s="135">
        <f>'Amortization Credit 1'!$C$2+'Amortization Credit 2'!$C$2+'Pessimist Amortization Credit 3'!$C$2</f>
        <v>25397</v>
      </c>
      <c r="K72" s="135">
        <f>'Amortization Credit 1'!$C$2+'Amortization Credit 2'!$C$2+'Pessimist Amortization Credit 3'!$C$2</f>
        <v>25397</v>
      </c>
      <c r="L72" s="135">
        <f>'Amortization Credit 1'!$C$2+'Amortization Credit 2'!$C$2+'Pessimist Amortization Credit 3'!$C$2</f>
        <v>25397</v>
      </c>
      <c r="M72" s="174">
        <f>'Amortization Credit 1'!$C$2+'Amortization Credit 2'!$C$2+'Pessimist Amortization Credit 3'!$C$2</f>
        <v>25397</v>
      </c>
      <c r="N72" s="78">
        <f t="shared" si="27"/>
        <v>304764</v>
      </c>
    </row>
    <row r="73" spans="1:14" x14ac:dyDescent="0.2">
      <c r="A73" s="180" t="s">
        <v>159</v>
      </c>
      <c r="B73" s="135">
        <v>0</v>
      </c>
      <c r="C73" s="135">
        <v>0</v>
      </c>
      <c r="D73" s="135">
        <v>0</v>
      </c>
      <c r="E73" s="135">
        <v>0</v>
      </c>
      <c r="F73" s="135">
        <v>0</v>
      </c>
      <c r="G73" s="135">
        <v>0</v>
      </c>
      <c r="H73" s="135">
        <v>0</v>
      </c>
      <c r="I73" s="135">
        <v>0</v>
      </c>
      <c r="J73" s="135">
        <v>0</v>
      </c>
      <c r="K73" s="135">
        <v>0</v>
      </c>
      <c r="L73" s="135">
        <v>0</v>
      </c>
      <c r="M73" s="174">
        <f>'Average Scenario'!H107</f>
        <v>741110.9855999999</v>
      </c>
      <c r="N73" s="78"/>
    </row>
    <row r="74" spans="1:14" x14ac:dyDescent="0.2">
      <c r="A74" s="184" t="s">
        <v>160</v>
      </c>
      <c r="B74" s="134">
        <v>0</v>
      </c>
      <c r="C74" s="134">
        <v>0</v>
      </c>
      <c r="D74" s="134">
        <v>0</v>
      </c>
      <c r="E74" s="134">
        <v>0</v>
      </c>
      <c r="F74" s="134">
        <v>0</v>
      </c>
      <c r="G74" s="134">
        <v>0</v>
      </c>
      <c r="H74" s="134">
        <v>0</v>
      </c>
      <c r="I74" s="134">
        <v>0</v>
      </c>
      <c r="J74" s="134">
        <v>0</v>
      </c>
      <c r="K74" s="134">
        <v>0</v>
      </c>
      <c r="L74" s="134">
        <v>0</v>
      </c>
      <c r="M74" s="172">
        <f>'Average Scenario'!H110</f>
        <v>21666.666666666664</v>
      </c>
      <c r="N74" s="78"/>
    </row>
    <row r="75" spans="1:14" x14ac:dyDescent="0.2">
      <c r="A75" s="177" t="s">
        <v>62</v>
      </c>
      <c r="B75" s="163">
        <f>B70+B71-B72-B73+B74</f>
        <v>-1118326.5958</v>
      </c>
      <c r="C75" s="163">
        <f t="shared" ref="C75:M75" si="28">C70+C71-C72-C73+C74</f>
        <v>1226873.4042</v>
      </c>
      <c r="D75" s="163">
        <f t="shared" si="28"/>
        <v>-37326.595799999988</v>
      </c>
      <c r="E75" s="163">
        <f t="shared" si="28"/>
        <v>-1103326.5958</v>
      </c>
      <c r="F75" s="163">
        <f t="shared" si="28"/>
        <v>1241873.4042</v>
      </c>
      <c r="G75" s="163">
        <f t="shared" si="28"/>
        <v>-47326.595799999981</v>
      </c>
      <c r="H75" s="163">
        <f t="shared" si="28"/>
        <v>-1103326.5958</v>
      </c>
      <c r="I75" s="163">
        <f t="shared" si="28"/>
        <v>1241873.4042</v>
      </c>
      <c r="J75" s="163">
        <f t="shared" si="28"/>
        <v>-37326.595799999988</v>
      </c>
      <c r="K75" s="163">
        <f t="shared" si="28"/>
        <v>-1113326.5958</v>
      </c>
      <c r="L75" s="163">
        <f t="shared" si="28"/>
        <v>1241873.4042</v>
      </c>
      <c r="M75" s="217">
        <f t="shared" si="28"/>
        <v>-756770.91473333328</v>
      </c>
      <c r="N75" s="78"/>
    </row>
    <row r="76" spans="1:14" x14ac:dyDescent="0.2">
      <c r="A76" s="177" t="s">
        <v>63</v>
      </c>
      <c r="B76" s="163">
        <f>B75/(1+8%)^4</f>
        <v>-822003.43308923265</v>
      </c>
      <c r="C76" s="137">
        <f t="shared" ref="C76:M76" si="29">C75/(1+8%)^4</f>
        <v>901788.57768900949</v>
      </c>
      <c r="D76" s="137">
        <f t="shared" si="29"/>
        <v>-27436.162216266701</v>
      </c>
      <c r="E76" s="137">
        <f t="shared" si="29"/>
        <v>-810977.98529728584</v>
      </c>
      <c r="F76" s="137">
        <f t="shared" si="29"/>
        <v>912814.0254809563</v>
      </c>
      <c r="G76" s="137">
        <f t="shared" si="29"/>
        <v>-34786.460744231226</v>
      </c>
      <c r="H76" s="137">
        <f t="shared" si="29"/>
        <v>-810977.98529728584</v>
      </c>
      <c r="I76" s="137">
        <f t="shared" si="29"/>
        <v>912814.0254809563</v>
      </c>
      <c r="J76" s="137">
        <f t="shared" si="29"/>
        <v>-27436.162216266701</v>
      </c>
      <c r="K76" s="137">
        <f t="shared" si="29"/>
        <v>-818328.28382525046</v>
      </c>
      <c r="L76" s="137">
        <f t="shared" si="29"/>
        <v>912814.0254809563</v>
      </c>
      <c r="M76" s="74">
        <f t="shared" si="29"/>
        <v>-556249.21405707928</v>
      </c>
      <c r="N76" s="78"/>
    </row>
    <row r="77" spans="1:14" ht="17" thickBot="1" x14ac:dyDescent="0.25">
      <c r="A77" s="46" t="s">
        <v>158</v>
      </c>
      <c r="B77" s="183">
        <f>M56+B76</f>
        <v>27212.12667333649</v>
      </c>
      <c r="C77" s="64">
        <f>B77+C76</f>
        <v>929000.70436234598</v>
      </c>
      <c r="D77" s="64">
        <f t="shared" ref="D77:M77" si="30">C77+D76</f>
        <v>901564.54214607924</v>
      </c>
      <c r="E77" s="64">
        <f t="shared" si="30"/>
        <v>90586.556848793407</v>
      </c>
      <c r="F77" s="64">
        <f t="shared" si="30"/>
        <v>1003400.5823297497</v>
      </c>
      <c r="G77" s="64">
        <f t="shared" si="30"/>
        <v>968614.12158551847</v>
      </c>
      <c r="H77" s="64">
        <f t="shared" si="30"/>
        <v>157636.13628823264</v>
      </c>
      <c r="I77" s="64">
        <f t="shared" si="30"/>
        <v>1070450.1617691889</v>
      </c>
      <c r="J77" s="64">
        <f t="shared" si="30"/>
        <v>1043013.9995529222</v>
      </c>
      <c r="K77" s="64">
        <f t="shared" si="30"/>
        <v>224685.71572767175</v>
      </c>
      <c r="L77" s="64">
        <f t="shared" si="30"/>
        <v>1137499.7412086281</v>
      </c>
      <c r="M77" s="65">
        <f t="shared" si="30"/>
        <v>581250.52715154877</v>
      </c>
    </row>
    <row r="81" spans="1:14" ht="17" thickBot="1" x14ac:dyDescent="0.25"/>
    <row r="82" spans="1:14" x14ac:dyDescent="0.2">
      <c r="A82" s="88">
        <v>2022</v>
      </c>
      <c r="B82" s="164">
        <v>44562</v>
      </c>
      <c r="C82" s="165">
        <v>44593</v>
      </c>
      <c r="D82" s="165">
        <v>44621</v>
      </c>
      <c r="E82" s="165">
        <v>44652</v>
      </c>
      <c r="F82" s="165">
        <v>44682</v>
      </c>
      <c r="G82" s="165">
        <v>44713</v>
      </c>
      <c r="H82" s="165">
        <v>44743</v>
      </c>
      <c r="I82" s="165">
        <v>44774</v>
      </c>
      <c r="J82" s="165">
        <v>44805</v>
      </c>
      <c r="K82" s="165">
        <v>44835</v>
      </c>
      <c r="L82" s="165">
        <v>44866</v>
      </c>
      <c r="M82" s="166">
        <v>44896</v>
      </c>
      <c r="N82" t="s">
        <v>155</v>
      </c>
    </row>
    <row r="83" spans="1:14" x14ac:dyDescent="0.2">
      <c r="A83" s="167" t="s">
        <v>168</v>
      </c>
      <c r="B83" s="132">
        <f>SUM(B84:B85)</f>
        <v>68938.333333333328</v>
      </c>
      <c r="C83" s="132">
        <f t="shared" ref="C83:M83" si="31">SUM(C84:C85)</f>
        <v>1495738.3333333333</v>
      </c>
      <c r="D83" s="132">
        <f t="shared" si="31"/>
        <v>68938.333333333328</v>
      </c>
      <c r="E83" s="132">
        <f t="shared" si="31"/>
        <v>68938.333333333328</v>
      </c>
      <c r="F83" s="132">
        <f t="shared" si="31"/>
        <v>1495738.3333333333</v>
      </c>
      <c r="G83" s="132">
        <f t="shared" si="31"/>
        <v>68938.333333333328</v>
      </c>
      <c r="H83" s="132">
        <f t="shared" si="31"/>
        <v>68938.333333333328</v>
      </c>
      <c r="I83" s="132">
        <f t="shared" si="31"/>
        <v>1495738.3333333333</v>
      </c>
      <c r="J83" s="132">
        <f t="shared" si="31"/>
        <v>68938.333333333328</v>
      </c>
      <c r="K83" s="132">
        <f t="shared" si="31"/>
        <v>68938.333333333328</v>
      </c>
      <c r="L83" s="132">
        <f t="shared" si="31"/>
        <v>1495738.3333333333</v>
      </c>
      <c r="M83" s="168">
        <f t="shared" si="31"/>
        <v>68938.333333333328</v>
      </c>
      <c r="N83" s="78">
        <f>SUM(B83:M83)</f>
        <v>6534459.9999999981</v>
      </c>
    </row>
    <row r="84" spans="1:14" x14ac:dyDescent="0.2">
      <c r="A84" s="169" t="s">
        <v>156</v>
      </c>
      <c r="B84" s="133">
        <v>0</v>
      </c>
      <c r="C84" s="133">
        <f>('Pessimist Scenario'!J94)/4</f>
        <v>1426800</v>
      </c>
      <c r="D84" s="133">
        <v>0</v>
      </c>
      <c r="E84" s="133">
        <v>0</v>
      </c>
      <c r="F84" s="133">
        <f>('Pessimist Scenario'!J94)/4</f>
        <v>1426800</v>
      </c>
      <c r="G84" s="133">
        <v>0</v>
      </c>
      <c r="H84" s="133">
        <v>0</v>
      </c>
      <c r="I84" s="133">
        <f>('Pessimist Scenario'!J94)/4</f>
        <v>1426800</v>
      </c>
      <c r="J84" s="133">
        <v>0</v>
      </c>
      <c r="K84" s="133">
        <v>0</v>
      </c>
      <c r="L84" s="133">
        <f>('Pessimist Scenario'!J94)/4</f>
        <v>1426800</v>
      </c>
      <c r="M84" s="170">
        <v>0</v>
      </c>
      <c r="N84" s="78">
        <f t="shared" ref="N84:N90" si="32">SUM(B84:M84)</f>
        <v>5707200</v>
      </c>
    </row>
    <row r="85" spans="1:14" x14ac:dyDescent="0.2">
      <c r="A85" s="171" t="s">
        <v>157</v>
      </c>
      <c r="B85" s="134">
        <f>'Pessimist Scenario'!$J$96/12</f>
        <v>68938.333333333328</v>
      </c>
      <c r="C85" s="134">
        <f>'Pessimist Scenario'!$J$96/12</f>
        <v>68938.333333333328</v>
      </c>
      <c r="D85" s="134">
        <f>'Pessimist Scenario'!$J$96/12</f>
        <v>68938.333333333328</v>
      </c>
      <c r="E85" s="134">
        <f>'Pessimist Scenario'!$J$96/12</f>
        <v>68938.333333333328</v>
      </c>
      <c r="F85" s="134">
        <f>'Pessimist Scenario'!$J$96/12</f>
        <v>68938.333333333328</v>
      </c>
      <c r="G85" s="134">
        <f>'Pessimist Scenario'!$J$96/12</f>
        <v>68938.333333333328</v>
      </c>
      <c r="H85" s="134">
        <f>'Pessimist Scenario'!$J$96/12</f>
        <v>68938.333333333328</v>
      </c>
      <c r="I85" s="134">
        <f>'Pessimist Scenario'!$J$96/12</f>
        <v>68938.333333333328</v>
      </c>
      <c r="J85" s="134">
        <f>'Pessimist Scenario'!$J$96/12</f>
        <v>68938.333333333328</v>
      </c>
      <c r="K85" s="134">
        <f>'Pessimist Scenario'!$J$96/12</f>
        <v>68938.333333333328</v>
      </c>
      <c r="L85" s="134">
        <f>'Pessimist Scenario'!$J$96/12</f>
        <v>68938.333333333328</v>
      </c>
      <c r="M85" s="172">
        <f>'Pessimist Scenario'!$J$96/12</f>
        <v>68938.333333333328</v>
      </c>
      <c r="N85" s="78">
        <f t="shared" si="32"/>
        <v>827260.00000000012</v>
      </c>
    </row>
    <row r="86" spans="1:14" x14ac:dyDescent="0.2">
      <c r="A86" s="167" t="s">
        <v>169</v>
      </c>
      <c r="B86" s="132">
        <f>SUM(B87:B90)</f>
        <v>1271129.0069733334</v>
      </c>
      <c r="C86" s="132">
        <f t="shared" ref="C86:M86" si="33">SUM(C87:C90)</f>
        <v>82129.006973333322</v>
      </c>
      <c r="D86" s="132">
        <f t="shared" si="33"/>
        <v>67129.006973333322</v>
      </c>
      <c r="E86" s="132">
        <f t="shared" si="33"/>
        <v>1256129.0069733334</v>
      </c>
      <c r="F86" s="132">
        <f t="shared" si="33"/>
        <v>67129.006973333322</v>
      </c>
      <c r="G86" s="132">
        <f t="shared" si="33"/>
        <v>77129.006973333322</v>
      </c>
      <c r="H86" s="132">
        <f t="shared" si="33"/>
        <v>1256129.0069733334</v>
      </c>
      <c r="I86" s="132">
        <f t="shared" si="33"/>
        <v>67129.006973333322</v>
      </c>
      <c r="J86" s="132">
        <f t="shared" si="33"/>
        <v>67129.006973333322</v>
      </c>
      <c r="K86" s="132">
        <f t="shared" si="33"/>
        <v>1266129.0069733334</v>
      </c>
      <c r="L86" s="132">
        <f t="shared" si="33"/>
        <v>67129.006973333322</v>
      </c>
      <c r="M86" s="168">
        <f t="shared" si="33"/>
        <v>67129.006973333322</v>
      </c>
      <c r="N86" s="78">
        <f t="shared" si="32"/>
        <v>5611548.0836800011</v>
      </c>
    </row>
    <row r="87" spans="1:14" x14ac:dyDescent="0.2">
      <c r="A87" s="173" t="s">
        <v>152</v>
      </c>
      <c r="B87" s="135">
        <v>0</v>
      </c>
      <c r="C87" s="135">
        <v>15000</v>
      </c>
      <c r="D87" s="135">
        <v>0</v>
      </c>
      <c r="E87" s="135">
        <v>0</v>
      </c>
      <c r="F87" s="135">
        <v>0</v>
      </c>
      <c r="G87" s="135">
        <v>10000</v>
      </c>
      <c r="H87" s="135">
        <v>0</v>
      </c>
      <c r="I87" s="135">
        <v>0</v>
      </c>
      <c r="J87" s="135">
        <v>0</v>
      </c>
      <c r="K87" s="135">
        <v>10000</v>
      </c>
      <c r="L87" s="135">
        <v>0</v>
      </c>
      <c r="M87" s="174">
        <v>0</v>
      </c>
      <c r="N87" s="78">
        <f t="shared" si="32"/>
        <v>35000</v>
      </c>
    </row>
    <row r="88" spans="1:14" x14ac:dyDescent="0.2">
      <c r="A88" s="173" t="s">
        <v>153</v>
      </c>
      <c r="B88" s="135">
        <f>(('Average Scenario'!$F$120-'Average Scenario'!$F$78)/12)</f>
        <v>67129.006973333322</v>
      </c>
      <c r="C88" s="135">
        <f>(('Average Scenario'!$F$120-'Average Scenario'!$F$78)/12)</f>
        <v>67129.006973333322</v>
      </c>
      <c r="D88" s="135">
        <f>(('Average Scenario'!$F$120-'Average Scenario'!$F$78)/12)</f>
        <v>67129.006973333322</v>
      </c>
      <c r="E88" s="135">
        <f>(('Average Scenario'!$F$120-'Average Scenario'!$F$78)/12)</f>
        <v>67129.006973333322</v>
      </c>
      <c r="F88" s="135">
        <f>(('Average Scenario'!$F$120-'Average Scenario'!$F$78)/12)</f>
        <v>67129.006973333322</v>
      </c>
      <c r="G88" s="135">
        <f>(('Average Scenario'!$F$120-'Average Scenario'!$F$78)/12)</f>
        <v>67129.006973333322</v>
      </c>
      <c r="H88" s="135">
        <f>(('Average Scenario'!$F$120-'Average Scenario'!$F$78)/12)</f>
        <v>67129.006973333322</v>
      </c>
      <c r="I88" s="135">
        <f>(('Average Scenario'!$F$120-'Average Scenario'!$F$78)/12)</f>
        <v>67129.006973333322</v>
      </c>
      <c r="J88" s="135">
        <f>(('Average Scenario'!$F$120-'Average Scenario'!$F$78)/12)</f>
        <v>67129.006973333322</v>
      </c>
      <c r="K88" s="135">
        <f>(('Average Scenario'!$F$120-'Average Scenario'!$F$78)/12)</f>
        <v>67129.006973333322</v>
      </c>
      <c r="L88" s="135">
        <f>(('Average Scenario'!$F$120-'Average Scenario'!$F$78)/12)</f>
        <v>67129.006973333322</v>
      </c>
      <c r="M88" s="174">
        <f>(('Average Scenario'!$F$120-'Average Scenario'!$F$78)/12)</f>
        <v>67129.006973333322</v>
      </c>
      <c r="N88" s="78">
        <f t="shared" si="32"/>
        <v>805548.08367999981</v>
      </c>
    </row>
    <row r="89" spans="1:14" x14ac:dyDescent="0.2">
      <c r="A89" s="173" t="s">
        <v>161</v>
      </c>
      <c r="B89" s="135">
        <f>'Average Scenario'!F2</f>
        <v>15000</v>
      </c>
      <c r="C89" s="135">
        <v>0</v>
      </c>
      <c r="D89" s="135">
        <v>0</v>
      </c>
      <c r="E89" s="135">
        <v>0</v>
      </c>
      <c r="F89" s="135">
        <v>0</v>
      </c>
      <c r="G89" s="135">
        <v>0</v>
      </c>
      <c r="H89" s="135">
        <v>0</v>
      </c>
      <c r="I89" s="135">
        <v>0</v>
      </c>
      <c r="J89" s="135">
        <v>0</v>
      </c>
      <c r="K89" s="135">
        <v>0</v>
      </c>
      <c r="L89" s="135">
        <v>0</v>
      </c>
      <c r="M89" s="174">
        <v>0</v>
      </c>
      <c r="N89" s="78">
        <f t="shared" si="32"/>
        <v>15000</v>
      </c>
    </row>
    <row r="90" spans="1:14" x14ac:dyDescent="0.2">
      <c r="A90" s="175" t="s">
        <v>170</v>
      </c>
      <c r="B90" s="136">
        <f>'Pessimist Scenario'!J98/4</f>
        <v>1189000</v>
      </c>
      <c r="C90" s="136">
        <v>0</v>
      </c>
      <c r="D90" s="136">
        <v>0</v>
      </c>
      <c r="E90" s="136">
        <f>'Pessimist Scenario'!J98/4</f>
        <v>1189000</v>
      </c>
      <c r="F90" s="136">
        <v>0</v>
      </c>
      <c r="G90" s="136">
        <v>0</v>
      </c>
      <c r="H90" s="136">
        <f>'Pessimist Scenario'!J98/4</f>
        <v>1189000</v>
      </c>
      <c r="I90" s="136">
        <v>0</v>
      </c>
      <c r="J90" s="136">
        <v>0</v>
      </c>
      <c r="K90" s="136">
        <f>'Pessimist Scenario'!J98/4</f>
        <v>1189000</v>
      </c>
      <c r="L90" s="136">
        <v>0</v>
      </c>
      <c r="M90" s="176">
        <v>0</v>
      </c>
      <c r="N90" s="78">
        <f t="shared" si="32"/>
        <v>4756000</v>
      </c>
    </row>
    <row r="91" spans="1:14" x14ac:dyDescent="0.2">
      <c r="A91" s="177" t="s">
        <v>60</v>
      </c>
      <c r="B91" s="163">
        <f>B83-B86</f>
        <v>-1202190.6736400002</v>
      </c>
      <c r="C91" s="137">
        <f t="shared" ref="C91:M91" si="34">C83-C86</f>
        <v>1413609.3263599998</v>
      </c>
      <c r="D91" s="137">
        <f t="shared" si="34"/>
        <v>1809.3263600000064</v>
      </c>
      <c r="E91" s="137">
        <f t="shared" si="34"/>
        <v>-1187190.6736400002</v>
      </c>
      <c r="F91" s="137">
        <f t="shared" si="34"/>
        <v>1428609.3263599998</v>
      </c>
      <c r="G91" s="137">
        <f t="shared" si="34"/>
        <v>-8190.6736399999936</v>
      </c>
      <c r="H91" s="137">
        <f t="shared" si="34"/>
        <v>-1187190.6736400002</v>
      </c>
      <c r="I91" s="137">
        <f t="shared" si="34"/>
        <v>1428609.3263599998</v>
      </c>
      <c r="J91" s="137">
        <f t="shared" si="34"/>
        <v>1809.3263600000064</v>
      </c>
      <c r="K91" s="137">
        <f t="shared" si="34"/>
        <v>-1197190.6736400002</v>
      </c>
      <c r="L91" s="137">
        <f t="shared" si="34"/>
        <v>1428609.3263599998</v>
      </c>
      <c r="M91" s="74">
        <f t="shared" si="34"/>
        <v>1809.3263600000064</v>
      </c>
      <c r="N91" s="78"/>
    </row>
    <row r="92" spans="1:14" x14ac:dyDescent="0.2">
      <c r="A92" s="178" t="s">
        <v>154</v>
      </c>
      <c r="B92" s="138">
        <v>400000</v>
      </c>
      <c r="C92" s="138">
        <v>0</v>
      </c>
      <c r="D92" s="138">
        <v>0</v>
      </c>
      <c r="E92" s="138">
        <v>0</v>
      </c>
      <c r="F92" s="138">
        <v>0</v>
      </c>
      <c r="G92" s="138">
        <v>0</v>
      </c>
      <c r="H92" s="138">
        <v>0</v>
      </c>
      <c r="I92" s="138">
        <v>0</v>
      </c>
      <c r="J92" s="138">
        <v>0</v>
      </c>
      <c r="K92" s="138">
        <v>0</v>
      </c>
      <c r="L92" s="138">
        <v>0</v>
      </c>
      <c r="M92" s="179">
        <v>0</v>
      </c>
      <c r="N92" s="78">
        <f t="shared" ref="N92:N95" si="35">SUM(B92:M92)</f>
        <v>400000</v>
      </c>
    </row>
    <row r="93" spans="1:14" x14ac:dyDescent="0.2">
      <c r="A93" s="180" t="s">
        <v>171</v>
      </c>
      <c r="B93" s="135">
        <f>'Amortization Credit 1'!$C$2+'Amortization Credit 2'!$C$2+'Pessimist Amortization Credit 3'!$C$2+'Pessimist Amortization Credit 4'!$C$2</f>
        <v>30464</v>
      </c>
      <c r="C93" s="135">
        <f>'Amortization Credit 1'!$C$2+'Amortization Credit 2'!$C$2+'Pessimist Amortization Credit 3'!$C$2+'Pessimist Amortization Credit 4'!$C$2</f>
        <v>30464</v>
      </c>
      <c r="D93" s="135">
        <f>'Amortization Credit 1'!$C$2+'Amortization Credit 2'!$C$2+'Pessimist Amortization Credit 3'!$C$2+'Pessimist Amortization Credit 4'!$C$2</f>
        <v>30464</v>
      </c>
      <c r="E93" s="135">
        <f>'Amortization Credit 1'!$C$2+'Amortization Credit 2'!$C$2+'Pessimist Amortization Credit 3'!$C$2+'Pessimist Amortization Credit 4'!$C$2</f>
        <v>30464</v>
      </c>
      <c r="F93" s="135">
        <f>'Amortization Credit 1'!$C$2+'Amortization Credit 2'!$C$2+'Pessimist Amortization Credit 3'!$C$2+'Pessimist Amortization Credit 4'!$C$2</f>
        <v>30464</v>
      </c>
      <c r="G93" s="135">
        <f>'Amortization Credit 1'!$C$2+'Amortization Credit 2'!$C$2+'Pessimist Amortization Credit 3'!$C$2+'Pessimist Amortization Credit 4'!$C$2</f>
        <v>30464</v>
      </c>
      <c r="H93" s="135">
        <f>'Amortization Credit 1'!$C$2+'Amortization Credit 2'!$C$2+'Pessimist Amortization Credit 3'!$C$2+'Pessimist Amortization Credit 4'!$C$2</f>
        <v>30464</v>
      </c>
      <c r="I93" s="135">
        <f>'Amortization Credit 1'!$C$2+'Amortization Credit 2'!$C$2+'Pessimist Amortization Credit 3'!$C$2+'Pessimist Amortization Credit 4'!$C$2</f>
        <v>30464</v>
      </c>
      <c r="J93" s="135">
        <f>'Amortization Credit 1'!$C$2+'Amortization Credit 2'!$C$2+'Pessimist Amortization Credit 3'!$C$2+'Pessimist Amortization Credit 4'!$C$2</f>
        <v>30464</v>
      </c>
      <c r="K93" s="135">
        <f>'Amortization Credit 1'!$C$2+'Amortization Credit 2'!$C$2+'Pessimist Amortization Credit 3'!$C$2+'Pessimist Amortization Credit 4'!$C$2</f>
        <v>30464</v>
      </c>
      <c r="L93" s="135">
        <f>'Amortization Credit 1'!$C$2+'Amortization Credit 2'!$C$2+'Pessimist Amortization Credit 3'!$C$2+'Pessimist Amortization Credit 4'!$C$2</f>
        <v>30464</v>
      </c>
      <c r="M93" s="174">
        <f>'Amortization Credit 1'!$C$2+'Amortization Credit 2'!$C$2+'Pessimist Amortization Credit 3'!$C$2+'Pessimist Amortization Credit 4'!$C$2</f>
        <v>30464</v>
      </c>
      <c r="N93" s="78">
        <f t="shared" si="35"/>
        <v>365568</v>
      </c>
    </row>
    <row r="94" spans="1:14" x14ac:dyDescent="0.2">
      <c r="A94" s="181" t="s">
        <v>159</v>
      </c>
      <c r="B94" s="135">
        <v>0</v>
      </c>
      <c r="C94" s="135">
        <v>0</v>
      </c>
      <c r="D94" s="135">
        <v>0</v>
      </c>
      <c r="E94" s="135">
        <v>0</v>
      </c>
      <c r="F94" s="135">
        <v>0</v>
      </c>
      <c r="G94" s="135">
        <v>0</v>
      </c>
      <c r="H94" s="135">
        <v>0</v>
      </c>
      <c r="I94" s="135">
        <v>0</v>
      </c>
      <c r="J94" s="135">
        <v>0</v>
      </c>
      <c r="K94" s="135">
        <v>0</v>
      </c>
      <c r="L94" s="135">
        <v>0</v>
      </c>
      <c r="M94" s="174">
        <f>'Average Scenario'!J107</f>
        <v>838753.62639999995</v>
      </c>
      <c r="N94" s="78">
        <f t="shared" si="35"/>
        <v>838753.62639999995</v>
      </c>
    </row>
    <row r="95" spans="1:14" x14ac:dyDescent="0.2">
      <c r="A95" s="182" t="s">
        <v>160</v>
      </c>
      <c r="B95" s="134">
        <v>0</v>
      </c>
      <c r="C95" s="134">
        <v>0</v>
      </c>
      <c r="D95" s="134">
        <v>0</v>
      </c>
      <c r="E95" s="134">
        <v>0</v>
      </c>
      <c r="F95" s="134">
        <v>0</v>
      </c>
      <c r="G95" s="134">
        <v>0</v>
      </c>
      <c r="H95" s="134">
        <v>0</v>
      </c>
      <c r="I95" s="134">
        <v>0</v>
      </c>
      <c r="J95" s="134">
        <v>0</v>
      </c>
      <c r="K95" s="134">
        <v>0</v>
      </c>
      <c r="L95" s="134">
        <v>0</v>
      </c>
      <c r="M95" s="172">
        <f>'Average Scenario'!J110</f>
        <v>21666.666666666664</v>
      </c>
      <c r="N95" s="78">
        <f t="shared" si="35"/>
        <v>21666.666666666664</v>
      </c>
    </row>
    <row r="96" spans="1:14" x14ac:dyDescent="0.2">
      <c r="A96" s="177" t="s">
        <v>62</v>
      </c>
      <c r="B96" s="163">
        <f>B91+B92-B93-B94+B95</f>
        <v>-832654.67364000017</v>
      </c>
      <c r="C96" s="163">
        <f t="shared" ref="C96:M96" si="36">C91+C92-C93-C94+C95</f>
        <v>1383145.3263599998</v>
      </c>
      <c r="D96" s="163">
        <f t="shared" si="36"/>
        <v>-28654.673639999994</v>
      </c>
      <c r="E96" s="163">
        <f t="shared" si="36"/>
        <v>-1217654.6736400002</v>
      </c>
      <c r="F96" s="163">
        <f t="shared" si="36"/>
        <v>1398145.3263599998</v>
      </c>
      <c r="G96" s="163">
        <f t="shared" si="36"/>
        <v>-38654.673639999994</v>
      </c>
      <c r="H96" s="163">
        <f t="shared" si="36"/>
        <v>-1217654.6736400002</v>
      </c>
      <c r="I96" s="163">
        <f t="shared" si="36"/>
        <v>1398145.3263599998</v>
      </c>
      <c r="J96" s="163">
        <f t="shared" si="36"/>
        <v>-28654.673639999994</v>
      </c>
      <c r="K96" s="163">
        <f t="shared" si="36"/>
        <v>-1227654.6736400002</v>
      </c>
      <c r="L96" s="163">
        <f t="shared" si="36"/>
        <v>1398145.3263599998</v>
      </c>
      <c r="M96" s="217">
        <f t="shared" si="36"/>
        <v>-845741.63337333326</v>
      </c>
      <c r="N96" s="78"/>
    </row>
    <row r="97" spans="1:14" x14ac:dyDescent="0.2">
      <c r="A97" s="177" t="s">
        <v>63</v>
      </c>
      <c r="B97" s="163">
        <f>B96/(1+8%)^5</f>
        <v>-566690.77981100755</v>
      </c>
      <c r="C97" s="137">
        <f t="shared" ref="C97:M97" si="37">C96/(1+8%)^5</f>
        <v>941345.46817638236</v>
      </c>
      <c r="D97" s="137">
        <f t="shared" si="37"/>
        <v>-19501.889395870003</v>
      </c>
      <c r="E97" s="137">
        <f t="shared" si="37"/>
        <v>-828715.31066900247</v>
      </c>
      <c r="F97" s="137">
        <f t="shared" si="37"/>
        <v>951554.21613188868</v>
      </c>
      <c r="G97" s="137">
        <f t="shared" si="37"/>
        <v>-26307.721366207534</v>
      </c>
      <c r="H97" s="137">
        <f t="shared" si="37"/>
        <v>-828715.31066900247</v>
      </c>
      <c r="I97" s="137">
        <f t="shared" si="37"/>
        <v>951554.21613188868</v>
      </c>
      <c r="J97" s="137">
        <f t="shared" si="37"/>
        <v>-19501.889395870003</v>
      </c>
      <c r="K97" s="137">
        <f t="shared" si="37"/>
        <v>-835521.14263934002</v>
      </c>
      <c r="L97" s="137">
        <f t="shared" si="37"/>
        <v>951554.21613188868</v>
      </c>
      <c r="M97" s="74">
        <f t="shared" si="37"/>
        <v>-575597.54470577138</v>
      </c>
      <c r="N97" s="78"/>
    </row>
    <row r="98" spans="1:14" ht="17" thickBot="1" x14ac:dyDescent="0.25">
      <c r="A98" s="46" t="s">
        <v>158</v>
      </c>
      <c r="B98" s="183">
        <f>B97+M77</f>
        <v>14559.747340541217</v>
      </c>
      <c r="C98" s="64">
        <f>B98+C97</f>
        <v>955905.21551692358</v>
      </c>
      <c r="D98" s="64">
        <f t="shared" ref="D98:M98" si="38">C98+D97</f>
        <v>936403.32612105354</v>
      </c>
      <c r="E98" s="64">
        <f t="shared" si="38"/>
        <v>107688.01545205107</v>
      </c>
      <c r="F98" s="64">
        <f t="shared" si="38"/>
        <v>1059242.2315839399</v>
      </c>
      <c r="G98" s="64">
        <f t="shared" si="38"/>
        <v>1032934.5102177323</v>
      </c>
      <c r="H98" s="64">
        <f t="shared" si="38"/>
        <v>204219.19954872981</v>
      </c>
      <c r="I98" s="64">
        <f t="shared" si="38"/>
        <v>1155773.4156806185</v>
      </c>
      <c r="J98" s="64">
        <f t="shared" si="38"/>
        <v>1136271.5262847485</v>
      </c>
      <c r="K98" s="64">
        <f t="shared" si="38"/>
        <v>300750.38364540844</v>
      </c>
      <c r="L98" s="64">
        <f t="shared" si="38"/>
        <v>1252304.5997772971</v>
      </c>
      <c r="M98" s="65">
        <f t="shared" si="38"/>
        <v>676707.05507152574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1:E121"/>
  <sheetViews>
    <sheetView topLeftCell="A97" workbookViewId="0">
      <selection activeCell="A62" sqref="A62:E121"/>
    </sheetView>
  </sheetViews>
  <sheetFormatPr baseColWidth="10" defaultRowHeight="16" x14ac:dyDescent="0.2"/>
  <cols>
    <col min="1" max="1" width="12.6640625" bestFit="1" customWidth="1"/>
    <col min="2" max="2" width="17.1640625" bestFit="1" customWidth="1"/>
    <col min="3" max="3" width="15.6640625" bestFit="1" customWidth="1"/>
    <col min="4" max="4" width="14.33203125" bestFit="1" customWidth="1"/>
    <col min="5" max="5" width="11.83203125" bestFit="1" customWidth="1"/>
  </cols>
  <sheetData>
    <row r="1" spans="1:5" ht="17" thickBot="1" x14ac:dyDescent="0.25">
      <c r="A1" s="199" t="s">
        <v>172</v>
      </c>
      <c r="B1" s="200" t="s">
        <v>9</v>
      </c>
      <c r="C1" s="200" t="s">
        <v>173</v>
      </c>
      <c r="D1" s="200" t="s">
        <v>174</v>
      </c>
      <c r="E1" s="201" t="s">
        <v>175</v>
      </c>
    </row>
    <row r="2" spans="1:5" x14ac:dyDescent="0.2">
      <c r="A2" s="197">
        <v>43831</v>
      </c>
      <c r="B2" s="193">
        <f>SUM(C2:C121)-C2</f>
        <v>1147517</v>
      </c>
      <c r="C2" s="193">
        <f>D2+E2</f>
        <v>9643</v>
      </c>
      <c r="D2" s="193">
        <v>3226</v>
      </c>
      <c r="E2" s="192">
        <v>6417</v>
      </c>
    </row>
    <row r="3" spans="1:5" x14ac:dyDescent="0.2">
      <c r="A3" s="215">
        <v>43862</v>
      </c>
      <c r="B3" s="57">
        <f>B2-C3</f>
        <v>1137874</v>
      </c>
      <c r="C3" s="57">
        <f>D3+E3</f>
        <v>9643</v>
      </c>
      <c r="D3" s="57">
        <v>3256</v>
      </c>
      <c r="E3" s="62">
        <v>6387</v>
      </c>
    </row>
    <row r="4" spans="1:5" x14ac:dyDescent="0.2">
      <c r="A4" s="215">
        <v>43891</v>
      </c>
      <c r="B4" s="57">
        <f t="shared" ref="B4:B67" si="0">B3-C4</f>
        <v>1128231</v>
      </c>
      <c r="C4" s="57">
        <f t="shared" ref="C4:C67" si="1">D4+E4</f>
        <v>9643</v>
      </c>
      <c r="D4" s="57">
        <v>3286</v>
      </c>
      <c r="E4" s="62">
        <v>6357</v>
      </c>
    </row>
    <row r="5" spans="1:5" x14ac:dyDescent="0.2">
      <c r="A5" s="215">
        <v>43922</v>
      </c>
      <c r="B5" s="57">
        <f t="shared" si="0"/>
        <v>1118588</v>
      </c>
      <c r="C5" s="57">
        <f t="shared" si="1"/>
        <v>9643</v>
      </c>
      <c r="D5" s="57">
        <v>3316</v>
      </c>
      <c r="E5" s="62">
        <v>6327</v>
      </c>
    </row>
    <row r="6" spans="1:5" x14ac:dyDescent="0.2">
      <c r="A6" s="215">
        <v>43952</v>
      </c>
      <c r="B6" s="57">
        <f t="shared" si="0"/>
        <v>1108945</v>
      </c>
      <c r="C6" s="57">
        <f t="shared" si="1"/>
        <v>9643</v>
      </c>
      <c r="D6" s="57">
        <v>3346</v>
      </c>
      <c r="E6" s="62">
        <v>6297</v>
      </c>
    </row>
    <row r="7" spans="1:5" x14ac:dyDescent="0.2">
      <c r="A7" s="215">
        <v>43983</v>
      </c>
      <c r="B7" s="57">
        <f t="shared" si="0"/>
        <v>1099302</v>
      </c>
      <c r="C7" s="57">
        <f t="shared" si="1"/>
        <v>9643</v>
      </c>
      <c r="D7" s="57">
        <v>3376</v>
      </c>
      <c r="E7" s="62">
        <v>6267</v>
      </c>
    </row>
    <row r="8" spans="1:5" x14ac:dyDescent="0.2">
      <c r="A8" s="215">
        <v>44013</v>
      </c>
      <c r="B8" s="57">
        <f t="shared" si="0"/>
        <v>1089659</v>
      </c>
      <c r="C8" s="57">
        <f t="shared" si="1"/>
        <v>9643</v>
      </c>
      <c r="D8" s="57">
        <v>3406</v>
      </c>
      <c r="E8" s="62">
        <v>6237</v>
      </c>
    </row>
    <row r="9" spans="1:5" x14ac:dyDescent="0.2">
      <c r="A9" s="215">
        <v>44044</v>
      </c>
      <c r="B9" s="57">
        <f t="shared" si="0"/>
        <v>1080016</v>
      </c>
      <c r="C9" s="57">
        <f t="shared" si="1"/>
        <v>9643</v>
      </c>
      <c r="D9" s="57">
        <v>3436</v>
      </c>
      <c r="E9" s="62">
        <v>6207</v>
      </c>
    </row>
    <row r="10" spans="1:5" x14ac:dyDescent="0.2">
      <c r="A10" s="215">
        <v>44075</v>
      </c>
      <c r="B10" s="57">
        <f t="shared" si="0"/>
        <v>1070373</v>
      </c>
      <c r="C10" s="57">
        <f t="shared" si="1"/>
        <v>9643</v>
      </c>
      <c r="D10" s="57">
        <v>3466</v>
      </c>
      <c r="E10" s="62">
        <v>6177</v>
      </c>
    </row>
    <row r="11" spans="1:5" x14ac:dyDescent="0.2">
      <c r="A11" s="215">
        <v>44105</v>
      </c>
      <c r="B11" s="57">
        <f t="shared" si="0"/>
        <v>1060730</v>
      </c>
      <c r="C11" s="57">
        <f t="shared" si="1"/>
        <v>9643</v>
      </c>
      <c r="D11" s="57">
        <v>3496</v>
      </c>
      <c r="E11" s="62">
        <v>6147</v>
      </c>
    </row>
    <row r="12" spans="1:5" x14ac:dyDescent="0.2">
      <c r="A12" s="215">
        <v>44136</v>
      </c>
      <c r="B12" s="57">
        <f t="shared" si="0"/>
        <v>1051087</v>
      </c>
      <c r="C12" s="57">
        <f t="shared" si="1"/>
        <v>9643</v>
      </c>
      <c r="D12" s="57">
        <v>3526</v>
      </c>
      <c r="E12" s="62">
        <v>6117</v>
      </c>
    </row>
    <row r="13" spans="1:5" x14ac:dyDescent="0.2">
      <c r="A13" s="215">
        <v>44166</v>
      </c>
      <c r="B13" s="57">
        <f t="shared" si="0"/>
        <v>1041444</v>
      </c>
      <c r="C13" s="57">
        <f t="shared" si="1"/>
        <v>9643</v>
      </c>
      <c r="D13" s="57">
        <v>3556</v>
      </c>
      <c r="E13" s="62">
        <v>6087</v>
      </c>
    </row>
    <row r="14" spans="1:5" x14ac:dyDescent="0.2">
      <c r="A14" s="215">
        <v>44197</v>
      </c>
      <c r="B14" s="57">
        <f t="shared" si="0"/>
        <v>1031801</v>
      </c>
      <c r="C14" s="57">
        <f t="shared" si="1"/>
        <v>9643</v>
      </c>
      <c r="D14" s="57">
        <v>3586</v>
      </c>
      <c r="E14" s="62">
        <v>6057</v>
      </c>
    </row>
    <row r="15" spans="1:5" x14ac:dyDescent="0.2">
      <c r="A15" s="215">
        <v>44228</v>
      </c>
      <c r="B15" s="57">
        <f t="shared" si="0"/>
        <v>1022158</v>
      </c>
      <c r="C15" s="57">
        <f t="shared" si="1"/>
        <v>9643</v>
      </c>
      <c r="D15" s="57">
        <v>3616</v>
      </c>
      <c r="E15" s="62">
        <v>6027</v>
      </c>
    </row>
    <row r="16" spans="1:5" x14ac:dyDescent="0.2">
      <c r="A16" s="215">
        <v>44256</v>
      </c>
      <c r="B16" s="57">
        <f t="shared" si="0"/>
        <v>1012515</v>
      </c>
      <c r="C16" s="57">
        <f t="shared" si="1"/>
        <v>9643</v>
      </c>
      <c r="D16" s="57">
        <v>3646</v>
      </c>
      <c r="E16" s="62">
        <v>5997</v>
      </c>
    </row>
    <row r="17" spans="1:5" x14ac:dyDescent="0.2">
      <c r="A17" s="215">
        <v>44287</v>
      </c>
      <c r="B17" s="57">
        <f t="shared" si="0"/>
        <v>1002872</v>
      </c>
      <c r="C17" s="57">
        <f t="shared" si="1"/>
        <v>9643</v>
      </c>
      <c r="D17" s="57">
        <v>3676</v>
      </c>
      <c r="E17" s="62">
        <v>5967</v>
      </c>
    </row>
    <row r="18" spans="1:5" x14ac:dyDescent="0.2">
      <c r="A18" s="215">
        <v>44317</v>
      </c>
      <c r="B18" s="57">
        <f t="shared" si="0"/>
        <v>993229</v>
      </c>
      <c r="C18" s="57">
        <f t="shared" si="1"/>
        <v>9643</v>
      </c>
      <c r="D18" s="57">
        <v>3706</v>
      </c>
      <c r="E18" s="62">
        <v>5937</v>
      </c>
    </row>
    <row r="19" spans="1:5" x14ac:dyDescent="0.2">
      <c r="A19" s="215">
        <v>44348</v>
      </c>
      <c r="B19" s="57">
        <f t="shared" si="0"/>
        <v>983586</v>
      </c>
      <c r="C19" s="57">
        <f t="shared" si="1"/>
        <v>9643</v>
      </c>
      <c r="D19" s="57">
        <v>3736</v>
      </c>
      <c r="E19" s="62">
        <v>5907</v>
      </c>
    </row>
    <row r="20" spans="1:5" x14ac:dyDescent="0.2">
      <c r="A20" s="215">
        <v>44378</v>
      </c>
      <c r="B20" s="57">
        <f t="shared" si="0"/>
        <v>973943</v>
      </c>
      <c r="C20" s="57">
        <f t="shared" si="1"/>
        <v>9643</v>
      </c>
      <c r="D20" s="57">
        <v>3766</v>
      </c>
      <c r="E20" s="62">
        <v>5877</v>
      </c>
    </row>
    <row r="21" spans="1:5" x14ac:dyDescent="0.2">
      <c r="A21" s="215">
        <v>44409</v>
      </c>
      <c r="B21" s="57">
        <f t="shared" si="0"/>
        <v>964300</v>
      </c>
      <c r="C21" s="57">
        <f t="shared" si="1"/>
        <v>9643</v>
      </c>
      <c r="D21" s="57">
        <v>3796</v>
      </c>
      <c r="E21" s="62">
        <v>5847</v>
      </c>
    </row>
    <row r="22" spans="1:5" x14ac:dyDescent="0.2">
      <c r="A22" s="215">
        <v>44440</v>
      </c>
      <c r="B22" s="57">
        <f t="shared" si="0"/>
        <v>954657</v>
      </c>
      <c r="C22" s="57">
        <f t="shared" si="1"/>
        <v>9643</v>
      </c>
      <c r="D22" s="57">
        <v>3826</v>
      </c>
      <c r="E22" s="62">
        <v>5817</v>
      </c>
    </row>
    <row r="23" spans="1:5" x14ac:dyDescent="0.2">
      <c r="A23" s="215">
        <v>44470</v>
      </c>
      <c r="B23" s="57">
        <f t="shared" si="0"/>
        <v>945014</v>
      </c>
      <c r="C23" s="57">
        <f t="shared" si="1"/>
        <v>9643</v>
      </c>
      <c r="D23" s="57">
        <v>3856</v>
      </c>
      <c r="E23" s="62">
        <v>5787</v>
      </c>
    </row>
    <row r="24" spans="1:5" x14ac:dyDescent="0.2">
      <c r="A24" s="215">
        <v>44501</v>
      </c>
      <c r="B24" s="57">
        <f t="shared" si="0"/>
        <v>935371</v>
      </c>
      <c r="C24" s="57">
        <f t="shared" si="1"/>
        <v>9643</v>
      </c>
      <c r="D24" s="57">
        <v>3886</v>
      </c>
      <c r="E24" s="62">
        <v>5757</v>
      </c>
    </row>
    <row r="25" spans="1:5" x14ac:dyDescent="0.2">
      <c r="A25" s="215">
        <v>44531</v>
      </c>
      <c r="B25" s="57">
        <f t="shared" si="0"/>
        <v>925728</v>
      </c>
      <c r="C25" s="57">
        <f t="shared" si="1"/>
        <v>9643</v>
      </c>
      <c r="D25" s="57">
        <v>3916</v>
      </c>
      <c r="E25" s="62">
        <v>5727</v>
      </c>
    </row>
    <row r="26" spans="1:5" x14ac:dyDescent="0.2">
      <c r="A26" s="215">
        <v>44562</v>
      </c>
      <c r="B26" s="57">
        <f t="shared" si="0"/>
        <v>916085</v>
      </c>
      <c r="C26" s="57">
        <f t="shared" si="1"/>
        <v>9643</v>
      </c>
      <c r="D26" s="57">
        <v>3946</v>
      </c>
      <c r="E26" s="62">
        <v>5697</v>
      </c>
    </row>
    <row r="27" spans="1:5" x14ac:dyDescent="0.2">
      <c r="A27" s="215">
        <v>44593</v>
      </c>
      <c r="B27" s="57">
        <f t="shared" si="0"/>
        <v>906442</v>
      </c>
      <c r="C27" s="57">
        <f t="shared" si="1"/>
        <v>9643</v>
      </c>
      <c r="D27" s="57">
        <v>3976</v>
      </c>
      <c r="E27" s="62">
        <v>5667</v>
      </c>
    </row>
    <row r="28" spans="1:5" x14ac:dyDescent="0.2">
      <c r="A28" s="215">
        <v>44621</v>
      </c>
      <c r="B28" s="57">
        <f t="shared" si="0"/>
        <v>896799</v>
      </c>
      <c r="C28" s="57">
        <f t="shared" si="1"/>
        <v>9643</v>
      </c>
      <c r="D28" s="57">
        <v>4006</v>
      </c>
      <c r="E28" s="62">
        <v>5637</v>
      </c>
    </row>
    <row r="29" spans="1:5" x14ac:dyDescent="0.2">
      <c r="A29" s="215">
        <v>44652</v>
      </c>
      <c r="B29" s="57">
        <f t="shared" si="0"/>
        <v>887156</v>
      </c>
      <c r="C29" s="57">
        <f t="shared" si="1"/>
        <v>9643</v>
      </c>
      <c r="D29" s="57">
        <v>4036</v>
      </c>
      <c r="E29" s="62">
        <v>5607</v>
      </c>
    </row>
    <row r="30" spans="1:5" x14ac:dyDescent="0.2">
      <c r="A30" s="215">
        <v>44682</v>
      </c>
      <c r="B30" s="57">
        <f t="shared" si="0"/>
        <v>877513</v>
      </c>
      <c r="C30" s="57">
        <f t="shared" si="1"/>
        <v>9643</v>
      </c>
      <c r="D30" s="57">
        <v>4066</v>
      </c>
      <c r="E30" s="62">
        <v>5577</v>
      </c>
    </row>
    <row r="31" spans="1:5" x14ac:dyDescent="0.2">
      <c r="A31" s="215">
        <v>44713</v>
      </c>
      <c r="B31" s="57">
        <f t="shared" si="0"/>
        <v>867870</v>
      </c>
      <c r="C31" s="57">
        <f t="shared" si="1"/>
        <v>9643</v>
      </c>
      <c r="D31" s="57">
        <v>4096</v>
      </c>
      <c r="E31" s="62">
        <v>5547</v>
      </c>
    </row>
    <row r="32" spans="1:5" x14ac:dyDescent="0.2">
      <c r="A32" s="215">
        <v>44743</v>
      </c>
      <c r="B32" s="57">
        <f t="shared" si="0"/>
        <v>858227</v>
      </c>
      <c r="C32" s="57">
        <f t="shared" si="1"/>
        <v>9643</v>
      </c>
      <c r="D32" s="57">
        <v>4126</v>
      </c>
      <c r="E32" s="62">
        <v>5517</v>
      </c>
    </row>
    <row r="33" spans="1:5" x14ac:dyDescent="0.2">
      <c r="A33" s="215">
        <v>44774</v>
      </c>
      <c r="B33" s="57">
        <f t="shared" si="0"/>
        <v>848584</v>
      </c>
      <c r="C33" s="57">
        <f t="shared" si="1"/>
        <v>9643</v>
      </c>
      <c r="D33" s="57">
        <v>4156</v>
      </c>
      <c r="E33" s="62">
        <v>5487</v>
      </c>
    </row>
    <row r="34" spans="1:5" x14ac:dyDescent="0.2">
      <c r="A34" s="215">
        <v>44805</v>
      </c>
      <c r="B34" s="57">
        <f t="shared" si="0"/>
        <v>838941</v>
      </c>
      <c r="C34" s="57">
        <f t="shared" si="1"/>
        <v>9643</v>
      </c>
      <c r="D34" s="57">
        <v>4186</v>
      </c>
      <c r="E34" s="62">
        <v>5457</v>
      </c>
    </row>
    <row r="35" spans="1:5" x14ac:dyDescent="0.2">
      <c r="A35" s="215">
        <v>44835</v>
      </c>
      <c r="B35" s="57">
        <f t="shared" si="0"/>
        <v>829298</v>
      </c>
      <c r="C35" s="57">
        <f t="shared" si="1"/>
        <v>9643</v>
      </c>
      <c r="D35" s="57">
        <v>4216</v>
      </c>
      <c r="E35" s="62">
        <v>5427</v>
      </c>
    </row>
    <row r="36" spans="1:5" x14ac:dyDescent="0.2">
      <c r="A36" s="215">
        <v>44866</v>
      </c>
      <c r="B36" s="57">
        <f t="shared" si="0"/>
        <v>819655</v>
      </c>
      <c r="C36" s="57">
        <f t="shared" si="1"/>
        <v>9643</v>
      </c>
      <c r="D36" s="57">
        <v>4246</v>
      </c>
      <c r="E36" s="62">
        <v>5397</v>
      </c>
    </row>
    <row r="37" spans="1:5" x14ac:dyDescent="0.2">
      <c r="A37" s="215">
        <v>44896</v>
      </c>
      <c r="B37" s="57">
        <f t="shared" si="0"/>
        <v>810012</v>
      </c>
      <c r="C37" s="57">
        <f t="shared" si="1"/>
        <v>9643</v>
      </c>
      <c r="D37" s="57">
        <v>4276</v>
      </c>
      <c r="E37" s="62">
        <v>5367</v>
      </c>
    </row>
    <row r="38" spans="1:5" x14ac:dyDescent="0.2">
      <c r="A38" s="215">
        <v>44927</v>
      </c>
      <c r="B38" s="57">
        <f t="shared" si="0"/>
        <v>800369</v>
      </c>
      <c r="C38" s="57">
        <f t="shared" si="1"/>
        <v>9643</v>
      </c>
      <c r="D38" s="57">
        <v>4306</v>
      </c>
      <c r="E38" s="62">
        <v>5337</v>
      </c>
    </row>
    <row r="39" spans="1:5" x14ac:dyDescent="0.2">
      <c r="A39" s="215">
        <v>44958</v>
      </c>
      <c r="B39" s="57">
        <f>B38-C39</f>
        <v>790726</v>
      </c>
      <c r="C39" s="57">
        <f t="shared" si="1"/>
        <v>9643</v>
      </c>
      <c r="D39" s="57">
        <v>4336</v>
      </c>
      <c r="E39" s="62">
        <v>5307</v>
      </c>
    </row>
    <row r="40" spans="1:5" x14ac:dyDescent="0.2">
      <c r="A40" s="215">
        <v>44986</v>
      </c>
      <c r="B40" s="57">
        <f t="shared" si="0"/>
        <v>781083</v>
      </c>
      <c r="C40" s="57">
        <f t="shared" si="1"/>
        <v>9643</v>
      </c>
      <c r="D40" s="57">
        <v>4366</v>
      </c>
      <c r="E40" s="62">
        <v>5277</v>
      </c>
    </row>
    <row r="41" spans="1:5" x14ac:dyDescent="0.2">
      <c r="A41" s="215">
        <v>45017</v>
      </c>
      <c r="B41" s="57">
        <f t="shared" si="0"/>
        <v>771440</v>
      </c>
      <c r="C41" s="57">
        <f t="shared" si="1"/>
        <v>9643</v>
      </c>
      <c r="D41" s="57">
        <v>4396</v>
      </c>
      <c r="E41" s="62">
        <v>5247</v>
      </c>
    </row>
    <row r="42" spans="1:5" x14ac:dyDescent="0.2">
      <c r="A42" s="215">
        <v>45047</v>
      </c>
      <c r="B42" s="57">
        <f t="shared" si="0"/>
        <v>761797</v>
      </c>
      <c r="C42" s="57">
        <f t="shared" si="1"/>
        <v>9643</v>
      </c>
      <c r="D42" s="57">
        <v>4426</v>
      </c>
      <c r="E42" s="62">
        <v>5217</v>
      </c>
    </row>
    <row r="43" spans="1:5" x14ac:dyDescent="0.2">
      <c r="A43" s="215">
        <v>45078</v>
      </c>
      <c r="B43" s="57">
        <f t="shared" si="0"/>
        <v>752154</v>
      </c>
      <c r="C43" s="57">
        <f t="shared" si="1"/>
        <v>9643</v>
      </c>
      <c r="D43" s="57">
        <v>4456</v>
      </c>
      <c r="E43" s="62">
        <v>5187</v>
      </c>
    </row>
    <row r="44" spans="1:5" x14ac:dyDescent="0.2">
      <c r="A44" s="215">
        <v>45108</v>
      </c>
      <c r="B44" s="57">
        <f t="shared" si="0"/>
        <v>742511</v>
      </c>
      <c r="C44" s="57">
        <f t="shared" si="1"/>
        <v>9643</v>
      </c>
      <c r="D44" s="57">
        <v>4486</v>
      </c>
      <c r="E44" s="62">
        <v>5157</v>
      </c>
    </row>
    <row r="45" spans="1:5" x14ac:dyDescent="0.2">
      <c r="A45" s="215">
        <v>45139</v>
      </c>
      <c r="B45" s="57">
        <f t="shared" si="0"/>
        <v>732868</v>
      </c>
      <c r="C45" s="57">
        <f t="shared" si="1"/>
        <v>9643</v>
      </c>
      <c r="D45" s="57">
        <v>4516</v>
      </c>
      <c r="E45" s="62">
        <v>5127</v>
      </c>
    </row>
    <row r="46" spans="1:5" x14ac:dyDescent="0.2">
      <c r="A46" s="215">
        <v>45170</v>
      </c>
      <c r="B46" s="57">
        <f t="shared" si="0"/>
        <v>723225</v>
      </c>
      <c r="C46" s="57">
        <f t="shared" si="1"/>
        <v>9643</v>
      </c>
      <c r="D46" s="57">
        <v>4546</v>
      </c>
      <c r="E46" s="62">
        <v>5097</v>
      </c>
    </row>
    <row r="47" spans="1:5" x14ac:dyDescent="0.2">
      <c r="A47" s="215">
        <v>45200</v>
      </c>
      <c r="B47" s="57">
        <f t="shared" si="0"/>
        <v>713582</v>
      </c>
      <c r="C47" s="57">
        <f t="shared" si="1"/>
        <v>9643</v>
      </c>
      <c r="D47" s="57">
        <v>4576</v>
      </c>
      <c r="E47" s="62">
        <v>5067</v>
      </c>
    </row>
    <row r="48" spans="1:5" x14ac:dyDescent="0.2">
      <c r="A48" s="215">
        <v>45231</v>
      </c>
      <c r="B48" s="57">
        <f t="shared" si="0"/>
        <v>703939</v>
      </c>
      <c r="C48" s="57">
        <f t="shared" si="1"/>
        <v>9643</v>
      </c>
      <c r="D48" s="57">
        <v>4606</v>
      </c>
      <c r="E48" s="62">
        <v>5037</v>
      </c>
    </row>
    <row r="49" spans="1:5" x14ac:dyDescent="0.2">
      <c r="A49" s="215">
        <v>45261</v>
      </c>
      <c r="B49" s="57">
        <f t="shared" si="0"/>
        <v>694296</v>
      </c>
      <c r="C49" s="57">
        <f t="shared" si="1"/>
        <v>9643</v>
      </c>
      <c r="D49" s="57">
        <v>4636</v>
      </c>
      <c r="E49" s="62">
        <v>5007</v>
      </c>
    </row>
    <row r="50" spans="1:5" x14ac:dyDescent="0.2">
      <c r="A50" s="215">
        <v>45292</v>
      </c>
      <c r="B50" s="57">
        <f t="shared" si="0"/>
        <v>684653</v>
      </c>
      <c r="C50" s="57">
        <f t="shared" si="1"/>
        <v>9643</v>
      </c>
      <c r="D50" s="57">
        <v>4666</v>
      </c>
      <c r="E50" s="62">
        <v>4977</v>
      </c>
    </row>
    <row r="51" spans="1:5" x14ac:dyDescent="0.2">
      <c r="A51" s="215">
        <v>45323</v>
      </c>
      <c r="B51" s="57">
        <f t="shared" si="0"/>
        <v>675010</v>
      </c>
      <c r="C51" s="57">
        <f t="shared" si="1"/>
        <v>9643</v>
      </c>
      <c r="D51" s="57">
        <v>4696</v>
      </c>
      <c r="E51" s="62">
        <v>4947</v>
      </c>
    </row>
    <row r="52" spans="1:5" x14ac:dyDescent="0.2">
      <c r="A52" s="215">
        <v>45352</v>
      </c>
      <c r="B52" s="57">
        <f t="shared" si="0"/>
        <v>665367</v>
      </c>
      <c r="C52" s="57">
        <f t="shared" si="1"/>
        <v>9643</v>
      </c>
      <c r="D52" s="57">
        <v>4726</v>
      </c>
      <c r="E52" s="62">
        <v>4917</v>
      </c>
    </row>
    <row r="53" spans="1:5" x14ac:dyDescent="0.2">
      <c r="A53" s="215">
        <v>45383</v>
      </c>
      <c r="B53" s="57">
        <f t="shared" si="0"/>
        <v>655724</v>
      </c>
      <c r="C53" s="57">
        <f t="shared" si="1"/>
        <v>9643</v>
      </c>
      <c r="D53" s="57">
        <v>4756</v>
      </c>
      <c r="E53" s="62">
        <v>4887</v>
      </c>
    </row>
    <row r="54" spans="1:5" x14ac:dyDescent="0.2">
      <c r="A54" s="215">
        <v>45413</v>
      </c>
      <c r="B54" s="57">
        <f t="shared" si="0"/>
        <v>646081</v>
      </c>
      <c r="C54" s="57">
        <f t="shared" si="1"/>
        <v>9643</v>
      </c>
      <c r="D54" s="57">
        <v>4786</v>
      </c>
      <c r="E54" s="62">
        <v>4857</v>
      </c>
    </row>
    <row r="55" spans="1:5" x14ac:dyDescent="0.2">
      <c r="A55" s="215">
        <v>45444</v>
      </c>
      <c r="B55" s="57">
        <f t="shared" si="0"/>
        <v>636438</v>
      </c>
      <c r="C55" s="57">
        <f t="shared" si="1"/>
        <v>9643</v>
      </c>
      <c r="D55" s="57">
        <v>4816</v>
      </c>
      <c r="E55" s="62">
        <v>4827</v>
      </c>
    </row>
    <row r="56" spans="1:5" x14ac:dyDescent="0.2">
      <c r="A56" s="215">
        <v>45474</v>
      </c>
      <c r="B56" s="57">
        <f t="shared" si="0"/>
        <v>626795</v>
      </c>
      <c r="C56" s="57">
        <f t="shared" si="1"/>
        <v>9643</v>
      </c>
      <c r="D56" s="57">
        <v>4846</v>
      </c>
      <c r="E56" s="62">
        <v>4797</v>
      </c>
    </row>
    <row r="57" spans="1:5" x14ac:dyDescent="0.2">
      <c r="A57" s="215">
        <v>45505</v>
      </c>
      <c r="B57" s="57">
        <f t="shared" si="0"/>
        <v>617152</v>
      </c>
      <c r="C57" s="57">
        <f t="shared" si="1"/>
        <v>9643</v>
      </c>
      <c r="D57" s="57">
        <v>4876</v>
      </c>
      <c r="E57" s="62">
        <v>4767</v>
      </c>
    </row>
    <row r="58" spans="1:5" x14ac:dyDescent="0.2">
      <c r="A58" s="215">
        <v>45536</v>
      </c>
      <c r="B58" s="57">
        <f t="shared" si="0"/>
        <v>607509</v>
      </c>
      <c r="C58" s="57">
        <f t="shared" si="1"/>
        <v>9643</v>
      </c>
      <c r="D58" s="57">
        <v>4906</v>
      </c>
      <c r="E58" s="62">
        <v>4737</v>
      </c>
    </row>
    <row r="59" spans="1:5" x14ac:dyDescent="0.2">
      <c r="A59" s="215">
        <v>45566</v>
      </c>
      <c r="B59" s="57">
        <f t="shared" si="0"/>
        <v>597866</v>
      </c>
      <c r="C59" s="57">
        <f t="shared" si="1"/>
        <v>9643</v>
      </c>
      <c r="D59" s="57">
        <v>4936</v>
      </c>
      <c r="E59" s="62">
        <v>4707</v>
      </c>
    </row>
    <row r="60" spans="1:5" x14ac:dyDescent="0.2">
      <c r="A60" s="215">
        <v>45597</v>
      </c>
      <c r="B60" s="57">
        <f t="shared" si="0"/>
        <v>588223</v>
      </c>
      <c r="C60" s="57">
        <f t="shared" si="1"/>
        <v>9643</v>
      </c>
      <c r="D60" s="57">
        <v>4966</v>
      </c>
      <c r="E60" s="62">
        <v>4677</v>
      </c>
    </row>
    <row r="61" spans="1:5" x14ac:dyDescent="0.2">
      <c r="A61" s="215">
        <v>45627</v>
      </c>
      <c r="B61" s="57">
        <f t="shared" si="0"/>
        <v>578580</v>
      </c>
      <c r="C61" s="57">
        <f t="shared" si="1"/>
        <v>9643</v>
      </c>
      <c r="D61" s="57">
        <v>4996</v>
      </c>
      <c r="E61" s="62">
        <v>4647</v>
      </c>
    </row>
    <row r="62" spans="1:5" x14ac:dyDescent="0.2">
      <c r="A62" s="215">
        <v>45658</v>
      </c>
      <c r="B62" s="57">
        <f t="shared" si="0"/>
        <v>568937</v>
      </c>
      <c r="C62" s="57">
        <f t="shared" si="1"/>
        <v>9643</v>
      </c>
      <c r="D62" s="57">
        <v>5026</v>
      </c>
      <c r="E62" s="62">
        <v>4617</v>
      </c>
    </row>
    <row r="63" spans="1:5" x14ac:dyDescent="0.2">
      <c r="A63" s="215">
        <v>45689</v>
      </c>
      <c r="B63" s="57">
        <f t="shared" si="0"/>
        <v>559294</v>
      </c>
      <c r="C63" s="57">
        <f t="shared" si="1"/>
        <v>9643</v>
      </c>
      <c r="D63" s="57">
        <v>5056</v>
      </c>
      <c r="E63" s="62">
        <v>4587</v>
      </c>
    </row>
    <row r="64" spans="1:5" x14ac:dyDescent="0.2">
      <c r="A64" s="215">
        <v>45717</v>
      </c>
      <c r="B64" s="57">
        <f t="shared" si="0"/>
        <v>549651</v>
      </c>
      <c r="C64" s="57">
        <f t="shared" si="1"/>
        <v>9643</v>
      </c>
      <c r="D64" s="57">
        <v>5086</v>
      </c>
      <c r="E64" s="62">
        <v>4557</v>
      </c>
    </row>
    <row r="65" spans="1:5" x14ac:dyDescent="0.2">
      <c r="A65" s="215">
        <v>45748</v>
      </c>
      <c r="B65" s="57">
        <f t="shared" si="0"/>
        <v>540008</v>
      </c>
      <c r="C65" s="57">
        <f t="shared" si="1"/>
        <v>9643</v>
      </c>
      <c r="D65" s="57">
        <v>5116</v>
      </c>
      <c r="E65" s="62">
        <v>4527</v>
      </c>
    </row>
    <row r="66" spans="1:5" x14ac:dyDescent="0.2">
      <c r="A66" s="215">
        <v>45778</v>
      </c>
      <c r="B66" s="57">
        <f t="shared" si="0"/>
        <v>530365</v>
      </c>
      <c r="C66" s="57">
        <f t="shared" si="1"/>
        <v>9643</v>
      </c>
      <c r="D66" s="57">
        <v>5146</v>
      </c>
      <c r="E66" s="62">
        <v>4497</v>
      </c>
    </row>
    <row r="67" spans="1:5" x14ac:dyDescent="0.2">
      <c r="A67" s="215">
        <v>45809</v>
      </c>
      <c r="B67" s="57">
        <f t="shared" si="0"/>
        <v>520722</v>
      </c>
      <c r="C67" s="57">
        <f t="shared" si="1"/>
        <v>9643</v>
      </c>
      <c r="D67" s="57">
        <v>5176</v>
      </c>
      <c r="E67" s="62">
        <v>4467</v>
      </c>
    </row>
    <row r="68" spans="1:5" x14ac:dyDescent="0.2">
      <c r="A68" s="215">
        <v>45839</v>
      </c>
      <c r="B68" s="57">
        <f t="shared" ref="B68:B121" si="2">B67-C68</f>
        <v>511079</v>
      </c>
      <c r="C68" s="57">
        <f t="shared" ref="C68:C121" si="3">D68+E68</f>
        <v>9643</v>
      </c>
      <c r="D68" s="57">
        <v>5206</v>
      </c>
      <c r="E68" s="62">
        <v>4437</v>
      </c>
    </row>
    <row r="69" spans="1:5" x14ac:dyDescent="0.2">
      <c r="A69" s="215">
        <v>45870</v>
      </c>
      <c r="B69" s="57">
        <f t="shared" si="2"/>
        <v>501436</v>
      </c>
      <c r="C69" s="57">
        <f t="shared" si="3"/>
        <v>9643</v>
      </c>
      <c r="D69" s="57">
        <v>5236</v>
      </c>
      <c r="E69" s="62">
        <v>4407</v>
      </c>
    </row>
    <row r="70" spans="1:5" x14ac:dyDescent="0.2">
      <c r="A70" s="215">
        <v>45901</v>
      </c>
      <c r="B70" s="57">
        <f t="shared" si="2"/>
        <v>491793</v>
      </c>
      <c r="C70" s="57">
        <f t="shared" si="3"/>
        <v>9643</v>
      </c>
      <c r="D70" s="57">
        <v>5266</v>
      </c>
      <c r="E70" s="62">
        <v>4377</v>
      </c>
    </row>
    <row r="71" spans="1:5" x14ac:dyDescent="0.2">
      <c r="A71" s="215">
        <v>45931</v>
      </c>
      <c r="B71" s="57">
        <f t="shared" si="2"/>
        <v>482150</v>
      </c>
      <c r="C71" s="57">
        <f t="shared" si="3"/>
        <v>9643</v>
      </c>
      <c r="D71" s="57">
        <v>5296</v>
      </c>
      <c r="E71" s="62">
        <v>4347</v>
      </c>
    </row>
    <row r="72" spans="1:5" x14ac:dyDescent="0.2">
      <c r="A72" s="215">
        <v>45962</v>
      </c>
      <c r="B72" s="57">
        <f t="shared" si="2"/>
        <v>472507</v>
      </c>
      <c r="C72" s="57">
        <f t="shared" si="3"/>
        <v>9643</v>
      </c>
      <c r="D72" s="57">
        <v>5326</v>
      </c>
      <c r="E72" s="62">
        <v>4317</v>
      </c>
    </row>
    <row r="73" spans="1:5" x14ac:dyDescent="0.2">
      <c r="A73" s="215">
        <v>45992</v>
      </c>
      <c r="B73" s="57">
        <f t="shared" si="2"/>
        <v>462864</v>
      </c>
      <c r="C73" s="57">
        <f t="shared" si="3"/>
        <v>9643</v>
      </c>
      <c r="D73" s="57">
        <v>5356</v>
      </c>
      <c r="E73" s="62">
        <v>4287</v>
      </c>
    </row>
    <row r="74" spans="1:5" x14ac:dyDescent="0.2">
      <c r="A74" s="215">
        <v>46023</v>
      </c>
      <c r="B74" s="57">
        <f t="shared" si="2"/>
        <v>453221</v>
      </c>
      <c r="C74" s="57">
        <f t="shared" si="3"/>
        <v>9643</v>
      </c>
      <c r="D74" s="57">
        <v>5386</v>
      </c>
      <c r="E74" s="62">
        <v>4257</v>
      </c>
    </row>
    <row r="75" spans="1:5" x14ac:dyDescent="0.2">
      <c r="A75" s="215">
        <v>46054</v>
      </c>
      <c r="B75" s="57">
        <f t="shared" si="2"/>
        <v>443578</v>
      </c>
      <c r="C75" s="57">
        <f t="shared" si="3"/>
        <v>9643</v>
      </c>
      <c r="D75" s="57">
        <v>5416</v>
      </c>
      <c r="E75" s="62">
        <v>4227</v>
      </c>
    </row>
    <row r="76" spans="1:5" x14ac:dyDescent="0.2">
      <c r="A76" s="215">
        <v>46082</v>
      </c>
      <c r="B76" s="57">
        <f t="shared" si="2"/>
        <v>433935</v>
      </c>
      <c r="C76" s="57">
        <f t="shared" si="3"/>
        <v>9643</v>
      </c>
      <c r="D76" s="57">
        <v>5446</v>
      </c>
      <c r="E76" s="62">
        <v>4197</v>
      </c>
    </row>
    <row r="77" spans="1:5" x14ac:dyDescent="0.2">
      <c r="A77" s="215">
        <v>46113</v>
      </c>
      <c r="B77" s="57">
        <f t="shared" si="2"/>
        <v>424292</v>
      </c>
      <c r="C77" s="57">
        <f t="shared" si="3"/>
        <v>9643</v>
      </c>
      <c r="D77" s="57">
        <v>5476</v>
      </c>
      <c r="E77" s="62">
        <v>4167</v>
      </c>
    </row>
    <row r="78" spans="1:5" x14ac:dyDescent="0.2">
      <c r="A78" s="215">
        <v>46143</v>
      </c>
      <c r="B78" s="57">
        <f t="shared" si="2"/>
        <v>414649</v>
      </c>
      <c r="C78" s="57">
        <f t="shared" si="3"/>
        <v>9643</v>
      </c>
      <c r="D78" s="57">
        <v>5506</v>
      </c>
      <c r="E78" s="62">
        <v>4137</v>
      </c>
    </row>
    <row r="79" spans="1:5" x14ac:dyDescent="0.2">
      <c r="A79" s="215">
        <v>46174</v>
      </c>
      <c r="B79" s="57">
        <f t="shared" si="2"/>
        <v>405006</v>
      </c>
      <c r="C79" s="57">
        <f t="shared" si="3"/>
        <v>9643</v>
      </c>
      <c r="D79" s="57">
        <v>5536</v>
      </c>
      <c r="E79" s="62">
        <v>4107</v>
      </c>
    </row>
    <row r="80" spans="1:5" x14ac:dyDescent="0.2">
      <c r="A80" s="215">
        <v>46204</v>
      </c>
      <c r="B80" s="57">
        <f t="shared" si="2"/>
        <v>395363</v>
      </c>
      <c r="C80" s="57">
        <f t="shared" si="3"/>
        <v>9643</v>
      </c>
      <c r="D80" s="57">
        <v>5566</v>
      </c>
      <c r="E80" s="62">
        <v>4077</v>
      </c>
    </row>
    <row r="81" spans="1:5" x14ac:dyDescent="0.2">
      <c r="A81" s="215">
        <v>46235</v>
      </c>
      <c r="B81" s="57">
        <f t="shared" si="2"/>
        <v>385720</v>
      </c>
      <c r="C81" s="57">
        <f t="shared" si="3"/>
        <v>9643</v>
      </c>
      <c r="D81" s="57">
        <v>5596</v>
      </c>
      <c r="E81" s="62">
        <v>4047</v>
      </c>
    </row>
    <row r="82" spans="1:5" x14ac:dyDescent="0.2">
      <c r="A82" s="215">
        <v>46266</v>
      </c>
      <c r="B82" s="57">
        <f t="shared" si="2"/>
        <v>376077</v>
      </c>
      <c r="C82" s="57">
        <f t="shared" si="3"/>
        <v>9643</v>
      </c>
      <c r="D82" s="57">
        <v>5626</v>
      </c>
      <c r="E82" s="62">
        <v>4017</v>
      </c>
    </row>
    <row r="83" spans="1:5" x14ac:dyDescent="0.2">
      <c r="A83" s="215">
        <v>46296</v>
      </c>
      <c r="B83" s="57">
        <f t="shared" si="2"/>
        <v>366434</v>
      </c>
      <c r="C83" s="57">
        <f t="shared" si="3"/>
        <v>9643</v>
      </c>
      <c r="D83" s="57">
        <v>5656</v>
      </c>
      <c r="E83" s="62">
        <v>3987</v>
      </c>
    </row>
    <row r="84" spans="1:5" x14ac:dyDescent="0.2">
      <c r="A84" s="215">
        <v>46327</v>
      </c>
      <c r="B84" s="57">
        <f t="shared" si="2"/>
        <v>356791</v>
      </c>
      <c r="C84" s="57">
        <f t="shared" si="3"/>
        <v>9643</v>
      </c>
      <c r="D84" s="57">
        <v>5686</v>
      </c>
      <c r="E84" s="62">
        <v>3957</v>
      </c>
    </row>
    <row r="85" spans="1:5" x14ac:dyDescent="0.2">
      <c r="A85" s="215">
        <v>46357</v>
      </c>
      <c r="B85" s="57">
        <f t="shared" si="2"/>
        <v>347148</v>
      </c>
      <c r="C85" s="57">
        <f t="shared" si="3"/>
        <v>9643</v>
      </c>
      <c r="D85" s="57">
        <v>5716</v>
      </c>
      <c r="E85" s="62">
        <v>3927</v>
      </c>
    </row>
    <row r="86" spans="1:5" x14ac:dyDescent="0.2">
      <c r="A86" s="215">
        <v>46388</v>
      </c>
      <c r="B86" s="57">
        <f t="shared" si="2"/>
        <v>337505</v>
      </c>
      <c r="C86" s="57">
        <f t="shared" si="3"/>
        <v>9643</v>
      </c>
      <c r="D86" s="57">
        <v>5746</v>
      </c>
      <c r="E86" s="62">
        <v>3897</v>
      </c>
    </row>
    <row r="87" spans="1:5" x14ac:dyDescent="0.2">
      <c r="A87" s="215">
        <v>46419</v>
      </c>
      <c r="B87" s="57">
        <f t="shared" si="2"/>
        <v>327862</v>
      </c>
      <c r="C87" s="57">
        <f t="shared" si="3"/>
        <v>9643</v>
      </c>
      <c r="D87" s="57">
        <v>5776</v>
      </c>
      <c r="E87" s="62">
        <v>3867</v>
      </c>
    </row>
    <row r="88" spans="1:5" x14ac:dyDescent="0.2">
      <c r="A88" s="215">
        <v>46447</v>
      </c>
      <c r="B88" s="57">
        <f t="shared" si="2"/>
        <v>318219</v>
      </c>
      <c r="C88" s="57">
        <f t="shared" si="3"/>
        <v>9643</v>
      </c>
      <c r="D88" s="57">
        <v>5806</v>
      </c>
      <c r="E88" s="62">
        <v>3837</v>
      </c>
    </row>
    <row r="89" spans="1:5" x14ac:dyDescent="0.2">
      <c r="A89" s="215">
        <v>46478</v>
      </c>
      <c r="B89" s="57">
        <f t="shared" si="2"/>
        <v>308576</v>
      </c>
      <c r="C89" s="57">
        <f t="shared" si="3"/>
        <v>9643</v>
      </c>
      <c r="D89" s="57">
        <v>5836</v>
      </c>
      <c r="E89" s="62">
        <v>3807</v>
      </c>
    </row>
    <row r="90" spans="1:5" x14ac:dyDescent="0.2">
      <c r="A90" s="215">
        <v>46508</v>
      </c>
      <c r="B90" s="57">
        <f t="shared" si="2"/>
        <v>298933</v>
      </c>
      <c r="C90" s="57">
        <f t="shared" si="3"/>
        <v>9643</v>
      </c>
      <c r="D90" s="57">
        <v>5866</v>
      </c>
      <c r="E90" s="62">
        <v>3777</v>
      </c>
    </row>
    <row r="91" spans="1:5" x14ac:dyDescent="0.2">
      <c r="A91" s="215">
        <v>46539</v>
      </c>
      <c r="B91" s="57">
        <f t="shared" si="2"/>
        <v>289290</v>
      </c>
      <c r="C91" s="57">
        <f t="shared" si="3"/>
        <v>9643</v>
      </c>
      <c r="D91" s="57">
        <v>5896</v>
      </c>
      <c r="E91" s="62">
        <v>3747</v>
      </c>
    </row>
    <row r="92" spans="1:5" x14ac:dyDescent="0.2">
      <c r="A92" s="215">
        <v>46569</v>
      </c>
      <c r="B92" s="57">
        <f t="shared" si="2"/>
        <v>279647</v>
      </c>
      <c r="C92" s="57">
        <f t="shared" si="3"/>
        <v>9643</v>
      </c>
      <c r="D92" s="57">
        <v>5926</v>
      </c>
      <c r="E92" s="62">
        <v>3717</v>
      </c>
    </row>
    <row r="93" spans="1:5" x14ac:dyDescent="0.2">
      <c r="A93" s="215">
        <v>46600</v>
      </c>
      <c r="B93" s="57">
        <f t="shared" si="2"/>
        <v>270004</v>
      </c>
      <c r="C93" s="57">
        <f t="shared" si="3"/>
        <v>9643</v>
      </c>
      <c r="D93" s="57">
        <v>5956</v>
      </c>
      <c r="E93" s="62">
        <v>3687</v>
      </c>
    </row>
    <row r="94" spans="1:5" x14ac:dyDescent="0.2">
      <c r="A94" s="215">
        <v>46631</v>
      </c>
      <c r="B94" s="57">
        <f t="shared" si="2"/>
        <v>260361</v>
      </c>
      <c r="C94" s="57">
        <f t="shared" si="3"/>
        <v>9643</v>
      </c>
      <c r="D94" s="57">
        <v>5986</v>
      </c>
      <c r="E94" s="62">
        <v>3657</v>
      </c>
    </row>
    <row r="95" spans="1:5" x14ac:dyDescent="0.2">
      <c r="A95" s="215">
        <v>46661</v>
      </c>
      <c r="B95" s="57">
        <f t="shared" si="2"/>
        <v>250718</v>
      </c>
      <c r="C95" s="57">
        <f t="shared" si="3"/>
        <v>9643</v>
      </c>
      <c r="D95" s="57">
        <v>6016</v>
      </c>
      <c r="E95" s="62">
        <v>3627</v>
      </c>
    </row>
    <row r="96" spans="1:5" x14ac:dyDescent="0.2">
      <c r="A96" s="215">
        <v>46692</v>
      </c>
      <c r="B96" s="57">
        <f t="shared" si="2"/>
        <v>241075</v>
      </c>
      <c r="C96" s="57">
        <f t="shared" si="3"/>
        <v>9643</v>
      </c>
      <c r="D96" s="57">
        <v>6046</v>
      </c>
      <c r="E96" s="62">
        <v>3597</v>
      </c>
    </row>
    <row r="97" spans="1:5" x14ac:dyDescent="0.2">
      <c r="A97" s="215">
        <v>46722</v>
      </c>
      <c r="B97" s="57">
        <f t="shared" si="2"/>
        <v>231432</v>
      </c>
      <c r="C97" s="57">
        <f t="shared" si="3"/>
        <v>9643</v>
      </c>
      <c r="D97" s="57">
        <v>6076</v>
      </c>
      <c r="E97" s="62">
        <v>3567</v>
      </c>
    </row>
    <row r="98" spans="1:5" x14ac:dyDescent="0.2">
      <c r="A98" s="215">
        <v>46753</v>
      </c>
      <c r="B98" s="57">
        <f t="shared" si="2"/>
        <v>221789</v>
      </c>
      <c r="C98" s="57">
        <f t="shared" si="3"/>
        <v>9643</v>
      </c>
      <c r="D98" s="57">
        <v>6106</v>
      </c>
      <c r="E98" s="62">
        <v>3537</v>
      </c>
    </row>
    <row r="99" spans="1:5" x14ac:dyDescent="0.2">
      <c r="A99" s="215">
        <v>46784</v>
      </c>
      <c r="B99" s="57">
        <f t="shared" si="2"/>
        <v>212146</v>
      </c>
      <c r="C99" s="57">
        <f t="shared" si="3"/>
        <v>9643</v>
      </c>
      <c r="D99" s="57">
        <v>6136</v>
      </c>
      <c r="E99" s="62">
        <v>3507</v>
      </c>
    </row>
    <row r="100" spans="1:5" x14ac:dyDescent="0.2">
      <c r="A100" s="215">
        <v>46813</v>
      </c>
      <c r="B100" s="57">
        <f t="shared" si="2"/>
        <v>202503</v>
      </c>
      <c r="C100" s="57">
        <f t="shared" si="3"/>
        <v>9643</v>
      </c>
      <c r="D100" s="57">
        <v>6166</v>
      </c>
      <c r="E100" s="62">
        <v>3477</v>
      </c>
    </row>
    <row r="101" spans="1:5" x14ac:dyDescent="0.2">
      <c r="A101" s="215">
        <v>46844</v>
      </c>
      <c r="B101" s="57">
        <f t="shared" si="2"/>
        <v>192860</v>
      </c>
      <c r="C101" s="57">
        <f t="shared" si="3"/>
        <v>9643</v>
      </c>
      <c r="D101" s="57">
        <v>6196</v>
      </c>
      <c r="E101" s="62">
        <v>3447</v>
      </c>
    </row>
    <row r="102" spans="1:5" x14ac:dyDescent="0.2">
      <c r="A102" s="215">
        <v>46874</v>
      </c>
      <c r="B102" s="57">
        <f t="shared" si="2"/>
        <v>183217</v>
      </c>
      <c r="C102" s="57">
        <f t="shared" si="3"/>
        <v>9643</v>
      </c>
      <c r="D102" s="57">
        <v>6226</v>
      </c>
      <c r="E102" s="62">
        <v>3417</v>
      </c>
    </row>
    <row r="103" spans="1:5" x14ac:dyDescent="0.2">
      <c r="A103" s="215">
        <v>46905</v>
      </c>
      <c r="B103" s="57">
        <f t="shared" si="2"/>
        <v>173574</v>
      </c>
      <c r="C103" s="57">
        <f t="shared" si="3"/>
        <v>9643</v>
      </c>
      <c r="D103" s="57">
        <v>6256</v>
      </c>
      <c r="E103" s="62">
        <v>3387</v>
      </c>
    </row>
    <row r="104" spans="1:5" x14ac:dyDescent="0.2">
      <c r="A104" s="215">
        <v>46935</v>
      </c>
      <c r="B104" s="57">
        <f t="shared" si="2"/>
        <v>163931</v>
      </c>
      <c r="C104" s="57">
        <f t="shared" si="3"/>
        <v>9643</v>
      </c>
      <c r="D104" s="57">
        <v>6286</v>
      </c>
      <c r="E104" s="62">
        <v>3357</v>
      </c>
    </row>
    <row r="105" spans="1:5" x14ac:dyDescent="0.2">
      <c r="A105" s="215">
        <v>46966</v>
      </c>
      <c r="B105" s="57">
        <f t="shared" si="2"/>
        <v>154288</v>
      </c>
      <c r="C105" s="57">
        <f t="shared" si="3"/>
        <v>9643</v>
      </c>
      <c r="D105" s="57">
        <v>6316</v>
      </c>
      <c r="E105" s="62">
        <v>3327</v>
      </c>
    </row>
    <row r="106" spans="1:5" x14ac:dyDescent="0.2">
      <c r="A106" s="215">
        <v>46997</v>
      </c>
      <c r="B106" s="57">
        <f t="shared" si="2"/>
        <v>144645</v>
      </c>
      <c r="C106" s="57">
        <f t="shared" si="3"/>
        <v>9643</v>
      </c>
      <c r="D106" s="57">
        <v>6346</v>
      </c>
      <c r="E106" s="62">
        <v>3297</v>
      </c>
    </row>
    <row r="107" spans="1:5" x14ac:dyDescent="0.2">
      <c r="A107" s="215">
        <v>47027</v>
      </c>
      <c r="B107" s="57">
        <f t="shared" si="2"/>
        <v>135002</v>
      </c>
      <c r="C107" s="57">
        <f t="shared" si="3"/>
        <v>9643</v>
      </c>
      <c r="D107" s="57">
        <v>6376</v>
      </c>
      <c r="E107" s="62">
        <v>3267</v>
      </c>
    </row>
    <row r="108" spans="1:5" x14ac:dyDescent="0.2">
      <c r="A108" s="215">
        <v>47058</v>
      </c>
      <c r="B108" s="57">
        <f t="shared" si="2"/>
        <v>125359</v>
      </c>
      <c r="C108" s="57">
        <f t="shared" si="3"/>
        <v>9643</v>
      </c>
      <c r="D108" s="57">
        <v>6406</v>
      </c>
      <c r="E108" s="62">
        <v>3237</v>
      </c>
    </row>
    <row r="109" spans="1:5" x14ac:dyDescent="0.2">
      <c r="A109" s="215">
        <v>47088</v>
      </c>
      <c r="B109" s="57">
        <f t="shared" si="2"/>
        <v>115716</v>
      </c>
      <c r="C109" s="57">
        <f t="shared" si="3"/>
        <v>9643</v>
      </c>
      <c r="D109" s="57">
        <v>6436</v>
      </c>
      <c r="E109" s="62">
        <v>3207</v>
      </c>
    </row>
    <row r="110" spans="1:5" x14ac:dyDescent="0.2">
      <c r="A110" s="215">
        <v>47119</v>
      </c>
      <c r="B110" s="57">
        <f t="shared" si="2"/>
        <v>106073</v>
      </c>
      <c r="C110" s="57">
        <f t="shared" si="3"/>
        <v>9643</v>
      </c>
      <c r="D110" s="57">
        <v>6466</v>
      </c>
      <c r="E110" s="62">
        <v>3177</v>
      </c>
    </row>
    <row r="111" spans="1:5" x14ac:dyDescent="0.2">
      <c r="A111" s="215">
        <v>47150</v>
      </c>
      <c r="B111" s="57">
        <f t="shared" si="2"/>
        <v>96430</v>
      </c>
      <c r="C111" s="57">
        <f t="shared" si="3"/>
        <v>9643</v>
      </c>
      <c r="D111" s="57">
        <v>6496</v>
      </c>
      <c r="E111" s="62">
        <v>3147</v>
      </c>
    </row>
    <row r="112" spans="1:5" x14ac:dyDescent="0.2">
      <c r="A112" s="215">
        <v>47178</v>
      </c>
      <c r="B112" s="57">
        <f t="shared" si="2"/>
        <v>86787</v>
      </c>
      <c r="C112" s="57">
        <f t="shared" si="3"/>
        <v>9643</v>
      </c>
      <c r="D112" s="57">
        <v>6526</v>
      </c>
      <c r="E112" s="62">
        <v>3117</v>
      </c>
    </row>
    <row r="113" spans="1:5" x14ac:dyDescent="0.2">
      <c r="A113" s="215">
        <v>47209</v>
      </c>
      <c r="B113" s="57">
        <f t="shared" si="2"/>
        <v>77144</v>
      </c>
      <c r="C113" s="57">
        <f t="shared" si="3"/>
        <v>9643</v>
      </c>
      <c r="D113" s="57">
        <v>6556</v>
      </c>
      <c r="E113" s="62">
        <v>3087</v>
      </c>
    </row>
    <row r="114" spans="1:5" x14ac:dyDescent="0.2">
      <c r="A114" s="215">
        <v>47239</v>
      </c>
      <c r="B114" s="57">
        <f t="shared" si="2"/>
        <v>67501</v>
      </c>
      <c r="C114" s="57">
        <f t="shared" si="3"/>
        <v>9643</v>
      </c>
      <c r="D114" s="57">
        <v>6586</v>
      </c>
      <c r="E114" s="62">
        <v>3057</v>
      </c>
    </row>
    <row r="115" spans="1:5" x14ac:dyDescent="0.2">
      <c r="A115" s="215">
        <v>47270</v>
      </c>
      <c r="B115" s="57">
        <f t="shared" si="2"/>
        <v>57858</v>
      </c>
      <c r="C115" s="57">
        <f t="shared" si="3"/>
        <v>9643</v>
      </c>
      <c r="D115" s="57">
        <v>6616</v>
      </c>
      <c r="E115" s="62">
        <v>3027</v>
      </c>
    </row>
    <row r="116" spans="1:5" x14ac:dyDescent="0.2">
      <c r="A116" s="215">
        <v>47300</v>
      </c>
      <c r="B116" s="57">
        <f t="shared" si="2"/>
        <v>48215</v>
      </c>
      <c r="C116" s="57">
        <f t="shared" si="3"/>
        <v>9643</v>
      </c>
      <c r="D116" s="57">
        <v>6646</v>
      </c>
      <c r="E116" s="62">
        <v>2997</v>
      </c>
    </row>
    <row r="117" spans="1:5" x14ac:dyDescent="0.2">
      <c r="A117" s="215">
        <v>47331</v>
      </c>
      <c r="B117" s="57">
        <f t="shared" si="2"/>
        <v>38572</v>
      </c>
      <c r="C117" s="57">
        <f t="shared" si="3"/>
        <v>9643</v>
      </c>
      <c r="D117" s="57">
        <v>6676</v>
      </c>
      <c r="E117" s="62">
        <v>2967</v>
      </c>
    </row>
    <row r="118" spans="1:5" x14ac:dyDescent="0.2">
      <c r="A118" s="215">
        <v>47362</v>
      </c>
      <c r="B118" s="57">
        <f t="shared" si="2"/>
        <v>28929</v>
      </c>
      <c r="C118" s="57">
        <f t="shared" si="3"/>
        <v>9643</v>
      </c>
      <c r="D118" s="57">
        <v>6706</v>
      </c>
      <c r="E118" s="62">
        <v>2937</v>
      </c>
    </row>
    <row r="119" spans="1:5" x14ac:dyDescent="0.2">
      <c r="A119" s="215">
        <v>47392</v>
      </c>
      <c r="B119" s="57">
        <f t="shared" si="2"/>
        <v>19286</v>
      </c>
      <c r="C119" s="57">
        <f t="shared" si="3"/>
        <v>9643</v>
      </c>
      <c r="D119" s="57">
        <v>6736</v>
      </c>
      <c r="E119" s="62">
        <v>2907</v>
      </c>
    </row>
    <row r="120" spans="1:5" x14ac:dyDescent="0.2">
      <c r="A120" s="215">
        <v>47423</v>
      </c>
      <c r="B120" s="57">
        <f t="shared" si="2"/>
        <v>9643</v>
      </c>
      <c r="C120" s="57">
        <f t="shared" si="3"/>
        <v>9643</v>
      </c>
      <c r="D120" s="57">
        <v>6766</v>
      </c>
      <c r="E120" s="62">
        <v>2877</v>
      </c>
    </row>
    <row r="121" spans="1:5" ht="17" thickBot="1" x14ac:dyDescent="0.25">
      <c r="A121" s="216">
        <v>47453</v>
      </c>
      <c r="B121" s="194">
        <f t="shared" si="2"/>
        <v>0</v>
      </c>
      <c r="C121" s="194">
        <f t="shared" si="3"/>
        <v>9643</v>
      </c>
      <c r="D121" s="194">
        <v>6796</v>
      </c>
      <c r="E121" s="195">
        <v>2847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Average Scenario</vt:lpstr>
      <vt:lpstr>Cash Flow Statement</vt:lpstr>
      <vt:lpstr>Amortization Credit 1</vt:lpstr>
      <vt:lpstr>Amortization Credit 2</vt:lpstr>
      <vt:lpstr>Amortization Credit 3</vt:lpstr>
      <vt:lpstr>Reference</vt:lpstr>
      <vt:lpstr>Pessimist Scenario</vt:lpstr>
      <vt:lpstr>Pessimist Cash Flow Statement</vt:lpstr>
      <vt:lpstr>Pessimist Amortization Credit 3</vt:lpstr>
      <vt:lpstr>Pessimist Amortization Credit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Utilisateur de Microsoft Office</cp:lastModifiedBy>
  <dcterms:created xsi:type="dcterms:W3CDTF">2017-11-20T10:52:58Z</dcterms:created>
  <dcterms:modified xsi:type="dcterms:W3CDTF">2017-12-11T13:27:19Z</dcterms:modified>
</cp:coreProperties>
</file>