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Vma3S/LrfErKZYXmkJBefLroywdxYyuXHmCu9AVlXdrptWwfQCcLshD30aEt46l29pJJqE/5OyRu1ILvolSymA==" workbookSaltValue="lpR+4c711aU33Dlfty62bg==" workbookSpinCount="100000" lockStructure="1"/>
  <bookViews>
    <workbookView xWindow="0" yWindow="0" windowWidth="12636" windowHeight="4176" firstSheet="2" activeTab="2"/>
  </bookViews>
  <sheets>
    <sheet name="Data" sheetId="1" state="hidden" r:id="rId1"/>
    <sheet name="Calcul" sheetId="4" state="hidden" r:id="rId2"/>
    <sheet name="Combat" sheetId="2" r:id="rId3"/>
    <sheet name="Logs" sheetId="5" state="hidden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4" l="1"/>
  <c r="M4" i="4" s="1"/>
  <c r="N4" i="4"/>
  <c r="O4" i="4"/>
  <c r="L5" i="4"/>
  <c r="M5" i="4" s="1"/>
  <c r="N5" i="4"/>
  <c r="O5" i="4" s="1"/>
  <c r="L6" i="4"/>
  <c r="M6" i="4" s="1"/>
  <c r="N6" i="4"/>
  <c r="O6" i="4"/>
  <c r="L7" i="4"/>
  <c r="M7" i="4" s="1"/>
  <c r="N7" i="4"/>
  <c r="O7" i="4" s="1"/>
  <c r="L8" i="4"/>
  <c r="M8" i="4" s="1"/>
  <c r="N8" i="4"/>
  <c r="O8" i="4"/>
  <c r="L9" i="4"/>
  <c r="M9" i="4" s="1"/>
  <c r="N9" i="4"/>
  <c r="O9" i="4"/>
  <c r="L10" i="4"/>
  <c r="M10" i="4" s="1"/>
  <c r="N10" i="4"/>
  <c r="O10" i="4"/>
  <c r="L11" i="4"/>
  <c r="M11" i="4" s="1"/>
  <c r="N11" i="4"/>
  <c r="O11" i="4"/>
  <c r="L12" i="4"/>
  <c r="M12" i="4" s="1"/>
  <c r="N12" i="4"/>
  <c r="O12" i="4"/>
  <c r="L13" i="4"/>
  <c r="M13" i="4" s="1"/>
  <c r="N13" i="4"/>
  <c r="O13" i="4"/>
  <c r="L14" i="4"/>
  <c r="M14" i="4" s="1"/>
  <c r="N14" i="4"/>
  <c r="O14" i="4"/>
  <c r="L15" i="4"/>
  <c r="M15" i="4" s="1"/>
  <c r="N15" i="4"/>
  <c r="O15" i="4"/>
  <c r="L16" i="4"/>
  <c r="M16" i="4" s="1"/>
  <c r="N16" i="4"/>
  <c r="O16" i="4" s="1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U17" i="1"/>
  <c r="V8" i="4" l="1"/>
  <c r="V9" i="4" s="1"/>
  <c r="G25" i="4"/>
  <c r="G27" i="4" s="1"/>
  <c r="U18" i="1"/>
  <c r="U19" i="1"/>
  <c r="U20" i="1"/>
  <c r="U21" i="1"/>
  <c r="U22" i="1"/>
  <c r="U100" i="4"/>
  <c r="U102" i="4"/>
  <c r="V11" i="4"/>
  <c r="G28" i="4" l="1"/>
  <c r="B26" i="2"/>
  <c r="B19" i="2"/>
  <c r="C27" i="4"/>
  <c r="C23" i="4"/>
  <c r="E17" i="4" l="1"/>
  <c r="E18" i="4"/>
  <c r="F18" i="4"/>
  <c r="F17" i="4"/>
  <c r="W55" i="4" s="1"/>
  <c r="W77" i="4" l="1"/>
  <c r="W48" i="4"/>
  <c r="W36" i="4"/>
  <c r="AO71" i="4"/>
  <c r="AO72" i="4"/>
  <c r="AO74" i="4"/>
  <c r="AO76" i="4"/>
  <c r="AO77" i="4"/>
  <c r="AO78" i="4"/>
  <c r="AO79" i="4"/>
  <c r="AO80" i="4"/>
  <c r="AO81" i="4"/>
  <c r="AE71" i="4"/>
  <c r="AE72" i="4"/>
  <c r="AE73" i="4"/>
  <c r="AE75" i="4"/>
  <c r="AE77" i="4"/>
  <c r="AE78" i="4"/>
  <c r="AE79" i="4"/>
  <c r="AE80" i="4"/>
  <c r="AE81" i="4"/>
  <c r="AO70" i="4"/>
  <c r="AE70" i="4"/>
  <c r="U73" i="4"/>
  <c r="U74" i="4"/>
  <c r="U75" i="4"/>
  <c r="U76" i="4"/>
  <c r="AM82" i="4"/>
  <c r="AS82" i="4" s="1"/>
  <c r="AC82" i="4"/>
  <c r="AI82" i="4" s="1"/>
  <c r="S82" i="4"/>
  <c r="Y82" i="4" s="1"/>
  <c r="AM73" i="4"/>
  <c r="AS73" i="4" s="1"/>
  <c r="AO49" i="4"/>
  <c r="AO50" i="4"/>
  <c r="AO52" i="4"/>
  <c r="AO54" i="4"/>
  <c r="AO55" i="4"/>
  <c r="AO56" i="4"/>
  <c r="AO57" i="4"/>
  <c r="AO58" i="4"/>
  <c r="AO59" i="4"/>
  <c r="AO48" i="4"/>
  <c r="AE49" i="4"/>
  <c r="AE50" i="4"/>
  <c r="AE51" i="4"/>
  <c r="AE53" i="4"/>
  <c r="AE55" i="4"/>
  <c r="AE56" i="4"/>
  <c r="AE57" i="4"/>
  <c r="AE58" i="4"/>
  <c r="AE59" i="4"/>
  <c r="AE48" i="4"/>
  <c r="U51" i="4"/>
  <c r="U52" i="4"/>
  <c r="U53" i="4"/>
  <c r="U54" i="4"/>
  <c r="AM60" i="4"/>
  <c r="AS60" i="4" s="1"/>
  <c r="AC60" i="4"/>
  <c r="AI60" i="4" s="1"/>
  <c r="S60" i="4"/>
  <c r="AM51" i="4"/>
  <c r="AS51" i="4" s="1"/>
  <c r="AM29" i="4"/>
  <c r="AW73" i="4" l="1"/>
  <c r="Y60" i="4"/>
  <c r="AW82" i="4"/>
  <c r="AW51" i="4"/>
  <c r="AE31" i="4"/>
  <c r="AE29" i="4"/>
  <c r="U29" i="4"/>
  <c r="U30" i="4"/>
  <c r="U31" i="4"/>
  <c r="U32" i="4"/>
  <c r="W81" i="4" l="1"/>
  <c r="W80" i="4"/>
  <c r="W79" i="4"/>
  <c r="W78" i="4"/>
  <c r="AD76" i="4"/>
  <c r="AG75" i="4"/>
  <c r="AD74" i="4"/>
  <c r="AG72" i="4"/>
  <c r="AG71" i="4"/>
  <c r="AG70" i="4"/>
  <c r="AQ57" i="4"/>
  <c r="AQ53" i="4"/>
  <c r="AQ49" i="4"/>
  <c r="AG58" i="4"/>
  <c r="AG54" i="4"/>
  <c r="AG50" i="4"/>
  <c r="AN51" i="4"/>
  <c r="W59" i="4"/>
  <c r="W51" i="4"/>
  <c r="W82" i="4"/>
  <c r="AG80" i="4"/>
  <c r="AG79" i="4"/>
  <c r="AG76" i="4"/>
  <c r="AN73" i="4"/>
  <c r="AQ50" i="4"/>
  <c r="AG51" i="4"/>
  <c r="W56" i="4"/>
  <c r="AG82" i="4"/>
  <c r="W76" i="4"/>
  <c r="W75" i="4"/>
  <c r="W74" i="4"/>
  <c r="AG73" i="4"/>
  <c r="W72" i="4"/>
  <c r="W71" i="4"/>
  <c r="W70" i="4"/>
  <c r="AQ60" i="4"/>
  <c r="AQ56" i="4"/>
  <c r="AQ52" i="4"/>
  <c r="AQ48" i="4"/>
  <c r="AG57" i="4"/>
  <c r="AG53" i="4"/>
  <c r="AG49" i="4"/>
  <c r="AD54" i="4"/>
  <c r="W58" i="4"/>
  <c r="W54" i="4"/>
  <c r="W50" i="4"/>
  <c r="AG77" i="4"/>
  <c r="AG74" i="4"/>
  <c r="AQ71" i="4"/>
  <c r="AQ58" i="4"/>
  <c r="AG59" i="4"/>
  <c r="AN53" i="4"/>
  <c r="W52" i="4"/>
  <c r="AQ81" i="4"/>
  <c r="AQ80" i="4"/>
  <c r="AQ79" i="4"/>
  <c r="AQ78" i="4"/>
  <c r="AQ77" i="4"/>
  <c r="AQ76" i="4"/>
  <c r="AQ75" i="4"/>
  <c r="AQ74" i="4"/>
  <c r="AQ73" i="4"/>
  <c r="W73" i="4"/>
  <c r="AQ59" i="4"/>
  <c r="AQ55" i="4"/>
  <c r="AQ51" i="4"/>
  <c r="AG60" i="4"/>
  <c r="AG56" i="4"/>
  <c r="AG52" i="4"/>
  <c r="AG48" i="4"/>
  <c r="AD52" i="4"/>
  <c r="W57" i="4"/>
  <c r="W53" i="4"/>
  <c r="W49" i="4"/>
  <c r="AQ82" i="4"/>
  <c r="AG81" i="4"/>
  <c r="AG78" i="4"/>
  <c r="AN75" i="4"/>
  <c r="AQ72" i="4"/>
  <c r="AQ70" i="4"/>
  <c r="AQ54" i="4"/>
  <c r="AG55" i="4"/>
  <c r="W60" i="4"/>
  <c r="AW60" i="4"/>
  <c r="W26" i="4"/>
  <c r="W28" i="4"/>
  <c r="AG28" i="4"/>
  <c r="AG32" i="4"/>
  <c r="AQ27" i="4"/>
  <c r="AQ31" i="4"/>
  <c r="AQ35" i="4"/>
  <c r="W35" i="4"/>
  <c r="W31" i="4"/>
  <c r="W27" i="4"/>
  <c r="AG29" i="4"/>
  <c r="AG33" i="4"/>
  <c r="AG37" i="4"/>
  <c r="AQ28" i="4"/>
  <c r="AQ32" i="4"/>
  <c r="AQ36" i="4"/>
  <c r="W32" i="4"/>
  <c r="AG36" i="4"/>
  <c r="W34" i="4"/>
  <c r="W30" i="4"/>
  <c r="AG26" i="4"/>
  <c r="AG30" i="4"/>
  <c r="AG34" i="4"/>
  <c r="AQ29" i="4"/>
  <c r="AQ33" i="4"/>
  <c r="AQ37" i="4"/>
  <c r="W37" i="4"/>
  <c r="W33" i="4"/>
  <c r="W29" i="4"/>
  <c r="AG27" i="4"/>
  <c r="AG31" i="4"/>
  <c r="AG35" i="4"/>
  <c r="AQ26" i="4"/>
  <c r="AQ30" i="4"/>
  <c r="AQ34" i="4"/>
  <c r="F23" i="1"/>
  <c r="G24" i="1"/>
  <c r="H25" i="1"/>
  <c r="D25" i="1"/>
  <c r="D24" i="1"/>
  <c r="D23" i="1"/>
  <c r="C26" i="4" l="1"/>
  <c r="C20" i="4"/>
  <c r="C22" i="4"/>
  <c r="C21" i="4"/>
  <c r="E4" i="4"/>
  <c r="E5" i="4"/>
  <c r="E6" i="4"/>
  <c r="S35" i="4"/>
  <c r="D8" i="4"/>
  <c r="D10" i="4"/>
  <c r="D9" i="4"/>
  <c r="D7" i="4"/>
  <c r="C4" i="4"/>
  <c r="C5" i="4"/>
  <c r="C6" i="4"/>
  <c r="C7" i="4"/>
  <c r="C8" i="4"/>
  <c r="C9" i="4"/>
  <c r="C10" i="4"/>
  <c r="E7" i="4"/>
  <c r="E8" i="4"/>
  <c r="E9" i="4"/>
  <c r="E10" i="4"/>
  <c r="E11" i="4"/>
  <c r="E12" i="4"/>
  <c r="E14" i="4"/>
  <c r="E15" i="4"/>
  <c r="E16" i="4"/>
  <c r="P10" i="2"/>
  <c r="P4" i="2"/>
  <c r="D4" i="4"/>
  <c r="F4" i="4"/>
  <c r="G4" i="4"/>
  <c r="H4" i="4"/>
  <c r="D5" i="4"/>
  <c r="F5" i="4"/>
  <c r="G5" i="4"/>
  <c r="H5" i="4"/>
  <c r="D6" i="4"/>
  <c r="F6" i="4"/>
  <c r="G6" i="4"/>
  <c r="H6" i="4"/>
  <c r="F7" i="4"/>
  <c r="G7" i="4"/>
  <c r="H7" i="4"/>
  <c r="F8" i="4"/>
  <c r="G8" i="4"/>
  <c r="H8" i="4"/>
  <c r="F9" i="4"/>
  <c r="G9" i="4"/>
  <c r="H9" i="4"/>
  <c r="F10" i="4"/>
  <c r="G10" i="4"/>
  <c r="H10" i="4"/>
  <c r="D11" i="4"/>
  <c r="F11" i="4"/>
  <c r="G11" i="4"/>
  <c r="H11" i="4"/>
  <c r="D12" i="4"/>
  <c r="F12" i="4"/>
  <c r="G12" i="4"/>
  <c r="H12" i="4"/>
  <c r="D13" i="4"/>
  <c r="F13" i="4"/>
  <c r="G13" i="4"/>
  <c r="H13" i="4"/>
  <c r="D14" i="4"/>
  <c r="F14" i="4"/>
  <c r="G14" i="4"/>
  <c r="H14" i="4"/>
  <c r="D15" i="4"/>
  <c r="F15" i="4"/>
  <c r="G15" i="4"/>
  <c r="H15" i="4"/>
  <c r="D16" i="4"/>
  <c r="F16" i="4"/>
  <c r="G16" i="4"/>
  <c r="H16" i="4"/>
  <c r="N14" i="1"/>
  <c r="O14" i="1"/>
  <c r="P14" i="1"/>
  <c r="N15" i="1"/>
  <c r="O15" i="1"/>
  <c r="P15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N4" i="1"/>
  <c r="N5" i="1"/>
  <c r="N6" i="1"/>
  <c r="N7" i="1"/>
  <c r="N8" i="1"/>
  <c r="N9" i="1"/>
  <c r="N10" i="1"/>
  <c r="N11" i="1"/>
  <c r="N12" i="1"/>
  <c r="N13" i="1"/>
  <c r="N3" i="1"/>
  <c r="M36" i="4" l="1"/>
  <c r="M26" i="4"/>
  <c r="S37" i="4"/>
  <c r="AC30" i="4"/>
  <c r="O38" i="4"/>
  <c r="O32" i="4"/>
  <c r="O37" i="4"/>
  <c r="O31" i="4"/>
  <c r="O28" i="4"/>
  <c r="O30" i="4"/>
  <c r="O35" i="4"/>
  <c r="O27" i="4"/>
  <c r="O29" i="4"/>
  <c r="O26" i="4"/>
  <c r="S28" i="4"/>
  <c r="AM31" i="4"/>
  <c r="S26" i="4"/>
  <c r="AC32" i="4"/>
  <c r="S27" i="4"/>
  <c r="M38" i="4"/>
  <c r="M29" i="4"/>
  <c r="M34" i="4"/>
  <c r="M28" i="4"/>
  <c r="M35" i="4"/>
  <c r="C29" i="4"/>
  <c r="AE60" i="4" s="1"/>
  <c r="M27" i="4"/>
  <c r="M32" i="4"/>
  <c r="M30" i="4"/>
  <c r="M31" i="4"/>
  <c r="M37" i="4"/>
  <c r="O17" i="4" l="1"/>
  <c r="M17" i="4"/>
  <c r="AO73" i="4"/>
  <c r="AE82" i="4"/>
  <c r="AO82" i="4"/>
  <c r="AO60" i="4"/>
  <c r="AO51" i="4"/>
  <c r="Y35" i="4"/>
  <c r="Y26" i="4"/>
  <c r="AI32" i="4"/>
  <c r="Y27" i="4"/>
  <c r="N42" i="4"/>
  <c r="O42" i="4"/>
  <c r="T3" i="2"/>
  <c r="V12" i="4" l="1"/>
  <c r="S33" i="4"/>
  <c r="AW34" i="4"/>
  <c r="M56" i="4" s="1"/>
  <c r="AE36" i="4" l="1"/>
  <c r="AE34" i="4"/>
  <c r="AO37" i="4"/>
  <c r="AE37" i="4"/>
  <c r="AO33" i="4"/>
  <c r="AO34" i="4"/>
  <c r="AE26" i="4"/>
  <c r="AO36" i="4"/>
  <c r="Y56" i="4" l="1"/>
  <c r="AW56" i="4" s="1"/>
  <c r="AE27" i="4"/>
  <c r="AE35" i="4"/>
  <c r="M78" i="4" l="1"/>
  <c r="Y78" i="4"/>
  <c r="AO32" i="4"/>
  <c r="AW78" i="4" l="1"/>
  <c r="AW36" i="4"/>
  <c r="M100" i="4" l="1"/>
  <c r="M58" i="4"/>
  <c r="K5" i="2" l="1"/>
  <c r="V100" i="4"/>
  <c r="Y58" i="4" l="1"/>
  <c r="AW58" i="4" s="1"/>
  <c r="AE33" i="4" l="1"/>
  <c r="M80" i="4"/>
  <c r="Y80" i="4"/>
  <c r="AE28" i="4"/>
  <c r="AW80" i="4" l="1"/>
  <c r="AO27" i="4"/>
  <c r="AO35" i="4"/>
  <c r="M102" i="4" l="1"/>
  <c r="AO28" i="4"/>
  <c r="AO26" i="4"/>
  <c r="M5" i="2" l="1"/>
  <c r="V102" i="4"/>
  <c r="AS29" i="4"/>
  <c r="AW35" i="4"/>
  <c r="AW27" i="4"/>
  <c r="L57" i="4" l="1"/>
  <c r="M57" i="4" s="1"/>
  <c r="L49" i="4"/>
  <c r="M49" i="4" s="1"/>
  <c r="AW26" i="4"/>
  <c r="L48" i="4" s="1"/>
  <c r="M48" i="4" s="1"/>
  <c r="AW32" i="4"/>
  <c r="AW29" i="4"/>
  <c r="L54" i="4" l="1"/>
  <c r="M54" i="4" s="1"/>
  <c r="L51" i="4"/>
  <c r="S49" i="4"/>
  <c r="S48" i="4"/>
  <c r="Y48" i="4" s="1"/>
  <c r="S57" i="4"/>
  <c r="M51" i="4" l="1"/>
  <c r="L73" i="4"/>
  <c r="Y57" i="4"/>
  <c r="AW57" i="4" s="1"/>
  <c r="L79" i="4" s="1"/>
  <c r="AW48" i="4"/>
  <c r="L70" i="4" s="1"/>
  <c r="Y49" i="4"/>
  <c r="AW49" i="4" s="1"/>
  <c r="L71" i="4" s="1"/>
  <c r="AC54" i="4"/>
  <c r="M73" i="4" l="1"/>
  <c r="L95" i="4"/>
  <c r="U95" i="4" s="1"/>
  <c r="AE54" i="4"/>
  <c r="AI54" i="4"/>
  <c r="AW54" i="4" s="1"/>
  <c r="L76" i="4" s="1"/>
  <c r="M71" i="4"/>
  <c r="S71" i="4"/>
  <c r="Y71" i="4" s="1"/>
  <c r="M79" i="4"/>
  <c r="S79" i="4"/>
  <c r="Y79" i="4" s="1"/>
  <c r="M70" i="4"/>
  <c r="S70" i="4"/>
  <c r="Y70" i="4" s="1"/>
  <c r="M95" i="4" l="1"/>
  <c r="AW70" i="4"/>
  <c r="AW79" i="4"/>
  <c r="L101" i="4" s="1"/>
  <c r="U101" i="4" s="1"/>
  <c r="AW71" i="4"/>
  <c r="AC76" i="4"/>
  <c r="M76" i="4"/>
  <c r="F5" i="2" l="1"/>
  <c r="V95" i="4"/>
  <c r="AI76" i="4"/>
  <c r="AW76" i="4" s="1"/>
  <c r="L98" i="4" s="1"/>
  <c r="U98" i="4" s="1"/>
  <c r="AE76" i="4"/>
  <c r="L93" i="4"/>
  <c r="U93" i="4" s="1"/>
  <c r="M101" i="4"/>
  <c r="L92" i="4"/>
  <c r="M92" i="4" l="1"/>
  <c r="U92" i="4"/>
  <c r="V92" i="4" s="1"/>
  <c r="L5" i="2"/>
  <c r="V101" i="4"/>
  <c r="M98" i="4"/>
  <c r="M93" i="4"/>
  <c r="D5" i="2" l="1"/>
  <c r="V93" i="4"/>
  <c r="I5" i="2"/>
  <c r="V98" i="4"/>
  <c r="C5" i="2"/>
  <c r="AO30" i="4" l="1"/>
  <c r="O36" i="4" l="1"/>
  <c r="O34" i="4"/>
  <c r="O33" i="4" l="1"/>
  <c r="N39" i="4"/>
  <c r="L39" i="4"/>
  <c r="G26" i="4"/>
  <c r="M33" i="4"/>
  <c r="M42" i="4" s="1"/>
  <c r="E13" i="4" l="1"/>
  <c r="O43" i="4"/>
  <c r="C16" i="4"/>
  <c r="M43" i="4"/>
  <c r="N43" i="4"/>
  <c r="T33" i="4" l="1"/>
  <c r="T77" i="4"/>
  <c r="T55" i="4"/>
  <c r="V28" i="4"/>
  <c r="V36" i="4"/>
  <c r="V26" i="4"/>
  <c r="V38" i="4"/>
  <c r="V35" i="4"/>
  <c r="V31" i="4"/>
  <c r="V27" i="4"/>
  <c r="V33" i="4"/>
  <c r="V34" i="4"/>
  <c r="V37" i="4"/>
  <c r="V30" i="4"/>
  <c r="V29" i="4"/>
  <c r="V32" i="4"/>
  <c r="U56" i="4"/>
  <c r="T72" i="4"/>
  <c r="U58" i="4"/>
  <c r="T57" i="4"/>
  <c r="U57" i="4" s="1"/>
  <c r="AM38" i="4"/>
  <c r="AN29" i="4"/>
  <c r="AO29" i="4" s="1"/>
  <c r="AD30" i="4"/>
  <c r="AE30" i="4" s="1"/>
  <c r="T27" i="4"/>
  <c r="U27" i="4" s="1"/>
  <c r="T26" i="4"/>
  <c r="U26" i="4" s="1"/>
  <c r="T48" i="4"/>
  <c r="U48" i="4" s="1"/>
  <c r="U34" i="4"/>
  <c r="T28" i="4"/>
  <c r="U28" i="4" s="1"/>
  <c r="U78" i="4"/>
  <c r="T79" i="4"/>
  <c r="U79" i="4" s="1"/>
  <c r="AN31" i="4"/>
  <c r="AO31" i="4" s="1"/>
  <c r="U80" i="4"/>
  <c r="AD32" i="4"/>
  <c r="AE32" i="4" s="1"/>
  <c r="T59" i="4"/>
  <c r="AC38" i="4"/>
  <c r="U36" i="4"/>
  <c r="T60" i="4"/>
  <c r="U60" i="4" s="1"/>
  <c r="T81" i="4"/>
  <c r="T49" i="4"/>
  <c r="U49" i="4" s="1"/>
  <c r="T37" i="4"/>
  <c r="U37" i="4" s="1"/>
  <c r="T82" i="4"/>
  <c r="U82" i="4" s="1"/>
  <c r="T70" i="4"/>
  <c r="U70" i="4" s="1"/>
  <c r="T71" i="4"/>
  <c r="U71" i="4" s="1"/>
  <c r="T35" i="4"/>
  <c r="U35" i="4" s="1"/>
  <c r="T50" i="4"/>
  <c r="S38" i="4"/>
  <c r="U33" i="4" l="1"/>
  <c r="V14" i="4"/>
  <c r="G29" i="4" s="1"/>
  <c r="C25" i="4" s="1"/>
  <c r="AO38" i="4"/>
  <c r="AO39" i="4" s="1"/>
  <c r="U38" i="4"/>
  <c r="U39" i="4" s="1"/>
  <c r="AE38" i="4"/>
  <c r="AE39" i="4" s="1"/>
  <c r="AI38" i="4"/>
  <c r="C30" i="4" l="1"/>
  <c r="S13" i="2"/>
  <c r="T9" i="2" l="1"/>
  <c r="X33" i="4"/>
  <c r="X37" i="4"/>
  <c r="X34" i="4"/>
  <c r="X31" i="4"/>
  <c r="X35" i="4"/>
  <c r="X36" i="4"/>
  <c r="X28" i="4"/>
  <c r="X38" i="4"/>
  <c r="X30" i="4"/>
  <c r="X32" i="4"/>
  <c r="X27" i="4"/>
  <c r="X29" i="4"/>
  <c r="X26" i="4"/>
  <c r="Y38" i="4"/>
  <c r="X39" i="4" l="1"/>
  <c r="Y37" i="4" l="1"/>
  <c r="AW37" i="4" s="1"/>
  <c r="L59" i="4" s="1"/>
  <c r="Y33" i="4"/>
  <c r="AW33" i="4" s="1"/>
  <c r="L55" i="4" s="1"/>
  <c r="Z36" i="4"/>
  <c r="AF36" i="4" s="1"/>
  <c r="AH36" i="4" s="1"/>
  <c r="Z37" i="4"/>
  <c r="AF37" i="4" s="1"/>
  <c r="AH37" i="4" s="1"/>
  <c r="Z31" i="4"/>
  <c r="AF31" i="4" s="1"/>
  <c r="AH31" i="4" s="1"/>
  <c r="Z27" i="4"/>
  <c r="AF27" i="4" s="1"/>
  <c r="AH27" i="4" s="1"/>
  <c r="Y28" i="4"/>
  <c r="AW28" i="4" s="1"/>
  <c r="L50" i="4" s="1"/>
  <c r="Z35" i="4"/>
  <c r="AF35" i="4" s="1"/>
  <c r="AH35" i="4" s="1"/>
  <c r="Z26" i="4"/>
  <c r="AF26" i="4" s="1"/>
  <c r="AH26" i="4" s="1"/>
  <c r="Z34" i="4"/>
  <c r="AF34" i="4" s="1"/>
  <c r="AH34" i="4" s="1"/>
  <c r="Z28" i="4"/>
  <c r="AF28" i="4" s="1"/>
  <c r="AH28" i="4" s="1"/>
  <c r="Z33" i="4"/>
  <c r="AF33" i="4" s="1"/>
  <c r="AH33" i="4" s="1"/>
  <c r="Z30" i="4"/>
  <c r="AF30" i="4" s="1"/>
  <c r="AH30" i="4" s="1"/>
  <c r="Z29" i="4"/>
  <c r="AF29" i="4" s="1"/>
  <c r="AH29" i="4" s="1"/>
  <c r="Z32" i="4"/>
  <c r="AF32" i="4" s="1"/>
  <c r="AH32" i="4" s="1"/>
  <c r="Z38" i="4"/>
  <c r="AF38" i="4" s="1"/>
  <c r="AH38" i="4" s="1"/>
  <c r="AH39" i="4" l="1"/>
  <c r="AJ29" i="4" s="1"/>
  <c r="AP29" i="4" s="1"/>
  <c r="M50" i="4"/>
  <c r="S50" i="4"/>
  <c r="U50" i="4" s="1"/>
  <c r="S55" i="4"/>
  <c r="U55" i="4" s="1"/>
  <c r="M55" i="4"/>
  <c r="S59" i="4"/>
  <c r="U59" i="4" s="1"/>
  <c r="M59" i="4"/>
  <c r="AI30" i="4"/>
  <c r="AW30" i="4" s="1"/>
  <c r="L52" i="4" s="1"/>
  <c r="AJ26" i="4" l="1"/>
  <c r="AP26" i="4" s="1"/>
  <c r="AR26" i="4" s="1"/>
  <c r="AJ37" i="4"/>
  <c r="AP37" i="4" s="1"/>
  <c r="AR37" i="4" s="1"/>
  <c r="AJ31" i="4"/>
  <c r="AP31" i="4" s="1"/>
  <c r="AR31" i="4" s="1"/>
  <c r="AJ27" i="4"/>
  <c r="AP27" i="4" s="1"/>
  <c r="AR27" i="4" s="1"/>
  <c r="AJ33" i="4"/>
  <c r="AP33" i="4" s="1"/>
  <c r="AJ35" i="4"/>
  <c r="AP35" i="4" s="1"/>
  <c r="AR35" i="4" s="1"/>
  <c r="AJ38" i="4"/>
  <c r="AP38" i="4" s="1"/>
  <c r="AR38" i="4" s="1"/>
  <c r="AJ34" i="4"/>
  <c r="AP34" i="4" s="1"/>
  <c r="AR34" i="4" s="1"/>
  <c r="AJ28" i="4"/>
  <c r="AP28" i="4" s="1"/>
  <c r="AR28" i="4" s="1"/>
  <c r="AJ36" i="4"/>
  <c r="AP36" i="4" s="1"/>
  <c r="AR36" i="4" s="1"/>
  <c r="AJ30" i="4"/>
  <c r="AP30" i="4" s="1"/>
  <c r="AR30" i="4" s="1"/>
  <c r="AJ32" i="4"/>
  <c r="AP32" i="4" s="1"/>
  <c r="AR32" i="4" s="1"/>
  <c r="U61" i="4"/>
  <c r="M64" i="4"/>
  <c r="M65" i="4" s="1"/>
  <c r="AR33" i="4"/>
  <c r="M52" i="4"/>
  <c r="N64" i="4" s="1"/>
  <c r="N65" i="4" s="1"/>
  <c r="AC52" i="4"/>
  <c r="AE52" i="4" s="1"/>
  <c r="AE61" i="4" s="1"/>
  <c r="AR29" i="4"/>
  <c r="AR39" i="4" l="1"/>
  <c r="AS38" i="4" s="1"/>
  <c r="AW38" i="4" s="1"/>
  <c r="L60" i="4" s="1"/>
  <c r="M60" i="4" l="1"/>
  <c r="L82" i="4"/>
  <c r="AS31" i="4"/>
  <c r="AW31" i="4" s="1"/>
  <c r="L53" i="4" s="1"/>
  <c r="AT30" i="4"/>
  <c r="AX30" i="4" s="1"/>
  <c r="N52" i="4" s="1"/>
  <c r="AT27" i="4"/>
  <c r="AX27" i="4" s="1"/>
  <c r="N49" i="4" s="1"/>
  <c r="AT32" i="4"/>
  <c r="AX32" i="4" s="1"/>
  <c r="N54" i="4" s="1"/>
  <c r="AT29" i="4"/>
  <c r="AX29" i="4" s="1"/>
  <c r="N51" i="4" s="1"/>
  <c r="AT36" i="4"/>
  <c r="AX36" i="4" s="1"/>
  <c r="N58" i="4" s="1"/>
  <c r="AT38" i="4"/>
  <c r="AX38" i="4" s="1"/>
  <c r="N60" i="4" s="1"/>
  <c r="AT33" i="4"/>
  <c r="AX33" i="4" s="1"/>
  <c r="N55" i="4" s="1"/>
  <c r="V55" i="4" s="1"/>
  <c r="AT34" i="4"/>
  <c r="AX34" i="4" s="1"/>
  <c r="N56" i="4" s="1"/>
  <c r="AT28" i="4"/>
  <c r="AX28" i="4" s="1"/>
  <c r="N50" i="4" s="1"/>
  <c r="AT37" i="4"/>
  <c r="AX37" i="4" s="1"/>
  <c r="N59" i="4" s="1"/>
  <c r="AT31" i="4"/>
  <c r="AX31" i="4" s="1"/>
  <c r="N53" i="4" s="1"/>
  <c r="AT26" i="4"/>
  <c r="AX26" i="4" s="1"/>
  <c r="N48" i="4" s="1"/>
  <c r="AT35" i="4"/>
  <c r="AX35" i="4" s="1"/>
  <c r="N57" i="4" s="1"/>
  <c r="M82" i="4" l="1"/>
  <c r="L104" i="4"/>
  <c r="V54" i="4"/>
  <c r="O54" i="4"/>
  <c r="O59" i="4"/>
  <c r="V59" i="4"/>
  <c r="O60" i="4"/>
  <c r="V60" i="4"/>
  <c r="O49" i="4"/>
  <c r="V49" i="4"/>
  <c r="O53" i="4"/>
  <c r="V53" i="4"/>
  <c r="V57" i="4"/>
  <c r="O57" i="4"/>
  <c r="V50" i="4"/>
  <c r="O50" i="4"/>
  <c r="AF58" i="4"/>
  <c r="V58" i="4"/>
  <c r="O58" i="4"/>
  <c r="AP58" i="4"/>
  <c r="V52" i="4"/>
  <c r="O52" i="4"/>
  <c r="O55" i="4"/>
  <c r="V48" i="4"/>
  <c r="O48" i="4"/>
  <c r="N61" i="4"/>
  <c r="V56" i="4"/>
  <c r="O56" i="4"/>
  <c r="O51" i="4"/>
  <c r="V51" i="4"/>
  <c r="M53" i="4"/>
  <c r="O64" i="4" s="1"/>
  <c r="O65" i="4" s="1"/>
  <c r="AM53" i="4"/>
  <c r="AO53" i="4" s="1"/>
  <c r="AO61" i="4" s="1"/>
  <c r="L61" i="4"/>
  <c r="M104" i="4" l="1"/>
  <c r="U104" i="4"/>
  <c r="X58" i="4"/>
  <c r="X59" i="4"/>
  <c r="X48" i="4"/>
  <c r="X52" i="4"/>
  <c r="AJ58" i="4"/>
  <c r="AH58" i="4"/>
  <c r="X57" i="4"/>
  <c r="X56" i="4"/>
  <c r="X55" i="4"/>
  <c r="AR58" i="4"/>
  <c r="AT58" i="4"/>
  <c r="X53" i="4"/>
  <c r="X60" i="4"/>
  <c r="X49" i="4"/>
  <c r="X51" i="4"/>
  <c r="X50" i="4"/>
  <c r="X54" i="4"/>
  <c r="O5" i="2" l="1"/>
  <c r="V104" i="4"/>
  <c r="X61" i="4"/>
  <c r="Y59" i="4" s="1"/>
  <c r="AW59" i="4" s="1"/>
  <c r="L81" i="4" s="1"/>
  <c r="S81" i="4" l="1"/>
  <c r="M81" i="4"/>
  <c r="Y50" i="4"/>
  <c r="AW50" i="4" s="1"/>
  <c r="L72" i="4" s="1"/>
  <c r="M72" i="4" s="1"/>
  <c r="Y55" i="4"/>
  <c r="Z52" i="4"/>
  <c r="AF52" i="4" s="1"/>
  <c r="Z57" i="4"/>
  <c r="AF57" i="4" s="1"/>
  <c r="Z49" i="4"/>
  <c r="AF49" i="4" s="1"/>
  <c r="Z58" i="4"/>
  <c r="AX58" i="4" s="1"/>
  <c r="N80" i="4" s="1"/>
  <c r="Z48" i="4"/>
  <c r="AF48" i="4" s="1"/>
  <c r="Z56" i="4"/>
  <c r="AF56" i="4" s="1"/>
  <c r="Z60" i="4"/>
  <c r="AF60" i="4" s="1"/>
  <c r="Z51" i="4"/>
  <c r="AF51" i="4" s="1"/>
  <c r="Z54" i="4"/>
  <c r="AF54" i="4" s="1"/>
  <c r="Z53" i="4"/>
  <c r="AF53" i="4" s="1"/>
  <c r="Z59" i="4"/>
  <c r="AF59" i="4" s="1"/>
  <c r="Z55" i="4"/>
  <c r="AF55" i="4" s="1"/>
  <c r="Z50" i="4"/>
  <c r="AF50" i="4" s="1"/>
  <c r="U81" i="4" l="1"/>
  <c r="AW55" i="4"/>
  <c r="L77" i="4" s="1"/>
  <c r="S77" i="4" s="1"/>
  <c r="S72" i="4"/>
  <c r="U72" i="4" s="1"/>
  <c r="AJ51" i="4"/>
  <c r="AP51" i="4" s="1"/>
  <c r="AH51" i="4"/>
  <c r="AJ59" i="4"/>
  <c r="AP59" i="4" s="1"/>
  <c r="AH59" i="4"/>
  <c r="AH60" i="4"/>
  <c r="AJ60" i="4"/>
  <c r="AP60" i="4" s="1"/>
  <c r="AH49" i="4"/>
  <c r="AJ49" i="4"/>
  <c r="AP49" i="4" s="1"/>
  <c r="AJ55" i="4"/>
  <c r="AP55" i="4" s="1"/>
  <c r="AH55" i="4"/>
  <c r="AJ53" i="4"/>
  <c r="AP53" i="4" s="1"/>
  <c r="AH53" i="4"/>
  <c r="AJ56" i="4"/>
  <c r="AP56" i="4" s="1"/>
  <c r="AH56" i="4"/>
  <c r="AH57" i="4"/>
  <c r="AJ57" i="4"/>
  <c r="AP57" i="4" s="1"/>
  <c r="O80" i="4"/>
  <c r="AJ50" i="4"/>
  <c r="AP50" i="4" s="1"/>
  <c r="AH50" i="4"/>
  <c r="AH54" i="4"/>
  <c r="AJ54" i="4"/>
  <c r="AP54" i="4" s="1"/>
  <c r="AH48" i="4"/>
  <c r="AJ48" i="4"/>
  <c r="AP48" i="4" s="1"/>
  <c r="AH52" i="4"/>
  <c r="AJ52" i="4"/>
  <c r="AP52" i="4" s="1"/>
  <c r="M77" i="4" l="1"/>
  <c r="M86" i="4" s="1"/>
  <c r="M87" i="4" s="1"/>
  <c r="AF80" i="4" s="1"/>
  <c r="U77" i="4"/>
  <c r="U83" i="4" s="1"/>
  <c r="AR59" i="4"/>
  <c r="AT59" i="4"/>
  <c r="AX59" i="4" s="1"/>
  <c r="N81" i="4" s="1"/>
  <c r="AR60" i="4"/>
  <c r="AT60" i="4"/>
  <c r="AX60" i="4" s="1"/>
  <c r="N82" i="4" s="1"/>
  <c r="AR53" i="4"/>
  <c r="AT53" i="4"/>
  <c r="AX53" i="4" s="1"/>
  <c r="N75" i="4" s="1"/>
  <c r="AT48" i="4"/>
  <c r="AX48" i="4" s="1"/>
  <c r="N70" i="4" s="1"/>
  <c r="AR48" i="4"/>
  <c r="AR52" i="4"/>
  <c r="AT52" i="4"/>
  <c r="AX52" i="4" s="1"/>
  <c r="N74" i="4" s="1"/>
  <c r="AH61" i="4"/>
  <c r="AI52" i="4" s="1"/>
  <c r="AW52" i="4" s="1"/>
  <c r="L74" i="4" s="1"/>
  <c r="AT50" i="4"/>
  <c r="AX50" i="4" s="1"/>
  <c r="N72" i="4" s="1"/>
  <c r="AR50" i="4"/>
  <c r="AT56" i="4"/>
  <c r="AX56" i="4" s="1"/>
  <c r="N78" i="4" s="1"/>
  <c r="AR56" i="4"/>
  <c r="AT55" i="4"/>
  <c r="AX55" i="4" s="1"/>
  <c r="N77" i="4" s="1"/>
  <c r="V77" i="4" s="1"/>
  <c r="AR55" i="4"/>
  <c r="AT54" i="4"/>
  <c r="AX54" i="4" s="1"/>
  <c r="N76" i="4" s="1"/>
  <c r="AR54" i="4"/>
  <c r="AT57" i="4"/>
  <c r="AX57" i="4" s="1"/>
  <c r="N79" i="4" s="1"/>
  <c r="AR57" i="4"/>
  <c r="AT49" i="4"/>
  <c r="AX49" i="4" s="1"/>
  <c r="N71" i="4" s="1"/>
  <c r="AR49" i="4"/>
  <c r="AR51" i="4"/>
  <c r="AT51" i="4"/>
  <c r="AX51" i="4" s="1"/>
  <c r="N73" i="4" s="1"/>
  <c r="AP80" i="4" l="1"/>
  <c r="AR80" i="4" s="1"/>
  <c r="AH80" i="4"/>
  <c r="AJ80" i="4"/>
  <c r="V80" i="4"/>
  <c r="X80" i="4" s="1"/>
  <c r="V74" i="4"/>
  <c r="O74" i="4"/>
  <c r="O77" i="4"/>
  <c r="V75" i="4"/>
  <c r="O75" i="4"/>
  <c r="O79" i="4"/>
  <c r="V79" i="4"/>
  <c r="O76" i="4"/>
  <c r="V76" i="4"/>
  <c r="O78" i="4"/>
  <c r="V78" i="4"/>
  <c r="V72" i="4"/>
  <c r="O72" i="4"/>
  <c r="AR61" i="4"/>
  <c r="AS53" i="4" s="1"/>
  <c r="AW53" i="4" s="1"/>
  <c r="L75" i="4" s="1"/>
  <c r="L83" i="4" s="1"/>
  <c r="O82" i="4"/>
  <c r="V82" i="4"/>
  <c r="O81" i="4"/>
  <c r="V81" i="4"/>
  <c r="V71" i="4"/>
  <c r="O71" i="4"/>
  <c r="V73" i="4"/>
  <c r="O73" i="4"/>
  <c r="AC74" i="4"/>
  <c r="AE74" i="4" s="1"/>
  <c r="AE83" i="4" s="1"/>
  <c r="M74" i="4"/>
  <c r="N86" i="4" s="1"/>
  <c r="N87" i="4" s="1"/>
  <c r="N83" i="4"/>
  <c r="O70" i="4"/>
  <c r="V70" i="4"/>
  <c r="AT80" i="4" l="1"/>
  <c r="Z80" i="4"/>
  <c r="X79" i="4"/>
  <c r="Z79" i="4"/>
  <c r="AF79" i="4" s="1"/>
  <c r="Z81" i="4"/>
  <c r="AF81" i="4" s="1"/>
  <c r="X81" i="4"/>
  <c r="AM75" i="4"/>
  <c r="AO75" i="4" s="1"/>
  <c r="AO83" i="4" s="1"/>
  <c r="M75" i="4"/>
  <c r="O86" i="4" s="1"/>
  <c r="O87" i="4" s="1"/>
  <c r="Z78" i="4"/>
  <c r="AF78" i="4" s="1"/>
  <c r="X78" i="4"/>
  <c r="X73" i="4"/>
  <c r="Z73" i="4"/>
  <c r="AF73" i="4" s="1"/>
  <c r="X76" i="4"/>
  <c r="Z76" i="4"/>
  <c r="AF76" i="4" s="1"/>
  <c r="Z71" i="4"/>
  <c r="AF71" i="4" s="1"/>
  <c r="X71" i="4"/>
  <c r="X77" i="4"/>
  <c r="Z77" i="4"/>
  <c r="AF77" i="4" s="1"/>
  <c r="Z70" i="4"/>
  <c r="AF70" i="4" s="1"/>
  <c r="X70" i="4"/>
  <c r="Z82" i="4"/>
  <c r="AF82" i="4" s="1"/>
  <c r="X82" i="4"/>
  <c r="X72" i="4"/>
  <c r="Z72" i="4"/>
  <c r="AF72" i="4" s="1"/>
  <c r="X75" i="4"/>
  <c r="Z75" i="4"/>
  <c r="AF75" i="4" s="1"/>
  <c r="X74" i="4"/>
  <c r="Z74" i="4"/>
  <c r="AF74" i="4" s="1"/>
  <c r="AX80" i="4" l="1"/>
  <c r="N102" i="4" s="1"/>
  <c r="O102" i="4" s="1"/>
  <c r="X83" i="4"/>
  <c r="Y81" i="4" s="1"/>
  <c r="AW81" i="4" s="1"/>
  <c r="L103" i="4" s="1"/>
  <c r="M103" i="4" s="1"/>
  <c r="AH70" i="4"/>
  <c r="AJ70" i="4"/>
  <c r="AP70" i="4" s="1"/>
  <c r="AJ71" i="4"/>
  <c r="AP71" i="4" s="1"/>
  <c r="AH71" i="4"/>
  <c r="AH81" i="4"/>
  <c r="AJ81" i="4"/>
  <c r="AP81" i="4" s="1"/>
  <c r="AJ74" i="4"/>
  <c r="AP74" i="4" s="1"/>
  <c r="AH74" i="4"/>
  <c r="AH73" i="4"/>
  <c r="AJ73" i="4"/>
  <c r="AP73" i="4" s="1"/>
  <c r="AJ77" i="4"/>
  <c r="AP77" i="4" s="1"/>
  <c r="AH77" i="4"/>
  <c r="AH76" i="4"/>
  <c r="AJ76" i="4"/>
  <c r="AP76" i="4" s="1"/>
  <c r="AH79" i="4"/>
  <c r="AJ79" i="4"/>
  <c r="AP79" i="4" s="1"/>
  <c r="AH72" i="4"/>
  <c r="AJ72" i="4"/>
  <c r="AP72" i="4" s="1"/>
  <c r="AJ75" i="4"/>
  <c r="AP75" i="4" s="1"/>
  <c r="AH75" i="4"/>
  <c r="AJ82" i="4"/>
  <c r="AP82" i="4" s="1"/>
  <c r="AH82" i="4"/>
  <c r="AH78" i="4"/>
  <c r="AJ78" i="4"/>
  <c r="AP78" i="4" s="1"/>
  <c r="X102" i="4" l="1"/>
  <c r="Y102" i="4" s="1"/>
  <c r="Y72" i="4"/>
  <c r="AW72" i="4" s="1"/>
  <c r="L94" i="4" s="1"/>
  <c r="U94" i="4" s="1"/>
  <c r="Y77" i="4"/>
  <c r="AR78" i="4"/>
  <c r="AT78" i="4"/>
  <c r="AX78" i="4" s="1"/>
  <c r="N100" i="4" s="1"/>
  <c r="AR75" i="4"/>
  <c r="AT75" i="4"/>
  <c r="AX75" i="4" s="1"/>
  <c r="N97" i="4" s="1"/>
  <c r="AT77" i="4"/>
  <c r="AX77" i="4" s="1"/>
  <c r="N99" i="4" s="1"/>
  <c r="AR77" i="4"/>
  <c r="AT74" i="4"/>
  <c r="AX74" i="4" s="1"/>
  <c r="N96" i="4" s="1"/>
  <c r="AR74" i="4"/>
  <c r="AR71" i="4"/>
  <c r="AT71" i="4"/>
  <c r="AX71" i="4" s="1"/>
  <c r="N93" i="4" s="1"/>
  <c r="AT79" i="4"/>
  <c r="AX79" i="4" s="1"/>
  <c r="N101" i="4" s="1"/>
  <c r="AR79" i="4"/>
  <c r="AT73" i="4"/>
  <c r="AX73" i="4" s="1"/>
  <c r="N95" i="4" s="1"/>
  <c r="AR73" i="4"/>
  <c r="AR81" i="4"/>
  <c r="AT81" i="4"/>
  <c r="AX81" i="4" s="1"/>
  <c r="N103" i="4" s="1"/>
  <c r="X103" i="4" s="1"/>
  <c r="AT70" i="4"/>
  <c r="AX70" i="4" s="1"/>
  <c r="N92" i="4" s="1"/>
  <c r="AR70" i="4"/>
  <c r="AR72" i="4"/>
  <c r="AT72" i="4"/>
  <c r="AX72" i="4" s="1"/>
  <c r="N94" i="4" s="1"/>
  <c r="AR76" i="4"/>
  <c r="AT76" i="4"/>
  <c r="AX76" i="4" s="1"/>
  <c r="N98" i="4" s="1"/>
  <c r="AT82" i="4"/>
  <c r="AX82" i="4" s="1"/>
  <c r="N104" i="4" s="1"/>
  <c r="AR82" i="4"/>
  <c r="AH83" i="4"/>
  <c r="AI74" i="4" s="1"/>
  <c r="AW74" i="4" s="1"/>
  <c r="L96" i="4" s="1"/>
  <c r="M11" i="2" l="1"/>
  <c r="AW77" i="4"/>
  <c r="L99" i="4" s="1"/>
  <c r="M99" i="4" s="1"/>
  <c r="U99" i="4"/>
  <c r="M94" i="4"/>
  <c r="V94" i="4"/>
  <c r="E5" i="2"/>
  <c r="X97" i="4"/>
  <c r="O97" i="4"/>
  <c r="X104" i="4"/>
  <c r="O104" i="4"/>
  <c r="X101" i="4"/>
  <c r="O101" i="4"/>
  <c r="X96" i="4"/>
  <c r="O96" i="4"/>
  <c r="X94" i="4"/>
  <c r="O94" i="4"/>
  <c r="X98" i="4"/>
  <c r="O98" i="4"/>
  <c r="AR83" i="4"/>
  <c r="AS75" i="4" s="1"/>
  <c r="AW75" i="4" s="1"/>
  <c r="L97" i="4" s="1"/>
  <c r="X93" i="4"/>
  <c r="O93" i="4"/>
  <c r="X100" i="4"/>
  <c r="O100" i="4"/>
  <c r="O103" i="4"/>
  <c r="U96" i="4"/>
  <c r="M96" i="4"/>
  <c r="N108" i="4" s="1"/>
  <c r="N109" i="4" s="1"/>
  <c r="X92" i="4"/>
  <c r="N105" i="4"/>
  <c r="O92" i="4"/>
  <c r="X95" i="4"/>
  <c r="O95" i="4"/>
  <c r="X99" i="4"/>
  <c r="O99" i="4"/>
  <c r="L105" i="4" l="1"/>
  <c r="M108" i="4"/>
  <c r="M109" i="4" s="1"/>
  <c r="V99" i="4"/>
  <c r="J5" i="2"/>
  <c r="K11" i="2"/>
  <c r="Y100" i="4"/>
  <c r="X105" i="4"/>
  <c r="C11" i="2"/>
  <c r="Y92" i="4"/>
  <c r="I11" i="2"/>
  <c r="Y98" i="4"/>
  <c r="G11" i="2"/>
  <c r="Y96" i="4"/>
  <c r="O11" i="2"/>
  <c r="Y104" i="4"/>
  <c r="J11" i="2"/>
  <c r="Y99" i="4"/>
  <c r="G5" i="2"/>
  <c r="V96" i="4"/>
  <c r="F11" i="2"/>
  <c r="Y95" i="4"/>
  <c r="N11" i="2"/>
  <c r="Y103" i="4"/>
  <c r="D11" i="2"/>
  <c r="Y93" i="4"/>
  <c r="U97" i="4"/>
  <c r="U105" i="4" s="1"/>
  <c r="U103" i="4" s="1"/>
  <c r="M97" i="4"/>
  <c r="O108" i="4" s="1"/>
  <c r="O109" i="4" s="1"/>
  <c r="E11" i="2"/>
  <c r="Y94" i="4"/>
  <c r="L11" i="2"/>
  <c r="Y101" i="4"/>
  <c r="Y97" i="4"/>
  <c r="H11" i="2"/>
  <c r="N5" i="2" l="1"/>
  <c r="V103" i="4"/>
  <c r="P11" i="2"/>
  <c r="H5" i="2"/>
  <c r="V97" i="4"/>
  <c r="V105" i="4" s="1"/>
  <c r="Y105" i="4"/>
  <c r="P5" i="2" l="1"/>
  <c r="Y107" i="4"/>
</calcChain>
</file>

<file path=xl/sharedStrings.xml><?xml version="1.0" encoding="utf-8"?>
<sst xmlns="http://schemas.openxmlformats.org/spreadsheetml/2006/main" count="544" uniqueCount="140">
  <si>
    <t>Force</t>
  </si>
  <si>
    <t>Unité</t>
  </si>
  <si>
    <t>Archer</t>
  </si>
  <si>
    <t>Pop</t>
  </si>
  <si>
    <t>Type</t>
  </si>
  <si>
    <t>C</t>
  </si>
  <si>
    <t>Défense</t>
  </si>
  <si>
    <t>Défense par pop</t>
  </si>
  <si>
    <t>Infanterie</t>
  </si>
  <si>
    <t>Cavalerie</t>
  </si>
  <si>
    <t>Archers</t>
  </si>
  <si>
    <t>Lancier</t>
  </si>
  <si>
    <t>Guerrier à Hache</t>
  </si>
  <si>
    <t>Cavalerie légère</t>
  </si>
  <si>
    <t>Archer monté</t>
  </si>
  <si>
    <t>Cavalerie lourde</t>
  </si>
  <si>
    <t>Bélier</t>
  </si>
  <si>
    <t>Catapulte</t>
  </si>
  <si>
    <t>Berserker</t>
  </si>
  <si>
    <t>Trebuchet</t>
  </si>
  <si>
    <t>Noble</t>
  </si>
  <si>
    <t>Paladin</t>
  </si>
  <si>
    <t>Moral</t>
  </si>
  <si>
    <t>%</t>
  </si>
  <si>
    <t>Chance</t>
  </si>
  <si>
    <t>Bonus nocturne</t>
  </si>
  <si>
    <t>I</t>
  </si>
  <si>
    <t>A</t>
  </si>
  <si>
    <t>Attaquant</t>
  </si>
  <si>
    <t>Nombre</t>
  </si>
  <si>
    <t>Défenseur</t>
  </si>
  <si>
    <t>Force I</t>
  </si>
  <si>
    <t>Force C</t>
  </si>
  <si>
    <t>Force A</t>
  </si>
  <si>
    <t>Défense I</t>
  </si>
  <si>
    <t>Défense C</t>
  </si>
  <si>
    <t>Défense A</t>
  </si>
  <si>
    <t>Foi</t>
  </si>
  <si>
    <t>Groupe Infanterie</t>
  </si>
  <si>
    <t>Groupe Cavalerie</t>
  </si>
  <si>
    <t>Modificateurs Off</t>
  </si>
  <si>
    <t>Modificateurs Def</t>
  </si>
  <si>
    <t>Niveau</t>
  </si>
  <si>
    <t>Défense de base</t>
  </si>
  <si>
    <t>Bonus défensif</t>
  </si>
  <si>
    <t>Chapelle/Eglise</t>
  </si>
  <si>
    <t>Unités AVANT</t>
  </si>
  <si>
    <t>Pertes Totales</t>
  </si>
  <si>
    <t>TOTAL</t>
  </si>
  <si>
    <t>Épéiste</t>
  </si>
  <si>
    <t>OFF</t>
  </si>
  <si>
    <t>DEF</t>
  </si>
  <si>
    <t>Ressources</t>
  </si>
  <si>
    <t>Bois</t>
  </si>
  <si>
    <t>Argile</t>
  </si>
  <si>
    <t>Fer</t>
  </si>
  <si>
    <t>Officier</t>
  </si>
  <si>
    <t>Muraille après béliers</t>
  </si>
  <si>
    <t>Ingored</t>
  </si>
  <si>
    <t>Wall</t>
  </si>
  <si>
    <t>Spear Fighter</t>
  </si>
  <si>
    <t>Swordsman</t>
  </si>
  <si>
    <t>Axeman</t>
  </si>
  <si>
    <t>Light Cavalry</t>
  </si>
  <si>
    <t>Mounted Archer</t>
  </si>
  <si>
    <t>Heavy Cavalry</t>
  </si>
  <si>
    <t>Ram</t>
  </si>
  <si>
    <t>Catapult</t>
  </si>
  <si>
    <t>Noblemen</t>
  </si>
  <si>
    <t>Doppelsoldner</t>
  </si>
  <si>
    <t>Points_def</t>
  </si>
  <si>
    <t>Points_att</t>
  </si>
  <si>
    <t>Lanciers</t>
  </si>
  <si>
    <t>Cavalier Lourd</t>
  </si>
  <si>
    <t>Guerrier à la hache</t>
  </si>
  <si>
    <t>Cavalier Léger</t>
  </si>
  <si>
    <t>Trébuchet</t>
  </si>
  <si>
    <t>Force / pop</t>
  </si>
  <si>
    <t xml:space="preserve">Défense des lanciers par type </t>
  </si>
  <si>
    <t>S</t>
  </si>
  <si>
    <t>Ingored v2</t>
  </si>
  <si>
    <t>Ingored GT</t>
  </si>
  <si>
    <t>Ingored final</t>
  </si>
  <si>
    <t>Paladin Def</t>
  </si>
  <si>
    <t>Arme used :</t>
  </si>
  <si>
    <t>Def I</t>
  </si>
  <si>
    <t>Def C</t>
  </si>
  <si>
    <t>Def A</t>
  </si>
  <si>
    <t>bonus :</t>
  </si>
  <si>
    <t>Attaque</t>
  </si>
  <si>
    <t>Arm</t>
  </si>
  <si>
    <t>Groupe Archerie</t>
  </si>
  <si>
    <t>ROUND 1</t>
  </si>
  <si>
    <t>ROUND 2</t>
  </si>
  <si>
    <t>ROUND 3</t>
  </si>
  <si>
    <t>FINAL</t>
  </si>
  <si>
    <t>Halberd of Guan Yu</t>
  </si>
  <si>
    <t>Paracelsus' Longsword</t>
  </si>
  <si>
    <t>Thorgard's battle axe</t>
  </si>
  <si>
    <t>Nimrod's long-bow</t>
  </si>
  <si>
    <t>Mieszko's lance</t>
  </si>
  <si>
    <t>Nimrod's composite bow</t>
  </si>
  <si>
    <t>Baptiste's Banner</t>
  </si>
  <si>
    <t>Carol's morning star</t>
  </si>
  <si>
    <t>Aletheia's Bonfire</t>
  </si>
  <si>
    <t>Vasco's Scepter</t>
  </si>
  <si>
    <t>Made by @Magisterium, Senior InGame Moderator Tribal Wars 2 France</t>
  </si>
  <si>
    <t>Wall (Level)</t>
  </si>
  <si>
    <t>Grandmaster</t>
  </si>
  <si>
    <t>No</t>
  </si>
  <si>
    <t>Morale</t>
  </si>
  <si>
    <t>Luck</t>
  </si>
  <si>
    <t>Faith</t>
  </si>
  <si>
    <t>Night bonus</t>
  </si>
  <si>
    <t>Units</t>
  </si>
  <si>
    <t>Number</t>
  </si>
  <si>
    <t>Losses</t>
  </si>
  <si>
    <t>Attack Modifier</t>
  </si>
  <si>
    <t>Defense Modifier</t>
  </si>
  <si>
    <t xml:space="preserve">Ignored levels (wall) : </t>
  </si>
  <si>
    <t>Attacker</t>
  </si>
  <si>
    <t>Defender</t>
  </si>
  <si>
    <t xml:space="preserve">Weapon used on : </t>
  </si>
  <si>
    <t>Weapon's level :</t>
  </si>
  <si>
    <t>Paladin Att</t>
  </si>
  <si>
    <t>ROUND 0</t>
  </si>
  <si>
    <t>Groupe Siège</t>
  </si>
  <si>
    <t>+Recherche</t>
  </si>
  <si>
    <t>http://i.imgur.com/c8RmdRl.png</t>
  </si>
  <si>
    <t>Validation de données chance</t>
  </si>
  <si>
    <t>Def Wall</t>
  </si>
  <si>
    <t>TREBS effect: RamsKilled=Trebs*(Rams/(Rams+Cats)) &gt; rounded</t>
  </si>
  <si>
    <t>RAMS active ratio: RamRatio=(OffenseProvisions-RamsProvisions)/(DefenseProvisions+WallBaseDefense)</t>
  </si>
  <si>
    <t>PRE-BASEDEFENSE: (1.2515^(WallLevel-1))*20</t>
  </si>
  <si>
    <t>BONUS WALL calculation: WallDamage=(Rams*RamRatio*OffModifier*PaladinModifier)/(WallLevelHitpoints*2) &gt; rounded</t>
  </si>
  <si>
    <t>TREBS effect</t>
  </si>
  <si>
    <t>RAMS active ratio</t>
  </si>
  <si>
    <t>Yes</t>
  </si>
  <si>
    <t>Résistance</t>
  </si>
  <si>
    <t>Last update : 14/07/2016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</si>
</sst>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0.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3">
    <xf numFmtId="0" fontId="0" fillId="0" borderId="0" xfId="0"/>
    <xf numFmtId="1" fontId="3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9" fontId="0" fillId="0" borderId="0" xfId="0" applyNumberFormat="1" applyAlignment="1" applyProtection="1">
      <alignment horizontal="center" vertical="center"/>
      <protection hidden="1"/>
    </xf>
    <xf numFmtId="0" fontId="0" fillId="0" borderId="0" xfId="0" quotePrefix="1" applyAlignment="1" applyProtection="1">
      <alignment horizontal="center" vertical="center"/>
      <protection hidden="1"/>
    </xf>
    <xf numFmtId="9" fontId="0" fillId="0" borderId="0" xfId="0" quotePrefix="1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0" xfId="0" applyFill="1" applyProtection="1">
      <protection hidden="1"/>
    </xf>
    <xf numFmtId="0" fontId="2" fillId="0" borderId="0" xfId="0" applyFont="1" applyProtection="1"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Fill="1" applyProtection="1">
      <protection hidden="1"/>
    </xf>
    <xf numFmtId="0" fontId="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3" fillId="0" borderId="0" xfId="0" applyFont="1" applyAlignment="1" applyProtection="1">
      <protection hidden="1"/>
    </xf>
    <xf numFmtId="1" fontId="0" fillId="0" borderId="0" xfId="0" applyNumberFormat="1" applyProtection="1">
      <protection hidden="1"/>
    </xf>
    <xf numFmtId="1" fontId="3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" fontId="3" fillId="0" borderId="0" xfId="0" applyNumberFormat="1" applyFont="1" applyFill="1" applyProtection="1"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right"/>
      <protection hidden="1"/>
    </xf>
    <xf numFmtId="9" fontId="0" fillId="0" borderId="0" xfId="0" applyNumberFormat="1" applyAlignment="1" applyProtection="1">
      <alignment vertical="center" wrapText="1"/>
      <protection hidden="1"/>
    </xf>
    <xf numFmtId="9" fontId="0" fillId="0" borderId="0" xfId="1" applyFont="1" applyAlignment="1" applyProtection="1">
      <alignment vertical="center" wrapText="1"/>
      <protection hidden="1"/>
    </xf>
    <xf numFmtId="0" fontId="0" fillId="0" borderId="0" xfId="1" applyNumberFormat="1" applyFont="1" applyAlignment="1" applyProtection="1">
      <alignment vertical="center" wrapText="1"/>
      <protection hidden="1"/>
    </xf>
    <xf numFmtId="164" fontId="0" fillId="0" borderId="0" xfId="2" applyFont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5" fillId="0" borderId="0" xfId="0" applyFont="1" applyAlignment="1" applyProtection="1"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3" xfId="0" applyNumberFormat="1" applyFont="1" applyBorder="1" applyAlignment="1" applyProtection="1">
      <alignment horizontal="center" vertical="center"/>
      <protection hidden="1"/>
    </xf>
    <xf numFmtId="0" fontId="0" fillId="0" borderId="14" xfId="0" applyBorder="1" applyProtection="1">
      <protection hidden="1"/>
    </xf>
    <xf numFmtId="0" fontId="0" fillId="0" borderId="15" xfId="0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0" fillId="0" borderId="19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>
      <alignment vertical="center" wrapText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right"/>
      <protection hidden="1"/>
    </xf>
    <xf numFmtId="0" fontId="0" fillId="0" borderId="27" xfId="0" applyBorder="1" applyProtection="1"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right"/>
      <protection hidden="1"/>
    </xf>
    <xf numFmtId="167" fontId="0" fillId="0" borderId="26" xfId="1" applyNumberFormat="1" applyFont="1" applyBorder="1" applyAlignment="1" applyProtection="1">
      <alignment horizontal="center" vertical="center"/>
      <protection hidden="1"/>
    </xf>
    <xf numFmtId="167" fontId="0" fillId="0" borderId="23" xfId="1" applyNumberFormat="1" applyFont="1" applyBorder="1" applyAlignment="1" applyProtection="1">
      <alignment horizontal="center" vertical="center"/>
      <protection hidden="1"/>
    </xf>
    <xf numFmtId="167" fontId="0" fillId="0" borderId="18" xfId="1" applyNumberFormat="1" applyFont="1" applyBorder="1" applyAlignment="1" applyProtection="1">
      <alignment horizontal="center" vertical="center"/>
      <protection hidden="1"/>
    </xf>
    <xf numFmtId="166" fontId="0" fillId="5" borderId="0" xfId="0" applyNumberFormat="1" applyFill="1" applyAlignment="1" applyProtection="1">
      <alignment horizontal="center" vertical="center" wrapText="1"/>
      <protection hidden="1"/>
    </xf>
    <xf numFmtId="0" fontId="0" fillId="0" borderId="0" xfId="3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7" xfId="0" applyBorder="1" applyAlignment="1" applyProtection="1">
      <protection hidden="1"/>
    </xf>
    <xf numFmtId="0" fontId="0" fillId="0" borderId="25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left" vertical="center" wrapText="1"/>
      <protection hidden="1"/>
    </xf>
    <xf numFmtId="0" fontId="0" fillId="0" borderId="23" xfId="0" quotePrefix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0" fillId="6" borderId="0" xfId="0" applyFill="1" applyAlignment="1" applyProtection="1">
      <alignment vertical="center" wrapText="1"/>
      <protection hidden="1"/>
    </xf>
    <xf numFmtId="9" fontId="0" fillId="6" borderId="0" xfId="1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1" fontId="0" fillId="2" borderId="24" xfId="0" applyNumberFormat="1" applyFill="1" applyBorder="1" applyAlignment="1" applyProtection="1">
      <alignment horizontal="center" vertical="center"/>
      <protection hidden="1"/>
    </xf>
    <xf numFmtId="166" fontId="0" fillId="2" borderId="24" xfId="0" applyNumberFormat="1" applyFill="1" applyBorder="1" applyAlignment="1" applyProtection="1">
      <alignment horizontal="center" vertical="center"/>
      <protection hidden="1"/>
    </xf>
    <xf numFmtId="166" fontId="0" fillId="2" borderId="26" xfId="0" applyNumberFormat="1" applyFill="1" applyBorder="1" applyAlignment="1" applyProtection="1">
      <alignment horizontal="center" vertical="center"/>
      <protection hidden="1"/>
    </xf>
    <xf numFmtId="166" fontId="0" fillId="2" borderId="23" xfId="0" applyNumberFormat="1" applyFill="1" applyBorder="1" applyAlignment="1" applyProtection="1">
      <alignment horizontal="center" vertical="center"/>
      <protection hidden="1"/>
    </xf>
    <xf numFmtId="166" fontId="0" fillId="0" borderId="24" xfId="0" applyNumberFormat="1" applyBorder="1" applyAlignment="1" applyProtection="1">
      <alignment horizontal="center" vertical="center"/>
      <protection hidden="1"/>
    </xf>
    <xf numFmtId="166" fontId="0" fillId="0" borderId="0" xfId="0" applyNumberFormat="1" applyBorder="1" applyAlignment="1" applyProtection="1">
      <alignment horizontal="center" vertical="center"/>
      <protection hidden="1"/>
    </xf>
    <xf numFmtId="166" fontId="0" fillId="0" borderId="25" xfId="0" applyNumberFormat="1" applyBorder="1" applyAlignment="1" applyProtection="1">
      <alignment horizontal="center" vertical="center"/>
      <protection hidden="1"/>
    </xf>
    <xf numFmtId="9" fontId="0" fillId="0" borderId="0" xfId="1" applyFont="1" applyProtection="1">
      <protection hidden="1"/>
    </xf>
    <xf numFmtId="9" fontId="3" fillId="0" borderId="0" xfId="1" applyFont="1" applyFill="1" applyProtection="1">
      <protection hidden="1"/>
    </xf>
    <xf numFmtId="9" fontId="3" fillId="0" borderId="11" xfId="1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1" fontId="4" fillId="0" borderId="0" xfId="0" applyNumberFormat="1" applyFont="1" applyProtection="1">
      <protection hidden="1"/>
    </xf>
    <xf numFmtId="1" fontId="2" fillId="0" borderId="0" xfId="0" applyNumberFormat="1" applyFont="1" applyProtection="1">
      <protection hidden="1"/>
    </xf>
    <xf numFmtId="166" fontId="0" fillId="0" borderId="0" xfId="0" applyNumberFormat="1" applyProtection="1">
      <protection hidden="1"/>
    </xf>
    <xf numFmtId="0" fontId="8" fillId="8" borderId="0" xfId="0" applyFont="1" applyFill="1" applyProtection="1">
      <protection hidden="1"/>
    </xf>
    <xf numFmtId="0" fontId="9" fillId="0" borderId="0" xfId="4" applyProtection="1">
      <protection hidden="1"/>
    </xf>
    <xf numFmtId="14" fontId="0" fillId="0" borderId="0" xfId="0" applyNumberFormat="1"/>
    <xf numFmtId="1" fontId="0" fillId="0" borderId="0" xfId="0" applyNumberFormat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0" fillId="8" borderId="16" xfId="0" applyFill="1" applyBorder="1" applyAlignment="1" applyProtection="1">
      <alignment horizontal="center" vertical="center"/>
      <protection locked="0" hidden="1"/>
    </xf>
    <xf numFmtId="9" fontId="0" fillId="8" borderId="7" xfId="1" applyFont="1" applyFill="1" applyBorder="1" applyAlignment="1" applyProtection="1">
      <alignment horizontal="center" vertical="center"/>
      <protection locked="0" hidden="1"/>
    </xf>
    <xf numFmtId="9" fontId="0" fillId="8" borderId="7" xfId="0" applyNumberFormat="1" applyFill="1" applyBorder="1" applyAlignment="1" applyProtection="1">
      <alignment horizontal="center" vertical="center"/>
      <protection locked="0" hidden="1"/>
    </xf>
    <xf numFmtId="9" fontId="0" fillId="8" borderId="11" xfId="0" applyNumberFormat="1" applyFill="1" applyBorder="1" applyAlignment="1" applyProtection="1">
      <alignment horizontal="center" vertical="center"/>
      <protection locked="0" hidden="1"/>
    </xf>
    <xf numFmtId="0" fontId="0" fillId="8" borderId="11" xfId="0" applyFill="1" applyBorder="1" applyAlignment="1" applyProtection="1">
      <alignment horizontal="center" vertical="center"/>
      <protection locked="0" hidden="1"/>
    </xf>
    <xf numFmtId="0" fontId="0" fillId="8" borderId="18" xfId="0" applyFill="1" applyBorder="1" applyAlignment="1" applyProtection="1">
      <alignment horizontal="center" vertical="center"/>
      <protection locked="0" hidden="1"/>
    </xf>
    <xf numFmtId="0" fontId="0" fillId="8" borderId="20" xfId="0" applyFill="1" applyBorder="1" applyAlignment="1" applyProtection="1">
      <alignment horizontal="center" vertical="center"/>
      <protection locked="0" hidden="1"/>
    </xf>
    <xf numFmtId="0" fontId="0" fillId="8" borderId="21" xfId="0" applyFill="1" applyBorder="1" applyAlignment="1" applyProtection="1">
      <alignment horizontal="center" vertical="center"/>
      <protection locked="0" hidden="1"/>
    </xf>
    <xf numFmtId="0" fontId="0" fillId="4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7" borderId="0" xfId="0" applyFill="1" applyAlignment="1">
      <alignment horizontal="center" vertical="center" textRotation="255"/>
    </xf>
    <xf numFmtId="0" fontId="0" fillId="2" borderId="27" xfId="0" applyFill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6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right"/>
      <protection hidden="1"/>
    </xf>
    <xf numFmtId="0" fontId="0" fillId="8" borderId="0" xfId="0" applyFont="1" applyFill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Alignment="1" applyProtection="1">
      <alignment horizontal="right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9" fontId="0" fillId="0" borderId="17" xfId="0" applyNumberFormat="1" applyBorder="1" applyAlignment="1" applyProtection="1">
      <alignment horizontal="center" vertical="center"/>
      <protection hidden="1"/>
    </xf>
    <xf numFmtId="9" fontId="0" fillId="0" borderId="9" xfId="0" applyNumberFormat="1" applyBorder="1" applyAlignment="1" applyProtection="1">
      <alignment horizontal="center" vertical="center"/>
      <protection hidden="1"/>
    </xf>
    <xf numFmtId="9" fontId="0" fillId="0" borderId="12" xfId="0" applyNumberFormat="1" applyBorder="1" applyAlignment="1" applyProtection="1">
      <alignment horizontal="center" vertical="center"/>
      <protection hidden="1"/>
    </xf>
  </cellXfs>
  <cellStyles count="5">
    <cellStyle name="Lien hypertexte" xfId="4" builtinId="8"/>
    <cellStyle name="Milliers" xfId="3" builtinId="3"/>
    <cellStyle name="Milliers [0]" xfId="2" builtinId="6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59530</xdr:colOff>
      <xdr:row>1</xdr:row>
      <xdr:rowOff>320278</xdr:rowOff>
    </xdr:from>
    <xdr:to>
      <xdr:col>2</xdr:col>
      <xdr:colOff>381000</xdr:colOff>
      <xdr:row>3</xdr:row>
      <xdr:rowOff>2251</xdr:rowOff>
    </xdr:to>
    <xdr:pic>
      <xdr:nvPicPr>
        <xdr:cNvPr id="2" name="Image 1" descr="https://dl.dropboxusercontent.com/u/34912942/tw2manager/IMG_jeu/units_mini/lance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56" y="642899"/>
          <a:ext cx="321470" cy="322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57229</xdr:colOff>
      <xdr:row>2</xdr:row>
      <xdr:rowOff>1888</xdr:rowOff>
    </xdr:from>
    <xdr:to>
      <xdr:col>3</xdr:col>
      <xdr:colOff>377930</xdr:colOff>
      <xdr:row>3</xdr:row>
      <xdr:rowOff>1117</xdr:rowOff>
    </xdr:to>
    <xdr:pic>
      <xdr:nvPicPr>
        <xdr:cNvPr id="3" name="Image 2" descr="https://dl.dropboxusercontent.com/u/34912942/tw2manager/IMG_jeu/units_mini/pe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16" y="647130"/>
          <a:ext cx="320701" cy="32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63743</xdr:colOff>
      <xdr:row>2</xdr:row>
      <xdr:rowOff>848</xdr:rowOff>
    </xdr:from>
    <xdr:to>
      <xdr:col>4</xdr:col>
      <xdr:colOff>381598</xdr:colOff>
      <xdr:row>3</xdr:row>
      <xdr:rowOff>1496</xdr:rowOff>
    </xdr:to>
    <xdr:pic>
      <xdr:nvPicPr>
        <xdr:cNvPr id="4" name="Image 3" descr="https://dl.dropboxusercontent.com/u/34912942/tw2manager/IMG_jeu/units_mini/bubu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7291" y="646090"/>
          <a:ext cx="317855" cy="31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63224</xdr:colOff>
      <xdr:row>2</xdr:row>
      <xdr:rowOff>3920</xdr:rowOff>
    </xdr:from>
    <xdr:to>
      <xdr:col>5</xdr:col>
      <xdr:colOff>380945</xdr:colOff>
      <xdr:row>3</xdr:row>
      <xdr:rowOff>1495</xdr:rowOff>
    </xdr:to>
    <xdr:pic>
      <xdr:nvPicPr>
        <xdr:cNvPr id="5" name="Image 4" descr="https://dl.dropboxusercontent.com/u/34912942/tw2manager/IMG_jeu/units_mini/archer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934" y="649162"/>
          <a:ext cx="317721" cy="31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53559</xdr:colOff>
      <xdr:row>2</xdr:row>
      <xdr:rowOff>3920</xdr:rowOff>
    </xdr:from>
    <xdr:to>
      <xdr:col>6</xdr:col>
      <xdr:colOff>371280</xdr:colOff>
      <xdr:row>3</xdr:row>
      <xdr:rowOff>1495</xdr:rowOff>
    </xdr:to>
    <xdr:pic>
      <xdr:nvPicPr>
        <xdr:cNvPr id="6" name="Image 5" descr="https://dl.dropboxusercontent.com/u/34912942/tw2manager/IMG_jeu/units_mini/l%C3%A9ger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7430" y="649162"/>
          <a:ext cx="317721" cy="31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55880</xdr:colOff>
      <xdr:row>2</xdr:row>
      <xdr:rowOff>848</xdr:rowOff>
    </xdr:from>
    <xdr:to>
      <xdr:col>7</xdr:col>
      <xdr:colOff>376693</xdr:colOff>
      <xdr:row>3</xdr:row>
      <xdr:rowOff>1496</xdr:rowOff>
    </xdr:to>
    <xdr:pic>
      <xdr:nvPicPr>
        <xdr:cNvPr id="7" name="Image 6" descr="https://dl.dropboxusercontent.com/u/34912942/tw2manager/IMG_jeu/units_mini/mont%C3%A9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9912" y="646090"/>
          <a:ext cx="320813" cy="31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52129</xdr:colOff>
      <xdr:row>2</xdr:row>
      <xdr:rowOff>4344</xdr:rowOff>
    </xdr:from>
    <xdr:to>
      <xdr:col>8</xdr:col>
      <xdr:colOff>367333</xdr:colOff>
      <xdr:row>3</xdr:row>
      <xdr:rowOff>1496</xdr:rowOff>
    </xdr:to>
    <xdr:pic>
      <xdr:nvPicPr>
        <xdr:cNvPr id="8" name="Image 7" descr="https://dl.dropboxusercontent.com/u/34912942/tw2manager/IMG_jeu/units_mini/lourd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6323" y="649586"/>
          <a:ext cx="315204" cy="315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65406</xdr:colOff>
      <xdr:row>2</xdr:row>
      <xdr:rowOff>3922</xdr:rowOff>
    </xdr:from>
    <xdr:to>
      <xdr:col>9</xdr:col>
      <xdr:colOff>383125</xdr:colOff>
      <xdr:row>3</xdr:row>
      <xdr:rowOff>1496</xdr:rowOff>
    </xdr:to>
    <xdr:pic>
      <xdr:nvPicPr>
        <xdr:cNvPr id="9" name="Image 8" descr="https://dl.dropboxusercontent.com/u/34912942/tw2manager/IMG_jeu/units_mini/b%C3%A9lier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9761" y="649164"/>
          <a:ext cx="317719" cy="315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56208</xdr:colOff>
      <xdr:row>2</xdr:row>
      <xdr:rowOff>1270</xdr:rowOff>
    </xdr:from>
    <xdr:to>
      <xdr:col>10</xdr:col>
      <xdr:colOff>376595</xdr:colOff>
      <xdr:row>3</xdr:row>
      <xdr:rowOff>1495</xdr:rowOff>
    </xdr:to>
    <xdr:pic>
      <xdr:nvPicPr>
        <xdr:cNvPr id="10" name="Image 9" descr="https://dl.dropboxusercontent.com/u/34912942/tw2manager/IMG_jeu/units_mini/cata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724" y="646512"/>
          <a:ext cx="320387" cy="318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57478</xdr:colOff>
      <xdr:row>2</xdr:row>
      <xdr:rowOff>4344</xdr:rowOff>
    </xdr:from>
    <xdr:to>
      <xdr:col>11</xdr:col>
      <xdr:colOff>374772</xdr:colOff>
      <xdr:row>3</xdr:row>
      <xdr:rowOff>1496</xdr:rowOff>
    </xdr:to>
    <xdr:pic>
      <xdr:nvPicPr>
        <xdr:cNvPr id="11" name="Image 10" descr="https://dl.dropboxusercontent.com/u/34912942/tw2manager/IMG_jeu/units_mini/berseker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155" y="649586"/>
          <a:ext cx="317294" cy="315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61507</xdr:colOff>
      <xdr:row>2</xdr:row>
      <xdr:rowOff>3920</xdr:rowOff>
    </xdr:from>
    <xdr:to>
      <xdr:col>12</xdr:col>
      <xdr:colOff>379228</xdr:colOff>
      <xdr:row>3</xdr:row>
      <xdr:rowOff>1496</xdr:rowOff>
    </xdr:to>
    <xdr:pic>
      <xdr:nvPicPr>
        <xdr:cNvPr id="12" name="Image 11" descr="https://dl.dropboxusercontent.com/u/34912942/tw2manager/IMG_jeu/units_mini/trebu.p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6346" y="649162"/>
          <a:ext cx="317721" cy="315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55996</xdr:colOff>
      <xdr:row>2</xdr:row>
      <xdr:rowOff>3920</xdr:rowOff>
    </xdr:from>
    <xdr:to>
      <xdr:col>13</xdr:col>
      <xdr:colOff>373716</xdr:colOff>
      <xdr:row>3</xdr:row>
      <xdr:rowOff>1495</xdr:rowOff>
    </xdr:to>
    <xdr:pic>
      <xdr:nvPicPr>
        <xdr:cNvPr id="13" name="Image 12" descr="https://dl.dropboxusercontent.com/u/34912942/tw2manager/IMG_jeu/units_mini/noble.pn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0996" y="649162"/>
          <a:ext cx="317720" cy="31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60032</xdr:colOff>
      <xdr:row>2</xdr:row>
      <xdr:rowOff>4343</xdr:rowOff>
    </xdr:from>
    <xdr:to>
      <xdr:col>14</xdr:col>
      <xdr:colOff>377927</xdr:colOff>
      <xdr:row>3</xdr:row>
      <xdr:rowOff>614</xdr:rowOff>
    </xdr:to>
    <xdr:pic>
      <xdr:nvPicPr>
        <xdr:cNvPr id="14" name="Image 13" descr="https://dl.dropboxusercontent.com/u/34912942/tw2manager/IMG_jeu/units_mini/palouf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5193" y="649585"/>
          <a:ext cx="317895" cy="31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58294</xdr:colOff>
      <xdr:row>7</xdr:row>
      <xdr:rowOff>322119</xdr:rowOff>
    </xdr:from>
    <xdr:to>
      <xdr:col>2</xdr:col>
      <xdr:colOff>379764</xdr:colOff>
      <xdr:row>9</xdr:row>
      <xdr:rowOff>521</xdr:rowOff>
    </xdr:to>
    <xdr:pic>
      <xdr:nvPicPr>
        <xdr:cNvPr id="29" name="Image 28" descr="https://dl.dropboxusercontent.com/u/34912942/tw2manager/IMG_jeu/units_mini/lance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520" y="2257845"/>
          <a:ext cx="321470" cy="322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55993</xdr:colOff>
      <xdr:row>8</xdr:row>
      <xdr:rowOff>3729</xdr:rowOff>
    </xdr:from>
    <xdr:to>
      <xdr:col>3</xdr:col>
      <xdr:colOff>376694</xdr:colOff>
      <xdr:row>9</xdr:row>
      <xdr:rowOff>2958</xdr:rowOff>
    </xdr:to>
    <xdr:pic>
      <xdr:nvPicPr>
        <xdr:cNvPr id="30" name="Image 29" descr="https://dl.dropboxusercontent.com/u/34912942/tw2manager/IMG_jeu/units_mini/pe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380" y="2262076"/>
          <a:ext cx="320701" cy="32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62507</xdr:colOff>
      <xdr:row>8</xdr:row>
      <xdr:rowOff>2689</xdr:rowOff>
    </xdr:from>
    <xdr:to>
      <xdr:col>4</xdr:col>
      <xdr:colOff>380362</xdr:colOff>
      <xdr:row>9</xdr:row>
      <xdr:rowOff>3336</xdr:rowOff>
    </xdr:to>
    <xdr:pic>
      <xdr:nvPicPr>
        <xdr:cNvPr id="31" name="Image 30" descr="https://dl.dropboxusercontent.com/u/34912942/tw2manager/IMG_jeu/units_mini/bubu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6055" y="2261036"/>
          <a:ext cx="317855" cy="31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61988</xdr:colOff>
      <xdr:row>8</xdr:row>
      <xdr:rowOff>2688</xdr:rowOff>
    </xdr:from>
    <xdr:to>
      <xdr:col>5</xdr:col>
      <xdr:colOff>379709</xdr:colOff>
      <xdr:row>9</xdr:row>
      <xdr:rowOff>262</xdr:rowOff>
    </xdr:to>
    <xdr:pic>
      <xdr:nvPicPr>
        <xdr:cNvPr id="32" name="Image 31" descr="https://dl.dropboxusercontent.com/u/34912942/tw2manager/IMG_jeu/units_mini/archer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698" y="2261035"/>
          <a:ext cx="317721" cy="31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52323</xdr:colOff>
      <xdr:row>8</xdr:row>
      <xdr:rowOff>2688</xdr:rowOff>
    </xdr:from>
    <xdr:to>
      <xdr:col>6</xdr:col>
      <xdr:colOff>370044</xdr:colOff>
      <xdr:row>9</xdr:row>
      <xdr:rowOff>262</xdr:rowOff>
    </xdr:to>
    <xdr:pic>
      <xdr:nvPicPr>
        <xdr:cNvPr id="33" name="Image 32" descr="https://dl.dropboxusercontent.com/u/34912942/tw2manager/IMG_jeu/units_mini/l%C3%A9ger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6194" y="2261035"/>
          <a:ext cx="317721" cy="31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54644</xdr:colOff>
      <xdr:row>8</xdr:row>
      <xdr:rowOff>2689</xdr:rowOff>
    </xdr:from>
    <xdr:to>
      <xdr:col>7</xdr:col>
      <xdr:colOff>375457</xdr:colOff>
      <xdr:row>9</xdr:row>
      <xdr:rowOff>3336</xdr:rowOff>
    </xdr:to>
    <xdr:pic>
      <xdr:nvPicPr>
        <xdr:cNvPr id="34" name="Image 33" descr="https://dl.dropboxusercontent.com/u/34912942/tw2manager/IMG_jeu/units_mini/mont%C3%A9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676" y="2261036"/>
          <a:ext cx="320813" cy="31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50893</xdr:colOff>
      <xdr:row>8</xdr:row>
      <xdr:rowOff>3112</xdr:rowOff>
    </xdr:from>
    <xdr:to>
      <xdr:col>8</xdr:col>
      <xdr:colOff>366097</xdr:colOff>
      <xdr:row>9</xdr:row>
      <xdr:rowOff>263</xdr:rowOff>
    </xdr:to>
    <xdr:pic>
      <xdr:nvPicPr>
        <xdr:cNvPr id="35" name="Image 34" descr="https://dl.dropboxusercontent.com/u/34912942/tw2manager/IMG_jeu/units_mini/lourd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5087" y="2261459"/>
          <a:ext cx="315204" cy="315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64170</xdr:colOff>
      <xdr:row>8</xdr:row>
      <xdr:rowOff>2690</xdr:rowOff>
    </xdr:from>
    <xdr:to>
      <xdr:col>9</xdr:col>
      <xdr:colOff>381889</xdr:colOff>
      <xdr:row>9</xdr:row>
      <xdr:rowOff>263</xdr:rowOff>
    </xdr:to>
    <xdr:pic>
      <xdr:nvPicPr>
        <xdr:cNvPr id="36" name="Image 35" descr="https://dl.dropboxusercontent.com/u/34912942/tw2manager/IMG_jeu/units_mini/b%C3%A9lier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525" y="2261037"/>
          <a:ext cx="317719" cy="315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54972</xdr:colOff>
      <xdr:row>8</xdr:row>
      <xdr:rowOff>3111</xdr:rowOff>
    </xdr:from>
    <xdr:to>
      <xdr:col>10</xdr:col>
      <xdr:colOff>375359</xdr:colOff>
      <xdr:row>9</xdr:row>
      <xdr:rowOff>3335</xdr:rowOff>
    </xdr:to>
    <xdr:pic>
      <xdr:nvPicPr>
        <xdr:cNvPr id="37" name="Image 36" descr="https://dl.dropboxusercontent.com/u/34912942/tw2manager/IMG_jeu/units_mini/cata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9488" y="2261458"/>
          <a:ext cx="320387" cy="318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56242</xdr:colOff>
      <xdr:row>8</xdr:row>
      <xdr:rowOff>3112</xdr:rowOff>
    </xdr:from>
    <xdr:to>
      <xdr:col>11</xdr:col>
      <xdr:colOff>373536</xdr:colOff>
      <xdr:row>9</xdr:row>
      <xdr:rowOff>263</xdr:rowOff>
    </xdr:to>
    <xdr:pic>
      <xdr:nvPicPr>
        <xdr:cNvPr id="38" name="Image 37" descr="https://dl.dropboxusercontent.com/u/34912942/tw2manager/IMG_jeu/units_mini/berseker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919" y="2261459"/>
          <a:ext cx="317294" cy="315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60271</xdr:colOff>
      <xdr:row>8</xdr:row>
      <xdr:rowOff>2688</xdr:rowOff>
    </xdr:from>
    <xdr:to>
      <xdr:col>12</xdr:col>
      <xdr:colOff>377992</xdr:colOff>
      <xdr:row>9</xdr:row>
      <xdr:rowOff>263</xdr:rowOff>
    </xdr:to>
    <xdr:pic>
      <xdr:nvPicPr>
        <xdr:cNvPr id="39" name="Image 38" descr="https://dl.dropboxusercontent.com/u/34912942/tw2manager/IMG_jeu/units_mini/trebu.p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110" y="2261035"/>
          <a:ext cx="317721" cy="315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54760</xdr:colOff>
      <xdr:row>8</xdr:row>
      <xdr:rowOff>2688</xdr:rowOff>
    </xdr:from>
    <xdr:to>
      <xdr:col>13</xdr:col>
      <xdr:colOff>372480</xdr:colOff>
      <xdr:row>9</xdr:row>
      <xdr:rowOff>262</xdr:rowOff>
    </xdr:to>
    <xdr:pic>
      <xdr:nvPicPr>
        <xdr:cNvPr id="40" name="Image 39" descr="https://dl.dropboxusercontent.com/u/34912942/tw2manager/IMG_jeu/units_mini/noble.pn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760" y="2261035"/>
          <a:ext cx="317720" cy="31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58796</xdr:colOff>
      <xdr:row>8</xdr:row>
      <xdr:rowOff>3111</xdr:rowOff>
    </xdr:from>
    <xdr:to>
      <xdr:col>14</xdr:col>
      <xdr:colOff>376691</xdr:colOff>
      <xdr:row>9</xdr:row>
      <xdr:rowOff>2953</xdr:rowOff>
    </xdr:to>
    <xdr:pic>
      <xdr:nvPicPr>
        <xdr:cNvPr id="41" name="Image 40" descr="https://dl.dropboxusercontent.com/u/34912942/tw2manager/IMG_jeu/units_mini/palouf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7" y="2261458"/>
          <a:ext cx="317895" cy="31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.imgur.com/c8RmdRl.pn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G25"/>
  <sheetViews>
    <sheetView workbookViewId="0">
      <selection activeCell="W21" sqref="W21"/>
    </sheetView>
  </sheetViews>
  <sheetFormatPr baseColWidth="10" defaultColWidth="11.44140625" defaultRowHeight="14.4" x14ac:dyDescent="0.3"/>
  <cols>
    <col min="1" max="1" width="19" style="2" customWidth="1"/>
    <col min="2" max="2" width="5.5546875" style="2" bestFit="1" customWidth="1"/>
    <col min="3" max="3" width="4.88671875" style="2" customWidth="1"/>
    <col min="4" max="4" width="6.44140625" style="2" customWidth="1"/>
    <col min="5" max="12" width="13" style="2" customWidth="1"/>
    <col min="13" max="13" width="3.6640625" style="2" customWidth="1"/>
    <col min="14" max="16" width="13" style="2" customWidth="1"/>
    <col min="17" max="17" width="1.33203125" style="2" customWidth="1"/>
    <col min="18" max="22" width="11.44140625" style="2"/>
    <col min="23" max="23" width="15.6640625" style="2" bestFit="1" customWidth="1"/>
    <col min="24" max="24" width="25" style="2" customWidth="1"/>
    <col min="25" max="25" width="4.33203125" style="2" customWidth="1"/>
    <col min="26" max="28" width="4.5546875" style="2" customWidth="1"/>
    <col min="29" max="29" width="4.33203125" style="2" customWidth="1"/>
    <col min="30" max="31" width="4.5546875" style="2" customWidth="1"/>
    <col min="32" max="32" width="5.5546875" style="2" customWidth="1"/>
    <col min="33" max="33" width="4.33203125" style="2" customWidth="1"/>
    <col min="34" max="16384" width="11.44140625" style="2"/>
  </cols>
  <sheetData>
    <row r="1" spans="1:33" x14ac:dyDescent="0.3">
      <c r="E1" s="125" t="s">
        <v>6</v>
      </c>
      <c r="F1" s="125"/>
      <c r="G1" s="125"/>
      <c r="H1" s="125" t="s">
        <v>52</v>
      </c>
      <c r="I1" s="125"/>
      <c r="J1" s="125"/>
      <c r="K1" s="3"/>
      <c r="L1" s="3"/>
      <c r="N1" s="125" t="s">
        <v>7</v>
      </c>
      <c r="O1" s="125"/>
      <c r="P1" s="125"/>
      <c r="Q1" s="3"/>
      <c r="R1" s="2" t="s">
        <v>42</v>
      </c>
      <c r="S1" s="2" t="s">
        <v>44</v>
      </c>
      <c r="T1" s="2" t="s">
        <v>43</v>
      </c>
      <c r="U1" s="28" t="s">
        <v>127</v>
      </c>
      <c r="V1" s="2" t="s">
        <v>138</v>
      </c>
      <c r="Y1" s="125" t="s">
        <v>51</v>
      </c>
      <c r="Z1" s="125"/>
      <c r="AA1" s="125"/>
      <c r="AB1" s="125"/>
      <c r="AC1" s="125" t="s">
        <v>50</v>
      </c>
      <c r="AD1" s="125"/>
      <c r="AE1" s="125"/>
      <c r="AF1" s="125"/>
      <c r="AG1" s="53"/>
    </row>
    <row r="2" spans="1:33" x14ac:dyDescent="0.3">
      <c r="A2" s="4" t="s">
        <v>1</v>
      </c>
      <c r="B2" s="5" t="s">
        <v>4</v>
      </c>
      <c r="C2" s="5" t="s">
        <v>3</v>
      </c>
      <c r="D2" s="5" t="s">
        <v>0</v>
      </c>
      <c r="E2" s="5" t="s">
        <v>8</v>
      </c>
      <c r="F2" s="5" t="s">
        <v>9</v>
      </c>
      <c r="G2" s="5" t="s">
        <v>10</v>
      </c>
      <c r="H2" s="5" t="s">
        <v>53</v>
      </c>
      <c r="I2" s="5" t="s">
        <v>54</v>
      </c>
      <c r="J2" s="5" t="s">
        <v>55</v>
      </c>
      <c r="K2" s="5" t="s">
        <v>70</v>
      </c>
      <c r="L2" s="5" t="s">
        <v>71</v>
      </c>
      <c r="N2" s="5" t="s">
        <v>8</v>
      </c>
      <c r="O2" s="5" t="s">
        <v>9</v>
      </c>
      <c r="P2" s="5" t="s">
        <v>10</v>
      </c>
      <c r="Q2" s="5"/>
      <c r="R2" s="2">
        <v>0</v>
      </c>
      <c r="S2" s="2">
        <v>1</v>
      </c>
      <c r="T2" s="2">
        <v>1E-4</v>
      </c>
      <c r="U2" s="2">
        <v>1E-4</v>
      </c>
      <c r="V2" s="2">
        <v>1E-4</v>
      </c>
      <c r="X2" s="2" t="s">
        <v>42</v>
      </c>
      <c r="Y2" s="5">
        <v>0</v>
      </c>
      <c r="Z2" s="5">
        <v>1</v>
      </c>
      <c r="AA2" s="5">
        <v>2</v>
      </c>
      <c r="AB2" s="5">
        <v>3</v>
      </c>
      <c r="AC2" s="5">
        <v>0</v>
      </c>
      <c r="AD2" s="5">
        <v>1</v>
      </c>
      <c r="AE2" s="5">
        <v>2</v>
      </c>
      <c r="AF2" s="5">
        <v>3</v>
      </c>
      <c r="AG2" s="5">
        <v>0</v>
      </c>
    </row>
    <row r="3" spans="1:33" ht="15" x14ac:dyDescent="0.25">
      <c r="A3" s="2" t="s">
        <v>72</v>
      </c>
      <c r="B3" s="7" t="s">
        <v>26</v>
      </c>
      <c r="C3" s="7">
        <v>1</v>
      </c>
      <c r="D3" s="5">
        <v>10</v>
      </c>
      <c r="E3" s="5">
        <v>25</v>
      </c>
      <c r="F3" s="5">
        <v>45</v>
      </c>
      <c r="G3" s="5">
        <v>10</v>
      </c>
      <c r="H3" s="5">
        <v>50</v>
      </c>
      <c r="I3" s="5">
        <v>30</v>
      </c>
      <c r="J3" s="5">
        <v>20</v>
      </c>
      <c r="K3" s="5">
        <v>4</v>
      </c>
      <c r="L3" s="5">
        <v>1</v>
      </c>
      <c r="N3" s="8">
        <f>E3/$C3</f>
        <v>25</v>
      </c>
      <c r="O3" s="8">
        <f t="shared" ref="O3:P13" si="0">F3/$C3</f>
        <v>45</v>
      </c>
      <c r="P3" s="8">
        <f t="shared" si="0"/>
        <v>10</v>
      </c>
      <c r="Q3" s="5"/>
      <c r="R3" s="2">
        <v>1</v>
      </c>
      <c r="S3" s="9">
        <v>1.05</v>
      </c>
      <c r="T3" s="2">
        <v>20</v>
      </c>
      <c r="U3" s="2">
        <v>20</v>
      </c>
      <c r="V3" s="2">
        <v>3</v>
      </c>
      <c r="W3" s="4" t="s">
        <v>60</v>
      </c>
      <c r="X3" s="2" t="s">
        <v>96</v>
      </c>
      <c r="Y3" s="5">
        <v>0</v>
      </c>
      <c r="Z3" s="10">
        <v>0.1</v>
      </c>
      <c r="AA3" s="10">
        <v>0.2</v>
      </c>
      <c r="AB3" s="10">
        <v>0.3</v>
      </c>
      <c r="AC3" s="11">
        <v>0</v>
      </c>
      <c r="AD3" s="12">
        <v>0.05</v>
      </c>
      <c r="AE3" s="12">
        <v>0.1</v>
      </c>
      <c r="AF3" s="10">
        <v>0.2</v>
      </c>
      <c r="AG3" s="5">
        <v>1</v>
      </c>
    </row>
    <row r="4" spans="1:33" x14ac:dyDescent="0.3">
      <c r="A4" s="2" t="s">
        <v>49</v>
      </c>
      <c r="B4" s="7" t="s">
        <v>26</v>
      </c>
      <c r="C4" s="7">
        <v>1</v>
      </c>
      <c r="D4" s="5">
        <v>25</v>
      </c>
      <c r="E4" s="5">
        <v>55</v>
      </c>
      <c r="F4" s="5">
        <v>5</v>
      </c>
      <c r="G4" s="5">
        <v>30</v>
      </c>
      <c r="H4" s="5">
        <v>30</v>
      </c>
      <c r="I4" s="5">
        <v>30</v>
      </c>
      <c r="J4" s="5">
        <v>70</v>
      </c>
      <c r="K4" s="5">
        <v>5</v>
      </c>
      <c r="L4" s="5">
        <v>2</v>
      </c>
      <c r="N4" s="8">
        <f t="shared" ref="N4:N13" si="1">E4/$C4</f>
        <v>55</v>
      </c>
      <c r="O4" s="8">
        <f t="shared" si="0"/>
        <v>5</v>
      </c>
      <c r="P4" s="8">
        <f t="shared" si="0"/>
        <v>30</v>
      </c>
      <c r="Q4" s="5"/>
      <c r="R4" s="2">
        <v>2</v>
      </c>
      <c r="S4" s="9">
        <v>1.1000000000000001</v>
      </c>
      <c r="T4" s="2">
        <v>25</v>
      </c>
      <c r="U4" s="2">
        <v>25</v>
      </c>
      <c r="V4" s="2">
        <v>3</v>
      </c>
      <c r="W4" s="4" t="s">
        <v>61</v>
      </c>
      <c r="X4" s="2" t="s">
        <v>97</v>
      </c>
      <c r="Y4" s="5">
        <v>0</v>
      </c>
      <c r="Z4" s="10">
        <v>0.1</v>
      </c>
      <c r="AA4" s="10">
        <v>0.2</v>
      </c>
      <c r="AB4" s="10">
        <v>0.3</v>
      </c>
      <c r="AC4" s="11">
        <v>0</v>
      </c>
      <c r="AD4" s="12">
        <v>0.05</v>
      </c>
      <c r="AE4" s="12">
        <v>0.1</v>
      </c>
      <c r="AF4" s="10">
        <v>0.2</v>
      </c>
      <c r="AG4" s="5">
        <v>2</v>
      </c>
    </row>
    <row r="5" spans="1:33" x14ac:dyDescent="0.3">
      <c r="A5" s="2" t="s">
        <v>74</v>
      </c>
      <c r="B5" s="7" t="s">
        <v>26</v>
      </c>
      <c r="C5" s="7">
        <v>1</v>
      </c>
      <c r="D5" s="5">
        <v>45</v>
      </c>
      <c r="E5" s="5">
        <v>10</v>
      </c>
      <c r="F5" s="5">
        <v>5</v>
      </c>
      <c r="G5" s="5">
        <v>10</v>
      </c>
      <c r="H5" s="5">
        <v>60</v>
      </c>
      <c r="I5" s="5">
        <v>30</v>
      </c>
      <c r="J5" s="5">
        <v>40</v>
      </c>
      <c r="K5" s="5">
        <v>1</v>
      </c>
      <c r="L5" s="5">
        <v>4</v>
      </c>
      <c r="N5" s="8">
        <f t="shared" si="1"/>
        <v>10</v>
      </c>
      <c r="O5" s="8">
        <f t="shared" si="0"/>
        <v>5</v>
      </c>
      <c r="P5" s="8">
        <f t="shared" si="0"/>
        <v>10</v>
      </c>
      <c r="Q5" s="5"/>
      <c r="R5" s="2">
        <v>3</v>
      </c>
      <c r="S5" s="9">
        <v>1.1499999999999999</v>
      </c>
      <c r="T5" s="2">
        <v>31</v>
      </c>
      <c r="U5" s="2">
        <v>31</v>
      </c>
      <c r="V5" s="2">
        <v>4</v>
      </c>
      <c r="W5" s="4" t="s">
        <v>62</v>
      </c>
      <c r="X5" s="2" t="s">
        <v>98</v>
      </c>
      <c r="Y5" s="5">
        <v>0</v>
      </c>
      <c r="Z5" s="12">
        <v>0.05</v>
      </c>
      <c r="AA5" s="12">
        <v>0.1</v>
      </c>
      <c r="AB5" s="10">
        <v>0.2</v>
      </c>
      <c r="AC5" s="5">
        <v>0</v>
      </c>
      <c r="AD5" s="10">
        <v>0.1</v>
      </c>
      <c r="AE5" s="10">
        <v>0.2</v>
      </c>
      <c r="AF5" s="10">
        <v>0.3</v>
      </c>
      <c r="AG5" s="5">
        <v>3</v>
      </c>
    </row>
    <row r="6" spans="1:33" ht="15" x14ac:dyDescent="0.25">
      <c r="A6" s="2" t="s">
        <v>2</v>
      </c>
      <c r="B6" s="7" t="s">
        <v>27</v>
      </c>
      <c r="C6" s="7">
        <v>1</v>
      </c>
      <c r="D6" s="5">
        <v>25</v>
      </c>
      <c r="E6" s="5">
        <v>10</v>
      </c>
      <c r="F6" s="5">
        <v>30</v>
      </c>
      <c r="G6" s="5">
        <v>60</v>
      </c>
      <c r="H6" s="5">
        <v>80</v>
      </c>
      <c r="I6" s="5">
        <v>30</v>
      </c>
      <c r="J6" s="5">
        <v>60</v>
      </c>
      <c r="K6" s="5">
        <v>5</v>
      </c>
      <c r="L6" s="5">
        <v>2</v>
      </c>
      <c r="N6" s="8">
        <f t="shared" si="1"/>
        <v>10</v>
      </c>
      <c r="O6" s="8">
        <f t="shared" si="0"/>
        <v>30</v>
      </c>
      <c r="P6" s="8">
        <f t="shared" si="0"/>
        <v>60</v>
      </c>
      <c r="Q6" s="5"/>
      <c r="R6" s="2">
        <v>4</v>
      </c>
      <c r="S6" s="9">
        <v>1.2</v>
      </c>
      <c r="T6" s="2">
        <v>39</v>
      </c>
      <c r="U6" s="2">
        <v>39</v>
      </c>
      <c r="V6" s="2">
        <v>4</v>
      </c>
      <c r="W6" s="4" t="s">
        <v>2</v>
      </c>
      <c r="X6" s="2" t="s">
        <v>99</v>
      </c>
      <c r="Y6" s="5">
        <v>0</v>
      </c>
      <c r="Z6" s="10">
        <v>0.1</v>
      </c>
      <c r="AA6" s="10">
        <v>0.2</v>
      </c>
      <c r="AB6" s="10">
        <v>0.3</v>
      </c>
      <c r="AC6" s="11">
        <v>0</v>
      </c>
      <c r="AD6" s="12">
        <v>0.05</v>
      </c>
      <c r="AE6" s="12">
        <v>0.1</v>
      </c>
      <c r="AF6" s="10">
        <v>0.2</v>
      </c>
      <c r="AG6" s="5">
        <v>4</v>
      </c>
    </row>
    <row r="7" spans="1:33" x14ac:dyDescent="0.3">
      <c r="A7" s="2" t="s">
        <v>75</v>
      </c>
      <c r="B7" s="7" t="s">
        <v>5</v>
      </c>
      <c r="C7" s="7">
        <v>4</v>
      </c>
      <c r="D7" s="5">
        <v>130</v>
      </c>
      <c r="E7" s="5">
        <v>30</v>
      </c>
      <c r="F7" s="5">
        <v>40</v>
      </c>
      <c r="G7" s="5">
        <v>30</v>
      </c>
      <c r="H7" s="5">
        <v>125</v>
      </c>
      <c r="I7" s="5">
        <v>100</v>
      </c>
      <c r="J7" s="5">
        <v>250</v>
      </c>
      <c r="K7" s="5">
        <v>5</v>
      </c>
      <c r="L7" s="5">
        <v>13</v>
      </c>
      <c r="N7" s="8">
        <f t="shared" si="1"/>
        <v>7.5</v>
      </c>
      <c r="O7" s="8">
        <f t="shared" si="0"/>
        <v>10</v>
      </c>
      <c r="P7" s="8">
        <f t="shared" si="0"/>
        <v>7.5</v>
      </c>
      <c r="Q7" s="5"/>
      <c r="R7" s="2">
        <v>5</v>
      </c>
      <c r="S7" s="9">
        <v>1.25</v>
      </c>
      <c r="T7" s="2">
        <v>49</v>
      </c>
      <c r="U7" s="2">
        <v>49</v>
      </c>
      <c r="V7" s="2">
        <v>4</v>
      </c>
      <c r="W7" s="4" t="s">
        <v>63</v>
      </c>
      <c r="X7" s="2" t="s">
        <v>100</v>
      </c>
      <c r="Y7" s="5">
        <v>0</v>
      </c>
      <c r="Z7" s="12">
        <v>0.05</v>
      </c>
      <c r="AA7" s="12">
        <v>0.1</v>
      </c>
      <c r="AB7" s="10">
        <v>0.2</v>
      </c>
      <c r="AC7" s="5">
        <v>0</v>
      </c>
      <c r="AD7" s="10">
        <v>0.1</v>
      </c>
      <c r="AE7" s="10">
        <v>0.2</v>
      </c>
      <c r="AF7" s="10">
        <v>0.3</v>
      </c>
      <c r="AG7" s="5">
        <v>5</v>
      </c>
    </row>
    <row r="8" spans="1:33" x14ac:dyDescent="0.3">
      <c r="A8" s="2" t="s">
        <v>14</v>
      </c>
      <c r="B8" s="7" t="s">
        <v>27</v>
      </c>
      <c r="C8" s="7">
        <v>5</v>
      </c>
      <c r="D8" s="5">
        <v>150</v>
      </c>
      <c r="E8" s="5">
        <v>40</v>
      </c>
      <c r="F8" s="5">
        <v>30</v>
      </c>
      <c r="G8" s="5">
        <v>50</v>
      </c>
      <c r="H8" s="5">
        <v>250</v>
      </c>
      <c r="I8" s="5">
        <v>200</v>
      </c>
      <c r="J8" s="5">
        <v>100</v>
      </c>
      <c r="K8" s="5">
        <v>6</v>
      </c>
      <c r="L8" s="5">
        <v>12</v>
      </c>
      <c r="N8" s="8">
        <f t="shared" si="1"/>
        <v>8</v>
      </c>
      <c r="O8" s="8">
        <f t="shared" si="0"/>
        <v>6</v>
      </c>
      <c r="P8" s="8">
        <f t="shared" si="0"/>
        <v>10</v>
      </c>
      <c r="Q8" s="5"/>
      <c r="R8" s="2">
        <v>6</v>
      </c>
      <c r="S8" s="9">
        <v>1.3</v>
      </c>
      <c r="T8" s="2">
        <v>61</v>
      </c>
      <c r="U8" s="2">
        <v>61</v>
      </c>
      <c r="V8" s="2">
        <v>5</v>
      </c>
      <c r="W8" s="4" t="s">
        <v>64</v>
      </c>
      <c r="X8" s="2" t="s">
        <v>101</v>
      </c>
      <c r="Y8" s="5">
        <v>0</v>
      </c>
      <c r="Z8" s="12">
        <v>0.05</v>
      </c>
      <c r="AA8" s="12">
        <v>0.1</v>
      </c>
      <c r="AB8" s="10">
        <v>0.2</v>
      </c>
      <c r="AC8" s="5">
        <v>0</v>
      </c>
      <c r="AD8" s="10">
        <v>0.1</v>
      </c>
      <c r="AE8" s="10">
        <v>0.2</v>
      </c>
      <c r="AF8" s="10">
        <v>0.3</v>
      </c>
      <c r="AG8" s="5">
        <v>6</v>
      </c>
    </row>
    <row r="9" spans="1:33" ht="15" x14ac:dyDescent="0.25">
      <c r="A9" s="2" t="s">
        <v>73</v>
      </c>
      <c r="B9" s="7" t="s">
        <v>5</v>
      </c>
      <c r="C9" s="7">
        <v>6</v>
      </c>
      <c r="D9" s="5">
        <v>150</v>
      </c>
      <c r="E9" s="5">
        <v>200</v>
      </c>
      <c r="F9" s="5">
        <v>160</v>
      </c>
      <c r="G9" s="5">
        <v>180</v>
      </c>
      <c r="H9" s="5">
        <v>200</v>
      </c>
      <c r="I9" s="5">
        <v>150</v>
      </c>
      <c r="J9" s="5">
        <v>600</v>
      </c>
      <c r="K9" s="5">
        <v>23</v>
      </c>
      <c r="L9" s="5">
        <v>15</v>
      </c>
      <c r="N9" s="8">
        <f t="shared" si="1"/>
        <v>33.333333333333336</v>
      </c>
      <c r="O9" s="8">
        <f t="shared" si="0"/>
        <v>26.666666666666668</v>
      </c>
      <c r="P9" s="8">
        <f t="shared" si="0"/>
        <v>30</v>
      </c>
      <c r="Q9" s="5"/>
      <c r="R9" s="2">
        <v>7</v>
      </c>
      <c r="S9" s="9">
        <v>1.35</v>
      </c>
      <c r="T9" s="2">
        <v>77</v>
      </c>
      <c r="U9" s="2">
        <v>77</v>
      </c>
      <c r="V9" s="2">
        <v>5</v>
      </c>
      <c r="W9" s="2" t="s">
        <v>65</v>
      </c>
      <c r="X9" s="2" t="s">
        <v>102</v>
      </c>
      <c r="Y9" s="5">
        <v>0</v>
      </c>
      <c r="Z9" s="10">
        <v>0.1</v>
      </c>
      <c r="AA9" s="10">
        <v>0.2</v>
      </c>
      <c r="AB9" s="10">
        <v>0.3</v>
      </c>
      <c r="AC9" s="11">
        <v>0</v>
      </c>
      <c r="AD9" s="12">
        <v>0.1</v>
      </c>
      <c r="AE9" s="12">
        <v>0.2</v>
      </c>
      <c r="AF9" s="10">
        <v>0.3</v>
      </c>
      <c r="AG9" s="5">
        <v>7</v>
      </c>
    </row>
    <row r="10" spans="1:33" x14ac:dyDescent="0.3">
      <c r="A10" s="2" t="s">
        <v>16</v>
      </c>
      <c r="B10" s="7" t="s">
        <v>79</v>
      </c>
      <c r="C10" s="7">
        <v>5</v>
      </c>
      <c r="D10" s="5">
        <v>2</v>
      </c>
      <c r="E10" s="5">
        <v>20</v>
      </c>
      <c r="F10" s="5">
        <v>50</v>
      </c>
      <c r="G10" s="5">
        <v>20</v>
      </c>
      <c r="H10" s="5">
        <v>300</v>
      </c>
      <c r="I10" s="5">
        <v>200</v>
      </c>
      <c r="J10" s="5">
        <v>200</v>
      </c>
      <c r="K10" s="5">
        <v>4</v>
      </c>
      <c r="L10" s="5">
        <v>8</v>
      </c>
      <c r="N10" s="8">
        <f t="shared" si="1"/>
        <v>4</v>
      </c>
      <c r="O10" s="8">
        <f t="shared" si="0"/>
        <v>10</v>
      </c>
      <c r="P10" s="8">
        <f t="shared" si="0"/>
        <v>4</v>
      </c>
      <c r="Q10" s="5"/>
      <c r="R10" s="2">
        <v>8</v>
      </c>
      <c r="S10" s="9">
        <v>1.4</v>
      </c>
      <c r="T10" s="2">
        <v>96</v>
      </c>
      <c r="U10" s="2">
        <v>96</v>
      </c>
      <c r="V10" s="2">
        <v>6</v>
      </c>
      <c r="W10" s="6" t="s">
        <v>66</v>
      </c>
      <c r="X10" s="2" t="s">
        <v>103</v>
      </c>
      <c r="Y10" s="5">
        <v>0</v>
      </c>
      <c r="Z10" s="12">
        <v>0.05</v>
      </c>
      <c r="AA10" s="12">
        <v>0.1</v>
      </c>
      <c r="AB10" s="10">
        <v>0.2</v>
      </c>
      <c r="AC10" s="5">
        <v>0</v>
      </c>
      <c r="AD10" s="10">
        <v>0.25</v>
      </c>
      <c r="AE10" s="10">
        <v>0.5</v>
      </c>
      <c r="AF10" s="10">
        <v>1</v>
      </c>
      <c r="AG10" s="5">
        <v>8</v>
      </c>
    </row>
    <row r="11" spans="1:33" ht="15" x14ac:dyDescent="0.25">
      <c r="A11" s="2" t="s">
        <v>17</v>
      </c>
      <c r="B11" s="7" t="s">
        <v>79</v>
      </c>
      <c r="C11" s="7">
        <v>8</v>
      </c>
      <c r="D11" s="5">
        <v>100</v>
      </c>
      <c r="E11" s="5">
        <v>100</v>
      </c>
      <c r="F11" s="5">
        <v>50</v>
      </c>
      <c r="G11" s="5">
        <v>100</v>
      </c>
      <c r="H11" s="5">
        <v>320</v>
      </c>
      <c r="I11" s="5">
        <v>400</v>
      </c>
      <c r="J11" s="5">
        <v>100</v>
      </c>
      <c r="K11" s="5">
        <v>12</v>
      </c>
      <c r="L11" s="5">
        <v>10</v>
      </c>
      <c r="N11" s="8">
        <f t="shared" si="1"/>
        <v>12.5</v>
      </c>
      <c r="O11" s="8">
        <f t="shared" si="0"/>
        <v>6.25</v>
      </c>
      <c r="P11" s="8">
        <f t="shared" si="0"/>
        <v>12.5</v>
      </c>
      <c r="Q11" s="5"/>
      <c r="R11" s="2">
        <v>9</v>
      </c>
      <c r="S11" s="9">
        <v>1.45</v>
      </c>
      <c r="T11" s="2">
        <v>120</v>
      </c>
      <c r="U11" s="2">
        <v>120</v>
      </c>
      <c r="V11" s="2">
        <v>6</v>
      </c>
      <c r="W11" s="6" t="s">
        <v>67</v>
      </c>
      <c r="X11" s="2" t="s">
        <v>104</v>
      </c>
      <c r="Y11" s="5">
        <v>0</v>
      </c>
      <c r="Z11" s="12">
        <v>0.05</v>
      </c>
      <c r="AA11" s="12">
        <v>0.1</v>
      </c>
      <c r="AB11" s="10">
        <v>0.2</v>
      </c>
      <c r="AC11" s="5">
        <v>0</v>
      </c>
      <c r="AD11" s="10">
        <v>0.25</v>
      </c>
      <c r="AE11" s="10">
        <v>0.5</v>
      </c>
      <c r="AF11" s="10">
        <v>1</v>
      </c>
      <c r="AG11" s="5">
        <v>9</v>
      </c>
    </row>
    <row r="12" spans="1:33" x14ac:dyDescent="0.3">
      <c r="A12" s="2" t="s">
        <v>18</v>
      </c>
      <c r="B12" s="7" t="s">
        <v>26</v>
      </c>
      <c r="C12" s="7">
        <v>6</v>
      </c>
      <c r="D12" s="5">
        <v>300</v>
      </c>
      <c r="E12" s="5">
        <v>100</v>
      </c>
      <c r="F12" s="5">
        <v>100</v>
      </c>
      <c r="G12" s="5">
        <v>50</v>
      </c>
      <c r="H12" s="5">
        <v>1188</v>
      </c>
      <c r="I12" s="5">
        <v>1188</v>
      </c>
      <c r="J12" s="5">
        <v>2376</v>
      </c>
      <c r="K12" s="5">
        <v>10</v>
      </c>
      <c r="L12" s="5">
        <v>25</v>
      </c>
      <c r="N12" s="8">
        <f t="shared" si="1"/>
        <v>16.666666666666668</v>
      </c>
      <c r="O12" s="8">
        <f t="shared" si="0"/>
        <v>16.666666666666668</v>
      </c>
      <c r="P12" s="8">
        <f t="shared" si="0"/>
        <v>8.3333333333333339</v>
      </c>
      <c r="Q12" s="5"/>
      <c r="R12" s="2">
        <v>10</v>
      </c>
      <c r="S12" s="9">
        <v>1.5</v>
      </c>
      <c r="T12" s="2">
        <v>151</v>
      </c>
      <c r="U12" s="2">
        <v>151</v>
      </c>
      <c r="V12" s="2">
        <v>7</v>
      </c>
      <c r="X12" t="s">
        <v>105</v>
      </c>
      <c r="Y12" s="5">
        <v>0</v>
      </c>
      <c r="Z12" s="5"/>
      <c r="AA12" s="5"/>
      <c r="AB12" s="5"/>
      <c r="AC12" s="5">
        <v>0</v>
      </c>
      <c r="AD12" s="5"/>
      <c r="AE12" s="5"/>
      <c r="AF12" s="5"/>
      <c r="AG12" s="5"/>
    </row>
    <row r="13" spans="1:33" x14ac:dyDescent="0.3">
      <c r="A13" s="2" t="s">
        <v>76</v>
      </c>
      <c r="B13" s="7" t="s">
        <v>79</v>
      </c>
      <c r="C13" s="7">
        <v>10</v>
      </c>
      <c r="D13" s="5">
        <v>30</v>
      </c>
      <c r="E13" s="5">
        <v>200</v>
      </c>
      <c r="F13" s="5">
        <v>250</v>
      </c>
      <c r="G13" s="5">
        <v>200</v>
      </c>
      <c r="H13" s="5">
        <v>4000</v>
      </c>
      <c r="I13" s="5">
        <v>2000</v>
      </c>
      <c r="J13" s="5">
        <v>2000</v>
      </c>
      <c r="K13" s="5">
        <v>25</v>
      </c>
      <c r="L13" s="5">
        <v>8</v>
      </c>
      <c r="N13" s="8">
        <f t="shared" si="1"/>
        <v>20</v>
      </c>
      <c r="O13" s="8">
        <f t="shared" si="0"/>
        <v>25</v>
      </c>
      <c r="P13" s="8">
        <f t="shared" si="0"/>
        <v>20</v>
      </c>
      <c r="Q13" s="5"/>
      <c r="R13" s="2">
        <v>11</v>
      </c>
      <c r="S13" s="9">
        <v>1.55</v>
      </c>
      <c r="T13" s="2">
        <v>189</v>
      </c>
      <c r="U13" s="2">
        <v>189</v>
      </c>
      <c r="V13" s="2">
        <v>8</v>
      </c>
      <c r="Y13" s="4"/>
      <c r="Z13" s="5"/>
      <c r="AA13" s="5"/>
    </row>
    <row r="14" spans="1:33" x14ac:dyDescent="0.3">
      <c r="A14" s="2" t="s">
        <v>20</v>
      </c>
      <c r="B14" s="7" t="s">
        <v>26</v>
      </c>
      <c r="C14" s="7">
        <v>100</v>
      </c>
      <c r="D14" s="5">
        <v>30</v>
      </c>
      <c r="E14" s="5">
        <v>100</v>
      </c>
      <c r="F14" s="5">
        <v>50</v>
      </c>
      <c r="G14" s="5">
        <v>100</v>
      </c>
      <c r="H14" s="5">
        <v>40000</v>
      </c>
      <c r="I14" s="5">
        <v>50000</v>
      </c>
      <c r="J14" s="5">
        <v>50000</v>
      </c>
      <c r="K14" s="5">
        <v>200</v>
      </c>
      <c r="L14" s="5">
        <v>200</v>
      </c>
      <c r="N14" s="8">
        <f t="shared" ref="N14:N15" si="2">E14/$C14</f>
        <v>1</v>
      </c>
      <c r="O14" s="8">
        <f t="shared" ref="O14:O15" si="3">F14/$C14</f>
        <v>0.5</v>
      </c>
      <c r="P14" s="8">
        <f t="shared" ref="P14:P15" si="4">G14/$C14</f>
        <v>1</v>
      </c>
      <c r="R14" s="2">
        <v>12</v>
      </c>
      <c r="S14" s="9">
        <v>1.6</v>
      </c>
      <c r="T14" s="2">
        <v>236</v>
      </c>
      <c r="U14" s="2">
        <v>236</v>
      </c>
      <c r="V14" s="2">
        <v>9</v>
      </c>
      <c r="Y14" s="4"/>
      <c r="Z14" s="5"/>
      <c r="AA14" s="5"/>
    </row>
    <row r="15" spans="1:33" x14ac:dyDescent="0.3">
      <c r="A15" s="2" t="s">
        <v>21</v>
      </c>
      <c r="B15" s="7" t="s">
        <v>5</v>
      </c>
      <c r="C15" s="7">
        <v>1</v>
      </c>
      <c r="D15" s="5">
        <v>150</v>
      </c>
      <c r="E15" s="5">
        <v>250</v>
      </c>
      <c r="F15" s="7">
        <v>400</v>
      </c>
      <c r="G15" s="7">
        <v>150</v>
      </c>
      <c r="H15" s="7">
        <v>0</v>
      </c>
      <c r="I15" s="7">
        <v>0</v>
      </c>
      <c r="J15" s="7">
        <v>0</v>
      </c>
      <c r="K15" s="7">
        <v>40</v>
      </c>
      <c r="L15" s="7">
        <v>20</v>
      </c>
      <c r="N15" s="8">
        <f t="shared" si="2"/>
        <v>250</v>
      </c>
      <c r="O15" s="8">
        <f t="shared" si="3"/>
        <v>400</v>
      </c>
      <c r="P15" s="8">
        <f t="shared" si="4"/>
        <v>150</v>
      </c>
      <c r="R15" s="2">
        <v>13</v>
      </c>
      <c r="S15" s="9">
        <v>1.65</v>
      </c>
      <c r="T15" s="2">
        <v>295</v>
      </c>
      <c r="U15" s="2">
        <v>295</v>
      </c>
      <c r="V15" s="2">
        <v>9</v>
      </c>
      <c r="Y15" s="4"/>
      <c r="Z15" s="5"/>
      <c r="AA15" s="5"/>
    </row>
    <row r="16" spans="1:33" x14ac:dyDescent="0.3">
      <c r="B16" s="13"/>
      <c r="C16" s="13"/>
      <c r="R16" s="2">
        <v>14</v>
      </c>
      <c r="S16" s="9">
        <v>1.7</v>
      </c>
      <c r="T16" s="2">
        <v>370</v>
      </c>
      <c r="U16" s="2">
        <v>370</v>
      </c>
      <c r="V16" s="2">
        <v>10</v>
      </c>
      <c r="Y16" s="4"/>
      <c r="Z16" s="5"/>
      <c r="AA16" s="5"/>
    </row>
    <row r="17" spans="1:22" x14ac:dyDescent="0.3">
      <c r="A17" s="13"/>
      <c r="B17" s="13"/>
      <c r="C17" s="13"/>
      <c r="R17" s="2">
        <v>15</v>
      </c>
      <c r="S17" s="9">
        <v>1.75</v>
      </c>
      <c r="T17" s="2">
        <v>462</v>
      </c>
      <c r="U17" s="110">
        <f>T17*1.1</f>
        <v>508.20000000000005</v>
      </c>
      <c r="V17" s="2">
        <v>11</v>
      </c>
    </row>
    <row r="18" spans="1:22" x14ac:dyDescent="0.3">
      <c r="R18" s="2">
        <v>16</v>
      </c>
      <c r="S18" s="9">
        <v>1.8</v>
      </c>
      <c r="T18" s="2">
        <v>579</v>
      </c>
      <c r="U18" s="110">
        <f t="shared" ref="U18:U22" si="5">T18*1.1</f>
        <v>636.90000000000009</v>
      </c>
      <c r="V18" s="2">
        <v>13</v>
      </c>
    </row>
    <row r="19" spans="1:22" x14ac:dyDescent="0.3">
      <c r="R19" s="2">
        <v>17</v>
      </c>
      <c r="S19" s="9">
        <v>1.85</v>
      </c>
      <c r="T19" s="2">
        <v>724</v>
      </c>
      <c r="U19" s="110">
        <f t="shared" si="5"/>
        <v>796.40000000000009</v>
      </c>
      <c r="V19" s="2">
        <v>14</v>
      </c>
    </row>
    <row r="20" spans="1:22" x14ac:dyDescent="0.3">
      <c r="F20" s="124" t="s">
        <v>78</v>
      </c>
      <c r="G20" s="124"/>
      <c r="H20" s="124"/>
      <c r="R20" s="2">
        <v>18</v>
      </c>
      <c r="S20" s="9">
        <v>1.9</v>
      </c>
      <c r="T20" s="2">
        <v>906</v>
      </c>
      <c r="U20" s="110">
        <f t="shared" si="5"/>
        <v>996.60000000000014</v>
      </c>
      <c r="V20" s="2">
        <v>15</v>
      </c>
    </row>
    <row r="21" spans="1:22" x14ac:dyDescent="0.3">
      <c r="F21" s="50" t="s">
        <v>26</v>
      </c>
      <c r="G21" s="50" t="s">
        <v>5</v>
      </c>
      <c r="H21" s="50" t="s">
        <v>27</v>
      </c>
      <c r="R21" s="2">
        <v>19</v>
      </c>
      <c r="S21" s="9">
        <v>1.95</v>
      </c>
      <c r="T21" s="2">
        <v>1134</v>
      </c>
      <c r="U21" s="110">
        <f t="shared" si="5"/>
        <v>1247.4000000000001</v>
      </c>
      <c r="V21" s="2">
        <v>17</v>
      </c>
    </row>
    <row r="22" spans="1:22" x14ac:dyDescent="0.3">
      <c r="C22" s="2" t="s">
        <v>3</v>
      </c>
      <c r="D22" s="2" t="s">
        <v>77</v>
      </c>
      <c r="F22" s="50">
        <v>25</v>
      </c>
      <c r="G22" s="50">
        <v>45</v>
      </c>
      <c r="H22" s="50">
        <v>10</v>
      </c>
      <c r="R22" s="2">
        <v>20</v>
      </c>
      <c r="S22" s="9">
        <v>2</v>
      </c>
      <c r="T22" s="2">
        <v>1420</v>
      </c>
      <c r="U22" s="110">
        <f t="shared" si="5"/>
        <v>1562.0000000000002</v>
      </c>
      <c r="V22" s="2">
        <v>18</v>
      </c>
    </row>
    <row r="23" spans="1:22" x14ac:dyDescent="0.3">
      <c r="A23" s="52" t="s">
        <v>74</v>
      </c>
      <c r="B23" s="2" t="s">
        <v>26</v>
      </c>
      <c r="C23" s="2">
        <v>1</v>
      </c>
      <c r="D23" s="2">
        <f>D5/C5</f>
        <v>45</v>
      </c>
      <c r="F23" s="50">
        <f>D23/F22</f>
        <v>1.8</v>
      </c>
      <c r="G23" s="50"/>
      <c r="H23" s="50"/>
    </row>
    <row r="24" spans="1:22" x14ac:dyDescent="0.3">
      <c r="A24" s="52" t="s">
        <v>75</v>
      </c>
      <c r="B24" s="2" t="s">
        <v>5</v>
      </c>
      <c r="C24" s="2">
        <v>4</v>
      </c>
      <c r="D24" s="2">
        <f>D7/C7</f>
        <v>32.5</v>
      </c>
      <c r="F24" s="50"/>
      <c r="G24" s="51">
        <f>D24/G22</f>
        <v>0.72222222222222221</v>
      </c>
      <c r="H24" s="50"/>
    </row>
    <row r="25" spans="1:22" x14ac:dyDescent="0.3">
      <c r="A25" s="52" t="s">
        <v>14</v>
      </c>
      <c r="B25" s="2" t="s">
        <v>27</v>
      </c>
      <c r="C25" s="2">
        <v>5</v>
      </c>
      <c r="D25" s="2">
        <f>D8/C8</f>
        <v>30</v>
      </c>
      <c r="F25" s="50"/>
      <c r="G25" s="50"/>
      <c r="H25" s="50">
        <f>D25/H22</f>
        <v>3</v>
      </c>
    </row>
  </sheetData>
  <mergeCells count="6">
    <mergeCell ref="F20:H20"/>
    <mergeCell ref="E1:G1"/>
    <mergeCell ref="N1:P1"/>
    <mergeCell ref="Y1:AB1"/>
    <mergeCell ref="AC1:AF1"/>
    <mergeCell ref="H1:J1"/>
  </mergeCells>
  <conditionalFormatting sqref="N3:P15">
    <cfRule type="dataBar" priority="1">
      <dataBar>
        <cfvo type="num" val="MIN($N:$P)"/>
        <cfvo type="num" val="MAX($N:$P)"/>
        <color theme="7" tint="0.39997558519241921"/>
      </dataBar>
      <extLst>
        <ext xmlns:x14="http://schemas.microsoft.com/office/spreadsheetml/2009/9/main" uri="{B025F937-C7B1-47D3-B67F-A62EFF666E3E}">
          <x14:id>{AE796AAC-6CAE-48CB-BCD1-C88BE5966ECC}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796AAC-6CAE-48CB-BCD1-C88BE5966ECC}">
            <x14:dataBar minLength="0" maxLength="100" gradient="0">
              <x14:cfvo type="num">
                <xm:f>MIN($N:$P)</xm:f>
              </x14:cfvo>
              <x14:cfvo type="num">
                <xm:f>MAX($N:$P)</xm:f>
              </x14:cfvo>
              <x14:negativeFillColor rgb="FFFF0000"/>
              <x14:axisColor rgb="FF000000"/>
            </x14:dataBar>
          </x14:cfRule>
          <xm:sqref>N3:P15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Z111"/>
  <sheetViews>
    <sheetView topLeftCell="B1" workbookViewId="0">
      <selection activeCell="V15" sqref="V15"/>
    </sheetView>
  </sheetViews>
  <sheetFormatPr baseColWidth="10" defaultColWidth="11.44140625" defaultRowHeight="14.4" x14ac:dyDescent="0.3"/>
  <cols>
    <col min="1" max="1" width="3.109375" style="2" customWidth="1"/>
    <col min="2" max="2" width="21.109375" style="2" customWidth="1"/>
    <col min="3" max="3" width="6.33203125" style="2" bestFit="1" customWidth="1"/>
    <col min="4" max="4" width="4.88671875" style="2" customWidth="1"/>
    <col min="5" max="5" width="8.33203125" style="2" customWidth="1"/>
    <col min="6" max="8" width="13" style="2" customWidth="1"/>
    <col min="9" max="11" width="5.109375" style="2" customWidth="1"/>
    <col min="12" max="12" width="11.44140625" style="2"/>
    <col min="13" max="13" width="11.44140625" style="2" customWidth="1"/>
    <col min="14" max="15" width="11.44140625" style="2"/>
    <col min="16" max="16" width="5.109375" style="2" customWidth="1"/>
    <col min="17" max="17" width="1" style="2" customWidth="1"/>
    <col min="18" max="18" width="15.44140625" style="2" bestFit="1" customWidth="1"/>
    <col min="19" max="19" width="11.44140625" style="2"/>
    <col min="20" max="20" width="4.44140625" style="2" customWidth="1"/>
    <col min="21" max="21" width="10.109375" style="2" customWidth="1"/>
    <col min="22" max="22" width="11.44140625" style="2"/>
    <col min="23" max="23" width="4.44140625" style="2" customWidth="1"/>
    <col min="24" max="25" width="11.44140625" style="2"/>
    <col min="26" max="26" width="11.44140625" style="2" customWidth="1"/>
    <col min="27" max="27" width="1" style="2" customWidth="1"/>
    <col min="28" max="28" width="15.44140625" style="2" bestFit="1" customWidth="1"/>
    <col min="29" max="29" width="11.44140625" style="2"/>
    <col min="30" max="30" width="4.44140625" style="2" customWidth="1"/>
    <col min="31" max="32" width="11.44140625" style="2"/>
    <col min="33" max="33" width="4.44140625" style="2" customWidth="1"/>
    <col min="34" max="36" width="11.44140625" style="2"/>
    <col min="37" max="37" width="1" style="2" customWidth="1"/>
    <col min="38" max="38" width="15.44140625" style="2" bestFit="1" customWidth="1"/>
    <col min="39" max="39" width="11.44140625" style="2"/>
    <col min="40" max="40" width="4.44140625" style="2" customWidth="1"/>
    <col min="41" max="42" width="11.44140625" style="2"/>
    <col min="43" max="43" width="4.44140625" style="2" customWidth="1"/>
    <col min="44" max="46" width="11.44140625" style="2"/>
    <col min="47" max="47" width="1" style="2" customWidth="1"/>
    <col min="48" max="48" width="15.6640625" style="2" bestFit="1" customWidth="1"/>
    <col min="49" max="16384" width="11.44140625" style="2"/>
  </cols>
  <sheetData>
    <row r="1" spans="1:52" ht="11.25" customHeight="1" x14ac:dyDescent="0.25"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C1"/>
      <c r="AD1"/>
      <c r="AE1"/>
      <c r="AF1"/>
      <c r="AG1"/>
    </row>
    <row r="2" spans="1:52" ht="15" customHeight="1" x14ac:dyDescent="0.3">
      <c r="E2" s="81" t="s">
        <v>89</v>
      </c>
      <c r="F2" s="129" t="s">
        <v>6</v>
      </c>
      <c r="G2" s="130"/>
      <c r="H2" s="131"/>
      <c r="I2" s="53"/>
      <c r="J2" s="126" t="s">
        <v>125</v>
      </c>
      <c r="L2" s="127" t="s">
        <v>28</v>
      </c>
      <c r="M2" s="128"/>
      <c r="N2" s="127" t="s">
        <v>30</v>
      </c>
      <c r="O2" s="128"/>
      <c r="Q2" s="14"/>
      <c r="R2" s="125" t="s">
        <v>126</v>
      </c>
      <c r="S2" s="125"/>
      <c r="T2" s="125"/>
      <c r="U2" s="125"/>
      <c r="V2" s="125"/>
      <c r="W2" s="125"/>
      <c r="X2" s="125"/>
      <c r="Y2" s="125"/>
      <c r="Z2" s="125"/>
      <c r="AA2" s="14"/>
      <c r="AB2" t="s">
        <v>131</v>
      </c>
      <c r="AC2"/>
      <c r="AD2"/>
      <c r="AE2"/>
      <c r="AF2"/>
      <c r="AG2"/>
      <c r="AY2"/>
      <c r="AZ2"/>
    </row>
    <row r="3" spans="1:52" x14ac:dyDescent="0.3">
      <c r="B3" s="87" t="s">
        <v>1</v>
      </c>
      <c r="C3" s="69" t="s">
        <v>4</v>
      </c>
      <c r="D3" s="70" t="s">
        <v>3</v>
      </c>
      <c r="E3" s="71" t="s">
        <v>0</v>
      </c>
      <c r="F3" s="71" t="s">
        <v>8</v>
      </c>
      <c r="G3" s="69" t="s">
        <v>9</v>
      </c>
      <c r="H3" s="70" t="s">
        <v>10</v>
      </c>
      <c r="I3" s="5"/>
      <c r="J3" s="126"/>
      <c r="L3" s="55" t="s">
        <v>29</v>
      </c>
      <c r="M3" s="56" t="s">
        <v>3</v>
      </c>
      <c r="N3" s="55" t="s">
        <v>29</v>
      </c>
      <c r="O3" s="63" t="s">
        <v>3</v>
      </c>
      <c r="Q3" s="14"/>
      <c r="R3" s="15" t="s">
        <v>46</v>
      </c>
      <c r="S3"/>
      <c r="T3"/>
      <c r="U3"/>
      <c r="V3"/>
      <c r="W3"/>
      <c r="X3"/>
      <c r="Y3"/>
      <c r="Z3"/>
      <c r="AA3" s="14"/>
      <c r="AB3" t="s">
        <v>132</v>
      </c>
      <c r="AC3"/>
      <c r="AD3"/>
      <c r="AE3"/>
      <c r="AF3"/>
      <c r="AG3"/>
      <c r="AH3"/>
      <c r="AI3"/>
      <c r="AY3"/>
      <c r="AZ3"/>
    </row>
    <row r="4" spans="1:52" x14ac:dyDescent="0.3">
      <c r="A4" s="2">
        <v>1</v>
      </c>
      <c r="B4" s="84" t="s">
        <v>60</v>
      </c>
      <c r="C4" s="60" t="str">
        <f>Data!B3</f>
        <v>I</v>
      </c>
      <c r="D4" s="82">
        <f>Data!C3</f>
        <v>1</v>
      </c>
      <c r="E4" s="59">
        <f>Data!D3</f>
        <v>10</v>
      </c>
      <c r="F4" s="59">
        <f>Data!E3</f>
        <v>25</v>
      </c>
      <c r="G4" s="60">
        <f>Data!F3</f>
        <v>45</v>
      </c>
      <c r="H4" s="82">
        <f>Data!G3</f>
        <v>10</v>
      </c>
      <c r="I4" s="7"/>
      <c r="J4" s="126"/>
      <c r="L4" s="55">
        <f>Combat!$C$4</f>
        <v>0</v>
      </c>
      <c r="M4" s="56">
        <f>IF(L4="","",L4*D4)</f>
        <v>0</v>
      </c>
      <c r="N4" s="55">
        <f>Combat!$C$10</f>
        <v>1342</v>
      </c>
      <c r="O4" s="63">
        <f>IF(N4="","",N4*D4)</f>
        <v>1342</v>
      </c>
      <c r="Q4" s="14"/>
      <c r="R4" s="6" t="s">
        <v>60</v>
      </c>
      <c r="S4"/>
      <c r="T4"/>
      <c r="U4"/>
      <c r="V4"/>
      <c r="W4"/>
      <c r="X4"/>
      <c r="Y4"/>
      <c r="Z4"/>
      <c r="AA4" s="14"/>
      <c r="AB4" t="s">
        <v>133</v>
      </c>
      <c r="AC4"/>
      <c r="AD4"/>
      <c r="AE4"/>
      <c r="AF4"/>
      <c r="AG4"/>
      <c r="AH4"/>
      <c r="AI4"/>
      <c r="AY4"/>
      <c r="AZ4"/>
    </row>
    <row r="5" spans="1:52" x14ac:dyDescent="0.3">
      <c r="A5" s="2">
        <v>2</v>
      </c>
      <c r="B5" s="84" t="s">
        <v>61</v>
      </c>
      <c r="C5" s="60" t="str">
        <f>Data!B4</f>
        <v>I</v>
      </c>
      <c r="D5" s="82">
        <f>Data!C4</f>
        <v>1</v>
      </c>
      <c r="E5" s="59">
        <f>Data!D4</f>
        <v>25</v>
      </c>
      <c r="F5" s="59">
        <f>Data!E4</f>
        <v>55</v>
      </c>
      <c r="G5" s="60">
        <f>Data!F4</f>
        <v>5</v>
      </c>
      <c r="H5" s="82">
        <f>Data!G4</f>
        <v>30</v>
      </c>
      <c r="I5" s="7"/>
      <c r="J5" s="126"/>
      <c r="L5" s="55">
        <f>Combat!$D$4</f>
        <v>0</v>
      </c>
      <c r="M5" s="56">
        <f t="shared" ref="M5:M16" si="0">IF(L5="","",L5*D5)</f>
        <v>0</v>
      </c>
      <c r="N5" s="55">
        <f>Combat!$D$10</f>
        <v>1689</v>
      </c>
      <c r="O5" s="63">
        <f t="shared" ref="O5:O16" si="1">IF(N5="","",N5*D5)</f>
        <v>1689</v>
      </c>
      <c r="Q5" s="14"/>
      <c r="R5" s="6" t="s">
        <v>61</v>
      </c>
      <c r="S5"/>
      <c r="T5"/>
      <c r="U5"/>
      <c r="V5"/>
      <c r="W5"/>
      <c r="X5"/>
      <c r="Y5"/>
      <c r="Z5"/>
      <c r="AA5" s="14"/>
      <c r="AB5" t="s">
        <v>134</v>
      </c>
      <c r="AC5"/>
      <c r="AD5"/>
      <c r="AE5"/>
      <c r="AF5"/>
      <c r="AG5"/>
      <c r="AH5"/>
      <c r="AI5"/>
      <c r="AZ5" s="24"/>
    </row>
    <row r="6" spans="1:52" x14ac:dyDescent="0.3">
      <c r="A6" s="2">
        <v>3</v>
      </c>
      <c r="B6" s="84" t="s">
        <v>62</v>
      </c>
      <c r="C6" s="60" t="str">
        <f>Data!B5</f>
        <v>I</v>
      </c>
      <c r="D6" s="82">
        <f>Data!C5</f>
        <v>1</v>
      </c>
      <c r="E6" s="59">
        <f>Data!D5</f>
        <v>45</v>
      </c>
      <c r="F6" s="59">
        <f>Data!E5</f>
        <v>10</v>
      </c>
      <c r="G6" s="60">
        <f>Data!F5</f>
        <v>5</v>
      </c>
      <c r="H6" s="82">
        <f>Data!G5</f>
        <v>10</v>
      </c>
      <c r="I6" s="7"/>
      <c r="J6" s="126"/>
      <c r="L6" s="55">
        <f>Combat!$E$4</f>
        <v>4000</v>
      </c>
      <c r="M6" s="56">
        <f t="shared" si="0"/>
        <v>4000</v>
      </c>
      <c r="N6" s="55">
        <f>Combat!$E$10</f>
        <v>0</v>
      </c>
      <c r="O6" s="63">
        <f t="shared" si="1"/>
        <v>0</v>
      </c>
      <c r="Q6" s="14"/>
      <c r="R6" s="6" t="s">
        <v>62</v>
      </c>
      <c r="S6"/>
      <c r="T6"/>
      <c r="U6"/>
      <c r="V6"/>
      <c r="W6"/>
      <c r="X6"/>
      <c r="Y6"/>
      <c r="Z6"/>
      <c r="AA6" s="14"/>
      <c r="AB6"/>
      <c r="AC6"/>
      <c r="AD6"/>
      <c r="AE6"/>
      <c r="AF6"/>
      <c r="AG6"/>
      <c r="AH6"/>
      <c r="AI6"/>
      <c r="AZ6" s="24"/>
    </row>
    <row r="7" spans="1:52" x14ac:dyDescent="0.3">
      <c r="A7" s="2">
        <v>4</v>
      </c>
      <c r="B7" s="84" t="s">
        <v>2</v>
      </c>
      <c r="C7" s="60" t="str">
        <f>Data!B6</f>
        <v>A</v>
      </c>
      <c r="D7" s="82">
        <f>Data!C6</f>
        <v>1</v>
      </c>
      <c r="E7" s="59">
        <f>Data!D6</f>
        <v>25</v>
      </c>
      <c r="F7" s="59">
        <f>Data!E6</f>
        <v>10</v>
      </c>
      <c r="G7" s="60">
        <f>Data!F6</f>
        <v>30</v>
      </c>
      <c r="H7" s="82">
        <f>Data!G6</f>
        <v>60</v>
      </c>
      <c r="I7" s="7"/>
      <c r="J7" s="126"/>
      <c r="L7" s="55">
        <f>Combat!$F$4</f>
        <v>0</v>
      </c>
      <c r="M7" s="56">
        <f t="shared" si="0"/>
        <v>0</v>
      </c>
      <c r="N7" s="55">
        <f>Combat!$F$10</f>
        <v>287</v>
      </c>
      <c r="O7" s="63">
        <f t="shared" si="1"/>
        <v>287</v>
      </c>
      <c r="Q7" s="14"/>
      <c r="R7" s="6" t="s">
        <v>2</v>
      </c>
      <c r="S7"/>
      <c r="T7"/>
      <c r="U7"/>
      <c r="V7"/>
      <c r="W7"/>
      <c r="X7"/>
      <c r="Y7"/>
      <c r="Z7"/>
      <c r="AA7" s="14"/>
      <c r="AD7"/>
      <c r="AE7"/>
      <c r="AF7"/>
      <c r="AG7"/>
      <c r="AH7"/>
      <c r="AI7"/>
      <c r="AZ7" s="24"/>
    </row>
    <row r="8" spans="1:52" x14ac:dyDescent="0.3">
      <c r="A8" s="2">
        <v>5</v>
      </c>
      <c r="B8" s="84" t="s">
        <v>63</v>
      </c>
      <c r="C8" s="60" t="str">
        <f>Data!B7</f>
        <v>C</v>
      </c>
      <c r="D8" s="82">
        <f>Data!C7</f>
        <v>4</v>
      </c>
      <c r="E8" s="59">
        <f>Data!D7</f>
        <v>130</v>
      </c>
      <c r="F8" s="59">
        <f>Data!E7</f>
        <v>30</v>
      </c>
      <c r="G8" s="60">
        <f>Data!F7</f>
        <v>40</v>
      </c>
      <c r="H8" s="82">
        <f>Data!G7</f>
        <v>30</v>
      </c>
      <c r="I8" s="7"/>
      <c r="J8" s="126"/>
      <c r="L8" s="55">
        <f>Combat!$G$4</f>
        <v>0</v>
      </c>
      <c r="M8" s="56">
        <f t="shared" si="0"/>
        <v>0</v>
      </c>
      <c r="N8" s="55">
        <f>Combat!$G$10</f>
        <v>0</v>
      </c>
      <c r="O8" s="63">
        <f t="shared" si="1"/>
        <v>0</v>
      </c>
      <c r="Q8" s="14"/>
      <c r="R8" s="6" t="s">
        <v>63</v>
      </c>
      <c r="S8"/>
      <c r="T8"/>
      <c r="U8" s="2" t="s">
        <v>59</v>
      </c>
      <c r="V8" s="2">
        <f>Combat!S9</f>
        <v>11</v>
      </c>
      <c r="W8"/>
      <c r="Z8"/>
      <c r="AA8" s="14"/>
      <c r="AD8"/>
      <c r="AE8"/>
      <c r="AF8"/>
      <c r="AG8"/>
      <c r="AH8"/>
      <c r="AI8"/>
      <c r="AZ8" s="24"/>
    </row>
    <row r="9" spans="1:52" x14ac:dyDescent="0.3">
      <c r="A9" s="2">
        <v>6</v>
      </c>
      <c r="B9" s="84" t="s">
        <v>64</v>
      </c>
      <c r="C9" s="60" t="str">
        <f>Data!B8</f>
        <v>A</v>
      </c>
      <c r="D9" s="82">
        <f>Data!C8</f>
        <v>5</v>
      </c>
      <c r="E9" s="59">
        <f>Data!D8</f>
        <v>150</v>
      </c>
      <c r="F9" s="59">
        <f>Data!E8</f>
        <v>40</v>
      </c>
      <c r="G9" s="60">
        <f>Data!F8</f>
        <v>30</v>
      </c>
      <c r="H9" s="82">
        <f>Data!G8</f>
        <v>50</v>
      </c>
      <c r="I9" s="7"/>
      <c r="J9" s="126"/>
      <c r="L9" s="55">
        <f>Combat!$H$4</f>
        <v>0</v>
      </c>
      <c r="M9" s="56">
        <f t="shared" si="0"/>
        <v>0</v>
      </c>
      <c r="N9" s="55">
        <f>Combat!$H$10</f>
        <v>0</v>
      </c>
      <c r="O9" s="63">
        <f t="shared" si="1"/>
        <v>0</v>
      </c>
      <c r="Q9" s="14"/>
      <c r="R9" s="6" t="s">
        <v>64</v>
      </c>
      <c r="S9"/>
      <c r="T9"/>
      <c r="U9" s="2" t="s">
        <v>130</v>
      </c>
      <c r="V9" s="2">
        <f>VLOOKUP(V8,Data!$R$2:$U$22,3,FALSE)</f>
        <v>189</v>
      </c>
      <c r="W9"/>
      <c r="X9"/>
      <c r="Y9"/>
      <c r="Z9"/>
      <c r="AA9" s="14"/>
      <c r="AB9"/>
      <c r="AC9"/>
      <c r="AD9"/>
      <c r="AE9"/>
      <c r="AF9"/>
      <c r="AG9"/>
      <c r="AH9"/>
      <c r="AI9"/>
      <c r="AZ9" s="24"/>
    </row>
    <row r="10" spans="1:52" x14ac:dyDescent="0.3">
      <c r="A10" s="2">
        <v>7</v>
      </c>
      <c r="B10" s="84" t="s">
        <v>65</v>
      </c>
      <c r="C10" s="60" t="str">
        <f>Data!B9</f>
        <v>C</v>
      </c>
      <c r="D10" s="82">
        <f>Data!C9</f>
        <v>6</v>
      </c>
      <c r="E10" s="59">
        <f>Data!D9</f>
        <v>150</v>
      </c>
      <c r="F10" s="59">
        <f>Data!E9</f>
        <v>200</v>
      </c>
      <c r="G10" s="60">
        <f>Data!F9</f>
        <v>160</v>
      </c>
      <c r="H10" s="82">
        <f>Data!G9</f>
        <v>180</v>
      </c>
      <c r="I10" s="7"/>
      <c r="J10" s="126"/>
      <c r="L10" s="55">
        <f>Combat!$I$4</f>
        <v>0</v>
      </c>
      <c r="M10" s="56">
        <f t="shared" si="0"/>
        <v>0</v>
      </c>
      <c r="N10" s="55">
        <f>Combat!$I$10</f>
        <v>0</v>
      </c>
      <c r="O10" s="63">
        <f t="shared" si="1"/>
        <v>0</v>
      </c>
      <c r="Q10" s="14"/>
      <c r="R10" s="6" t="s">
        <v>65</v>
      </c>
      <c r="S10"/>
      <c r="T10"/>
      <c r="U10"/>
      <c r="V10"/>
      <c r="W10"/>
      <c r="X10"/>
      <c r="Y10"/>
      <c r="Z10"/>
      <c r="AA10" s="14"/>
      <c r="AB10"/>
      <c r="AC10"/>
      <c r="AD10"/>
      <c r="AE10"/>
      <c r="AF10"/>
      <c r="AG10"/>
      <c r="AH10"/>
      <c r="AI10"/>
      <c r="AZ10" s="24"/>
    </row>
    <row r="11" spans="1:52" x14ac:dyDescent="0.3">
      <c r="A11" s="2">
        <v>8</v>
      </c>
      <c r="B11" s="84" t="s">
        <v>66</v>
      </c>
      <c r="C11" s="60" t="s">
        <v>79</v>
      </c>
      <c r="D11" s="82">
        <f>Data!C10</f>
        <v>5</v>
      </c>
      <c r="E11" s="59">
        <f>Data!D10</f>
        <v>2</v>
      </c>
      <c r="F11" s="59">
        <f>Data!E10</f>
        <v>20</v>
      </c>
      <c r="G11" s="60">
        <f>Data!F10</f>
        <v>50</v>
      </c>
      <c r="H11" s="82">
        <f>Data!G10</f>
        <v>20</v>
      </c>
      <c r="I11" s="7"/>
      <c r="J11" s="126"/>
      <c r="L11" s="55">
        <f>Combat!$J$4</f>
        <v>0</v>
      </c>
      <c r="M11" s="56">
        <f t="shared" si="0"/>
        <v>0</v>
      </c>
      <c r="N11" s="55">
        <f>Combat!$J$10</f>
        <v>0</v>
      </c>
      <c r="O11" s="63">
        <f t="shared" si="1"/>
        <v>0</v>
      </c>
      <c r="Q11" s="14"/>
      <c r="R11" s="6" t="s">
        <v>66</v>
      </c>
      <c r="S11"/>
      <c r="T11"/>
      <c r="U11" t="s">
        <v>135</v>
      </c>
      <c r="V11" t="e">
        <f>L14*(L11/(L11+L12))</f>
        <v>#DIV/0!</v>
      </c>
      <c r="W11"/>
      <c r="X11"/>
      <c r="Y11"/>
      <c r="Z11"/>
      <c r="AA11" s="14"/>
      <c r="AB11"/>
      <c r="AC11"/>
      <c r="AD11"/>
      <c r="AE11"/>
      <c r="AF11"/>
      <c r="AG11"/>
      <c r="AH11"/>
      <c r="AI11"/>
    </row>
    <row r="12" spans="1:52" x14ac:dyDescent="0.3">
      <c r="A12" s="2">
        <v>9</v>
      </c>
      <c r="B12" s="84" t="s">
        <v>67</v>
      </c>
      <c r="C12" s="60" t="s">
        <v>79</v>
      </c>
      <c r="D12" s="82">
        <f>Data!C11</f>
        <v>8</v>
      </c>
      <c r="E12" s="59">
        <f>Data!D11</f>
        <v>100</v>
      </c>
      <c r="F12" s="59">
        <f>Data!E11</f>
        <v>100</v>
      </c>
      <c r="G12" s="60">
        <f>Data!F11</f>
        <v>50</v>
      </c>
      <c r="H12" s="82">
        <f>Data!G11</f>
        <v>100</v>
      </c>
      <c r="I12" s="7"/>
      <c r="J12" s="126"/>
      <c r="L12" s="55">
        <f>Combat!$K$4</f>
        <v>0</v>
      </c>
      <c r="M12" s="56">
        <f t="shared" si="0"/>
        <v>0</v>
      </c>
      <c r="N12" s="55">
        <f>Combat!$K$10</f>
        <v>0</v>
      </c>
      <c r="O12" s="63">
        <f t="shared" si="1"/>
        <v>0</v>
      </c>
      <c r="Q12" s="14"/>
      <c r="R12" s="6" t="s">
        <v>67</v>
      </c>
      <c r="S12"/>
      <c r="T12"/>
      <c r="U12" t="s">
        <v>136</v>
      </c>
      <c r="V12">
        <f>ROUND((M17-M11)/(O17+V9),2)</f>
        <v>1.1399999999999999</v>
      </c>
      <c r="W12"/>
      <c r="X12"/>
      <c r="Y12"/>
      <c r="Z12"/>
      <c r="AA12" s="14"/>
      <c r="AB12"/>
      <c r="AC12"/>
      <c r="AD12"/>
      <c r="AE12"/>
      <c r="AF12"/>
      <c r="AG12"/>
      <c r="AH12"/>
      <c r="AI12"/>
    </row>
    <row r="13" spans="1:52" x14ac:dyDescent="0.3">
      <c r="A13" s="2">
        <v>10</v>
      </c>
      <c r="B13" s="84" t="s">
        <v>69</v>
      </c>
      <c r="C13" s="60" t="s">
        <v>26</v>
      </c>
      <c r="D13" s="82">
        <f>Data!C12</f>
        <v>6</v>
      </c>
      <c r="E13" s="59">
        <f>IF(L39&gt;=N39,Data!D12,2*Data!D12)</f>
        <v>300</v>
      </c>
      <c r="F13" s="59">
        <f>Data!E12</f>
        <v>100</v>
      </c>
      <c r="G13" s="60">
        <f>Data!F12</f>
        <v>100</v>
      </c>
      <c r="H13" s="82">
        <f>Data!G12</f>
        <v>50</v>
      </c>
      <c r="I13" s="7"/>
      <c r="J13" s="126"/>
      <c r="L13" s="55">
        <f>Combat!$L$4</f>
        <v>0</v>
      </c>
      <c r="M13" s="56">
        <f t="shared" si="0"/>
        <v>0</v>
      </c>
      <c r="N13" s="55">
        <f>Combat!$L$10</f>
        <v>0</v>
      </c>
      <c r="O13" s="63">
        <f t="shared" si="1"/>
        <v>0</v>
      </c>
      <c r="Q13" s="14"/>
      <c r="R13" s="6" t="s">
        <v>69</v>
      </c>
      <c r="S13"/>
      <c r="T13"/>
      <c r="U13"/>
      <c r="V13"/>
      <c r="W13"/>
      <c r="X13"/>
      <c r="Y13"/>
      <c r="Z13"/>
      <c r="AA13" s="14"/>
      <c r="AB13"/>
      <c r="AC13"/>
      <c r="AD13"/>
      <c r="AE13"/>
      <c r="AF13"/>
      <c r="AG13"/>
      <c r="AH13"/>
      <c r="AI13"/>
    </row>
    <row r="14" spans="1:52" x14ac:dyDescent="0.3">
      <c r="A14" s="2">
        <v>11</v>
      </c>
      <c r="B14" s="84" t="s">
        <v>19</v>
      </c>
      <c r="C14" s="60" t="s">
        <v>79</v>
      </c>
      <c r="D14" s="82">
        <f>Data!C13</f>
        <v>10</v>
      </c>
      <c r="E14" s="59">
        <f>Data!D13</f>
        <v>30</v>
      </c>
      <c r="F14" s="59">
        <f>Data!E13</f>
        <v>200</v>
      </c>
      <c r="G14" s="60">
        <f>Data!F13</f>
        <v>250</v>
      </c>
      <c r="H14" s="82">
        <f>Data!G13</f>
        <v>200</v>
      </c>
      <c r="I14" s="7"/>
      <c r="J14" s="126"/>
      <c r="L14" s="55">
        <f>Combat!$M$4</f>
        <v>0</v>
      </c>
      <c r="M14" s="56">
        <f t="shared" si="0"/>
        <v>0</v>
      </c>
      <c r="N14" s="55">
        <f>Combat!$M$10</f>
        <v>0</v>
      </c>
      <c r="O14" s="63">
        <f t="shared" si="1"/>
        <v>0</v>
      </c>
      <c r="Q14" s="14"/>
      <c r="R14" s="6" t="s">
        <v>19</v>
      </c>
      <c r="S14"/>
      <c r="T14"/>
      <c r="U14" s="17" t="s">
        <v>58</v>
      </c>
      <c r="V14" s="25">
        <f>IF(V8=0,0,IF(((L11-N14)*V12*C29*T33)/(VLOOKUP(V8,Data!$R$2:$V$22,5,FALSE)*2)&gt;V8,V8,((L11-N14)*V12*C29*T33)/(VLOOKUP(V8,Data!$R$2:$V$22,5,FALSE)*2)))</f>
        <v>0</v>
      </c>
      <c r="W14"/>
      <c r="X14"/>
      <c r="Y14"/>
      <c r="Z14"/>
      <c r="AA14" s="14"/>
      <c r="AB14"/>
      <c r="AC14"/>
      <c r="AD14"/>
      <c r="AE14"/>
      <c r="AF14"/>
      <c r="AG14"/>
      <c r="AH14"/>
      <c r="AI14"/>
    </row>
    <row r="15" spans="1:52" x14ac:dyDescent="0.3">
      <c r="A15" s="2">
        <v>12</v>
      </c>
      <c r="B15" s="84" t="s">
        <v>68</v>
      </c>
      <c r="C15" s="60" t="s">
        <v>26</v>
      </c>
      <c r="D15" s="82">
        <f>Data!C14</f>
        <v>100</v>
      </c>
      <c r="E15" s="59">
        <f>Data!D14</f>
        <v>30</v>
      </c>
      <c r="F15" s="59">
        <f>Data!E14</f>
        <v>100</v>
      </c>
      <c r="G15" s="60">
        <f>Data!F14</f>
        <v>50</v>
      </c>
      <c r="H15" s="82">
        <f>Data!G14</f>
        <v>100</v>
      </c>
      <c r="I15" s="7"/>
      <c r="J15" s="126"/>
      <c r="L15" s="55">
        <f>Combat!$N$4</f>
        <v>0</v>
      </c>
      <c r="M15" s="56">
        <f t="shared" si="0"/>
        <v>0</v>
      </c>
      <c r="N15" s="55">
        <f>Combat!$N$10</f>
        <v>0</v>
      </c>
      <c r="O15" s="63">
        <f t="shared" si="1"/>
        <v>0</v>
      </c>
      <c r="Q15" s="14"/>
      <c r="R15" s="6" t="s">
        <v>68</v>
      </c>
      <c r="S15"/>
      <c r="T15"/>
      <c r="U15"/>
      <c r="V15"/>
      <c r="W15"/>
      <c r="X15"/>
      <c r="Y15"/>
      <c r="Z15"/>
      <c r="AA15" s="14"/>
      <c r="AB15"/>
      <c r="AC15"/>
      <c r="AD15"/>
      <c r="AE15"/>
      <c r="AF15"/>
      <c r="AG15"/>
      <c r="AH15"/>
      <c r="AI15"/>
    </row>
    <row r="16" spans="1:52" x14ac:dyDescent="0.3">
      <c r="A16" s="2">
        <v>13</v>
      </c>
      <c r="B16" s="85" t="s">
        <v>21</v>
      </c>
      <c r="C16" s="86" t="str">
        <f>HLOOKUP(MAX(M42:O42),$M$42:$O$44,3,FALSE)</f>
        <v>I</v>
      </c>
      <c r="D16" s="83">
        <f>Data!C15</f>
        <v>1</v>
      </c>
      <c r="E16" s="61">
        <f>Data!D15</f>
        <v>150</v>
      </c>
      <c r="F16" s="61">
        <f>Data!E15</f>
        <v>250</v>
      </c>
      <c r="G16" s="62">
        <f>Data!F15</f>
        <v>400</v>
      </c>
      <c r="H16" s="83">
        <f>Data!G15</f>
        <v>150</v>
      </c>
      <c r="I16" s="7"/>
      <c r="J16" s="126"/>
      <c r="L16" s="64">
        <f>Combat!$O$4</f>
        <v>0</v>
      </c>
      <c r="M16" s="65">
        <f t="shared" si="0"/>
        <v>0</v>
      </c>
      <c r="N16" s="64">
        <f>Combat!$O$10</f>
        <v>1</v>
      </c>
      <c r="O16" s="66">
        <f t="shared" si="1"/>
        <v>1</v>
      </c>
      <c r="Q16" s="14"/>
      <c r="R16" s="6" t="s">
        <v>21</v>
      </c>
      <c r="S16"/>
      <c r="T16"/>
      <c r="U16"/>
      <c r="V16"/>
      <c r="W16"/>
      <c r="X16"/>
      <c r="Y16"/>
      <c r="Z16"/>
      <c r="AA16" s="14"/>
      <c r="AB16"/>
      <c r="AC16"/>
      <c r="AD16"/>
      <c r="AE16"/>
      <c r="AF16"/>
      <c r="AG16"/>
      <c r="AH16"/>
      <c r="AI16"/>
    </row>
    <row r="17" spans="2:50" x14ac:dyDescent="0.3">
      <c r="B17" s="6"/>
      <c r="C17" s="5"/>
      <c r="D17" s="29" t="s">
        <v>84</v>
      </c>
      <c r="E17" s="2">
        <f>IFERROR(VLOOKUP(Combat!E16,Data!$W$3:$AG$11,11,FALSE),0)</f>
        <v>3</v>
      </c>
      <c r="F17" s="2">
        <f>IFERROR(VLOOKUP(Combat!E23,Data!$W$3:$AG$11,11,FALSE),0)</f>
        <v>2</v>
      </c>
      <c r="H17" s="7"/>
      <c r="I17" s="7"/>
      <c r="J17" s="126"/>
      <c r="M17" s="16">
        <f>SUM(M4:M16)</f>
        <v>4000</v>
      </c>
      <c r="O17" s="16">
        <f>SUM(O4:O16)</f>
        <v>3319</v>
      </c>
      <c r="Q17" s="14"/>
      <c r="S17" s="24"/>
      <c r="U17" s="16"/>
      <c r="V17" s="24"/>
      <c r="X17" s="16"/>
      <c r="AA17" s="14"/>
      <c r="AB17"/>
      <c r="AC17"/>
      <c r="AD17"/>
      <c r="AE17"/>
      <c r="AF17"/>
      <c r="AG17"/>
      <c r="AH17"/>
      <c r="AI17"/>
    </row>
    <row r="18" spans="2:50" x14ac:dyDescent="0.3">
      <c r="C18" s="13"/>
      <c r="D18" s="29" t="s">
        <v>88</v>
      </c>
      <c r="E18" s="2">
        <f>IFERROR(VLOOKUP(Combat!E16,Data!$W$3:$AF$11,7+Combat!E17,FALSE),0)</f>
        <v>0.1</v>
      </c>
      <c r="F18" s="2">
        <f>IFERROR(VLOOKUP(Combat!E23,Data!$W$3:$AF$11,3+Combat!E24,FALSE),0)</f>
        <v>0.1</v>
      </c>
      <c r="J18" s="126"/>
      <c r="Q18" s="14"/>
      <c r="U18" s="37"/>
      <c r="X18" s="37"/>
      <c r="AA18" s="14"/>
      <c r="AB18"/>
      <c r="AC18"/>
      <c r="AD18"/>
      <c r="AE18"/>
      <c r="AF18"/>
      <c r="AG18"/>
      <c r="AH18"/>
      <c r="AI18"/>
    </row>
    <row r="19" spans="2:50" x14ac:dyDescent="0.3">
      <c r="C19" s="13"/>
      <c r="J19" s="126"/>
      <c r="Q19" s="14"/>
      <c r="AA19" s="14"/>
      <c r="AC19"/>
      <c r="AD19"/>
      <c r="AE19"/>
      <c r="AF19"/>
      <c r="AG19"/>
      <c r="AH19"/>
      <c r="AI19"/>
    </row>
    <row r="20" spans="2:50" x14ac:dyDescent="0.3">
      <c r="B20" s="13" t="s">
        <v>37</v>
      </c>
      <c r="C20" s="30">
        <f>Combat!S4</f>
        <v>1</v>
      </c>
      <c r="D20" s="13"/>
      <c r="J20" s="126"/>
      <c r="Q20" s="14"/>
      <c r="AA20" s="14"/>
      <c r="AC20"/>
      <c r="AD20"/>
      <c r="AE20"/>
      <c r="AF20"/>
      <c r="AG20"/>
    </row>
    <row r="21" spans="2:50" x14ac:dyDescent="0.3">
      <c r="B21" s="13" t="s">
        <v>22</v>
      </c>
      <c r="C21" s="30">
        <f>Combat!S5</f>
        <v>1</v>
      </c>
      <c r="D21" s="13"/>
      <c r="J21" s="126"/>
      <c r="Q21" s="14"/>
      <c r="Y21" s="24"/>
      <c r="AA21" s="14"/>
      <c r="AC21"/>
      <c r="AD21"/>
      <c r="AE21"/>
      <c r="AF21"/>
      <c r="AG21"/>
    </row>
    <row r="22" spans="2:50" x14ac:dyDescent="0.3">
      <c r="B22" s="13" t="s">
        <v>24</v>
      </c>
      <c r="C22" s="31">
        <f>1+Combat!S6</f>
        <v>0.86</v>
      </c>
      <c r="D22" s="13"/>
      <c r="J22" s="126"/>
      <c r="Q22" s="14"/>
      <c r="AA22" s="14"/>
      <c r="AC22"/>
      <c r="AD22"/>
      <c r="AE22"/>
      <c r="AF22"/>
      <c r="AG22"/>
    </row>
    <row r="23" spans="2:50" x14ac:dyDescent="0.3">
      <c r="B23" s="13" t="s">
        <v>56</v>
      </c>
      <c r="C23" s="32">
        <f>IF(Combat!S3="No",0,0.1)</f>
        <v>0.1</v>
      </c>
      <c r="D23" s="13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</row>
    <row r="24" spans="2:50" x14ac:dyDescent="0.3">
      <c r="G24" s="4"/>
      <c r="J24" s="126" t="s">
        <v>92</v>
      </c>
      <c r="K24" s="90"/>
      <c r="L24" s="127" t="s">
        <v>28</v>
      </c>
      <c r="M24" s="128"/>
      <c r="N24" s="127" t="s">
        <v>30</v>
      </c>
      <c r="O24" s="128"/>
      <c r="P24"/>
      <c r="Q24" s="14"/>
      <c r="R24" s="125" t="s">
        <v>38</v>
      </c>
      <c r="S24" s="125"/>
      <c r="T24" s="125"/>
      <c r="U24" s="125"/>
      <c r="V24" s="125"/>
      <c r="W24" s="125"/>
      <c r="X24" s="125"/>
      <c r="Y24" s="125"/>
      <c r="Z24" s="125"/>
      <c r="AA24" s="14"/>
      <c r="AB24" s="125" t="s">
        <v>39</v>
      </c>
      <c r="AC24" s="125"/>
      <c r="AD24" s="125"/>
      <c r="AE24" s="125"/>
      <c r="AF24" s="125"/>
      <c r="AG24" s="125"/>
      <c r="AH24" s="125"/>
      <c r="AI24" s="125"/>
      <c r="AJ24" s="125"/>
      <c r="AK24" s="14"/>
      <c r="AL24" s="125" t="s">
        <v>91</v>
      </c>
      <c r="AM24" s="125"/>
      <c r="AN24" s="125"/>
      <c r="AO24" s="125"/>
      <c r="AP24" s="125"/>
      <c r="AQ24" s="125"/>
      <c r="AR24" s="125"/>
      <c r="AS24" s="125"/>
      <c r="AT24" s="125"/>
      <c r="AU24" s="14"/>
    </row>
    <row r="25" spans="2:50" ht="16.5" customHeight="1" x14ac:dyDescent="0.3">
      <c r="B25" s="13" t="s">
        <v>57</v>
      </c>
      <c r="C25" s="113">
        <f>INT(G25-G29)</f>
        <v>11</v>
      </c>
      <c r="D25" s="13"/>
      <c r="F25" s="2" t="s">
        <v>59</v>
      </c>
      <c r="G25" s="4">
        <f>Combat!S9</f>
        <v>11</v>
      </c>
      <c r="J25" s="126"/>
      <c r="K25" s="5"/>
      <c r="L25" s="55" t="s">
        <v>29</v>
      </c>
      <c r="M25" s="56" t="s">
        <v>3</v>
      </c>
      <c r="N25" s="55" t="s">
        <v>29</v>
      </c>
      <c r="O25" s="63" t="s">
        <v>3</v>
      </c>
      <c r="P25"/>
      <c r="Q25" s="14"/>
      <c r="R25" s="15" t="s">
        <v>46</v>
      </c>
      <c r="S25" s="5" t="s">
        <v>28</v>
      </c>
      <c r="T25" s="5" t="s">
        <v>90</v>
      </c>
      <c r="U25" s="58" t="s">
        <v>0</v>
      </c>
      <c r="V25" s="2" t="s">
        <v>30</v>
      </c>
      <c r="W25" s="5" t="s">
        <v>90</v>
      </c>
      <c r="X25" s="56" t="s">
        <v>85</v>
      </c>
      <c r="Y25" s="17" t="s">
        <v>28</v>
      </c>
      <c r="Z25" s="18" t="s">
        <v>30</v>
      </c>
      <c r="AA25" s="14"/>
      <c r="AB25" s="15" t="s">
        <v>46</v>
      </c>
      <c r="AC25" s="5" t="s">
        <v>28</v>
      </c>
      <c r="AD25" s="5" t="s">
        <v>90</v>
      </c>
      <c r="AE25" s="58" t="s">
        <v>0</v>
      </c>
      <c r="AF25" s="2" t="s">
        <v>30</v>
      </c>
      <c r="AG25" s="5" t="s">
        <v>90</v>
      </c>
      <c r="AH25" s="56" t="s">
        <v>86</v>
      </c>
      <c r="AI25" s="17" t="s">
        <v>28</v>
      </c>
      <c r="AJ25" s="20" t="s">
        <v>30</v>
      </c>
      <c r="AK25" s="14"/>
      <c r="AL25" s="21" t="s">
        <v>46</v>
      </c>
      <c r="AM25" s="5" t="s">
        <v>28</v>
      </c>
      <c r="AN25" s="5" t="s">
        <v>90</v>
      </c>
      <c r="AO25" s="58" t="s">
        <v>0</v>
      </c>
      <c r="AP25" s="22" t="s">
        <v>30</v>
      </c>
      <c r="AQ25" s="5" t="s">
        <v>90</v>
      </c>
      <c r="AR25" s="56" t="s">
        <v>87</v>
      </c>
      <c r="AS25" s="17" t="s">
        <v>28</v>
      </c>
      <c r="AT25" s="23" t="s">
        <v>30</v>
      </c>
      <c r="AU25" s="14"/>
      <c r="AV25" s="19" t="s">
        <v>47</v>
      </c>
      <c r="AW25" s="17" t="s">
        <v>28</v>
      </c>
      <c r="AX25" s="23" t="s">
        <v>30</v>
      </c>
    </row>
    <row r="26" spans="2:50" x14ac:dyDescent="0.3">
      <c r="B26" s="13" t="s">
        <v>45</v>
      </c>
      <c r="C26" s="30">
        <f>Combat!S10</f>
        <v>1</v>
      </c>
      <c r="F26" s="114" t="s">
        <v>58</v>
      </c>
      <c r="G26" s="115">
        <f>IF((L33-N36)&lt;=0,0,MIN($G$25,INT(0.05*(L33-N36))))</f>
        <v>0</v>
      </c>
      <c r="J26" s="126"/>
      <c r="K26" s="7"/>
      <c r="L26" s="55">
        <f>Combat!$C$4</f>
        <v>0</v>
      </c>
      <c r="M26" s="56">
        <f t="shared" ref="M26:M38" si="2">IF(L26="","",L26*D4)</f>
        <v>0</v>
      </c>
      <c r="N26" s="55">
        <f>Combat!$C$10</f>
        <v>1342</v>
      </c>
      <c r="O26" s="63">
        <f t="shared" ref="O26:O38" si="3">IF(N26="","",N26*D4)</f>
        <v>1342</v>
      </c>
      <c r="P26"/>
      <c r="Q26" s="14"/>
      <c r="R26" s="6" t="s">
        <v>60</v>
      </c>
      <c r="S26" s="24">
        <f>L26</f>
        <v>0</v>
      </c>
      <c r="T26" s="77">
        <f>IF($C$16="I",IF($A4=$E$17,1+$E$18,1),1)</f>
        <v>1</v>
      </c>
      <c r="U26" s="76">
        <f t="shared" ref="U26:U38" si="4">IF(S26="","",S26*$E4*$C$29*T26)</f>
        <v>0</v>
      </c>
      <c r="V26" s="24">
        <f>N26*$M$43</f>
        <v>1342</v>
      </c>
      <c r="W26" s="77">
        <f t="shared" ref="W26:W37" si="5">IF($A4=$F$17,1+$F$18,1)</f>
        <v>1</v>
      </c>
      <c r="X26" s="57">
        <f t="shared" ref="X26:X38" si="6">IF(V26="","",V26*F4*$C$30*W26)</f>
        <v>52002.5</v>
      </c>
      <c r="Y26" s="25">
        <f>IF(S26=0,0,IF(X$39&lt;=U$39,S26*(X$39/U$39)^1.5,S26))</f>
        <v>0</v>
      </c>
      <c r="Z26" s="25">
        <f t="shared" ref="Z26:Z38" si="7">IF(V26="",0,IF(U$39&gt;=X$39,V26,V26*(U$39/X$39)^1.5))</f>
        <v>1112.3663706956893</v>
      </c>
      <c r="AA26" s="14"/>
      <c r="AB26" s="6" t="s">
        <v>60</v>
      </c>
      <c r="AC26" s="24"/>
      <c r="AD26" s="77"/>
      <c r="AE26" s="76" t="str">
        <f t="shared" ref="AE26:AE38" si="8">IF(AC26="","",AC26*$E4*$C$29*AD26)</f>
        <v/>
      </c>
      <c r="AF26" s="24">
        <f t="shared" ref="AF26:AF38" si="9">$N$43*N26+V26-Z26</f>
        <v>229.63362930431072</v>
      </c>
      <c r="AG26" s="77">
        <f t="shared" ref="AG26:AG37" si="10">IF($A4=$F$17,1+$F$18,1)</f>
        <v>1</v>
      </c>
      <c r="AH26" s="57">
        <f t="shared" ref="AH26:AH38" si="11">IF(AF26="","",AF26*G4*$C$30*AG26)</f>
        <v>16016.945643975672</v>
      </c>
      <c r="AI26" s="25"/>
      <c r="AJ26" s="25">
        <f t="shared" ref="AJ26:AJ38" si="12">IF(AF26="",0,IF(AE$39&gt;=AH$39,AF26,AF26*(AE$39/AH$39)^1.5))</f>
        <v>0</v>
      </c>
      <c r="AK26" s="14"/>
      <c r="AL26" s="6" t="s">
        <v>60</v>
      </c>
      <c r="AM26" s="24"/>
      <c r="AN26" s="77"/>
      <c r="AO26" s="76" t="str">
        <f t="shared" ref="AO26:AO38" si="13">IF(AM26="","",AM26*$E4*$C$29*AN26)</f>
        <v/>
      </c>
      <c r="AP26" s="24">
        <f t="shared" ref="AP26:AP38" si="14">$O$43*N26+AF26-AJ26</f>
        <v>229.63362930431072</v>
      </c>
      <c r="AQ26" s="77">
        <f t="shared" ref="AQ26:AQ37" si="15">IF($A4=$F$17,1+$F$18,1)</f>
        <v>1</v>
      </c>
      <c r="AR26" s="57">
        <f t="shared" ref="AR26:AR38" si="16">IF(AP26="","",AP26*H4*$C$30*AQ26)</f>
        <v>3559.3212542168162</v>
      </c>
      <c r="AS26" s="25"/>
      <c r="AT26" s="25">
        <f t="shared" ref="AT26:AT38" si="17">IF(AP26="",0,IF(AO$39&gt;=AR$39,AP26,AP26*(AO$39/AR$39)^1.5))</f>
        <v>0</v>
      </c>
      <c r="AU26" s="14"/>
      <c r="AV26" s="26" t="s">
        <v>11</v>
      </c>
      <c r="AW26" s="27">
        <f t="shared" ref="AW26:AX34" si="18">AS26+AI26+Y26</f>
        <v>0</v>
      </c>
      <c r="AX26" s="27">
        <f t="shared" si="18"/>
        <v>1112.3663706956893</v>
      </c>
    </row>
    <row r="27" spans="2:50" x14ac:dyDescent="0.3">
      <c r="B27" s="13" t="s">
        <v>25</v>
      </c>
      <c r="C27" s="13">
        <f>IF(Combat!S11="No",1,2)</f>
        <v>1</v>
      </c>
      <c r="F27" s="114" t="s">
        <v>80</v>
      </c>
      <c r="G27" s="114">
        <f>INT(G25/2)+1</f>
        <v>6</v>
      </c>
      <c r="J27" s="126"/>
      <c r="K27" s="7"/>
      <c r="L27" s="55">
        <f>Combat!$D$4</f>
        <v>0</v>
      </c>
      <c r="M27" s="56">
        <f t="shared" si="2"/>
        <v>0</v>
      </c>
      <c r="N27" s="55">
        <f>Combat!$D$10</f>
        <v>1689</v>
      </c>
      <c r="O27" s="63">
        <f t="shared" si="3"/>
        <v>1689</v>
      </c>
      <c r="P27"/>
      <c r="Q27" s="14"/>
      <c r="R27" s="6" t="s">
        <v>61</v>
      </c>
      <c r="S27" s="24">
        <f>L27</f>
        <v>0</v>
      </c>
      <c r="T27" s="77">
        <f>IF($C$16="I",IF($A5=$E$17,1+$E$18,1),1)</f>
        <v>1</v>
      </c>
      <c r="U27" s="76">
        <f t="shared" si="4"/>
        <v>0</v>
      </c>
      <c r="V27" s="24">
        <f>N27*$M$43</f>
        <v>1689</v>
      </c>
      <c r="W27" s="77">
        <f t="shared" si="5"/>
        <v>1.1000000000000001</v>
      </c>
      <c r="X27" s="57">
        <f t="shared" si="6"/>
        <v>158385.97500000001</v>
      </c>
      <c r="Y27" s="25">
        <f>IF(S27=0,0,IF(X$39&lt;=U$39,S27*(X$39/U$39)^1.5,S27))</f>
        <v>0</v>
      </c>
      <c r="Z27" s="25">
        <f t="shared" si="7"/>
        <v>1399.990164012682</v>
      </c>
      <c r="AA27" s="14"/>
      <c r="AB27" s="6" t="s">
        <v>61</v>
      </c>
      <c r="AC27" s="24"/>
      <c r="AD27" s="77"/>
      <c r="AE27" s="76" t="str">
        <f t="shared" si="8"/>
        <v/>
      </c>
      <c r="AF27" s="24">
        <f t="shared" si="9"/>
        <v>289.00983598731796</v>
      </c>
      <c r="AG27" s="77">
        <f t="shared" si="10"/>
        <v>1.1000000000000001</v>
      </c>
      <c r="AH27" s="57">
        <f t="shared" si="11"/>
        <v>2463.8088517918859</v>
      </c>
      <c r="AI27" s="25"/>
      <c r="AJ27" s="25">
        <f t="shared" si="12"/>
        <v>0</v>
      </c>
      <c r="AK27" s="14"/>
      <c r="AL27" s="6" t="s">
        <v>61</v>
      </c>
      <c r="AM27" s="24"/>
      <c r="AN27" s="77"/>
      <c r="AO27" s="76" t="str">
        <f t="shared" si="13"/>
        <v/>
      </c>
      <c r="AP27" s="24">
        <f t="shared" si="14"/>
        <v>289.00983598731796</v>
      </c>
      <c r="AQ27" s="77">
        <f t="shared" si="15"/>
        <v>1.1000000000000001</v>
      </c>
      <c r="AR27" s="57">
        <f t="shared" si="16"/>
        <v>14782.853110751315</v>
      </c>
      <c r="AS27" s="25"/>
      <c r="AT27" s="25">
        <f t="shared" si="17"/>
        <v>0</v>
      </c>
      <c r="AU27" s="14"/>
      <c r="AV27" s="26" t="s">
        <v>49</v>
      </c>
      <c r="AW27" s="27">
        <f t="shared" si="18"/>
        <v>0</v>
      </c>
      <c r="AX27" s="27">
        <f t="shared" si="18"/>
        <v>1399.990164012682</v>
      </c>
    </row>
    <row r="28" spans="2:50" x14ac:dyDescent="0.3">
      <c r="F28" s="114" t="s">
        <v>81</v>
      </c>
      <c r="G28" s="114">
        <f>MIN(INT(G25/2),L11/(4.33+0.206*G25+0.035*G25^2-0.000846*G25^3+0.0000421*G25^4))</f>
        <v>0</v>
      </c>
      <c r="J28" s="126"/>
      <c r="K28" s="7"/>
      <c r="L28" s="55">
        <f>Combat!$E$4</f>
        <v>4000</v>
      </c>
      <c r="M28" s="56">
        <f t="shared" si="2"/>
        <v>4000</v>
      </c>
      <c r="N28" s="55">
        <f>Combat!$E$10</f>
        <v>0</v>
      </c>
      <c r="O28" s="63">
        <f t="shared" si="3"/>
        <v>0</v>
      </c>
      <c r="P28"/>
      <c r="Q28" s="14"/>
      <c r="R28" s="6" t="s">
        <v>62</v>
      </c>
      <c r="S28" s="24">
        <f>L28</f>
        <v>4000</v>
      </c>
      <c r="T28" s="77">
        <f>IF($C$16="I",IF($A6=$E$17,1+$E$18,1),1)</f>
        <v>1.1000000000000001</v>
      </c>
      <c r="U28" s="76">
        <f t="shared" si="4"/>
        <v>190080.00000000003</v>
      </c>
      <c r="V28" s="24">
        <f t="shared" ref="V28:V33" si="19">N28*$M$43</f>
        <v>0</v>
      </c>
      <c r="W28" s="77">
        <f t="shared" si="5"/>
        <v>1</v>
      </c>
      <c r="X28" s="57">
        <f t="shared" si="6"/>
        <v>0</v>
      </c>
      <c r="Y28" s="25">
        <f>IF(S28=0,0,IF(X$39&lt;=U$39,S28*(X$39/U$39)^1.5,S28))</f>
        <v>4000</v>
      </c>
      <c r="Z28" s="25">
        <f t="shared" si="7"/>
        <v>0</v>
      </c>
      <c r="AA28" s="14"/>
      <c r="AB28" s="6" t="s">
        <v>62</v>
      </c>
      <c r="AC28" s="24"/>
      <c r="AD28" s="77"/>
      <c r="AE28" s="76" t="str">
        <f t="shared" si="8"/>
        <v/>
      </c>
      <c r="AF28" s="24">
        <f t="shared" si="9"/>
        <v>0</v>
      </c>
      <c r="AG28" s="77">
        <f t="shared" si="10"/>
        <v>1</v>
      </c>
      <c r="AH28" s="57">
        <f t="shared" si="11"/>
        <v>0</v>
      </c>
      <c r="AI28" s="25"/>
      <c r="AJ28" s="25">
        <f t="shared" si="12"/>
        <v>0</v>
      </c>
      <c r="AK28" s="14"/>
      <c r="AL28" s="6" t="s">
        <v>62</v>
      </c>
      <c r="AM28" s="24"/>
      <c r="AN28" s="77"/>
      <c r="AO28" s="76" t="str">
        <f t="shared" si="13"/>
        <v/>
      </c>
      <c r="AP28" s="24">
        <f t="shared" si="14"/>
        <v>0</v>
      </c>
      <c r="AQ28" s="77">
        <f t="shared" si="15"/>
        <v>1</v>
      </c>
      <c r="AR28" s="57">
        <f t="shared" si="16"/>
        <v>0</v>
      </c>
      <c r="AS28" s="25"/>
      <c r="AT28" s="25">
        <f t="shared" si="17"/>
        <v>0</v>
      </c>
      <c r="AU28" s="14"/>
      <c r="AV28" s="26" t="s">
        <v>12</v>
      </c>
      <c r="AW28" s="27">
        <f t="shared" si="18"/>
        <v>4000</v>
      </c>
      <c r="AX28" s="27">
        <f t="shared" si="18"/>
        <v>0</v>
      </c>
    </row>
    <row r="29" spans="2:50" x14ac:dyDescent="0.3">
      <c r="B29" s="88" t="s">
        <v>40</v>
      </c>
      <c r="C29" s="89">
        <f>C20*C21*C22+C23</f>
        <v>0.96</v>
      </c>
      <c r="F29" s="2" t="s">
        <v>82</v>
      </c>
      <c r="G29" s="24">
        <f>INT(V14)</f>
        <v>0</v>
      </c>
      <c r="J29" s="126"/>
      <c r="K29" s="7"/>
      <c r="L29" s="55">
        <f>Combat!$F$4</f>
        <v>0</v>
      </c>
      <c r="M29" s="56">
        <f t="shared" si="2"/>
        <v>0</v>
      </c>
      <c r="N29" s="55">
        <f>Combat!$F$10</f>
        <v>287</v>
      </c>
      <c r="O29" s="63">
        <f t="shared" si="3"/>
        <v>287</v>
      </c>
      <c r="P29"/>
      <c r="Q29" s="14"/>
      <c r="R29" s="6" t="s">
        <v>2</v>
      </c>
      <c r="S29" s="24"/>
      <c r="T29" s="77"/>
      <c r="U29" s="76" t="str">
        <f t="shared" si="4"/>
        <v/>
      </c>
      <c r="V29" s="24">
        <f t="shared" si="19"/>
        <v>287</v>
      </c>
      <c r="W29" s="77">
        <f t="shared" si="5"/>
        <v>1</v>
      </c>
      <c r="X29" s="57">
        <f t="shared" si="6"/>
        <v>4448.5</v>
      </c>
      <c r="Y29" s="25"/>
      <c r="Z29" s="25">
        <f t="shared" si="7"/>
        <v>237.89057257053864</v>
      </c>
      <c r="AA29" s="14"/>
      <c r="AB29" s="6" t="s">
        <v>2</v>
      </c>
      <c r="AC29" s="24"/>
      <c r="AD29" s="77"/>
      <c r="AE29" s="76" t="str">
        <f t="shared" si="8"/>
        <v/>
      </c>
      <c r="AF29" s="24">
        <f t="shared" si="9"/>
        <v>49.109427429461363</v>
      </c>
      <c r="AG29" s="77">
        <f t="shared" si="10"/>
        <v>1</v>
      </c>
      <c r="AH29" s="57">
        <f t="shared" si="11"/>
        <v>2283.5883754699535</v>
      </c>
      <c r="AI29" s="25"/>
      <c r="AJ29" s="25">
        <f t="shared" si="12"/>
        <v>0</v>
      </c>
      <c r="AK29" s="14"/>
      <c r="AL29" s="6" t="s">
        <v>2</v>
      </c>
      <c r="AM29" s="24">
        <f>AC29-AI29</f>
        <v>0</v>
      </c>
      <c r="AN29" s="77">
        <f>IF($C$16="A",IF($A7=$E$17,1+$E$18,1),1)</f>
        <v>1</v>
      </c>
      <c r="AO29" s="76">
        <f t="shared" si="13"/>
        <v>0</v>
      </c>
      <c r="AP29" s="24">
        <f t="shared" si="14"/>
        <v>49.109427429461363</v>
      </c>
      <c r="AQ29" s="77">
        <f t="shared" si="15"/>
        <v>1</v>
      </c>
      <c r="AR29" s="57">
        <f t="shared" si="16"/>
        <v>4567.1767509399069</v>
      </c>
      <c r="AS29" s="25">
        <f t="shared" ref="AS29:AS38" si="20">IF(AM29=0,0,IF(AR$39&lt;=AO$39,AM29*(AR$39/AO$39)^1.5,AM29))</f>
        <v>0</v>
      </c>
      <c r="AT29" s="25">
        <f t="shared" si="17"/>
        <v>0</v>
      </c>
      <c r="AU29" s="14"/>
      <c r="AV29" s="26" t="s">
        <v>2</v>
      </c>
      <c r="AW29" s="27">
        <f t="shared" si="18"/>
        <v>0</v>
      </c>
      <c r="AX29" s="27">
        <f t="shared" si="18"/>
        <v>237.89057257053864</v>
      </c>
    </row>
    <row r="30" spans="2:50" x14ac:dyDescent="0.3">
      <c r="B30" s="88" t="s">
        <v>41</v>
      </c>
      <c r="C30" s="89">
        <f>VLOOKUP(C25,Data!R1:U22,2,FALSE)*C26*C27</f>
        <v>1.55</v>
      </c>
      <c r="D30" s="28"/>
      <c r="J30" s="126"/>
      <c r="K30" s="7"/>
      <c r="L30" s="55">
        <f>Combat!$G$4</f>
        <v>0</v>
      </c>
      <c r="M30" s="56">
        <f t="shared" si="2"/>
        <v>0</v>
      </c>
      <c r="N30" s="55">
        <f>Combat!$G$10</f>
        <v>0</v>
      </c>
      <c r="O30" s="63">
        <f t="shared" si="3"/>
        <v>0</v>
      </c>
      <c r="P30"/>
      <c r="Q30" s="14"/>
      <c r="R30" s="6" t="s">
        <v>63</v>
      </c>
      <c r="S30" s="24"/>
      <c r="T30" s="77"/>
      <c r="U30" s="76" t="str">
        <f t="shared" si="4"/>
        <v/>
      </c>
      <c r="V30" s="24">
        <f t="shared" si="19"/>
        <v>0</v>
      </c>
      <c r="W30" s="77">
        <f t="shared" si="5"/>
        <v>1</v>
      </c>
      <c r="X30" s="57">
        <f t="shared" si="6"/>
        <v>0</v>
      </c>
      <c r="Y30" s="25"/>
      <c r="Z30" s="25">
        <f t="shared" si="7"/>
        <v>0</v>
      </c>
      <c r="AA30" s="14"/>
      <c r="AB30" s="6" t="s">
        <v>63</v>
      </c>
      <c r="AC30" s="24">
        <f>L30</f>
        <v>0</v>
      </c>
      <c r="AD30" s="77">
        <f>IF($C$16="C",IF($A8=$E$17,1+$E$18,1),1)</f>
        <v>1</v>
      </c>
      <c r="AE30" s="76">
        <f t="shared" si="8"/>
        <v>0</v>
      </c>
      <c r="AF30" s="24">
        <f t="shared" si="9"/>
        <v>0</v>
      </c>
      <c r="AG30" s="77">
        <f t="shared" si="10"/>
        <v>1</v>
      </c>
      <c r="AH30" s="57">
        <f t="shared" si="11"/>
        <v>0</v>
      </c>
      <c r="AI30" s="25">
        <f>IF(AC30=0,0,IF(AH$39&lt;=AE$39,AC30*(AH$39/AE$39)^1.5,AC30))</f>
        <v>0</v>
      </c>
      <c r="AJ30" s="25">
        <f t="shared" si="12"/>
        <v>0</v>
      </c>
      <c r="AK30" s="14"/>
      <c r="AL30" s="6" t="s">
        <v>63</v>
      </c>
      <c r="AM30" s="24"/>
      <c r="AN30" s="77"/>
      <c r="AO30" s="76" t="str">
        <f t="shared" si="13"/>
        <v/>
      </c>
      <c r="AP30" s="24">
        <f t="shared" si="14"/>
        <v>0</v>
      </c>
      <c r="AQ30" s="77">
        <f t="shared" si="15"/>
        <v>1</v>
      </c>
      <c r="AR30" s="57">
        <f t="shared" si="16"/>
        <v>0</v>
      </c>
      <c r="AS30" s="25"/>
      <c r="AT30" s="25">
        <f t="shared" si="17"/>
        <v>0</v>
      </c>
      <c r="AU30" s="14"/>
      <c r="AV30" s="26" t="s">
        <v>13</v>
      </c>
      <c r="AW30" s="27">
        <f t="shared" si="18"/>
        <v>0</v>
      </c>
      <c r="AX30" s="27">
        <f t="shared" si="18"/>
        <v>0</v>
      </c>
    </row>
    <row r="31" spans="2:50" x14ac:dyDescent="0.3">
      <c r="J31" s="126"/>
      <c r="K31" s="7"/>
      <c r="L31" s="55">
        <f>Combat!$H$4</f>
        <v>0</v>
      </c>
      <c r="M31" s="56">
        <f t="shared" si="2"/>
        <v>0</v>
      </c>
      <c r="N31" s="55">
        <f>Combat!$H$10</f>
        <v>0</v>
      </c>
      <c r="O31" s="63">
        <f t="shared" si="3"/>
        <v>0</v>
      </c>
      <c r="P31"/>
      <c r="Q31" s="14"/>
      <c r="R31" s="6" t="s">
        <v>64</v>
      </c>
      <c r="S31" s="24"/>
      <c r="T31" s="77"/>
      <c r="U31" s="76" t="str">
        <f t="shared" si="4"/>
        <v/>
      </c>
      <c r="V31" s="24">
        <f t="shared" si="19"/>
        <v>0</v>
      </c>
      <c r="W31" s="77">
        <f t="shared" si="5"/>
        <v>1</v>
      </c>
      <c r="X31" s="57">
        <f t="shared" si="6"/>
        <v>0</v>
      </c>
      <c r="Y31" s="25"/>
      <c r="Z31" s="25">
        <f t="shared" si="7"/>
        <v>0</v>
      </c>
      <c r="AA31" s="14"/>
      <c r="AB31" s="6" t="s">
        <v>64</v>
      </c>
      <c r="AC31" s="24"/>
      <c r="AD31" s="77"/>
      <c r="AE31" s="76" t="str">
        <f t="shared" si="8"/>
        <v/>
      </c>
      <c r="AF31" s="24">
        <f t="shared" si="9"/>
        <v>0</v>
      </c>
      <c r="AG31" s="77">
        <f t="shared" si="10"/>
        <v>1</v>
      </c>
      <c r="AH31" s="57">
        <f t="shared" si="11"/>
        <v>0</v>
      </c>
      <c r="AI31" s="25"/>
      <c r="AJ31" s="25">
        <f t="shared" si="12"/>
        <v>0</v>
      </c>
      <c r="AK31" s="14"/>
      <c r="AL31" s="6" t="s">
        <v>64</v>
      </c>
      <c r="AM31" s="24">
        <f>L31</f>
        <v>0</v>
      </c>
      <c r="AN31" s="77">
        <f>IF($C$16="A",IF($A9=$E$17,1+$E$18,1),1)</f>
        <v>1</v>
      </c>
      <c r="AO31" s="76">
        <f t="shared" si="13"/>
        <v>0</v>
      </c>
      <c r="AP31" s="24">
        <f t="shared" si="14"/>
        <v>0</v>
      </c>
      <c r="AQ31" s="77">
        <f t="shared" si="15"/>
        <v>1</v>
      </c>
      <c r="AR31" s="57">
        <f t="shared" si="16"/>
        <v>0</v>
      </c>
      <c r="AS31" s="25">
        <f>IF(AM31=0,0,IF(AR$39&lt;=AO$39,AM31*(AR$39/AO$39)^1.5,AM31))</f>
        <v>0</v>
      </c>
      <c r="AT31" s="25">
        <f t="shared" si="17"/>
        <v>0</v>
      </c>
      <c r="AU31" s="14"/>
      <c r="AV31" s="26" t="s">
        <v>14</v>
      </c>
      <c r="AW31" s="27">
        <f t="shared" si="18"/>
        <v>0</v>
      </c>
      <c r="AX31" s="27">
        <f t="shared" si="18"/>
        <v>0</v>
      </c>
    </row>
    <row r="32" spans="2:50" x14ac:dyDescent="0.3">
      <c r="J32" s="126"/>
      <c r="K32" s="7"/>
      <c r="L32" s="55">
        <f>Combat!$I$4</f>
        <v>0</v>
      </c>
      <c r="M32" s="56">
        <f t="shared" si="2"/>
        <v>0</v>
      </c>
      <c r="N32" s="55">
        <f>Combat!$I$10</f>
        <v>0</v>
      </c>
      <c r="O32" s="63">
        <f t="shared" si="3"/>
        <v>0</v>
      </c>
      <c r="P32"/>
      <c r="Q32" s="14"/>
      <c r="R32" s="6" t="s">
        <v>65</v>
      </c>
      <c r="S32" s="24"/>
      <c r="T32" s="77"/>
      <c r="U32" s="76" t="str">
        <f t="shared" si="4"/>
        <v/>
      </c>
      <c r="V32" s="24">
        <f t="shared" si="19"/>
        <v>0</v>
      </c>
      <c r="W32" s="77">
        <f t="shared" si="5"/>
        <v>1</v>
      </c>
      <c r="X32" s="57">
        <f t="shared" si="6"/>
        <v>0</v>
      </c>
      <c r="Y32" s="25"/>
      <c r="Z32" s="25">
        <f t="shared" si="7"/>
        <v>0</v>
      </c>
      <c r="AA32" s="14"/>
      <c r="AB32" s="6" t="s">
        <v>65</v>
      </c>
      <c r="AC32" s="24">
        <f>L32</f>
        <v>0</v>
      </c>
      <c r="AD32" s="77">
        <f>IF($C$16="C",IF($A10=$E$17,1+$E$18,1),1)</f>
        <v>1</v>
      </c>
      <c r="AE32" s="76">
        <f t="shared" si="8"/>
        <v>0</v>
      </c>
      <c r="AF32" s="24">
        <f t="shared" si="9"/>
        <v>0</v>
      </c>
      <c r="AG32" s="77">
        <f t="shared" si="10"/>
        <v>1</v>
      </c>
      <c r="AH32" s="57">
        <f t="shared" si="11"/>
        <v>0</v>
      </c>
      <c r="AI32" s="25">
        <f t="shared" ref="AI32:AI38" si="21">IF(AC32=0,0,IF(AH$39&lt;=AE$39,AC32*(AH$39/AE$39)^1.5,AC32))</f>
        <v>0</v>
      </c>
      <c r="AJ32" s="25">
        <f t="shared" si="12"/>
        <v>0</v>
      </c>
      <c r="AK32" s="14"/>
      <c r="AL32" s="6" t="s">
        <v>65</v>
      </c>
      <c r="AM32" s="24"/>
      <c r="AN32" s="77"/>
      <c r="AO32" s="76" t="str">
        <f t="shared" si="13"/>
        <v/>
      </c>
      <c r="AP32" s="24">
        <f t="shared" si="14"/>
        <v>0</v>
      </c>
      <c r="AQ32" s="77">
        <f t="shared" si="15"/>
        <v>1</v>
      </c>
      <c r="AR32" s="57">
        <f t="shared" si="16"/>
        <v>0</v>
      </c>
      <c r="AS32" s="25"/>
      <c r="AT32" s="25">
        <f t="shared" si="17"/>
        <v>0</v>
      </c>
      <c r="AU32" s="14"/>
      <c r="AV32" s="26" t="s">
        <v>15</v>
      </c>
      <c r="AW32" s="27">
        <f t="shared" si="18"/>
        <v>0</v>
      </c>
      <c r="AX32" s="27">
        <f t="shared" si="18"/>
        <v>0</v>
      </c>
    </row>
    <row r="33" spans="2:50" x14ac:dyDescent="0.3">
      <c r="J33" s="126"/>
      <c r="K33" s="7"/>
      <c r="L33" s="55">
        <f>Combat!$J$4</f>
        <v>0</v>
      </c>
      <c r="M33" s="57">
        <f t="shared" si="2"/>
        <v>0</v>
      </c>
      <c r="N33" s="55">
        <f>Combat!$J$10</f>
        <v>0</v>
      </c>
      <c r="O33" s="63">
        <f t="shared" si="3"/>
        <v>0</v>
      </c>
      <c r="P33"/>
      <c r="Q33" s="14"/>
      <c r="R33" s="6" t="s">
        <v>66</v>
      </c>
      <c r="S33" s="24">
        <f>L33</f>
        <v>0</v>
      </c>
      <c r="T33" s="77">
        <f>IF($C$16="I",IF($A11=$E$17,1+$E$18,1),1)</f>
        <v>1</v>
      </c>
      <c r="U33" s="76">
        <f t="shared" si="4"/>
        <v>0</v>
      </c>
      <c r="V33" s="24">
        <f t="shared" si="19"/>
        <v>0</v>
      </c>
      <c r="W33" s="77">
        <f t="shared" si="5"/>
        <v>1</v>
      </c>
      <c r="X33" s="57">
        <f t="shared" si="6"/>
        <v>0</v>
      </c>
      <c r="Y33" s="25">
        <f>IF(S33=0,0,IF(X$39&lt;=U$39,S33*(X$39/U$39)^1.5,S33))</f>
        <v>0</v>
      </c>
      <c r="Z33" s="25">
        <f t="shared" si="7"/>
        <v>0</v>
      </c>
      <c r="AA33" s="14"/>
      <c r="AB33" s="6" t="s">
        <v>66</v>
      </c>
      <c r="AC33" s="24"/>
      <c r="AD33" s="77"/>
      <c r="AE33" s="76" t="str">
        <f t="shared" si="8"/>
        <v/>
      </c>
      <c r="AF33" s="24">
        <f t="shared" si="9"/>
        <v>0</v>
      </c>
      <c r="AG33" s="77">
        <f t="shared" si="10"/>
        <v>1</v>
      </c>
      <c r="AH33" s="57">
        <f t="shared" si="11"/>
        <v>0</v>
      </c>
      <c r="AI33" s="25"/>
      <c r="AJ33" s="25">
        <f t="shared" si="12"/>
        <v>0</v>
      </c>
      <c r="AK33" s="14"/>
      <c r="AL33" s="6" t="s">
        <v>66</v>
      </c>
      <c r="AM33" s="24"/>
      <c r="AN33" s="77"/>
      <c r="AO33" s="76" t="str">
        <f t="shared" si="13"/>
        <v/>
      </c>
      <c r="AP33" s="24">
        <f t="shared" si="14"/>
        <v>0</v>
      </c>
      <c r="AQ33" s="77">
        <f t="shared" si="15"/>
        <v>1</v>
      </c>
      <c r="AR33" s="57">
        <f t="shared" si="16"/>
        <v>0</v>
      </c>
      <c r="AS33" s="25"/>
      <c r="AT33" s="25">
        <f t="shared" si="17"/>
        <v>0</v>
      </c>
      <c r="AU33" s="14"/>
      <c r="AV33" s="26" t="s">
        <v>16</v>
      </c>
      <c r="AW33" s="27">
        <f t="shared" si="18"/>
        <v>0</v>
      </c>
      <c r="AX33" s="27">
        <f t="shared" ref="AX33:AX38" si="22">AT33+AJ33+Z33</f>
        <v>0</v>
      </c>
    </row>
    <row r="34" spans="2:50" x14ac:dyDescent="0.3">
      <c r="J34" s="126"/>
      <c r="K34" s="7"/>
      <c r="L34" s="55">
        <f>Combat!$K$4</f>
        <v>0</v>
      </c>
      <c r="M34" s="56">
        <f t="shared" si="2"/>
        <v>0</v>
      </c>
      <c r="N34" s="55">
        <f>Combat!$K$10</f>
        <v>0</v>
      </c>
      <c r="O34" s="63">
        <f t="shared" si="3"/>
        <v>0</v>
      </c>
      <c r="P34"/>
      <c r="Q34" s="14"/>
      <c r="R34" s="6" t="s">
        <v>67</v>
      </c>
      <c r="S34" s="24"/>
      <c r="T34" s="77"/>
      <c r="U34" s="76" t="str">
        <f t="shared" si="4"/>
        <v/>
      </c>
      <c r="V34" s="24">
        <f>N34*$M$43</f>
        <v>0</v>
      </c>
      <c r="W34" s="77">
        <f t="shared" si="5"/>
        <v>1</v>
      </c>
      <c r="X34" s="57">
        <f t="shared" si="6"/>
        <v>0</v>
      </c>
      <c r="Y34" s="25"/>
      <c r="Z34" s="25">
        <f t="shared" si="7"/>
        <v>0</v>
      </c>
      <c r="AA34" s="14"/>
      <c r="AB34" s="6" t="s">
        <v>67</v>
      </c>
      <c r="AC34" s="24"/>
      <c r="AD34" s="77"/>
      <c r="AE34" s="76" t="str">
        <f t="shared" si="8"/>
        <v/>
      </c>
      <c r="AF34" s="24">
        <f t="shared" si="9"/>
        <v>0</v>
      </c>
      <c r="AG34" s="77">
        <f t="shared" si="10"/>
        <v>1</v>
      </c>
      <c r="AH34" s="57">
        <f t="shared" si="11"/>
        <v>0</v>
      </c>
      <c r="AI34" s="25"/>
      <c r="AJ34" s="25">
        <f t="shared" si="12"/>
        <v>0</v>
      </c>
      <c r="AK34" s="14"/>
      <c r="AL34" s="6" t="s">
        <v>67</v>
      </c>
      <c r="AM34" s="24"/>
      <c r="AN34" s="77"/>
      <c r="AO34" s="76" t="str">
        <f t="shared" si="13"/>
        <v/>
      </c>
      <c r="AP34" s="24">
        <f t="shared" si="14"/>
        <v>0</v>
      </c>
      <c r="AQ34" s="77">
        <f t="shared" si="15"/>
        <v>1</v>
      </c>
      <c r="AR34" s="57">
        <f t="shared" si="16"/>
        <v>0</v>
      </c>
      <c r="AS34" s="25"/>
      <c r="AT34" s="25">
        <f t="shared" si="17"/>
        <v>0</v>
      </c>
      <c r="AU34" s="14"/>
      <c r="AV34" s="26" t="s">
        <v>17</v>
      </c>
      <c r="AW34" s="27">
        <f t="shared" si="18"/>
        <v>0</v>
      </c>
      <c r="AX34" s="27">
        <f t="shared" si="22"/>
        <v>0</v>
      </c>
    </row>
    <row r="35" spans="2:50" x14ac:dyDescent="0.3">
      <c r="B35" s="111" t="s">
        <v>128</v>
      </c>
      <c r="J35" s="126"/>
      <c r="K35" s="7"/>
      <c r="L35" s="55">
        <f>Combat!$L$4</f>
        <v>0</v>
      </c>
      <c r="M35" s="56">
        <f t="shared" si="2"/>
        <v>0</v>
      </c>
      <c r="N35" s="55">
        <f>Combat!$L$10</f>
        <v>0</v>
      </c>
      <c r="O35" s="63">
        <f t="shared" si="3"/>
        <v>0</v>
      </c>
      <c r="P35"/>
      <c r="Q35" s="14"/>
      <c r="R35" s="6" t="s">
        <v>69</v>
      </c>
      <c r="S35" s="24">
        <f t="shared" ref="S35:S37" si="23">L35</f>
        <v>0</v>
      </c>
      <c r="T35" s="77">
        <f>IF($C$16="I",IF($A13=$E$17,1+$E$18,1),1)</f>
        <v>1</v>
      </c>
      <c r="U35" s="76">
        <f t="shared" si="4"/>
        <v>0</v>
      </c>
      <c r="V35" s="24">
        <f>N35*$M$43</f>
        <v>0</v>
      </c>
      <c r="W35" s="77">
        <f t="shared" si="5"/>
        <v>1</v>
      </c>
      <c r="X35" s="57">
        <f t="shared" si="6"/>
        <v>0</v>
      </c>
      <c r="Y35" s="25">
        <f>IF(S35=0,0,IF(X$39&lt;=U$39,S35*(X$39/U$39)^1.5,S35))</f>
        <v>0</v>
      </c>
      <c r="Z35" s="25">
        <f t="shared" si="7"/>
        <v>0</v>
      </c>
      <c r="AA35" s="14"/>
      <c r="AB35" s="6" t="s">
        <v>69</v>
      </c>
      <c r="AC35" s="24"/>
      <c r="AD35" s="77"/>
      <c r="AE35" s="76" t="str">
        <f t="shared" si="8"/>
        <v/>
      </c>
      <c r="AF35" s="24">
        <f t="shared" si="9"/>
        <v>0</v>
      </c>
      <c r="AG35" s="77">
        <f t="shared" si="10"/>
        <v>1</v>
      </c>
      <c r="AH35" s="57">
        <f t="shared" si="11"/>
        <v>0</v>
      </c>
      <c r="AI35" s="25"/>
      <c r="AJ35" s="25">
        <f t="shared" si="12"/>
        <v>0</v>
      </c>
      <c r="AK35" s="14"/>
      <c r="AL35" s="6" t="s">
        <v>69</v>
      </c>
      <c r="AM35" s="24"/>
      <c r="AN35" s="77"/>
      <c r="AO35" s="76" t="str">
        <f t="shared" si="13"/>
        <v/>
      </c>
      <c r="AP35" s="24">
        <f t="shared" si="14"/>
        <v>0</v>
      </c>
      <c r="AQ35" s="77">
        <f t="shared" si="15"/>
        <v>1</v>
      </c>
      <c r="AR35" s="57">
        <f t="shared" si="16"/>
        <v>0</v>
      </c>
      <c r="AS35" s="25"/>
      <c r="AT35" s="25">
        <f t="shared" si="17"/>
        <v>0</v>
      </c>
      <c r="AU35" s="14"/>
      <c r="AV35" s="26" t="s">
        <v>18</v>
      </c>
      <c r="AW35" s="27">
        <f>AS35+AI35+Y35</f>
        <v>0</v>
      </c>
      <c r="AX35" s="27">
        <f t="shared" si="22"/>
        <v>0</v>
      </c>
    </row>
    <row r="36" spans="2:50" x14ac:dyDescent="0.3">
      <c r="J36" s="126"/>
      <c r="K36" s="7"/>
      <c r="L36" s="55">
        <f>Combat!$M$4</f>
        <v>0</v>
      </c>
      <c r="M36" s="56">
        <f t="shared" si="2"/>
        <v>0</v>
      </c>
      <c r="N36" s="55">
        <f>Combat!$M$10</f>
        <v>0</v>
      </c>
      <c r="O36" s="63">
        <f t="shared" si="3"/>
        <v>0</v>
      </c>
      <c r="P36"/>
      <c r="Q36" s="14"/>
      <c r="R36" s="6" t="s">
        <v>19</v>
      </c>
      <c r="S36" s="24"/>
      <c r="T36" s="77"/>
      <c r="U36" s="76" t="str">
        <f t="shared" si="4"/>
        <v/>
      </c>
      <c r="V36" s="24">
        <f>N36*$M$43</f>
        <v>0</v>
      </c>
      <c r="W36" s="77">
        <f t="shared" si="5"/>
        <v>1</v>
      </c>
      <c r="X36" s="57">
        <f t="shared" si="6"/>
        <v>0</v>
      </c>
      <c r="Y36" s="25"/>
      <c r="Z36" s="25">
        <f t="shared" si="7"/>
        <v>0</v>
      </c>
      <c r="AA36" s="14"/>
      <c r="AB36" s="6" t="s">
        <v>19</v>
      </c>
      <c r="AC36" s="24"/>
      <c r="AD36" s="77"/>
      <c r="AE36" s="76" t="str">
        <f t="shared" si="8"/>
        <v/>
      </c>
      <c r="AF36" s="24">
        <f t="shared" si="9"/>
        <v>0</v>
      </c>
      <c r="AG36" s="77">
        <f t="shared" si="10"/>
        <v>1</v>
      </c>
      <c r="AH36" s="57">
        <f t="shared" si="11"/>
        <v>0</v>
      </c>
      <c r="AI36" s="25"/>
      <c r="AJ36" s="25">
        <f t="shared" si="12"/>
        <v>0</v>
      </c>
      <c r="AK36" s="14"/>
      <c r="AL36" s="6" t="s">
        <v>19</v>
      </c>
      <c r="AM36" s="24"/>
      <c r="AN36" s="77"/>
      <c r="AO36" s="76" t="str">
        <f t="shared" si="13"/>
        <v/>
      </c>
      <c r="AP36" s="24">
        <f t="shared" si="14"/>
        <v>0</v>
      </c>
      <c r="AQ36" s="77">
        <f t="shared" si="15"/>
        <v>1</v>
      </c>
      <c r="AR36" s="57">
        <f t="shared" si="16"/>
        <v>0</v>
      </c>
      <c r="AS36" s="25"/>
      <c r="AT36" s="25">
        <f t="shared" si="17"/>
        <v>0</v>
      </c>
      <c r="AU36" s="14"/>
      <c r="AV36" s="26" t="s">
        <v>19</v>
      </c>
      <c r="AW36" s="27">
        <f>AS36+AI36+Y36</f>
        <v>0</v>
      </c>
      <c r="AX36" s="27">
        <f t="shared" si="22"/>
        <v>0</v>
      </c>
    </row>
    <row r="37" spans="2:50" x14ac:dyDescent="0.3">
      <c r="J37" s="126"/>
      <c r="K37" s="7"/>
      <c r="L37" s="55">
        <f>Combat!$N$4</f>
        <v>0</v>
      </c>
      <c r="M37" s="56">
        <f t="shared" si="2"/>
        <v>0</v>
      </c>
      <c r="N37" s="55">
        <f>Combat!$N$10</f>
        <v>0</v>
      </c>
      <c r="O37" s="63">
        <f t="shared" si="3"/>
        <v>0</v>
      </c>
      <c r="P37"/>
      <c r="Q37" s="14"/>
      <c r="R37" s="6" t="s">
        <v>68</v>
      </c>
      <c r="S37" s="24">
        <f t="shared" si="23"/>
        <v>0</v>
      </c>
      <c r="T37" s="77">
        <f>IF($C$16="I",IF($A15=$E$17,1+$E$18,1),1)</f>
        <v>1</v>
      </c>
      <c r="U37" s="76">
        <f t="shared" si="4"/>
        <v>0</v>
      </c>
      <c r="V37" s="24">
        <f>N37*$M$43</f>
        <v>0</v>
      </c>
      <c r="W37" s="77">
        <f t="shared" si="5"/>
        <v>1</v>
      </c>
      <c r="X37" s="57">
        <f t="shared" si="6"/>
        <v>0</v>
      </c>
      <c r="Y37" s="25">
        <f>IF(S37=0,0,IF(X$39&lt;=U$39,S37*(X$39/U$39)^1.5,S37))</f>
        <v>0</v>
      </c>
      <c r="Z37" s="25">
        <f t="shared" si="7"/>
        <v>0</v>
      </c>
      <c r="AA37" s="14"/>
      <c r="AB37" s="6" t="s">
        <v>68</v>
      </c>
      <c r="AC37" s="24"/>
      <c r="AD37" s="77"/>
      <c r="AE37" s="76" t="str">
        <f t="shared" si="8"/>
        <v/>
      </c>
      <c r="AF37" s="24">
        <f t="shared" si="9"/>
        <v>0</v>
      </c>
      <c r="AG37" s="77">
        <f t="shared" si="10"/>
        <v>1</v>
      </c>
      <c r="AH37" s="57">
        <f t="shared" si="11"/>
        <v>0</v>
      </c>
      <c r="AI37" s="25"/>
      <c r="AJ37" s="25">
        <f t="shared" si="12"/>
        <v>0</v>
      </c>
      <c r="AK37" s="14"/>
      <c r="AL37" s="6" t="s">
        <v>68</v>
      </c>
      <c r="AM37" s="24"/>
      <c r="AN37" s="77"/>
      <c r="AO37" s="76" t="str">
        <f t="shared" si="13"/>
        <v/>
      </c>
      <c r="AP37" s="24">
        <f t="shared" si="14"/>
        <v>0</v>
      </c>
      <c r="AQ37" s="77">
        <f t="shared" si="15"/>
        <v>1</v>
      </c>
      <c r="AR37" s="57">
        <f t="shared" si="16"/>
        <v>0</v>
      </c>
      <c r="AS37" s="25"/>
      <c r="AT37" s="25">
        <f t="shared" si="17"/>
        <v>0</v>
      </c>
      <c r="AU37" s="14"/>
      <c r="AV37" s="26" t="s">
        <v>20</v>
      </c>
      <c r="AW37" s="27">
        <f>AS37+AI37+Y37</f>
        <v>0</v>
      </c>
      <c r="AX37" s="27">
        <f t="shared" si="22"/>
        <v>0</v>
      </c>
    </row>
    <row r="38" spans="2:50" x14ac:dyDescent="0.3">
      <c r="J38" s="126"/>
      <c r="K38" s="7"/>
      <c r="L38" s="64">
        <f>Combat!$O$4</f>
        <v>0</v>
      </c>
      <c r="M38" s="65">
        <f t="shared" si="2"/>
        <v>0</v>
      </c>
      <c r="N38" s="64">
        <f>Combat!$O$10</f>
        <v>1</v>
      </c>
      <c r="O38" s="66">
        <f t="shared" si="3"/>
        <v>1</v>
      </c>
      <c r="P38"/>
      <c r="Q38" s="14"/>
      <c r="R38" s="6" t="s">
        <v>21</v>
      </c>
      <c r="S38" s="24">
        <f>SUMIF($C16,"I",$L38)</f>
        <v>0</v>
      </c>
      <c r="T38" s="77">
        <v>1</v>
      </c>
      <c r="U38" s="76">
        <f t="shared" si="4"/>
        <v>0</v>
      </c>
      <c r="V38" s="24">
        <f>N38*$M$43</f>
        <v>1</v>
      </c>
      <c r="W38" s="77">
        <v>1</v>
      </c>
      <c r="X38" s="57">
        <f t="shared" si="6"/>
        <v>387.5</v>
      </c>
      <c r="Y38" s="25">
        <f>IF(S38=0,0,IF(X$39&lt;=U$39,S38*(X$39/U$39)^1.5,S38))</f>
        <v>0</v>
      </c>
      <c r="Z38" s="25">
        <f t="shared" si="7"/>
        <v>0.82888701244090113</v>
      </c>
      <c r="AA38" s="14"/>
      <c r="AB38" s="6" t="s">
        <v>21</v>
      </c>
      <c r="AC38" s="24">
        <f>SUMIF($C16,"C",$L38)</f>
        <v>0</v>
      </c>
      <c r="AD38" s="77">
        <v>1</v>
      </c>
      <c r="AE38" s="76">
        <f t="shared" si="8"/>
        <v>0</v>
      </c>
      <c r="AF38" s="24">
        <f t="shared" si="9"/>
        <v>0.17111298755909887</v>
      </c>
      <c r="AG38" s="77">
        <v>1</v>
      </c>
      <c r="AH38" s="57">
        <f t="shared" si="11"/>
        <v>106.0900522866413</v>
      </c>
      <c r="AI38" s="25">
        <f t="shared" si="21"/>
        <v>0</v>
      </c>
      <c r="AJ38" s="25">
        <f t="shared" si="12"/>
        <v>0</v>
      </c>
      <c r="AK38" s="14"/>
      <c r="AL38" s="6" t="s">
        <v>21</v>
      </c>
      <c r="AM38" s="24">
        <f>SUMIF($C16,"A",$L38)</f>
        <v>0</v>
      </c>
      <c r="AN38" s="77">
        <v>1</v>
      </c>
      <c r="AO38" s="76">
        <f t="shared" si="13"/>
        <v>0</v>
      </c>
      <c r="AP38" s="24">
        <f t="shared" si="14"/>
        <v>0.17111298755909887</v>
      </c>
      <c r="AQ38" s="77">
        <v>1</v>
      </c>
      <c r="AR38" s="57">
        <f t="shared" si="16"/>
        <v>39.783769607490491</v>
      </c>
      <c r="AS38" s="25">
        <f t="shared" si="20"/>
        <v>0</v>
      </c>
      <c r="AT38" s="25">
        <f t="shared" si="17"/>
        <v>0</v>
      </c>
      <c r="AU38" s="14"/>
      <c r="AV38" s="26" t="s">
        <v>21</v>
      </c>
      <c r="AW38" s="27">
        <f>AS38+AI38+Y38</f>
        <v>0</v>
      </c>
      <c r="AX38" s="27">
        <f t="shared" si="22"/>
        <v>0.82888701244090113</v>
      </c>
    </row>
    <row r="39" spans="2:50" x14ac:dyDescent="0.3">
      <c r="J39" s="126"/>
      <c r="K39" s="7"/>
      <c r="L39" s="5">
        <f>SUM(L26:L38)</f>
        <v>4000</v>
      </c>
      <c r="M39" s="5"/>
      <c r="N39" s="5">
        <f>SUM(N26:N38)</f>
        <v>3319</v>
      </c>
      <c r="O39" s="5"/>
      <c r="P39" s="5"/>
      <c r="Q39" s="14"/>
      <c r="S39" s="24"/>
      <c r="U39" s="16">
        <f>SUM(U26:U38)</f>
        <v>190080.00000000003</v>
      </c>
      <c r="V39" s="24"/>
      <c r="X39" s="16">
        <f>SUM(X26:X38)+VLOOKUP($C$25,Data!$R$1:$U$22,4,FALSE)</f>
        <v>215413.47500000001</v>
      </c>
      <c r="AA39" s="14"/>
      <c r="AE39" s="16">
        <f>SUM(AE26:AE38)</f>
        <v>0</v>
      </c>
      <c r="AH39" s="16">
        <f>SUM(AH26:AH38)+VLOOKUP($C$25,Data!$R$1:$U$22,4,FALSE)</f>
        <v>21059.432923524149</v>
      </c>
      <c r="AK39" s="14"/>
      <c r="AO39" s="16">
        <f>SUM(AO26:AO38)</f>
        <v>0</v>
      </c>
      <c r="AR39" s="16">
        <f>SUM(AR26:AR38)+VLOOKUP($C$25,Data!$R$1:$U$22,4,FALSE)</f>
        <v>23138.134885515527</v>
      </c>
      <c r="AU39" s="14"/>
    </row>
    <row r="40" spans="2:50" x14ac:dyDescent="0.3">
      <c r="J40" s="126"/>
      <c r="Q40" s="14"/>
      <c r="U40" s="37" t="s">
        <v>31</v>
      </c>
      <c r="X40" s="37" t="s">
        <v>34</v>
      </c>
      <c r="AA40" s="14"/>
      <c r="AE40" s="37" t="s">
        <v>32</v>
      </c>
      <c r="AH40" s="15" t="s">
        <v>35</v>
      </c>
      <c r="AK40" s="14"/>
      <c r="AO40" s="37" t="s">
        <v>33</v>
      </c>
      <c r="AR40" s="37" t="s">
        <v>36</v>
      </c>
      <c r="AU40" s="14"/>
    </row>
    <row r="41" spans="2:50" x14ac:dyDescent="0.3">
      <c r="J41" s="126"/>
      <c r="L41" s="68" t="s">
        <v>28</v>
      </c>
      <c r="M41" s="71" t="s">
        <v>8</v>
      </c>
      <c r="N41" s="69" t="s">
        <v>9</v>
      </c>
      <c r="O41" s="70" t="s">
        <v>10</v>
      </c>
      <c r="Q41" s="14"/>
      <c r="U41" s="37"/>
      <c r="X41" s="37"/>
      <c r="AA41" s="14"/>
      <c r="AH41" s="15"/>
      <c r="AK41" s="14"/>
      <c r="AU41" s="14"/>
    </row>
    <row r="42" spans="2:50" x14ac:dyDescent="0.3">
      <c r="J42" s="126"/>
      <c r="L42" s="67" t="s">
        <v>3</v>
      </c>
      <c r="M42" s="99">
        <f>SUM(M26:M28)+SUM(M33:M37)</f>
        <v>4000</v>
      </c>
      <c r="N42" s="100">
        <f>SUM(M30,M32)</f>
        <v>0</v>
      </c>
      <c r="O42" s="101">
        <f>SUM(M29,M31)</f>
        <v>0</v>
      </c>
      <c r="Q42" s="14"/>
      <c r="AA42" s="14"/>
      <c r="AK42" s="14"/>
      <c r="AU42" s="14"/>
    </row>
    <row r="43" spans="2:50" x14ac:dyDescent="0.3">
      <c r="J43" s="126"/>
      <c r="L43" s="72" t="s">
        <v>23</v>
      </c>
      <c r="M43" s="73">
        <f>M42/SUM($M$42:$O$42)</f>
        <v>1</v>
      </c>
      <c r="N43" s="74">
        <f>N42/SUM($M$42:$O$42)</f>
        <v>0</v>
      </c>
      <c r="O43" s="75">
        <f>O42/SUM($M$42:$O$42)</f>
        <v>0</v>
      </c>
      <c r="Q43" s="14"/>
      <c r="AA43" s="14"/>
      <c r="AK43" s="14"/>
    </row>
    <row r="44" spans="2:50" x14ac:dyDescent="0.3">
      <c r="J44" s="126"/>
      <c r="L44" s="39"/>
      <c r="M44" s="78" t="s">
        <v>26</v>
      </c>
      <c r="N44" s="79" t="s">
        <v>5</v>
      </c>
      <c r="O44" s="80" t="s">
        <v>27</v>
      </c>
      <c r="Q44" s="14"/>
      <c r="AA44" s="14"/>
      <c r="AK44" s="14"/>
    </row>
    <row r="45" spans="2:50" x14ac:dyDescent="0.3"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</row>
    <row r="46" spans="2:50" x14ac:dyDescent="0.3">
      <c r="J46" s="126" t="s">
        <v>93</v>
      </c>
      <c r="K46" s="90"/>
      <c r="L46" s="127" t="s">
        <v>28</v>
      </c>
      <c r="M46" s="128"/>
      <c r="N46" s="127" t="s">
        <v>30</v>
      </c>
      <c r="O46" s="128"/>
      <c r="P46"/>
      <c r="Q46" s="14"/>
      <c r="R46" s="125" t="s">
        <v>38</v>
      </c>
      <c r="S46" s="125"/>
      <c r="T46" s="125"/>
      <c r="U46" s="125"/>
      <c r="V46" s="125"/>
      <c r="W46" s="125"/>
      <c r="X46" s="125"/>
      <c r="Y46" s="125"/>
      <c r="Z46" s="125"/>
      <c r="AA46" s="14"/>
      <c r="AB46" s="125" t="s">
        <v>39</v>
      </c>
      <c r="AC46" s="125"/>
      <c r="AD46" s="125"/>
      <c r="AE46" s="125"/>
      <c r="AF46" s="125"/>
      <c r="AG46" s="125"/>
      <c r="AH46" s="125"/>
      <c r="AI46" s="125"/>
      <c r="AJ46" s="125"/>
      <c r="AK46" s="14"/>
      <c r="AL46" s="125" t="s">
        <v>91</v>
      </c>
      <c r="AM46" s="125"/>
      <c r="AN46" s="125"/>
      <c r="AO46" s="125"/>
      <c r="AP46" s="125"/>
      <c r="AQ46" s="125"/>
      <c r="AR46" s="125"/>
      <c r="AS46" s="125"/>
      <c r="AT46" s="125"/>
      <c r="AU46" s="14"/>
    </row>
    <row r="47" spans="2:50" x14ac:dyDescent="0.3">
      <c r="J47" s="126"/>
      <c r="K47" s="5"/>
      <c r="L47" s="55" t="s">
        <v>29</v>
      </c>
      <c r="M47" s="56" t="s">
        <v>3</v>
      </c>
      <c r="N47" s="55" t="s">
        <v>29</v>
      </c>
      <c r="O47" s="63" t="s">
        <v>3</v>
      </c>
      <c r="P47"/>
      <c r="Q47" s="14"/>
      <c r="R47" s="15" t="s">
        <v>46</v>
      </c>
      <c r="S47" s="5" t="s">
        <v>28</v>
      </c>
      <c r="T47" s="5" t="s">
        <v>90</v>
      </c>
      <c r="U47" s="58" t="s">
        <v>0</v>
      </c>
      <c r="V47" s="2" t="s">
        <v>30</v>
      </c>
      <c r="W47" s="5" t="s">
        <v>90</v>
      </c>
      <c r="X47" s="56" t="s">
        <v>85</v>
      </c>
      <c r="Y47" s="17" t="s">
        <v>28</v>
      </c>
      <c r="Z47" s="18" t="s">
        <v>30</v>
      </c>
      <c r="AA47" s="14"/>
      <c r="AB47" s="15" t="s">
        <v>46</v>
      </c>
      <c r="AC47" s="5" t="s">
        <v>28</v>
      </c>
      <c r="AD47" s="5" t="s">
        <v>90</v>
      </c>
      <c r="AE47" s="58" t="s">
        <v>0</v>
      </c>
      <c r="AF47" s="2" t="s">
        <v>30</v>
      </c>
      <c r="AG47" s="5" t="s">
        <v>90</v>
      </c>
      <c r="AH47" s="56" t="s">
        <v>86</v>
      </c>
      <c r="AI47" s="17" t="s">
        <v>28</v>
      </c>
      <c r="AJ47" s="20" t="s">
        <v>30</v>
      </c>
      <c r="AK47" s="14"/>
      <c r="AL47" s="21" t="s">
        <v>46</v>
      </c>
      <c r="AM47" s="5" t="s">
        <v>28</v>
      </c>
      <c r="AN47" s="5" t="s">
        <v>90</v>
      </c>
      <c r="AO47" s="58" t="s">
        <v>0</v>
      </c>
      <c r="AP47" s="22" t="s">
        <v>30</v>
      </c>
      <c r="AQ47" s="5" t="s">
        <v>90</v>
      </c>
      <c r="AR47" s="56" t="s">
        <v>87</v>
      </c>
      <c r="AS47" s="17" t="s">
        <v>28</v>
      </c>
      <c r="AT47" s="23" t="s">
        <v>30</v>
      </c>
      <c r="AU47" s="14"/>
      <c r="AV47" s="19" t="s">
        <v>47</v>
      </c>
      <c r="AW47" s="17" t="s">
        <v>28</v>
      </c>
      <c r="AX47" s="23" t="s">
        <v>30</v>
      </c>
    </row>
    <row r="48" spans="2:50" x14ac:dyDescent="0.3">
      <c r="J48" s="126"/>
      <c r="K48" s="7"/>
      <c r="L48" s="95">
        <f>L26-AW26</f>
        <v>0</v>
      </c>
      <c r="M48" s="56">
        <f t="shared" ref="M48:M60" si="24">IF(L48="","",L48*D4)</f>
        <v>0</v>
      </c>
      <c r="N48" s="95">
        <f>N26-AX26</f>
        <v>229.63362930431072</v>
      </c>
      <c r="O48" s="63">
        <f t="shared" ref="O48:O60" si="25">IF(N48="","",N48*D4)</f>
        <v>229.63362930431072</v>
      </c>
      <c r="P48"/>
      <c r="Q48" s="14"/>
      <c r="R48" s="6" t="s">
        <v>60</v>
      </c>
      <c r="S48" s="24">
        <f>L48</f>
        <v>0</v>
      </c>
      <c r="T48" s="77">
        <f>IF($C$16="I",IF($A4=$E$17,1+$E$18,1),1)</f>
        <v>1</v>
      </c>
      <c r="U48" s="76">
        <f t="shared" ref="U48:U60" si="26">IF(S48="","",S48*$E4*$C$29*T48)</f>
        <v>0</v>
      </c>
      <c r="V48" s="24">
        <f t="shared" ref="V48:V57" si="27">N48*$M$43</f>
        <v>229.63362930431072</v>
      </c>
      <c r="W48" s="77">
        <f t="shared" ref="W48:W60" si="28">IF($A4=$F$17,1+$F$18,1)</f>
        <v>1</v>
      </c>
      <c r="X48" s="57">
        <f t="shared" ref="X48:X60" si="29">IF(V48="","",V48*F4*$C$30*W48)</f>
        <v>8898.3031355420408</v>
      </c>
      <c r="Y48" s="25">
        <f>IF(S48=0,0,IF(X$61&lt;=U$61,S48*(X$61/U$61)^1.5,S48))</f>
        <v>0</v>
      </c>
      <c r="Z48" s="25">
        <f>IF(V48="",0,IF(U$61&gt;=X$61,V48,V48*(U$61/X$61)^1.5))</f>
        <v>0</v>
      </c>
      <c r="AA48" s="14"/>
      <c r="AB48" s="6" t="s">
        <v>60</v>
      </c>
      <c r="AC48" s="24"/>
      <c r="AD48" s="77"/>
      <c r="AE48" s="76" t="str">
        <f t="shared" ref="AE48:AE60" si="30">IF(AC48="","",AC48*$E4*$C$29*AD48)</f>
        <v/>
      </c>
      <c r="AF48" s="24">
        <f t="shared" ref="AF48:AF57" si="31">$N$43*N48+V48-Z48</f>
        <v>229.63362930431072</v>
      </c>
      <c r="AG48" s="77">
        <f t="shared" ref="AG48:AG60" si="32">IF($A4=$F$17,1+$F$18,1)</f>
        <v>1</v>
      </c>
      <c r="AH48" s="57">
        <f t="shared" ref="AH48:AH60" si="33">IF(AF48="","",AF48*G4*$C$30*AG48)</f>
        <v>16016.945643975672</v>
      </c>
      <c r="AI48" s="25"/>
      <c r="AJ48" s="25">
        <f t="shared" ref="AJ48:AJ60" si="34">IF(AF48="",0,IF(AE$39&gt;=AH$39,AF48,AF48*(AE$39/AH$39)^1.5))</f>
        <v>0</v>
      </c>
      <c r="AK48" s="14"/>
      <c r="AL48" s="6" t="s">
        <v>60</v>
      </c>
      <c r="AM48" s="24"/>
      <c r="AN48" s="77"/>
      <c r="AO48" s="76" t="str">
        <f t="shared" ref="AO48:AO60" si="35">IF(AM48="","",AM48*$E4*$C$29*AN48)</f>
        <v/>
      </c>
      <c r="AP48" s="24">
        <f t="shared" ref="AP48:AP57" si="36">$O$43*N48+AF48-AJ48</f>
        <v>229.63362930431072</v>
      </c>
      <c r="AQ48" s="77">
        <f t="shared" ref="AQ48:AQ60" si="37">IF($A4=$F$17,1+$F$18,1)</f>
        <v>1</v>
      </c>
      <c r="AR48" s="57">
        <f t="shared" ref="AR48:AR60" si="38">IF(AP48="","",AP48*H4*$C$30*AQ48)</f>
        <v>3559.3212542168162</v>
      </c>
      <c r="AS48" s="25"/>
      <c r="AT48" s="25">
        <f t="shared" ref="AT48:AT60" si="39">IF(AP48="",0,IF(AO$39&gt;=AR$39,AP48,AP48*(AO$39/AR$39)^1.5))</f>
        <v>0</v>
      </c>
      <c r="AU48" s="14"/>
      <c r="AV48" s="26" t="s">
        <v>11</v>
      </c>
      <c r="AW48" s="27">
        <f>AS48+AI48+Y48</f>
        <v>0</v>
      </c>
      <c r="AX48" s="27">
        <f t="shared" ref="AX48:AX60" si="40">AT48+AJ48+Z48</f>
        <v>0</v>
      </c>
    </row>
    <row r="49" spans="10:50" x14ac:dyDescent="0.3">
      <c r="J49" s="126"/>
      <c r="K49" s="7"/>
      <c r="L49" s="96">
        <f t="shared" ref="L49:L60" si="41">L27-AW27</f>
        <v>0</v>
      </c>
      <c r="M49" s="57">
        <f t="shared" si="24"/>
        <v>0</v>
      </c>
      <c r="N49" s="55">
        <f t="shared" ref="N49:N60" si="42">N27-AX27</f>
        <v>289.00983598731796</v>
      </c>
      <c r="O49" s="63">
        <f t="shared" si="25"/>
        <v>289.00983598731796</v>
      </c>
      <c r="P49"/>
      <c r="Q49" s="14"/>
      <c r="R49" s="6" t="s">
        <v>61</v>
      </c>
      <c r="S49" s="24">
        <f>L49</f>
        <v>0</v>
      </c>
      <c r="T49" s="77">
        <f>IF($C$16="I",IF($A5=$E$17,1+$E$18,1),1)</f>
        <v>1</v>
      </c>
      <c r="U49" s="76">
        <f t="shared" si="26"/>
        <v>0</v>
      </c>
      <c r="V49" s="24">
        <f t="shared" si="27"/>
        <v>289.00983598731796</v>
      </c>
      <c r="W49" s="77">
        <f t="shared" si="28"/>
        <v>1.1000000000000001</v>
      </c>
      <c r="X49" s="57">
        <f t="shared" si="29"/>
        <v>27101.897369710747</v>
      </c>
      <c r="Y49" s="25">
        <f t="shared" ref="Y49:Y59" si="43">IF(S49=0,0,IF(X$61&lt;=U$61,S49*(X$61/U$61)^1.5,S49))</f>
        <v>0</v>
      </c>
      <c r="Z49" s="25">
        <f t="shared" ref="Z49:Z60" si="44">IF(V49="",0,IF(U$61&gt;=X$61,V49,V49*(U$61/X$61)^1.5))</f>
        <v>0</v>
      </c>
      <c r="AA49" s="14"/>
      <c r="AB49" s="6" t="s">
        <v>61</v>
      </c>
      <c r="AC49" s="24"/>
      <c r="AD49" s="77"/>
      <c r="AE49" s="76" t="str">
        <f t="shared" si="30"/>
        <v/>
      </c>
      <c r="AF49" s="24">
        <f t="shared" si="31"/>
        <v>289.00983598731796</v>
      </c>
      <c r="AG49" s="77">
        <f t="shared" si="32"/>
        <v>1.1000000000000001</v>
      </c>
      <c r="AH49" s="57">
        <f t="shared" si="33"/>
        <v>2463.8088517918859</v>
      </c>
      <c r="AI49" s="25"/>
      <c r="AJ49" s="25">
        <f t="shared" si="34"/>
        <v>0</v>
      </c>
      <c r="AK49" s="14"/>
      <c r="AL49" s="6" t="s">
        <v>61</v>
      </c>
      <c r="AM49" s="24"/>
      <c r="AN49" s="77"/>
      <c r="AO49" s="76" t="str">
        <f t="shared" si="35"/>
        <v/>
      </c>
      <c r="AP49" s="24">
        <f t="shared" si="36"/>
        <v>289.00983598731796</v>
      </c>
      <c r="AQ49" s="77">
        <f t="shared" si="37"/>
        <v>1.1000000000000001</v>
      </c>
      <c r="AR49" s="57">
        <f t="shared" si="38"/>
        <v>14782.853110751315</v>
      </c>
      <c r="AS49" s="25"/>
      <c r="AT49" s="25">
        <f t="shared" si="39"/>
        <v>0</v>
      </c>
      <c r="AU49" s="14"/>
      <c r="AV49" s="26" t="s">
        <v>49</v>
      </c>
      <c r="AW49" s="27">
        <f t="shared" ref="AW49:AW56" si="45">AS49+AI49+Y49</f>
        <v>0</v>
      </c>
      <c r="AX49" s="27">
        <f t="shared" si="40"/>
        <v>0</v>
      </c>
    </row>
    <row r="50" spans="10:50" x14ac:dyDescent="0.3">
      <c r="J50" s="126"/>
      <c r="K50" s="7"/>
      <c r="L50" s="96">
        <f t="shared" si="41"/>
        <v>0</v>
      </c>
      <c r="M50" s="57">
        <f t="shared" si="24"/>
        <v>0</v>
      </c>
      <c r="N50" s="55">
        <f t="shared" si="42"/>
        <v>0</v>
      </c>
      <c r="O50" s="63">
        <f t="shared" si="25"/>
        <v>0</v>
      </c>
      <c r="P50"/>
      <c r="Q50" s="14"/>
      <c r="R50" s="6" t="s">
        <v>62</v>
      </c>
      <c r="S50" s="24">
        <f>L50</f>
        <v>0</v>
      </c>
      <c r="T50" s="77">
        <f>IF($C$16="I",IF($A6=$E$17,1+$E$18,1),1)</f>
        <v>1.1000000000000001</v>
      </c>
      <c r="U50" s="76">
        <f t="shared" si="26"/>
        <v>0</v>
      </c>
      <c r="V50" s="24">
        <f t="shared" si="27"/>
        <v>0</v>
      </c>
      <c r="W50" s="77">
        <f t="shared" si="28"/>
        <v>1</v>
      </c>
      <c r="X50" s="57">
        <f t="shared" si="29"/>
        <v>0</v>
      </c>
      <c r="Y50" s="25">
        <f t="shared" si="43"/>
        <v>0</v>
      </c>
      <c r="Z50" s="25">
        <f t="shared" si="44"/>
        <v>0</v>
      </c>
      <c r="AA50" s="14"/>
      <c r="AB50" s="6" t="s">
        <v>62</v>
      </c>
      <c r="AC50" s="24"/>
      <c r="AD50" s="77"/>
      <c r="AE50" s="76" t="str">
        <f t="shared" si="30"/>
        <v/>
      </c>
      <c r="AF50" s="24">
        <f t="shared" si="31"/>
        <v>0</v>
      </c>
      <c r="AG50" s="77">
        <f t="shared" si="32"/>
        <v>1</v>
      </c>
      <c r="AH50" s="57">
        <f t="shared" si="33"/>
        <v>0</v>
      </c>
      <c r="AI50" s="25"/>
      <c r="AJ50" s="25">
        <f t="shared" si="34"/>
        <v>0</v>
      </c>
      <c r="AK50" s="14"/>
      <c r="AL50" s="6" t="s">
        <v>62</v>
      </c>
      <c r="AM50" s="24"/>
      <c r="AN50" s="77"/>
      <c r="AO50" s="76" t="str">
        <f t="shared" si="35"/>
        <v/>
      </c>
      <c r="AP50" s="24">
        <f t="shared" si="36"/>
        <v>0</v>
      </c>
      <c r="AQ50" s="77">
        <f t="shared" si="37"/>
        <v>1</v>
      </c>
      <c r="AR50" s="57">
        <f t="shared" si="38"/>
        <v>0</v>
      </c>
      <c r="AS50" s="25"/>
      <c r="AT50" s="25">
        <f t="shared" si="39"/>
        <v>0</v>
      </c>
      <c r="AU50" s="14"/>
      <c r="AV50" s="26" t="s">
        <v>12</v>
      </c>
      <c r="AW50" s="27">
        <f t="shared" si="45"/>
        <v>0</v>
      </c>
      <c r="AX50" s="27">
        <f t="shared" si="40"/>
        <v>0</v>
      </c>
    </row>
    <row r="51" spans="10:50" x14ac:dyDescent="0.3">
      <c r="J51" s="126"/>
      <c r="K51" s="7"/>
      <c r="L51" s="96">
        <f t="shared" si="41"/>
        <v>0</v>
      </c>
      <c r="M51" s="57">
        <f t="shared" si="24"/>
        <v>0</v>
      </c>
      <c r="N51" s="55">
        <f t="shared" si="42"/>
        <v>49.109427429461363</v>
      </c>
      <c r="O51" s="63">
        <f t="shared" si="25"/>
        <v>49.109427429461363</v>
      </c>
      <c r="P51"/>
      <c r="Q51" s="14"/>
      <c r="R51" s="6" t="s">
        <v>2</v>
      </c>
      <c r="S51" s="24"/>
      <c r="T51" s="77"/>
      <c r="U51" s="76" t="str">
        <f t="shared" si="26"/>
        <v/>
      </c>
      <c r="V51" s="24">
        <f t="shared" si="27"/>
        <v>49.109427429461363</v>
      </c>
      <c r="W51" s="77">
        <f t="shared" si="28"/>
        <v>1</v>
      </c>
      <c r="X51" s="57">
        <f t="shared" si="29"/>
        <v>761.19612515665119</v>
      </c>
      <c r="Y51" s="25"/>
      <c r="Z51" s="25">
        <f t="shared" si="44"/>
        <v>0</v>
      </c>
      <c r="AA51" s="14"/>
      <c r="AB51" s="6" t="s">
        <v>2</v>
      </c>
      <c r="AC51" s="24"/>
      <c r="AD51" s="77"/>
      <c r="AE51" s="76" t="str">
        <f t="shared" si="30"/>
        <v/>
      </c>
      <c r="AF51" s="24">
        <f t="shared" si="31"/>
        <v>49.109427429461363</v>
      </c>
      <c r="AG51" s="77">
        <f t="shared" si="32"/>
        <v>1</v>
      </c>
      <c r="AH51" s="57">
        <f t="shared" si="33"/>
        <v>2283.5883754699535</v>
      </c>
      <c r="AI51" s="25"/>
      <c r="AJ51" s="25">
        <f t="shared" si="34"/>
        <v>0</v>
      </c>
      <c r="AK51" s="14"/>
      <c r="AL51" s="6" t="s">
        <v>2</v>
      </c>
      <c r="AM51" s="24">
        <f>AC51-AI51</f>
        <v>0</v>
      </c>
      <c r="AN51" s="77">
        <f>IF($A7=$F$17,1+$F$18,1)</f>
        <v>1</v>
      </c>
      <c r="AO51" s="76">
        <f t="shared" si="35"/>
        <v>0</v>
      </c>
      <c r="AP51" s="24">
        <f t="shared" si="36"/>
        <v>49.109427429461363</v>
      </c>
      <c r="AQ51" s="77">
        <f t="shared" si="37"/>
        <v>1</v>
      </c>
      <c r="AR51" s="57">
        <f t="shared" si="38"/>
        <v>4567.1767509399069</v>
      </c>
      <c r="AS51" s="25">
        <f>IF(AM51=0,0,IF(AR$61&lt;=AO$61,AM51*(AR$61/AO$61)^1.5,AM51))</f>
        <v>0</v>
      </c>
      <c r="AT51" s="25">
        <f t="shared" si="39"/>
        <v>0</v>
      </c>
      <c r="AU51" s="14"/>
      <c r="AV51" s="26" t="s">
        <v>2</v>
      </c>
      <c r="AW51" s="27">
        <f t="shared" si="45"/>
        <v>0</v>
      </c>
      <c r="AX51" s="27">
        <f t="shared" si="40"/>
        <v>0</v>
      </c>
    </row>
    <row r="52" spans="10:50" x14ac:dyDescent="0.3">
      <c r="J52" s="126"/>
      <c r="K52" s="7"/>
      <c r="L52" s="96">
        <f t="shared" si="41"/>
        <v>0</v>
      </c>
      <c r="M52" s="57">
        <f t="shared" si="24"/>
        <v>0</v>
      </c>
      <c r="N52" s="55">
        <f t="shared" si="42"/>
        <v>0</v>
      </c>
      <c r="O52" s="63">
        <f t="shared" si="25"/>
        <v>0</v>
      </c>
      <c r="P52"/>
      <c r="Q52" s="14"/>
      <c r="R52" s="6" t="s">
        <v>63</v>
      </c>
      <c r="S52" s="24"/>
      <c r="T52" s="77"/>
      <c r="U52" s="76" t="str">
        <f t="shared" si="26"/>
        <v/>
      </c>
      <c r="V52" s="24">
        <f t="shared" si="27"/>
        <v>0</v>
      </c>
      <c r="W52" s="77">
        <f t="shared" si="28"/>
        <v>1</v>
      </c>
      <c r="X52" s="57">
        <f t="shared" si="29"/>
        <v>0</v>
      </c>
      <c r="Y52" s="25"/>
      <c r="Z52" s="25">
        <f t="shared" si="44"/>
        <v>0</v>
      </c>
      <c r="AA52" s="14"/>
      <c r="AB52" s="6" t="s">
        <v>63</v>
      </c>
      <c r="AC52" s="24">
        <f>L52</f>
        <v>0</v>
      </c>
      <c r="AD52" s="77">
        <f>IF($A8=$F$17,1+$F$18,1)</f>
        <v>1</v>
      </c>
      <c r="AE52" s="76">
        <f t="shared" si="30"/>
        <v>0</v>
      </c>
      <c r="AF52" s="24">
        <f t="shared" si="31"/>
        <v>0</v>
      </c>
      <c r="AG52" s="77">
        <f t="shared" si="32"/>
        <v>1</v>
      </c>
      <c r="AH52" s="57">
        <f t="shared" si="33"/>
        <v>0</v>
      </c>
      <c r="AI52" s="25">
        <f>IF(AC52=0,0,IF(AH$61&lt;=AE$61,AC52*(AH$61/AE$61)^1.5,AC52))</f>
        <v>0</v>
      </c>
      <c r="AJ52" s="25">
        <f t="shared" si="34"/>
        <v>0</v>
      </c>
      <c r="AK52" s="14"/>
      <c r="AL52" s="6" t="s">
        <v>63</v>
      </c>
      <c r="AM52" s="24"/>
      <c r="AN52" s="77"/>
      <c r="AO52" s="76" t="str">
        <f t="shared" si="35"/>
        <v/>
      </c>
      <c r="AP52" s="24">
        <f t="shared" si="36"/>
        <v>0</v>
      </c>
      <c r="AQ52" s="77">
        <f t="shared" si="37"/>
        <v>1</v>
      </c>
      <c r="AR52" s="57">
        <f t="shared" si="38"/>
        <v>0</v>
      </c>
      <c r="AS52" s="25"/>
      <c r="AT52" s="25">
        <f t="shared" si="39"/>
        <v>0</v>
      </c>
      <c r="AU52" s="14"/>
      <c r="AV52" s="26" t="s">
        <v>13</v>
      </c>
      <c r="AW52" s="27">
        <f t="shared" si="45"/>
        <v>0</v>
      </c>
      <c r="AX52" s="27">
        <f t="shared" si="40"/>
        <v>0</v>
      </c>
    </row>
    <row r="53" spans="10:50" x14ac:dyDescent="0.3">
      <c r="J53" s="126"/>
      <c r="K53" s="7"/>
      <c r="L53" s="96">
        <f t="shared" si="41"/>
        <v>0</v>
      </c>
      <c r="M53" s="57">
        <f t="shared" si="24"/>
        <v>0</v>
      </c>
      <c r="N53" s="55">
        <f t="shared" si="42"/>
        <v>0</v>
      </c>
      <c r="O53" s="63">
        <f t="shared" si="25"/>
        <v>0</v>
      </c>
      <c r="P53"/>
      <c r="Q53" s="14"/>
      <c r="R53" s="6" t="s">
        <v>64</v>
      </c>
      <c r="S53" s="24"/>
      <c r="T53" s="77"/>
      <c r="U53" s="76" t="str">
        <f t="shared" si="26"/>
        <v/>
      </c>
      <c r="V53" s="24">
        <f t="shared" si="27"/>
        <v>0</v>
      </c>
      <c r="W53" s="77">
        <f t="shared" si="28"/>
        <v>1</v>
      </c>
      <c r="X53" s="57">
        <f t="shared" si="29"/>
        <v>0</v>
      </c>
      <c r="Y53" s="25"/>
      <c r="Z53" s="25">
        <f t="shared" si="44"/>
        <v>0</v>
      </c>
      <c r="AA53" s="14"/>
      <c r="AB53" s="6" t="s">
        <v>64</v>
      </c>
      <c r="AC53" s="24"/>
      <c r="AD53" s="77"/>
      <c r="AE53" s="76" t="str">
        <f t="shared" si="30"/>
        <v/>
      </c>
      <c r="AF53" s="24">
        <f t="shared" si="31"/>
        <v>0</v>
      </c>
      <c r="AG53" s="77">
        <f t="shared" si="32"/>
        <v>1</v>
      </c>
      <c r="AH53" s="57">
        <f t="shared" si="33"/>
        <v>0</v>
      </c>
      <c r="AI53" s="25"/>
      <c r="AJ53" s="25">
        <f t="shared" si="34"/>
        <v>0</v>
      </c>
      <c r="AK53" s="14"/>
      <c r="AL53" s="6" t="s">
        <v>64</v>
      </c>
      <c r="AM53" s="24">
        <f>L53</f>
        <v>0</v>
      </c>
      <c r="AN53" s="77">
        <f>IF($A9=$F$17,1+$F$18,1)</f>
        <v>1</v>
      </c>
      <c r="AO53" s="76">
        <f t="shared" si="35"/>
        <v>0</v>
      </c>
      <c r="AP53" s="24">
        <f t="shared" si="36"/>
        <v>0</v>
      </c>
      <c r="AQ53" s="77">
        <f t="shared" si="37"/>
        <v>1</v>
      </c>
      <c r="AR53" s="57">
        <f t="shared" si="38"/>
        <v>0</v>
      </c>
      <c r="AS53" s="25">
        <f>IF(AM53=0,0,IF(AR$61&lt;=AO$61,AM53*(AR$61/AO$61)^1.5,AM53))</f>
        <v>0</v>
      </c>
      <c r="AT53" s="25">
        <f t="shared" si="39"/>
        <v>0</v>
      </c>
      <c r="AU53" s="14"/>
      <c r="AV53" s="26" t="s">
        <v>14</v>
      </c>
      <c r="AW53" s="27">
        <f t="shared" si="45"/>
        <v>0</v>
      </c>
      <c r="AX53" s="27">
        <f t="shared" si="40"/>
        <v>0</v>
      </c>
    </row>
    <row r="54" spans="10:50" x14ac:dyDescent="0.3">
      <c r="J54" s="126"/>
      <c r="K54" s="7"/>
      <c r="L54" s="96">
        <f t="shared" si="41"/>
        <v>0</v>
      </c>
      <c r="M54" s="57">
        <f t="shared" si="24"/>
        <v>0</v>
      </c>
      <c r="N54" s="55">
        <f t="shared" si="42"/>
        <v>0</v>
      </c>
      <c r="O54" s="63">
        <f t="shared" si="25"/>
        <v>0</v>
      </c>
      <c r="P54"/>
      <c r="Q54" s="14"/>
      <c r="R54" s="6" t="s">
        <v>65</v>
      </c>
      <c r="S54" s="24"/>
      <c r="T54" s="77"/>
      <c r="U54" s="76" t="str">
        <f t="shared" si="26"/>
        <v/>
      </c>
      <c r="V54" s="24">
        <f t="shared" si="27"/>
        <v>0</v>
      </c>
      <c r="W54" s="77">
        <f t="shared" si="28"/>
        <v>1</v>
      </c>
      <c r="X54" s="57">
        <f t="shared" si="29"/>
        <v>0</v>
      </c>
      <c r="Y54" s="25"/>
      <c r="Z54" s="25">
        <f t="shared" si="44"/>
        <v>0</v>
      </c>
      <c r="AA54" s="14"/>
      <c r="AB54" s="6" t="s">
        <v>65</v>
      </c>
      <c r="AC54" s="24">
        <f>L54</f>
        <v>0</v>
      </c>
      <c r="AD54" s="77">
        <f>IF($A10=$F$17,1+$F$18,1)</f>
        <v>1</v>
      </c>
      <c r="AE54" s="76">
        <f t="shared" si="30"/>
        <v>0</v>
      </c>
      <c r="AF54" s="24">
        <f t="shared" si="31"/>
        <v>0</v>
      </c>
      <c r="AG54" s="77">
        <f t="shared" si="32"/>
        <v>1</v>
      </c>
      <c r="AH54" s="57">
        <f t="shared" si="33"/>
        <v>0</v>
      </c>
      <c r="AI54" s="25">
        <f>IF(AC54=0,0,IF(AH$61&lt;=AE$61,AC54*(AH$61/AE$61)^1.5,AC54))</f>
        <v>0</v>
      </c>
      <c r="AJ54" s="25">
        <f t="shared" si="34"/>
        <v>0</v>
      </c>
      <c r="AK54" s="14"/>
      <c r="AL54" s="6" t="s">
        <v>65</v>
      </c>
      <c r="AM54" s="24"/>
      <c r="AN54" s="77"/>
      <c r="AO54" s="76" t="str">
        <f t="shared" si="35"/>
        <v/>
      </c>
      <c r="AP54" s="24">
        <f t="shared" si="36"/>
        <v>0</v>
      </c>
      <c r="AQ54" s="77">
        <f t="shared" si="37"/>
        <v>1</v>
      </c>
      <c r="AR54" s="57">
        <f t="shared" si="38"/>
        <v>0</v>
      </c>
      <c r="AS54" s="25"/>
      <c r="AT54" s="25">
        <f t="shared" si="39"/>
        <v>0</v>
      </c>
      <c r="AU54" s="14"/>
      <c r="AV54" s="26" t="s">
        <v>15</v>
      </c>
      <c r="AW54" s="27">
        <f t="shared" si="45"/>
        <v>0</v>
      </c>
      <c r="AX54" s="27">
        <f t="shared" si="40"/>
        <v>0</v>
      </c>
    </row>
    <row r="55" spans="10:50" x14ac:dyDescent="0.3">
      <c r="J55" s="126"/>
      <c r="K55" s="7"/>
      <c r="L55" s="96">
        <f t="shared" si="41"/>
        <v>0</v>
      </c>
      <c r="M55" s="57">
        <f t="shared" si="24"/>
        <v>0</v>
      </c>
      <c r="N55" s="55">
        <f t="shared" si="42"/>
        <v>0</v>
      </c>
      <c r="O55" s="63">
        <f t="shared" si="25"/>
        <v>0</v>
      </c>
      <c r="P55"/>
      <c r="Q55" s="14"/>
      <c r="R55" s="6" t="s">
        <v>66</v>
      </c>
      <c r="S55" s="24">
        <f t="shared" ref="S55" si="46">L55</f>
        <v>0</v>
      </c>
      <c r="T55" s="77">
        <f>IF($C$16="I",IF($A11=$E$17,1+$E$18,1),1)</f>
        <v>1</v>
      </c>
      <c r="U55" s="76">
        <f t="shared" ref="U55" si="47">IF(S55="","",S55*$E11*$C$29*T55)</f>
        <v>0</v>
      </c>
      <c r="V55" s="24">
        <f t="shared" ref="V55" si="48">N55*$M$43</f>
        <v>0</v>
      </c>
      <c r="W55" s="77">
        <f t="shared" si="28"/>
        <v>1</v>
      </c>
      <c r="X55" s="57">
        <f t="shared" si="29"/>
        <v>0</v>
      </c>
      <c r="Y55" s="25">
        <f t="shared" si="43"/>
        <v>0</v>
      </c>
      <c r="Z55" s="25">
        <f t="shared" si="44"/>
        <v>0</v>
      </c>
      <c r="AA55" s="14"/>
      <c r="AB55" s="6" t="s">
        <v>66</v>
      </c>
      <c r="AC55" s="24"/>
      <c r="AD55" s="77"/>
      <c r="AE55" s="76" t="str">
        <f t="shared" si="30"/>
        <v/>
      </c>
      <c r="AF55" s="24">
        <f t="shared" si="31"/>
        <v>0</v>
      </c>
      <c r="AG55" s="77">
        <f t="shared" si="32"/>
        <v>1</v>
      </c>
      <c r="AH55" s="57">
        <f t="shared" si="33"/>
        <v>0</v>
      </c>
      <c r="AI55" s="25"/>
      <c r="AJ55" s="25">
        <f t="shared" si="34"/>
        <v>0</v>
      </c>
      <c r="AK55" s="14"/>
      <c r="AL55" s="6" t="s">
        <v>66</v>
      </c>
      <c r="AM55" s="24"/>
      <c r="AN55" s="77"/>
      <c r="AO55" s="76" t="str">
        <f t="shared" si="35"/>
        <v/>
      </c>
      <c r="AP55" s="24">
        <f t="shared" si="36"/>
        <v>0</v>
      </c>
      <c r="AQ55" s="77">
        <f t="shared" si="37"/>
        <v>1</v>
      </c>
      <c r="AR55" s="57">
        <f t="shared" si="38"/>
        <v>0</v>
      </c>
      <c r="AS55" s="25"/>
      <c r="AT55" s="25">
        <f t="shared" si="39"/>
        <v>0</v>
      </c>
      <c r="AU55" s="14"/>
      <c r="AV55" s="26" t="s">
        <v>16</v>
      </c>
      <c r="AW55" s="27">
        <f t="shared" si="45"/>
        <v>0</v>
      </c>
      <c r="AX55" s="27">
        <f t="shared" si="40"/>
        <v>0</v>
      </c>
    </row>
    <row r="56" spans="10:50" x14ac:dyDescent="0.3">
      <c r="J56" s="126"/>
      <c r="K56" s="7"/>
      <c r="L56" s="96"/>
      <c r="M56" s="57" t="str">
        <f t="shared" si="24"/>
        <v/>
      </c>
      <c r="N56" s="55">
        <f t="shared" si="42"/>
        <v>0</v>
      </c>
      <c r="O56" s="63">
        <f t="shared" si="25"/>
        <v>0</v>
      </c>
      <c r="P56"/>
      <c r="Q56" s="14"/>
      <c r="R56" s="6" t="s">
        <v>67</v>
      </c>
      <c r="S56" s="24"/>
      <c r="T56" s="77"/>
      <c r="U56" s="76" t="str">
        <f t="shared" si="26"/>
        <v/>
      </c>
      <c r="V56" s="24">
        <f t="shared" si="27"/>
        <v>0</v>
      </c>
      <c r="W56" s="77">
        <f t="shared" si="28"/>
        <v>1</v>
      </c>
      <c r="X56" s="57">
        <f t="shared" si="29"/>
        <v>0</v>
      </c>
      <c r="Y56" s="25">
        <f t="shared" si="43"/>
        <v>0</v>
      </c>
      <c r="Z56" s="25">
        <f t="shared" si="44"/>
        <v>0</v>
      </c>
      <c r="AA56" s="14"/>
      <c r="AB56" s="6" t="s">
        <v>67</v>
      </c>
      <c r="AC56" s="24"/>
      <c r="AD56" s="77"/>
      <c r="AE56" s="76" t="str">
        <f t="shared" si="30"/>
        <v/>
      </c>
      <c r="AF56" s="24">
        <f t="shared" si="31"/>
        <v>0</v>
      </c>
      <c r="AG56" s="77">
        <f t="shared" si="32"/>
        <v>1</v>
      </c>
      <c r="AH56" s="57">
        <f t="shared" si="33"/>
        <v>0</v>
      </c>
      <c r="AI56" s="25"/>
      <c r="AJ56" s="25">
        <f t="shared" si="34"/>
        <v>0</v>
      </c>
      <c r="AK56" s="14"/>
      <c r="AL56" s="6" t="s">
        <v>67</v>
      </c>
      <c r="AM56" s="24"/>
      <c r="AN56" s="77"/>
      <c r="AO56" s="76" t="str">
        <f t="shared" si="35"/>
        <v/>
      </c>
      <c r="AP56" s="24">
        <f t="shared" si="36"/>
        <v>0</v>
      </c>
      <c r="AQ56" s="77">
        <f t="shared" si="37"/>
        <v>1</v>
      </c>
      <c r="AR56" s="57">
        <f t="shared" si="38"/>
        <v>0</v>
      </c>
      <c r="AS56" s="25"/>
      <c r="AT56" s="25">
        <f t="shared" si="39"/>
        <v>0</v>
      </c>
      <c r="AU56" s="14"/>
      <c r="AV56" s="26" t="s">
        <v>17</v>
      </c>
      <c r="AW56" s="27">
        <f t="shared" si="45"/>
        <v>0</v>
      </c>
      <c r="AX56" s="27">
        <f t="shared" si="40"/>
        <v>0</v>
      </c>
    </row>
    <row r="57" spans="10:50" x14ac:dyDescent="0.3">
      <c r="J57" s="126"/>
      <c r="K57" s="7"/>
      <c r="L57" s="96">
        <f t="shared" si="41"/>
        <v>0</v>
      </c>
      <c r="M57" s="57">
        <f t="shared" si="24"/>
        <v>0</v>
      </c>
      <c r="N57" s="55">
        <f t="shared" si="42"/>
        <v>0</v>
      </c>
      <c r="O57" s="63">
        <f t="shared" si="25"/>
        <v>0</v>
      </c>
      <c r="P57"/>
      <c r="Q57" s="14"/>
      <c r="R57" s="6" t="s">
        <v>69</v>
      </c>
      <c r="S57" s="24">
        <f t="shared" ref="S57:S59" si="49">L57</f>
        <v>0</v>
      </c>
      <c r="T57" s="77">
        <f>IF($C$16="I",IF($A13=$E$17,1+$E$18,1),1)</f>
        <v>1</v>
      </c>
      <c r="U57" s="76">
        <f t="shared" si="26"/>
        <v>0</v>
      </c>
      <c r="V57" s="24">
        <f t="shared" si="27"/>
        <v>0</v>
      </c>
      <c r="W57" s="77">
        <f t="shared" si="28"/>
        <v>1</v>
      </c>
      <c r="X57" s="57">
        <f t="shared" si="29"/>
        <v>0</v>
      </c>
      <c r="Y57" s="25">
        <f t="shared" si="43"/>
        <v>0</v>
      </c>
      <c r="Z57" s="25">
        <f t="shared" si="44"/>
        <v>0</v>
      </c>
      <c r="AA57" s="14"/>
      <c r="AB57" s="6" t="s">
        <v>69</v>
      </c>
      <c r="AC57" s="24"/>
      <c r="AD57" s="77"/>
      <c r="AE57" s="76" t="str">
        <f t="shared" si="30"/>
        <v/>
      </c>
      <c r="AF57" s="24">
        <f t="shared" si="31"/>
        <v>0</v>
      </c>
      <c r="AG57" s="77">
        <f t="shared" si="32"/>
        <v>1</v>
      </c>
      <c r="AH57" s="57">
        <f t="shared" si="33"/>
        <v>0</v>
      </c>
      <c r="AI57" s="25"/>
      <c r="AJ57" s="25">
        <f t="shared" si="34"/>
        <v>0</v>
      </c>
      <c r="AK57" s="14"/>
      <c r="AL57" s="6" t="s">
        <v>69</v>
      </c>
      <c r="AM57" s="24"/>
      <c r="AN57" s="77"/>
      <c r="AO57" s="76" t="str">
        <f t="shared" si="35"/>
        <v/>
      </c>
      <c r="AP57" s="24">
        <f t="shared" si="36"/>
        <v>0</v>
      </c>
      <c r="AQ57" s="77">
        <f t="shared" si="37"/>
        <v>1</v>
      </c>
      <c r="AR57" s="57">
        <f t="shared" si="38"/>
        <v>0</v>
      </c>
      <c r="AS57" s="25"/>
      <c r="AT57" s="25">
        <f t="shared" si="39"/>
        <v>0</v>
      </c>
      <c r="AU57" s="14"/>
      <c r="AV57" s="26" t="s">
        <v>18</v>
      </c>
      <c r="AW57" s="27">
        <f>AS57+AI57+Y57</f>
        <v>0</v>
      </c>
      <c r="AX57" s="27">
        <f t="shared" si="40"/>
        <v>0</v>
      </c>
    </row>
    <row r="58" spans="10:50" x14ac:dyDescent="0.3">
      <c r="J58" s="126"/>
      <c r="K58" s="7"/>
      <c r="L58" s="96"/>
      <c r="M58" s="57" t="str">
        <f t="shared" si="24"/>
        <v/>
      </c>
      <c r="N58" s="55">
        <f t="shared" si="42"/>
        <v>0</v>
      </c>
      <c r="O58" s="63">
        <f t="shared" si="25"/>
        <v>0</v>
      </c>
      <c r="P58"/>
      <c r="Q58" s="14"/>
      <c r="R58" s="6" t="s">
        <v>19</v>
      </c>
      <c r="S58" s="24"/>
      <c r="T58" s="77"/>
      <c r="U58" s="76" t="str">
        <f t="shared" si="26"/>
        <v/>
      </c>
      <c r="V58" s="24">
        <f>MAX(0,($N58-$L55)*$M$65)</f>
        <v>0</v>
      </c>
      <c r="W58" s="77">
        <f t="shared" si="28"/>
        <v>1</v>
      </c>
      <c r="X58" s="57">
        <f t="shared" si="29"/>
        <v>0</v>
      </c>
      <c r="Y58" s="25">
        <f t="shared" si="43"/>
        <v>0</v>
      </c>
      <c r="Z58" s="25">
        <f t="shared" si="44"/>
        <v>0</v>
      </c>
      <c r="AA58" s="14"/>
      <c r="AB58" s="6" t="s">
        <v>19</v>
      </c>
      <c r="AC58" s="24"/>
      <c r="AD58" s="77"/>
      <c r="AE58" s="76" t="str">
        <f t="shared" si="30"/>
        <v/>
      </c>
      <c r="AF58" s="24">
        <f>MAX(0,($N58-$L55)*$M$65)</f>
        <v>0</v>
      </c>
      <c r="AG58" s="77">
        <f t="shared" si="32"/>
        <v>1</v>
      </c>
      <c r="AH58" s="57">
        <f t="shared" si="33"/>
        <v>0</v>
      </c>
      <c r="AI58" s="25"/>
      <c r="AJ58" s="25">
        <f t="shared" si="34"/>
        <v>0</v>
      </c>
      <c r="AK58" s="14"/>
      <c r="AL58" s="6" t="s">
        <v>19</v>
      </c>
      <c r="AM58" s="24"/>
      <c r="AN58" s="77"/>
      <c r="AO58" s="76" t="str">
        <f t="shared" si="35"/>
        <v/>
      </c>
      <c r="AP58" s="24">
        <f>MAX(0,($N58-$L55)*$M$65)</f>
        <v>0</v>
      </c>
      <c r="AQ58" s="77">
        <f t="shared" si="37"/>
        <v>1</v>
      </c>
      <c r="AR58" s="57">
        <f t="shared" si="38"/>
        <v>0</v>
      </c>
      <c r="AS58" s="25"/>
      <c r="AT58" s="25">
        <f t="shared" si="39"/>
        <v>0</v>
      </c>
      <c r="AU58" s="14"/>
      <c r="AV58" s="26" t="s">
        <v>19</v>
      </c>
      <c r="AW58" s="27">
        <f>AS58+AI58+Y58</f>
        <v>0</v>
      </c>
      <c r="AX58" s="27">
        <f t="shared" si="40"/>
        <v>0</v>
      </c>
    </row>
    <row r="59" spans="10:50" x14ac:dyDescent="0.3">
      <c r="J59" s="126"/>
      <c r="K59" s="7"/>
      <c r="L59" s="96">
        <f t="shared" si="41"/>
        <v>0</v>
      </c>
      <c r="M59" s="57">
        <f t="shared" si="24"/>
        <v>0</v>
      </c>
      <c r="N59" s="55">
        <f t="shared" si="42"/>
        <v>0</v>
      </c>
      <c r="O59" s="63">
        <f t="shared" si="25"/>
        <v>0</v>
      </c>
      <c r="P59"/>
      <c r="Q59" s="14"/>
      <c r="R59" s="6" t="s">
        <v>68</v>
      </c>
      <c r="S59" s="24">
        <f t="shared" si="49"/>
        <v>0</v>
      </c>
      <c r="T59" s="77">
        <f>IF($C$16="I",IF($A15=$E$17,1+$E$18,1),1)</f>
        <v>1</v>
      </c>
      <c r="U59" s="76">
        <f t="shared" si="26"/>
        <v>0</v>
      </c>
      <c r="V59" s="24">
        <f>N59*$M$43</f>
        <v>0</v>
      </c>
      <c r="W59" s="77">
        <f t="shared" si="28"/>
        <v>1</v>
      </c>
      <c r="X59" s="57">
        <f t="shared" si="29"/>
        <v>0</v>
      </c>
      <c r="Y59" s="25">
        <f t="shared" si="43"/>
        <v>0</v>
      </c>
      <c r="Z59" s="25">
        <f t="shared" si="44"/>
        <v>0</v>
      </c>
      <c r="AA59" s="14"/>
      <c r="AB59" s="6" t="s">
        <v>68</v>
      </c>
      <c r="AC59" s="24"/>
      <c r="AD59" s="77"/>
      <c r="AE59" s="76" t="str">
        <f t="shared" si="30"/>
        <v/>
      </c>
      <c r="AF59" s="24">
        <f>$N$43*N59+V59-Z59</f>
        <v>0</v>
      </c>
      <c r="AG59" s="77">
        <f t="shared" si="32"/>
        <v>1</v>
      </c>
      <c r="AH59" s="57">
        <f t="shared" si="33"/>
        <v>0</v>
      </c>
      <c r="AI59" s="25"/>
      <c r="AJ59" s="25">
        <f t="shared" si="34"/>
        <v>0</v>
      </c>
      <c r="AK59" s="14"/>
      <c r="AL59" s="6" t="s">
        <v>68</v>
      </c>
      <c r="AM59" s="24"/>
      <c r="AN59" s="77"/>
      <c r="AO59" s="76" t="str">
        <f t="shared" si="35"/>
        <v/>
      </c>
      <c r="AP59" s="24">
        <f>$O$43*N59+AF59-AJ59</f>
        <v>0</v>
      </c>
      <c r="AQ59" s="77">
        <f t="shared" si="37"/>
        <v>1</v>
      </c>
      <c r="AR59" s="57">
        <f t="shared" si="38"/>
        <v>0</v>
      </c>
      <c r="AS59" s="25"/>
      <c r="AT59" s="25">
        <f t="shared" si="39"/>
        <v>0</v>
      </c>
      <c r="AU59" s="14"/>
      <c r="AV59" s="26" t="s">
        <v>20</v>
      </c>
      <c r="AW59" s="27">
        <f>AS59+AI59+Y59</f>
        <v>0</v>
      </c>
      <c r="AX59" s="27">
        <f t="shared" si="40"/>
        <v>0</v>
      </c>
    </row>
    <row r="60" spans="10:50" x14ac:dyDescent="0.3">
      <c r="J60" s="126"/>
      <c r="K60" s="7"/>
      <c r="L60" s="97">
        <f t="shared" si="41"/>
        <v>0</v>
      </c>
      <c r="M60" s="98">
        <f t="shared" si="24"/>
        <v>0</v>
      </c>
      <c r="N60" s="64">
        <f t="shared" si="42"/>
        <v>0.17111298755909887</v>
      </c>
      <c r="O60" s="66">
        <f t="shared" si="25"/>
        <v>0.17111298755909887</v>
      </c>
      <c r="P60"/>
      <c r="Q60" s="14"/>
      <c r="R60" s="6" t="s">
        <v>21</v>
      </c>
      <c r="S60" s="24">
        <f>SUMIF($C38,"I",$L60)</f>
        <v>0</v>
      </c>
      <c r="T60" s="77">
        <f>IF($C$16="I",IF($A16=$E$17,1+$E$18,1),1)</f>
        <v>1</v>
      </c>
      <c r="U60" s="76">
        <f t="shared" si="26"/>
        <v>0</v>
      </c>
      <c r="V60" s="24">
        <f>N60*$M$43</f>
        <v>0.17111298755909887</v>
      </c>
      <c r="W60" s="77">
        <f t="shared" si="28"/>
        <v>1</v>
      </c>
      <c r="X60" s="57">
        <f t="shared" si="29"/>
        <v>66.306282679150826</v>
      </c>
      <c r="Y60" s="25">
        <f>IF(S60=0,0,IF(X$61&lt;=U$61,S60*(X$61/U$61)^1.5,S60))</f>
        <v>0</v>
      </c>
      <c r="Z60" s="25">
        <f t="shared" si="44"/>
        <v>0</v>
      </c>
      <c r="AA60" s="14"/>
      <c r="AB60" s="6" t="s">
        <v>21</v>
      </c>
      <c r="AC60" s="24">
        <f>SUMIF($C38,"C",$L60)</f>
        <v>0</v>
      </c>
      <c r="AD60" s="77">
        <v>1</v>
      </c>
      <c r="AE60" s="76">
        <f t="shared" si="30"/>
        <v>0</v>
      </c>
      <c r="AF60" s="24">
        <f>$N$43*N60+V60-Z60</f>
        <v>0.17111298755909887</v>
      </c>
      <c r="AG60" s="77">
        <f t="shared" si="32"/>
        <v>1</v>
      </c>
      <c r="AH60" s="57">
        <f t="shared" si="33"/>
        <v>106.0900522866413</v>
      </c>
      <c r="AI60" s="25">
        <f>IF(AC60=0,0,IF(AH$61&lt;=AE$61,AC60*(AH$61/AE$61)^1.5,AC60))</f>
        <v>0</v>
      </c>
      <c r="AJ60" s="25">
        <f t="shared" si="34"/>
        <v>0</v>
      </c>
      <c r="AK60" s="14"/>
      <c r="AL60" s="6" t="s">
        <v>21</v>
      </c>
      <c r="AM60" s="24">
        <f>SUMIF($C38,"A",$L60)</f>
        <v>0</v>
      </c>
      <c r="AN60" s="77">
        <v>1</v>
      </c>
      <c r="AO60" s="76">
        <f t="shared" si="35"/>
        <v>0</v>
      </c>
      <c r="AP60" s="24">
        <f>$O$43*N60+AF60-AJ60</f>
        <v>0.17111298755909887</v>
      </c>
      <c r="AQ60" s="77">
        <f t="shared" si="37"/>
        <v>1</v>
      </c>
      <c r="AR60" s="57">
        <f t="shared" si="38"/>
        <v>39.783769607490491</v>
      </c>
      <c r="AS60" s="25">
        <f>IF(AM60=0,0,IF(AR$61&lt;=AO$61,AM60*(AR$61/AO$61)^1.5,AM60))</f>
        <v>0</v>
      </c>
      <c r="AT60" s="25">
        <f t="shared" si="39"/>
        <v>0</v>
      </c>
      <c r="AU60" s="14"/>
      <c r="AV60" s="26" t="s">
        <v>21</v>
      </c>
      <c r="AW60" s="27">
        <f>AS60+AI60+Y60</f>
        <v>0</v>
      </c>
      <c r="AX60" s="27">
        <f t="shared" si="40"/>
        <v>0</v>
      </c>
    </row>
    <row r="61" spans="10:50" x14ac:dyDescent="0.3">
      <c r="J61" s="126"/>
      <c r="K61" s="7"/>
      <c r="L61" s="5">
        <f>SUM(L48:L60)</f>
        <v>0</v>
      </c>
      <c r="M61" s="5"/>
      <c r="N61" s="5">
        <f>SUM(N48:N60)</f>
        <v>567.92400570864913</v>
      </c>
      <c r="O61" s="5"/>
      <c r="P61" s="5"/>
      <c r="Q61" s="14"/>
      <c r="U61" s="16">
        <f>SUM(U48:U60)</f>
        <v>0</v>
      </c>
      <c r="X61" s="16">
        <f>SUM(X48:X60)+VLOOKUP($C$25,Data!$R$1:$U$22,4,FALSE)</f>
        <v>37016.702913088593</v>
      </c>
      <c r="AA61" s="14"/>
      <c r="AE61" s="16">
        <f>SUM(AE48:AE60)</f>
        <v>0</v>
      </c>
      <c r="AH61" s="16">
        <f>SUM(AH48:AH60)+VLOOKUP($C$25,Data!$R$1:$U$22,4,FALSE)</f>
        <v>21059.432923524149</v>
      </c>
      <c r="AK61" s="14"/>
      <c r="AO61" s="16">
        <f>SUM(AO48:AO60)</f>
        <v>0</v>
      </c>
      <c r="AR61" s="16">
        <f>SUM(AR48:AR60)+VLOOKUP($C$25,Data!$R$1:$U$22,4,FALSE)</f>
        <v>23138.134885515527</v>
      </c>
      <c r="AU61" s="14"/>
    </row>
    <row r="62" spans="10:50" x14ac:dyDescent="0.3">
      <c r="J62" s="126"/>
      <c r="Q62" s="14"/>
      <c r="U62" s="37" t="s">
        <v>31</v>
      </c>
      <c r="X62" s="37" t="s">
        <v>34</v>
      </c>
      <c r="AA62" s="14"/>
      <c r="AE62" s="37" t="s">
        <v>32</v>
      </c>
      <c r="AH62" s="15" t="s">
        <v>35</v>
      </c>
      <c r="AK62" s="14"/>
      <c r="AO62" s="37" t="s">
        <v>33</v>
      </c>
      <c r="AR62" s="37" t="s">
        <v>36</v>
      </c>
      <c r="AU62" s="14"/>
    </row>
    <row r="63" spans="10:50" x14ac:dyDescent="0.3">
      <c r="J63" s="126"/>
      <c r="L63" s="68" t="s">
        <v>28</v>
      </c>
      <c r="M63" s="71" t="s">
        <v>8</v>
      </c>
      <c r="N63" s="69" t="s">
        <v>9</v>
      </c>
      <c r="O63" s="70" t="s">
        <v>10</v>
      </c>
      <c r="Q63" s="14"/>
      <c r="U63" s="37"/>
      <c r="X63" s="37"/>
      <c r="AA63" s="14"/>
      <c r="AH63" s="15"/>
      <c r="AK63" s="14"/>
      <c r="AU63" s="14"/>
    </row>
    <row r="64" spans="10:50" x14ac:dyDescent="0.3">
      <c r="J64" s="126"/>
      <c r="L64" s="67" t="s">
        <v>3</v>
      </c>
      <c r="M64" s="99">
        <f>SUM(M48:M50)+SUM(M55:M59)</f>
        <v>0</v>
      </c>
      <c r="N64" s="100">
        <f>SUM(M52,M54)</f>
        <v>0</v>
      </c>
      <c r="O64" s="101">
        <f>SUM(M51,M53)</f>
        <v>0</v>
      </c>
      <c r="Q64" s="14"/>
      <c r="AA64" s="14"/>
      <c r="AK64" s="14"/>
      <c r="AU64" s="14"/>
    </row>
    <row r="65" spans="10:50" x14ac:dyDescent="0.3">
      <c r="J65" s="126"/>
      <c r="L65" s="72" t="s">
        <v>23</v>
      </c>
      <c r="M65" s="73">
        <f>M64/SUM($M$42:$O$42)</f>
        <v>0</v>
      </c>
      <c r="N65" s="74">
        <f>N64/SUM($M$42:$O$42)</f>
        <v>0</v>
      </c>
      <c r="O65" s="75">
        <f>O64/SUM($M$42:$O$42)</f>
        <v>0</v>
      </c>
      <c r="Q65" s="14"/>
      <c r="AA65" s="14"/>
      <c r="AK65" s="14"/>
    </row>
    <row r="66" spans="10:50" x14ac:dyDescent="0.3">
      <c r="J66" s="126"/>
      <c r="L66" s="39"/>
      <c r="M66" s="91" t="s">
        <v>26</v>
      </c>
      <c r="N66" s="92" t="s">
        <v>5</v>
      </c>
      <c r="O66" s="93" t="s">
        <v>27</v>
      </c>
      <c r="Q66" s="14"/>
      <c r="AA66" s="14"/>
      <c r="AK66" s="14"/>
    </row>
    <row r="67" spans="10:50" x14ac:dyDescent="0.3"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</row>
    <row r="68" spans="10:50" x14ac:dyDescent="0.3">
      <c r="J68" s="126" t="s">
        <v>94</v>
      </c>
      <c r="K68" s="90"/>
      <c r="L68" s="127" t="s">
        <v>28</v>
      </c>
      <c r="M68" s="128"/>
      <c r="N68" s="127" t="s">
        <v>30</v>
      </c>
      <c r="O68" s="128"/>
      <c r="P68"/>
      <c r="Q68" s="14"/>
      <c r="R68" s="125" t="s">
        <v>38</v>
      </c>
      <c r="S68" s="125"/>
      <c r="T68" s="125"/>
      <c r="U68" s="125"/>
      <c r="V68" s="125"/>
      <c r="W68" s="125"/>
      <c r="X68" s="125"/>
      <c r="Y68" s="125"/>
      <c r="Z68" s="125"/>
      <c r="AA68" s="14"/>
      <c r="AB68" s="125" t="s">
        <v>39</v>
      </c>
      <c r="AC68" s="125"/>
      <c r="AD68" s="125"/>
      <c r="AE68" s="125"/>
      <c r="AF68" s="125"/>
      <c r="AG68" s="125"/>
      <c r="AH68" s="125"/>
      <c r="AI68" s="125"/>
      <c r="AJ68" s="125"/>
      <c r="AK68" s="14"/>
      <c r="AL68" s="125" t="s">
        <v>91</v>
      </c>
      <c r="AM68" s="125"/>
      <c r="AN68" s="125"/>
      <c r="AO68" s="125"/>
      <c r="AP68" s="125"/>
      <c r="AQ68" s="125"/>
      <c r="AR68" s="125"/>
      <c r="AS68" s="125"/>
      <c r="AT68" s="125"/>
      <c r="AU68" s="14"/>
    </row>
    <row r="69" spans="10:50" x14ac:dyDescent="0.3">
      <c r="J69" s="126"/>
      <c r="K69" s="5"/>
      <c r="L69" s="55" t="s">
        <v>29</v>
      </c>
      <c r="M69" s="56" t="s">
        <v>3</v>
      </c>
      <c r="N69" s="55" t="s">
        <v>29</v>
      </c>
      <c r="O69" s="63" t="s">
        <v>3</v>
      </c>
      <c r="P69"/>
      <c r="Q69" s="14"/>
      <c r="R69" s="15" t="s">
        <v>46</v>
      </c>
      <c r="S69" s="5" t="s">
        <v>28</v>
      </c>
      <c r="T69" s="5" t="s">
        <v>90</v>
      </c>
      <c r="U69" s="58" t="s">
        <v>0</v>
      </c>
      <c r="V69" s="2" t="s">
        <v>30</v>
      </c>
      <c r="W69" s="5" t="s">
        <v>90</v>
      </c>
      <c r="X69" s="56" t="s">
        <v>85</v>
      </c>
      <c r="Y69" s="17" t="s">
        <v>28</v>
      </c>
      <c r="Z69" s="18" t="s">
        <v>30</v>
      </c>
      <c r="AA69" s="14"/>
      <c r="AB69" s="15" t="s">
        <v>46</v>
      </c>
      <c r="AC69" s="5" t="s">
        <v>28</v>
      </c>
      <c r="AD69" s="5" t="s">
        <v>90</v>
      </c>
      <c r="AE69" s="58" t="s">
        <v>0</v>
      </c>
      <c r="AF69" s="2" t="s">
        <v>30</v>
      </c>
      <c r="AG69" s="5" t="s">
        <v>90</v>
      </c>
      <c r="AH69" s="56" t="s">
        <v>86</v>
      </c>
      <c r="AI69" s="17" t="s">
        <v>28</v>
      </c>
      <c r="AJ69" s="20" t="s">
        <v>30</v>
      </c>
      <c r="AK69" s="14"/>
      <c r="AL69" s="21" t="s">
        <v>46</v>
      </c>
      <c r="AM69" s="5" t="s">
        <v>28</v>
      </c>
      <c r="AN69" s="5" t="s">
        <v>90</v>
      </c>
      <c r="AO69" s="58" t="s">
        <v>0</v>
      </c>
      <c r="AP69" s="22" t="s">
        <v>30</v>
      </c>
      <c r="AQ69" s="5" t="s">
        <v>90</v>
      </c>
      <c r="AR69" s="56" t="s">
        <v>87</v>
      </c>
      <c r="AS69" s="17" t="s">
        <v>28</v>
      </c>
      <c r="AT69" s="23" t="s">
        <v>30</v>
      </c>
      <c r="AU69" s="14"/>
      <c r="AV69" s="19" t="s">
        <v>47</v>
      </c>
      <c r="AW69" s="17" t="s">
        <v>28</v>
      </c>
      <c r="AX69" s="23" t="s">
        <v>30</v>
      </c>
    </row>
    <row r="70" spans="10:50" x14ac:dyDescent="0.3">
      <c r="J70" s="126"/>
      <c r="K70" s="7"/>
      <c r="L70" s="95">
        <f>L48-AW48</f>
        <v>0</v>
      </c>
      <c r="M70" s="56">
        <f t="shared" ref="M70:M82" si="50">IF(L70="","",L70*D4)</f>
        <v>0</v>
      </c>
      <c r="N70" s="95">
        <f>N48-AX48</f>
        <v>229.63362930431072</v>
      </c>
      <c r="O70" s="63">
        <f t="shared" ref="O70:O82" si="51">IF(N70="","",N70*D4)</f>
        <v>229.63362930431072</v>
      </c>
      <c r="P70"/>
      <c r="Q70" s="14"/>
      <c r="R70" s="6" t="s">
        <v>60</v>
      </c>
      <c r="S70" s="24">
        <f>L70</f>
        <v>0</v>
      </c>
      <c r="T70" s="77">
        <f>IF($C$16="I",IF($A26=$E$17,1+$E$18,1),1)</f>
        <v>1</v>
      </c>
      <c r="U70" s="76">
        <f t="shared" ref="U70:U82" si="52">IF(S70="","",S70*$E4*$C$29*T70)</f>
        <v>0</v>
      </c>
      <c r="V70" s="24">
        <f t="shared" ref="V70:V79" si="53">N70*$M$43</f>
        <v>229.63362930431072</v>
      </c>
      <c r="W70" s="77">
        <f t="shared" ref="W70:W82" si="54">IF($A26=$F$17,1+$F$18,1)</f>
        <v>1</v>
      </c>
      <c r="X70" s="57">
        <f t="shared" ref="X70:X82" si="55">IF(V70="","",V70*F4*$C$30*W70)</f>
        <v>8898.3031355420408</v>
      </c>
      <c r="Y70" s="25">
        <f>IF(S70=0,0,IF(X$83&lt;=U$83,S70*(X$83/U$83)^1.5,S70))</f>
        <v>0</v>
      </c>
      <c r="Z70" s="25">
        <f>IF(V70="",0,IF(U$61&gt;=X$61,V70,V70*(U$61/X$61)^1.5))</f>
        <v>0</v>
      </c>
      <c r="AA70" s="14"/>
      <c r="AB70" s="6" t="s">
        <v>60</v>
      </c>
      <c r="AC70" s="24"/>
      <c r="AD70" s="77"/>
      <c r="AE70" s="76" t="str">
        <f t="shared" ref="AE70:AE82" si="56">IF(AC70="","",AC70*$E4*$C$29*AD70)</f>
        <v/>
      </c>
      <c r="AF70" s="24">
        <f t="shared" ref="AF70:AF79" si="57">$N$43*N70+V70-Z70</f>
        <v>229.63362930431072</v>
      </c>
      <c r="AG70" s="77">
        <f t="shared" ref="AG70:AG82" si="58">IF($A26=$F$17,1+$F$18,1)</f>
        <v>1</v>
      </c>
      <c r="AH70" s="57">
        <f t="shared" ref="AH70:AH82" si="59">IF(AF70="","",AF70*G4*$C$30*AG70)</f>
        <v>16016.945643975672</v>
      </c>
      <c r="AI70" s="25"/>
      <c r="AJ70" s="25">
        <f t="shared" ref="AJ70:AJ82" si="60">IF(AF70="",0,IF(AE$39&gt;=AH$39,AF70,AF70*(AE$39/AH$39)^1.5))</f>
        <v>0</v>
      </c>
      <c r="AK70" s="14"/>
      <c r="AL70" s="6" t="s">
        <v>60</v>
      </c>
      <c r="AM70" s="24"/>
      <c r="AN70" s="77"/>
      <c r="AO70" s="76" t="str">
        <f t="shared" ref="AO70:AO82" si="61">IF(AM70="","",AM70*$E4*$C$29*AN70)</f>
        <v/>
      </c>
      <c r="AP70" s="24">
        <f t="shared" ref="AP70:AP79" si="62">$O$43*N70+AF70-AJ70</f>
        <v>229.63362930431072</v>
      </c>
      <c r="AQ70" s="77">
        <f t="shared" ref="AQ70:AQ82" si="63">IF($A26=$F$17,1+$F$18,1)</f>
        <v>1</v>
      </c>
      <c r="AR70" s="57">
        <f t="shared" ref="AR70:AR82" si="64">IF(AP70="","",AP70*H4*$C$30*AQ70)</f>
        <v>3559.3212542168162</v>
      </c>
      <c r="AS70" s="25"/>
      <c r="AT70" s="25">
        <f t="shared" ref="AT70:AT82" si="65">IF(AP70="",0,IF(AO$39&gt;=AR$39,AP70,AP70*(AO$39/AR$39)^1.5))</f>
        <v>0</v>
      </c>
      <c r="AU70" s="14"/>
      <c r="AV70" s="26" t="s">
        <v>11</v>
      </c>
      <c r="AW70" s="27">
        <f>AS70+AI70+Y70</f>
        <v>0</v>
      </c>
      <c r="AX70" s="27">
        <f t="shared" ref="AX70:AX82" si="66">AT70+AJ70+Z70</f>
        <v>0</v>
      </c>
    </row>
    <row r="71" spans="10:50" x14ac:dyDescent="0.3">
      <c r="J71" s="126"/>
      <c r="K71" s="7"/>
      <c r="L71" s="96">
        <f t="shared" ref="L71:L82" si="67">L49-AW49</f>
        <v>0</v>
      </c>
      <c r="M71" s="57">
        <f t="shared" si="50"/>
        <v>0</v>
      </c>
      <c r="N71" s="55">
        <f t="shared" ref="N71:N82" si="68">N49-AX49</f>
        <v>289.00983598731796</v>
      </c>
      <c r="O71" s="63">
        <f t="shared" si="51"/>
        <v>289.00983598731796</v>
      </c>
      <c r="P71"/>
      <c r="Q71" s="14"/>
      <c r="R71" s="6" t="s">
        <v>61</v>
      </c>
      <c r="S71" s="24">
        <f>L71</f>
        <v>0</v>
      </c>
      <c r="T71" s="77">
        <f>IF($C$16="I",IF($A27=$E$17,1+$E$18,1),1)</f>
        <v>1</v>
      </c>
      <c r="U71" s="76">
        <f t="shared" si="52"/>
        <v>0</v>
      </c>
      <c r="V71" s="24">
        <f t="shared" si="53"/>
        <v>289.00983598731796</v>
      </c>
      <c r="W71" s="77">
        <f t="shared" si="54"/>
        <v>1</v>
      </c>
      <c r="X71" s="57">
        <f t="shared" si="55"/>
        <v>24638.088517918859</v>
      </c>
      <c r="Y71" s="25">
        <f t="shared" ref="Y71:Y72" si="69">IF(S71=0,0,IF(X$83&lt;=U$83,S71*(X$83/U$83)^1.5,S71))</f>
        <v>0</v>
      </c>
      <c r="Z71" s="25">
        <f t="shared" ref="Z71:Z82" si="70">IF(V71="",0,IF(U$61&gt;=X$61,V71,V71*(U$61/X$61)^1.5))</f>
        <v>0</v>
      </c>
      <c r="AA71" s="14"/>
      <c r="AB71" s="6" t="s">
        <v>61</v>
      </c>
      <c r="AC71" s="24"/>
      <c r="AD71" s="77"/>
      <c r="AE71" s="76" t="str">
        <f t="shared" si="56"/>
        <v/>
      </c>
      <c r="AF71" s="24">
        <f t="shared" si="57"/>
        <v>289.00983598731796</v>
      </c>
      <c r="AG71" s="77">
        <f t="shared" si="58"/>
        <v>1</v>
      </c>
      <c r="AH71" s="57">
        <f t="shared" si="59"/>
        <v>2239.8262289017143</v>
      </c>
      <c r="AI71" s="25"/>
      <c r="AJ71" s="25">
        <f t="shared" si="60"/>
        <v>0</v>
      </c>
      <c r="AK71" s="14"/>
      <c r="AL71" s="6" t="s">
        <v>61</v>
      </c>
      <c r="AM71" s="24"/>
      <c r="AN71" s="77"/>
      <c r="AO71" s="76" t="str">
        <f t="shared" si="61"/>
        <v/>
      </c>
      <c r="AP71" s="24">
        <f t="shared" si="62"/>
        <v>289.00983598731796</v>
      </c>
      <c r="AQ71" s="77">
        <f t="shared" si="63"/>
        <v>1</v>
      </c>
      <c r="AR71" s="57">
        <f t="shared" si="64"/>
        <v>13438.957373410285</v>
      </c>
      <c r="AS71" s="25"/>
      <c r="AT71" s="25">
        <f t="shared" si="65"/>
        <v>0</v>
      </c>
      <c r="AU71" s="14"/>
      <c r="AV71" s="26" t="s">
        <v>49</v>
      </c>
      <c r="AW71" s="27">
        <f t="shared" ref="AW71:AW78" si="71">AS71+AI71+Y71</f>
        <v>0</v>
      </c>
      <c r="AX71" s="27">
        <f t="shared" si="66"/>
        <v>0</v>
      </c>
    </row>
    <row r="72" spans="10:50" x14ac:dyDescent="0.3">
      <c r="J72" s="126"/>
      <c r="K72" s="7"/>
      <c r="L72" s="96">
        <f t="shared" si="67"/>
        <v>0</v>
      </c>
      <c r="M72" s="57">
        <f t="shared" si="50"/>
        <v>0</v>
      </c>
      <c r="N72" s="55">
        <f t="shared" si="68"/>
        <v>0</v>
      </c>
      <c r="O72" s="63">
        <f t="shared" si="51"/>
        <v>0</v>
      </c>
      <c r="P72"/>
      <c r="Q72" s="14"/>
      <c r="R72" s="6" t="s">
        <v>62</v>
      </c>
      <c r="S72" s="24">
        <f>L72</f>
        <v>0</v>
      </c>
      <c r="T72" s="77">
        <f>IF($C$16="I",IF($A28=$E$17,1+$E$18,1),1)</f>
        <v>1</v>
      </c>
      <c r="U72" s="76">
        <f t="shared" si="52"/>
        <v>0</v>
      </c>
      <c r="V72" s="24">
        <f t="shared" si="53"/>
        <v>0</v>
      </c>
      <c r="W72" s="77">
        <f t="shared" si="54"/>
        <v>1</v>
      </c>
      <c r="X72" s="57">
        <f t="shared" si="55"/>
        <v>0</v>
      </c>
      <c r="Y72" s="25">
        <f t="shared" si="69"/>
        <v>0</v>
      </c>
      <c r="Z72" s="25">
        <f t="shared" si="70"/>
        <v>0</v>
      </c>
      <c r="AA72" s="14"/>
      <c r="AB72" s="6" t="s">
        <v>62</v>
      </c>
      <c r="AC72" s="24"/>
      <c r="AD72" s="77"/>
      <c r="AE72" s="76" t="str">
        <f t="shared" si="56"/>
        <v/>
      </c>
      <c r="AF72" s="24">
        <f t="shared" si="57"/>
        <v>0</v>
      </c>
      <c r="AG72" s="77">
        <f t="shared" si="58"/>
        <v>1</v>
      </c>
      <c r="AH72" s="57">
        <f t="shared" si="59"/>
        <v>0</v>
      </c>
      <c r="AI72" s="25"/>
      <c r="AJ72" s="25">
        <f t="shared" si="60"/>
        <v>0</v>
      </c>
      <c r="AK72" s="14"/>
      <c r="AL72" s="6" t="s">
        <v>62</v>
      </c>
      <c r="AM72" s="24"/>
      <c r="AN72" s="77"/>
      <c r="AO72" s="76" t="str">
        <f t="shared" si="61"/>
        <v/>
      </c>
      <c r="AP72" s="24">
        <f t="shared" si="62"/>
        <v>0</v>
      </c>
      <c r="AQ72" s="77">
        <f t="shared" si="63"/>
        <v>1</v>
      </c>
      <c r="AR72" s="57">
        <f t="shared" si="64"/>
        <v>0</v>
      </c>
      <c r="AS72" s="25"/>
      <c r="AT72" s="25">
        <f t="shared" si="65"/>
        <v>0</v>
      </c>
      <c r="AU72" s="14"/>
      <c r="AV72" s="26" t="s">
        <v>12</v>
      </c>
      <c r="AW72" s="27">
        <f t="shared" si="71"/>
        <v>0</v>
      </c>
      <c r="AX72" s="27">
        <f t="shared" si="66"/>
        <v>0</v>
      </c>
    </row>
    <row r="73" spans="10:50" x14ac:dyDescent="0.3">
      <c r="J73" s="126"/>
      <c r="K73" s="7"/>
      <c r="L73" s="96">
        <f t="shared" si="67"/>
        <v>0</v>
      </c>
      <c r="M73" s="57">
        <f t="shared" si="50"/>
        <v>0</v>
      </c>
      <c r="N73" s="55">
        <f t="shared" si="68"/>
        <v>49.109427429461363</v>
      </c>
      <c r="O73" s="63">
        <f t="shared" si="51"/>
        <v>49.109427429461363</v>
      </c>
      <c r="P73"/>
      <c r="Q73" s="14"/>
      <c r="R73" s="6" t="s">
        <v>2</v>
      </c>
      <c r="S73" s="24"/>
      <c r="T73" s="77"/>
      <c r="U73" s="76" t="str">
        <f t="shared" si="52"/>
        <v/>
      </c>
      <c r="V73" s="24">
        <f t="shared" si="53"/>
        <v>49.109427429461363</v>
      </c>
      <c r="W73" s="77">
        <f t="shared" si="54"/>
        <v>1</v>
      </c>
      <c r="X73" s="57">
        <f t="shared" si="55"/>
        <v>761.19612515665119</v>
      </c>
      <c r="Y73" s="25"/>
      <c r="Z73" s="25">
        <f t="shared" si="70"/>
        <v>0</v>
      </c>
      <c r="AA73" s="14"/>
      <c r="AB73" s="6" t="s">
        <v>2</v>
      </c>
      <c r="AC73" s="24"/>
      <c r="AD73" s="77"/>
      <c r="AE73" s="76" t="str">
        <f t="shared" si="56"/>
        <v/>
      </c>
      <c r="AF73" s="24">
        <f t="shared" si="57"/>
        <v>49.109427429461363</v>
      </c>
      <c r="AG73" s="77">
        <f t="shared" si="58"/>
        <v>1</v>
      </c>
      <c r="AH73" s="57">
        <f t="shared" si="59"/>
        <v>2283.5883754699535</v>
      </c>
      <c r="AI73" s="25"/>
      <c r="AJ73" s="25">
        <f t="shared" si="60"/>
        <v>0</v>
      </c>
      <c r="AK73" s="14"/>
      <c r="AL73" s="6" t="s">
        <v>2</v>
      </c>
      <c r="AM73" s="24">
        <f>AC73-AI73</f>
        <v>0</v>
      </c>
      <c r="AN73" s="77">
        <f>IF($A29=$F$17,1+$F$18,1)</f>
        <v>1</v>
      </c>
      <c r="AO73" s="76">
        <f t="shared" si="61"/>
        <v>0</v>
      </c>
      <c r="AP73" s="24">
        <f t="shared" si="62"/>
        <v>49.109427429461363</v>
      </c>
      <c r="AQ73" s="77">
        <f t="shared" si="63"/>
        <v>1</v>
      </c>
      <c r="AR73" s="57">
        <f t="shared" si="64"/>
        <v>4567.1767509399069</v>
      </c>
      <c r="AS73" s="25">
        <f>IF(AM73=0,0,IF(AR$83&lt;=AO$83,AM73*(AR$83/AO$83)^1.5,AM73))</f>
        <v>0</v>
      </c>
      <c r="AT73" s="25">
        <f t="shared" si="65"/>
        <v>0</v>
      </c>
      <c r="AU73" s="14"/>
      <c r="AV73" s="26" t="s">
        <v>2</v>
      </c>
      <c r="AW73" s="27">
        <f t="shared" si="71"/>
        <v>0</v>
      </c>
      <c r="AX73" s="27">
        <f t="shared" si="66"/>
        <v>0</v>
      </c>
    </row>
    <row r="74" spans="10:50" x14ac:dyDescent="0.3">
      <c r="J74" s="126"/>
      <c r="K74" s="7"/>
      <c r="L74" s="96">
        <f t="shared" si="67"/>
        <v>0</v>
      </c>
      <c r="M74" s="57">
        <f t="shared" si="50"/>
        <v>0</v>
      </c>
      <c r="N74" s="55">
        <f t="shared" si="68"/>
        <v>0</v>
      </c>
      <c r="O74" s="63">
        <f t="shared" si="51"/>
        <v>0</v>
      </c>
      <c r="P74"/>
      <c r="Q74" s="14"/>
      <c r="R74" s="6" t="s">
        <v>63</v>
      </c>
      <c r="S74" s="24"/>
      <c r="T74" s="77"/>
      <c r="U74" s="76" t="str">
        <f t="shared" si="52"/>
        <v/>
      </c>
      <c r="V74" s="24">
        <f t="shared" si="53"/>
        <v>0</v>
      </c>
      <c r="W74" s="77">
        <f t="shared" si="54"/>
        <v>1</v>
      </c>
      <c r="X74" s="57">
        <f t="shared" si="55"/>
        <v>0</v>
      </c>
      <c r="Y74" s="25"/>
      <c r="Z74" s="25">
        <f t="shared" si="70"/>
        <v>0</v>
      </c>
      <c r="AA74" s="14"/>
      <c r="AB74" s="6" t="s">
        <v>63</v>
      </c>
      <c r="AC74" s="24">
        <f>L74</f>
        <v>0</v>
      </c>
      <c r="AD74" s="77">
        <f>IF($A30=$F$17,1+$F$18,1)</f>
        <v>1</v>
      </c>
      <c r="AE74" s="76">
        <f t="shared" si="56"/>
        <v>0</v>
      </c>
      <c r="AF74" s="24">
        <f t="shared" si="57"/>
        <v>0</v>
      </c>
      <c r="AG74" s="77">
        <f t="shared" si="58"/>
        <v>1</v>
      </c>
      <c r="AH74" s="57">
        <f t="shared" si="59"/>
        <v>0</v>
      </c>
      <c r="AI74" s="25">
        <f>IF(AC74=0,0,IF(AH$83&lt;=AE$83,AC74*(AH$83/AE$83)^1.5,AC74))</f>
        <v>0</v>
      </c>
      <c r="AJ74" s="25">
        <f t="shared" si="60"/>
        <v>0</v>
      </c>
      <c r="AK74" s="14"/>
      <c r="AL74" s="6" t="s">
        <v>63</v>
      </c>
      <c r="AM74" s="24"/>
      <c r="AN74" s="77"/>
      <c r="AO74" s="76" t="str">
        <f t="shared" si="61"/>
        <v/>
      </c>
      <c r="AP74" s="24">
        <f t="shared" si="62"/>
        <v>0</v>
      </c>
      <c r="AQ74" s="77">
        <f t="shared" si="63"/>
        <v>1</v>
      </c>
      <c r="AR74" s="57">
        <f t="shared" si="64"/>
        <v>0</v>
      </c>
      <c r="AS74" s="25"/>
      <c r="AT74" s="25">
        <f t="shared" si="65"/>
        <v>0</v>
      </c>
      <c r="AU74" s="14"/>
      <c r="AV74" s="26" t="s">
        <v>13</v>
      </c>
      <c r="AW74" s="27">
        <f t="shared" si="71"/>
        <v>0</v>
      </c>
      <c r="AX74" s="27">
        <f t="shared" si="66"/>
        <v>0</v>
      </c>
    </row>
    <row r="75" spans="10:50" x14ac:dyDescent="0.3">
      <c r="J75" s="126"/>
      <c r="K75" s="7"/>
      <c r="L75" s="96">
        <f t="shared" si="67"/>
        <v>0</v>
      </c>
      <c r="M75" s="57">
        <f t="shared" si="50"/>
        <v>0</v>
      </c>
      <c r="N75" s="55">
        <f t="shared" si="68"/>
        <v>0</v>
      </c>
      <c r="O75" s="63">
        <f t="shared" si="51"/>
        <v>0</v>
      </c>
      <c r="P75"/>
      <c r="Q75" s="14"/>
      <c r="R75" s="6" t="s">
        <v>64</v>
      </c>
      <c r="S75" s="24"/>
      <c r="T75" s="77"/>
      <c r="U75" s="76" t="str">
        <f t="shared" si="52"/>
        <v/>
      </c>
      <c r="V75" s="24">
        <f t="shared" si="53"/>
        <v>0</v>
      </c>
      <c r="W75" s="77">
        <f t="shared" si="54"/>
        <v>1</v>
      </c>
      <c r="X75" s="57">
        <f t="shared" si="55"/>
        <v>0</v>
      </c>
      <c r="Y75" s="25"/>
      <c r="Z75" s="25">
        <f t="shared" si="70"/>
        <v>0</v>
      </c>
      <c r="AA75" s="14"/>
      <c r="AB75" s="6" t="s">
        <v>64</v>
      </c>
      <c r="AC75" s="24"/>
      <c r="AD75" s="77"/>
      <c r="AE75" s="76" t="str">
        <f t="shared" si="56"/>
        <v/>
      </c>
      <c r="AF75" s="24">
        <f t="shared" si="57"/>
        <v>0</v>
      </c>
      <c r="AG75" s="77">
        <f t="shared" si="58"/>
        <v>1</v>
      </c>
      <c r="AH75" s="57">
        <f t="shared" si="59"/>
        <v>0</v>
      </c>
      <c r="AI75" s="25"/>
      <c r="AJ75" s="25">
        <f t="shared" si="60"/>
        <v>0</v>
      </c>
      <c r="AK75" s="14"/>
      <c r="AL75" s="6" t="s">
        <v>64</v>
      </c>
      <c r="AM75" s="24">
        <f>L75</f>
        <v>0</v>
      </c>
      <c r="AN75" s="77">
        <f>IF($A31=$F$17,1+$F$18,1)</f>
        <v>1</v>
      </c>
      <c r="AO75" s="76">
        <f t="shared" si="61"/>
        <v>0</v>
      </c>
      <c r="AP75" s="24">
        <f t="shared" si="62"/>
        <v>0</v>
      </c>
      <c r="AQ75" s="77">
        <f t="shared" si="63"/>
        <v>1</v>
      </c>
      <c r="AR75" s="57">
        <f t="shared" si="64"/>
        <v>0</v>
      </c>
      <c r="AS75" s="25">
        <f>IF(AM75=0,0,IF(AR$83&lt;=AO$83,AM75*(AR$83/AO$83)^1.5,AM75))</f>
        <v>0</v>
      </c>
      <c r="AT75" s="25">
        <f t="shared" si="65"/>
        <v>0</v>
      </c>
      <c r="AU75" s="14"/>
      <c r="AV75" s="26" t="s">
        <v>14</v>
      </c>
      <c r="AW75" s="27">
        <f t="shared" si="71"/>
        <v>0</v>
      </c>
      <c r="AX75" s="27">
        <f t="shared" si="66"/>
        <v>0</v>
      </c>
    </row>
    <row r="76" spans="10:50" x14ac:dyDescent="0.3">
      <c r="J76" s="126"/>
      <c r="K76" s="7"/>
      <c r="L76" s="96">
        <f t="shared" si="67"/>
        <v>0</v>
      </c>
      <c r="M76" s="57">
        <f t="shared" si="50"/>
        <v>0</v>
      </c>
      <c r="N76" s="55">
        <f t="shared" si="68"/>
        <v>0</v>
      </c>
      <c r="O76" s="63">
        <f t="shared" si="51"/>
        <v>0</v>
      </c>
      <c r="P76"/>
      <c r="Q76" s="14"/>
      <c r="R76" s="6" t="s">
        <v>65</v>
      </c>
      <c r="S76" s="24"/>
      <c r="T76" s="77"/>
      <c r="U76" s="76" t="str">
        <f t="shared" si="52"/>
        <v/>
      </c>
      <c r="V76" s="24">
        <f t="shared" si="53"/>
        <v>0</v>
      </c>
      <c r="W76" s="77">
        <f t="shared" si="54"/>
        <v>1</v>
      </c>
      <c r="X76" s="57">
        <f t="shared" si="55"/>
        <v>0</v>
      </c>
      <c r="Y76" s="25"/>
      <c r="Z76" s="25">
        <f t="shared" si="70"/>
        <v>0</v>
      </c>
      <c r="AA76" s="14"/>
      <c r="AB76" s="6" t="s">
        <v>65</v>
      </c>
      <c r="AC76" s="24">
        <f>L76</f>
        <v>0</v>
      </c>
      <c r="AD76" s="77">
        <f>IF($A32=$F$17,1+$F$18,1)</f>
        <v>1</v>
      </c>
      <c r="AE76" s="76">
        <f t="shared" si="56"/>
        <v>0</v>
      </c>
      <c r="AF76" s="24">
        <f t="shared" si="57"/>
        <v>0</v>
      </c>
      <c r="AG76" s="77">
        <f t="shared" si="58"/>
        <v>1</v>
      </c>
      <c r="AH76" s="57">
        <f t="shared" si="59"/>
        <v>0</v>
      </c>
      <c r="AI76" s="25">
        <f>IF(AC76=0,0,IF(AH$83&lt;=AE$83,AC76*(AH$83/AE$83)^1.5,AC76))</f>
        <v>0</v>
      </c>
      <c r="AJ76" s="25">
        <f t="shared" si="60"/>
        <v>0</v>
      </c>
      <c r="AK76" s="14"/>
      <c r="AL76" s="6" t="s">
        <v>65</v>
      </c>
      <c r="AM76" s="24"/>
      <c r="AN76" s="77"/>
      <c r="AO76" s="76" t="str">
        <f t="shared" si="61"/>
        <v/>
      </c>
      <c r="AP76" s="24">
        <f t="shared" si="62"/>
        <v>0</v>
      </c>
      <c r="AQ76" s="77">
        <f t="shared" si="63"/>
        <v>1</v>
      </c>
      <c r="AR76" s="57">
        <f t="shared" si="64"/>
        <v>0</v>
      </c>
      <c r="AS76" s="25"/>
      <c r="AT76" s="25">
        <f t="shared" si="65"/>
        <v>0</v>
      </c>
      <c r="AU76" s="14"/>
      <c r="AV76" s="26" t="s">
        <v>15</v>
      </c>
      <c r="AW76" s="27">
        <f t="shared" si="71"/>
        <v>0</v>
      </c>
      <c r="AX76" s="27">
        <f t="shared" si="66"/>
        <v>0</v>
      </c>
    </row>
    <row r="77" spans="10:50" x14ac:dyDescent="0.3">
      <c r="J77" s="126"/>
      <c r="K77" s="7"/>
      <c r="L77" s="96">
        <f t="shared" si="67"/>
        <v>0</v>
      </c>
      <c r="M77" s="57">
        <f t="shared" si="50"/>
        <v>0</v>
      </c>
      <c r="N77" s="55">
        <f t="shared" si="68"/>
        <v>0</v>
      </c>
      <c r="O77" s="63">
        <f t="shared" si="51"/>
        <v>0</v>
      </c>
      <c r="P77"/>
      <c r="Q77" s="14"/>
      <c r="R77" s="6" t="s">
        <v>66</v>
      </c>
      <c r="S77" s="24">
        <f t="shared" ref="S77" si="72">L77</f>
        <v>0</v>
      </c>
      <c r="T77" s="77">
        <f>IF($C$16="I",IF($A33=$E$17,1+$E$18,1),1)</f>
        <v>1</v>
      </c>
      <c r="U77" s="76">
        <f t="shared" ref="U77" si="73">IF(S77="","",S77*$E11*$C$29*T77)</f>
        <v>0</v>
      </c>
      <c r="V77" s="24">
        <f t="shared" ref="V77" si="74">N77*$M$43</f>
        <v>0</v>
      </c>
      <c r="W77" s="77">
        <f t="shared" si="54"/>
        <v>1</v>
      </c>
      <c r="X77" s="57">
        <f t="shared" si="55"/>
        <v>0</v>
      </c>
      <c r="Y77" s="25">
        <f t="shared" ref="Y77:Y82" si="75">IF(S77=0,0,IF(X$83&lt;=U$83,S77*(X$83/U$83)^1.5,S77))</f>
        <v>0</v>
      </c>
      <c r="Z77" s="25">
        <f t="shared" si="70"/>
        <v>0</v>
      </c>
      <c r="AA77" s="14"/>
      <c r="AB77" s="6" t="s">
        <v>66</v>
      </c>
      <c r="AC77" s="24"/>
      <c r="AD77" s="77"/>
      <c r="AE77" s="76" t="str">
        <f t="shared" si="56"/>
        <v/>
      </c>
      <c r="AF77" s="24">
        <f t="shared" si="57"/>
        <v>0</v>
      </c>
      <c r="AG77" s="77">
        <f t="shared" si="58"/>
        <v>1</v>
      </c>
      <c r="AH77" s="57">
        <f t="shared" si="59"/>
        <v>0</v>
      </c>
      <c r="AI77" s="25"/>
      <c r="AJ77" s="25">
        <f t="shared" si="60"/>
        <v>0</v>
      </c>
      <c r="AK77" s="14"/>
      <c r="AL77" s="6" t="s">
        <v>66</v>
      </c>
      <c r="AM77" s="24"/>
      <c r="AN77" s="77"/>
      <c r="AO77" s="76" t="str">
        <f t="shared" si="61"/>
        <v/>
      </c>
      <c r="AP77" s="24">
        <f t="shared" si="62"/>
        <v>0</v>
      </c>
      <c r="AQ77" s="77">
        <f t="shared" si="63"/>
        <v>1</v>
      </c>
      <c r="AR77" s="57">
        <f t="shared" si="64"/>
        <v>0</v>
      </c>
      <c r="AS77" s="25"/>
      <c r="AT77" s="25">
        <f t="shared" si="65"/>
        <v>0</v>
      </c>
      <c r="AU77" s="14"/>
      <c r="AV77" s="26" t="s">
        <v>16</v>
      </c>
      <c r="AW77" s="27">
        <f t="shared" si="71"/>
        <v>0</v>
      </c>
      <c r="AX77" s="27">
        <f t="shared" si="66"/>
        <v>0</v>
      </c>
    </row>
    <row r="78" spans="10:50" x14ac:dyDescent="0.3">
      <c r="J78" s="126"/>
      <c r="K78" s="7"/>
      <c r="L78" s="96"/>
      <c r="M78" s="57" t="str">
        <f t="shared" si="50"/>
        <v/>
      </c>
      <c r="N78" s="55">
        <f t="shared" si="68"/>
        <v>0</v>
      </c>
      <c r="O78" s="63">
        <f t="shared" si="51"/>
        <v>0</v>
      </c>
      <c r="P78"/>
      <c r="Q78" s="14"/>
      <c r="R78" s="6" t="s">
        <v>67</v>
      </c>
      <c r="S78" s="24"/>
      <c r="T78" s="77"/>
      <c r="U78" s="76" t="str">
        <f t="shared" si="52"/>
        <v/>
      </c>
      <c r="V78" s="24">
        <f t="shared" si="53"/>
        <v>0</v>
      </c>
      <c r="W78" s="77">
        <f t="shared" si="54"/>
        <v>1</v>
      </c>
      <c r="X78" s="57">
        <f t="shared" si="55"/>
        <v>0</v>
      </c>
      <c r="Y78" s="25">
        <f t="shared" si="75"/>
        <v>0</v>
      </c>
      <c r="Z78" s="25">
        <f t="shared" si="70"/>
        <v>0</v>
      </c>
      <c r="AA78" s="14"/>
      <c r="AB78" s="6" t="s">
        <v>67</v>
      </c>
      <c r="AC78" s="24"/>
      <c r="AD78" s="77"/>
      <c r="AE78" s="76" t="str">
        <f t="shared" si="56"/>
        <v/>
      </c>
      <c r="AF78" s="24">
        <f t="shared" si="57"/>
        <v>0</v>
      </c>
      <c r="AG78" s="77">
        <f t="shared" si="58"/>
        <v>1</v>
      </c>
      <c r="AH78" s="57">
        <f t="shared" si="59"/>
        <v>0</v>
      </c>
      <c r="AI78" s="25"/>
      <c r="AJ78" s="25">
        <f t="shared" si="60"/>
        <v>0</v>
      </c>
      <c r="AK78" s="14"/>
      <c r="AL78" s="6" t="s">
        <v>67</v>
      </c>
      <c r="AM78" s="24"/>
      <c r="AN78" s="77"/>
      <c r="AO78" s="76" t="str">
        <f t="shared" si="61"/>
        <v/>
      </c>
      <c r="AP78" s="24">
        <f t="shared" si="62"/>
        <v>0</v>
      </c>
      <c r="AQ78" s="77">
        <f t="shared" si="63"/>
        <v>1</v>
      </c>
      <c r="AR78" s="57">
        <f t="shared" si="64"/>
        <v>0</v>
      </c>
      <c r="AS78" s="25"/>
      <c r="AT78" s="25">
        <f t="shared" si="65"/>
        <v>0</v>
      </c>
      <c r="AU78" s="14"/>
      <c r="AV78" s="26" t="s">
        <v>17</v>
      </c>
      <c r="AW78" s="27">
        <f t="shared" si="71"/>
        <v>0</v>
      </c>
      <c r="AX78" s="27">
        <f t="shared" si="66"/>
        <v>0</v>
      </c>
    </row>
    <row r="79" spans="10:50" x14ac:dyDescent="0.3">
      <c r="J79" s="126"/>
      <c r="K79" s="7"/>
      <c r="L79" s="96">
        <f t="shared" si="67"/>
        <v>0</v>
      </c>
      <c r="M79" s="57">
        <f t="shared" si="50"/>
        <v>0</v>
      </c>
      <c r="N79" s="55">
        <f t="shared" si="68"/>
        <v>0</v>
      </c>
      <c r="O79" s="63">
        <f t="shared" si="51"/>
        <v>0</v>
      </c>
      <c r="P79"/>
      <c r="Q79" s="14"/>
      <c r="R79" s="6" t="s">
        <v>69</v>
      </c>
      <c r="S79" s="24">
        <f t="shared" ref="S79:S81" si="76">L79</f>
        <v>0</v>
      </c>
      <c r="T79" s="77">
        <f>IF($C$16="I",IF($A35=$E$17,1+$E$18,1),1)</f>
        <v>1</v>
      </c>
      <c r="U79" s="76">
        <f t="shared" si="52"/>
        <v>0</v>
      </c>
      <c r="V79" s="24">
        <f t="shared" si="53"/>
        <v>0</v>
      </c>
      <c r="W79" s="77">
        <f t="shared" si="54"/>
        <v>1</v>
      </c>
      <c r="X79" s="57">
        <f t="shared" si="55"/>
        <v>0</v>
      </c>
      <c r="Y79" s="25">
        <f t="shared" si="75"/>
        <v>0</v>
      </c>
      <c r="Z79" s="25">
        <f t="shared" si="70"/>
        <v>0</v>
      </c>
      <c r="AA79" s="14"/>
      <c r="AB79" s="6" t="s">
        <v>69</v>
      </c>
      <c r="AC79" s="24"/>
      <c r="AD79" s="77"/>
      <c r="AE79" s="76" t="str">
        <f t="shared" si="56"/>
        <v/>
      </c>
      <c r="AF79" s="24">
        <f t="shared" si="57"/>
        <v>0</v>
      </c>
      <c r="AG79" s="77">
        <f t="shared" si="58"/>
        <v>1</v>
      </c>
      <c r="AH79" s="57">
        <f t="shared" si="59"/>
        <v>0</v>
      </c>
      <c r="AI79" s="25"/>
      <c r="AJ79" s="25">
        <f t="shared" si="60"/>
        <v>0</v>
      </c>
      <c r="AK79" s="14"/>
      <c r="AL79" s="6" t="s">
        <v>69</v>
      </c>
      <c r="AM79" s="24"/>
      <c r="AN79" s="77"/>
      <c r="AO79" s="76" t="str">
        <f t="shared" si="61"/>
        <v/>
      </c>
      <c r="AP79" s="24">
        <f t="shared" si="62"/>
        <v>0</v>
      </c>
      <c r="AQ79" s="77">
        <f t="shared" si="63"/>
        <v>1</v>
      </c>
      <c r="AR79" s="57">
        <f t="shared" si="64"/>
        <v>0</v>
      </c>
      <c r="AS79" s="25"/>
      <c r="AT79" s="25">
        <f t="shared" si="65"/>
        <v>0</v>
      </c>
      <c r="AU79" s="14"/>
      <c r="AV79" s="26" t="s">
        <v>18</v>
      </c>
      <c r="AW79" s="27">
        <f>AS79+AI79+Y79</f>
        <v>0</v>
      </c>
      <c r="AX79" s="27">
        <f t="shared" si="66"/>
        <v>0</v>
      </c>
    </row>
    <row r="80" spans="10:50" x14ac:dyDescent="0.3">
      <c r="J80" s="126"/>
      <c r="K80" s="7"/>
      <c r="L80" s="96"/>
      <c r="M80" s="57" t="str">
        <f t="shared" si="50"/>
        <v/>
      </c>
      <c r="N80" s="55">
        <f t="shared" si="68"/>
        <v>0</v>
      </c>
      <c r="O80" s="63">
        <f t="shared" si="51"/>
        <v>0</v>
      </c>
      <c r="P80"/>
      <c r="Q80" s="14"/>
      <c r="R80" s="6" t="s">
        <v>19</v>
      </c>
      <c r="S80" s="24"/>
      <c r="T80" s="77"/>
      <c r="U80" s="76" t="str">
        <f t="shared" si="52"/>
        <v/>
      </c>
      <c r="V80" s="24">
        <f>MAX(0,($N80-$L77)*$M$87)</f>
        <v>0</v>
      </c>
      <c r="W80" s="77">
        <f t="shared" si="54"/>
        <v>1</v>
      </c>
      <c r="X80" s="57">
        <f t="shared" si="55"/>
        <v>0</v>
      </c>
      <c r="Y80" s="25">
        <f t="shared" si="75"/>
        <v>0</v>
      </c>
      <c r="Z80" s="25">
        <f t="shared" si="70"/>
        <v>0</v>
      </c>
      <c r="AA80" s="14"/>
      <c r="AB80" s="6" t="s">
        <v>19</v>
      </c>
      <c r="AC80" s="24"/>
      <c r="AD80" s="77"/>
      <c r="AE80" s="76" t="str">
        <f t="shared" si="56"/>
        <v/>
      </c>
      <c r="AF80" s="24">
        <f>MAX(0,($N80-$L77)*$M$87)</f>
        <v>0</v>
      </c>
      <c r="AG80" s="77">
        <f t="shared" si="58"/>
        <v>1</v>
      </c>
      <c r="AH80" s="57">
        <f t="shared" si="59"/>
        <v>0</v>
      </c>
      <c r="AI80" s="25"/>
      <c r="AJ80" s="25">
        <f t="shared" si="60"/>
        <v>0</v>
      </c>
      <c r="AK80" s="14"/>
      <c r="AL80" s="6" t="s">
        <v>19</v>
      </c>
      <c r="AM80" s="24"/>
      <c r="AN80" s="77"/>
      <c r="AO80" s="76" t="str">
        <f t="shared" si="61"/>
        <v/>
      </c>
      <c r="AP80" s="24">
        <f>MAX(0,($N80-$L77)*$M$87)</f>
        <v>0</v>
      </c>
      <c r="AQ80" s="77">
        <f t="shared" si="63"/>
        <v>1</v>
      </c>
      <c r="AR80" s="57">
        <f t="shared" si="64"/>
        <v>0</v>
      </c>
      <c r="AS80" s="25"/>
      <c r="AT80" s="25">
        <f t="shared" si="65"/>
        <v>0</v>
      </c>
      <c r="AU80" s="14"/>
      <c r="AV80" s="26" t="s">
        <v>19</v>
      </c>
      <c r="AW80" s="27">
        <f>AS80+AI80+Y80</f>
        <v>0</v>
      </c>
      <c r="AX80" s="27">
        <f t="shared" si="66"/>
        <v>0</v>
      </c>
    </row>
    <row r="81" spans="10:50" x14ac:dyDescent="0.3">
      <c r="J81" s="126"/>
      <c r="K81" s="7"/>
      <c r="L81" s="96">
        <f t="shared" si="67"/>
        <v>0</v>
      </c>
      <c r="M81" s="57">
        <f t="shared" si="50"/>
        <v>0</v>
      </c>
      <c r="N81" s="55">
        <f t="shared" si="68"/>
        <v>0</v>
      </c>
      <c r="O81" s="63">
        <f t="shared" si="51"/>
        <v>0</v>
      </c>
      <c r="P81"/>
      <c r="Q81" s="14"/>
      <c r="R81" s="6" t="s">
        <v>68</v>
      </c>
      <c r="S81" s="24">
        <f t="shared" si="76"/>
        <v>0</v>
      </c>
      <c r="T81" s="77">
        <f>IF($C$16="I",IF($A37=$E$17,1+$E$18,1),1)</f>
        <v>1</v>
      </c>
      <c r="U81" s="76">
        <f t="shared" si="52"/>
        <v>0</v>
      </c>
      <c r="V81" s="24">
        <f>N81*$M$43</f>
        <v>0</v>
      </c>
      <c r="W81" s="77">
        <f t="shared" si="54"/>
        <v>1</v>
      </c>
      <c r="X81" s="57">
        <f t="shared" si="55"/>
        <v>0</v>
      </c>
      <c r="Y81" s="25">
        <f t="shared" si="75"/>
        <v>0</v>
      </c>
      <c r="Z81" s="25">
        <f t="shared" si="70"/>
        <v>0</v>
      </c>
      <c r="AA81" s="14"/>
      <c r="AB81" s="6" t="s">
        <v>68</v>
      </c>
      <c r="AC81" s="24"/>
      <c r="AD81" s="77"/>
      <c r="AE81" s="76" t="str">
        <f t="shared" si="56"/>
        <v/>
      </c>
      <c r="AF81" s="24">
        <f>$N$43*N81+V81-Z81</f>
        <v>0</v>
      </c>
      <c r="AG81" s="77">
        <f t="shared" si="58"/>
        <v>1</v>
      </c>
      <c r="AH81" s="57">
        <f t="shared" si="59"/>
        <v>0</v>
      </c>
      <c r="AI81" s="25"/>
      <c r="AJ81" s="25">
        <f t="shared" si="60"/>
        <v>0</v>
      </c>
      <c r="AK81" s="14"/>
      <c r="AL81" s="6" t="s">
        <v>68</v>
      </c>
      <c r="AM81" s="24"/>
      <c r="AN81" s="77"/>
      <c r="AO81" s="76" t="str">
        <f t="shared" si="61"/>
        <v/>
      </c>
      <c r="AP81" s="24">
        <f>$O$43*N81+AF81-AJ81</f>
        <v>0</v>
      </c>
      <c r="AQ81" s="77">
        <f t="shared" si="63"/>
        <v>1</v>
      </c>
      <c r="AR81" s="57">
        <f t="shared" si="64"/>
        <v>0</v>
      </c>
      <c r="AS81" s="25"/>
      <c r="AT81" s="25">
        <f t="shared" si="65"/>
        <v>0</v>
      </c>
      <c r="AU81" s="14"/>
      <c r="AV81" s="26" t="s">
        <v>20</v>
      </c>
      <c r="AW81" s="27">
        <f>AS81+AI81+Y81</f>
        <v>0</v>
      </c>
      <c r="AX81" s="27">
        <f t="shared" si="66"/>
        <v>0</v>
      </c>
    </row>
    <row r="82" spans="10:50" x14ac:dyDescent="0.3">
      <c r="J82" s="126"/>
      <c r="K82" s="7"/>
      <c r="L82" s="97">
        <f t="shared" si="67"/>
        <v>0</v>
      </c>
      <c r="M82" s="98">
        <f t="shared" si="50"/>
        <v>0</v>
      </c>
      <c r="N82" s="64">
        <f t="shared" si="68"/>
        <v>0.17111298755909887</v>
      </c>
      <c r="O82" s="66">
        <f t="shared" si="51"/>
        <v>0.17111298755909887</v>
      </c>
      <c r="P82"/>
      <c r="Q82" s="14"/>
      <c r="R82" s="6" t="s">
        <v>21</v>
      </c>
      <c r="S82" s="24">
        <f>SUMIF($C60,"I",$L82)</f>
        <v>0</v>
      </c>
      <c r="T82" s="77">
        <f>IF($C$16="I",IF($A38=$E$17,1+$E$18,1),1)</f>
        <v>1</v>
      </c>
      <c r="U82" s="76">
        <f t="shared" si="52"/>
        <v>0</v>
      </c>
      <c r="V82" s="24">
        <f>N82*$M$43</f>
        <v>0.17111298755909887</v>
      </c>
      <c r="W82" s="77">
        <f t="shared" si="54"/>
        <v>1</v>
      </c>
      <c r="X82" s="57">
        <f t="shared" si="55"/>
        <v>66.306282679150826</v>
      </c>
      <c r="Y82" s="25">
        <f t="shared" si="75"/>
        <v>0</v>
      </c>
      <c r="Z82" s="25">
        <f t="shared" si="70"/>
        <v>0</v>
      </c>
      <c r="AA82" s="14"/>
      <c r="AB82" s="6" t="s">
        <v>21</v>
      </c>
      <c r="AC82" s="24">
        <f>SUMIF($C60,"C",$L82)</f>
        <v>0</v>
      </c>
      <c r="AD82" s="77">
        <v>1</v>
      </c>
      <c r="AE82" s="76">
        <f t="shared" si="56"/>
        <v>0</v>
      </c>
      <c r="AF82" s="24">
        <f>$N$43*N82+V82-Z82</f>
        <v>0.17111298755909887</v>
      </c>
      <c r="AG82" s="77">
        <f t="shared" si="58"/>
        <v>1</v>
      </c>
      <c r="AH82" s="57">
        <f t="shared" si="59"/>
        <v>106.0900522866413</v>
      </c>
      <c r="AI82" s="25">
        <f>IF(AC82=0,0,IF(AH$83&lt;=AE$83,AC82*(AH$83/AE$83)^1.5,AC82))</f>
        <v>0</v>
      </c>
      <c r="AJ82" s="25">
        <f t="shared" si="60"/>
        <v>0</v>
      </c>
      <c r="AK82" s="14"/>
      <c r="AL82" s="6" t="s">
        <v>21</v>
      </c>
      <c r="AM82" s="24">
        <f>SUMIF($C60,"A",$L82)</f>
        <v>0</v>
      </c>
      <c r="AN82" s="77">
        <v>1</v>
      </c>
      <c r="AO82" s="76">
        <f t="shared" si="61"/>
        <v>0</v>
      </c>
      <c r="AP82" s="24">
        <f>$O$43*N82+AF82-AJ82</f>
        <v>0.17111298755909887</v>
      </c>
      <c r="AQ82" s="77">
        <f t="shared" si="63"/>
        <v>1</v>
      </c>
      <c r="AR82" s="57">
        <f t="shared" si="64"/>
        <v>39.783769607490491</v>
      </c>
      <c r="AS82" s="25">
        <f>IF(AM82=0,0,IF(AR$83&lt;=AO$83,AM82*(AR$83/AO$83)^1.5,AM82))</f>
        <v>0</v>
      </c>
      <c r="AT82" s="25">
        <f t="shared" si="65"/>
        <v>0</v>
      </c>
      <c r="AU82" s="14"/>
      <c r="AV82" s="26" t="s">
        <v>21</v>
      </c>
      <c r="AW82" s="27">
        <f>AS82+AI82+Y82</f>
        <v>0</v>
      </c>
      <c r="AX82" s="27">
        <f t="shared" si="66"/>
        <v>0</v>
      </c>
    </row>
    <row r="83" spans="10:50" x14ac:dyDescent="0.3">
      <c r="J83" s="126"/>
      <c r="K83" s="7"/>
      <c r="L83" s="5">
        <f>SUM(L70:L82)</f>
        <v>0</v>
      </c>
      <c r="M83" s="5"/>
      <c r="N83" s="5">
        <f>SUM(N70:N82)</f>
        <v>567.92400570864913</v>
      </c>
      <c r="O83" s="5"/>
      <c r="P83" s="5"/>
      <c r="Q83" s="14"/>
      <c r="U83" s="16">
        <f>SUM(U70:U82)</f>
        <v>0</v>
      </c>
      <c r="X83" s="16">
        <f>SUM(X70:X82)+VLOOKUP($C$25,Data!$R$1:$U$22,4,FALSE)</f>
        <v>34552.894061296705</v>
      </c>
      <c r="AA83" s="14"/>
      <c r="AE83" s="16">
        <f>SUM(AE70:AE82)</f>
        <v>0</v>
      </c>
      <c r="AH83" s="16">
        <f>SUM(AH70:AH82)+VLOOKUP($C$25,Data!$R$1:$U$22,4,FALSE)</f>
        <v>20835.45030063398</v>
      </c>
      <c r="AK83" s="14"/>
      <c r="AO83" s="16">
        <f>SUM(AO70:AO82)</f>
        <v>0</v>
      </c>
      <c r="AR83" s="16">
        <f>SUM(AR70:AR82)+VLOOKUP($C$25,Data!$R$1:$U$22,4,FALSE)</f>
        <v>21794.239148174496</v>
      </c>
      <c r="AU83" s="14"/>
    </row>
    <row r="84" spans="10:50" x14ac:dyDescent="0.3">
      <c r="J84" s="126"/>
      <c r="Q84" s="14"/>
      <c r="U84" s="37" t="s">
        <v>31</v>
      </c>
      <c r="X84" s="37" t="s">
        <v>34</v>
      </c>
      <c r="AA84" s="14"/>
      <c r="AE84" s="37" t="s">
        <v>32</v>
      </c>
      <c r="AH84" s="15" t="s">
        <v>35</v>
      </c>
      <c r="AK84" s="14"/>
      <c r="AO84" s="37" t="s">
        <v>33</v>
      </c>
      <c r="AR84" s="37" t="s">
        <v>36</v>
      </c>
      <c r="AU84" s="14"/>
    </row>
    <row r="85" spans="10:50" x14ac:dyDescent="0.3">
      <c r="J85" s="126"/>
      <c r="L85" s="68" t="s">
        <v>28</v>
      </c>
      <c r="M85" s="71" t="s">
        <v>8</v>
      </c>
      <c r="N85" s="69" t="s">
        <v>9</v>
      </c>
      <c r="O85" s="70" t="s">
        <v>10</v>
      </c>
      <c r="Q85" s="14"/>
      <c r="U85" s="37"/>
      <c r="X85" s="37"/>
      <c r="AA85" s="14"/>
      <c r="AH85" s="15"/>
      <c r="AK85" s="14"/>
      <c r="AU85" s="14"/>
    </row>
    <row r="86" spans="10:50" x14ac:dyDescent="0.3">
      <c r="J86" s="126"/>
      <c r="L86" s="67" t="s">
        <v>3</v>
      </c>
      <c r="M86" s="99">
        <f>SUM(M70:M72)+SUM(M77:M81)</f>
        <v>0</v>
      </c>
      <c r="N86" s="100">
        <f>SUM(M74,M76)</f>
        <v>0</v>
      </c>
      <c r="O86" s="101">
        <f>SUM(M73,M75)</f>
        <v>0</v>
      </c>
      <c r="Q86" s="14"/>
      <c r="AA86" s="14"/>
      <c r="AK86" s="14"/>
      <c r="AU86" s="14"/>
    </row>
    <row r="87" spans="10:50" x14ac:dyDescent="0.3">
      <c r="J87" s="126"/>
      <c r="L87" s="72" t="s">
        <v>23</v>
      </c>
      <c r="M87" s="73">
        <f>M86/SUM($M$42:$O$42)</f>
        <v>0</v>
      </c>
      <c r="N87" s="74">
        <f>N86/SUM($M$42:$O$42)</f>
        <v>0</v>
      </c>
      <c r="O87" s="75">
        <f>O86/SUM($M$42:$O$42)</f>
        <v>0</v>
      </c>
      <c r="Q87" s="14"/>
      <c r="AA87" s="14"/>
      <c r="AK87" s="14"/>
    </row>
    <row r="88" spans="10:50" x14ac:dyDescent="0.3">
      <c r="J88" s="126"/>
      <c r="L88" s="39"/>
      <c r="M88" s="91" t="s">
        <v>26</v>
      </c>
      <c r="N88" s="92" t="s">
        <v>5</v>
      </c>
      <c r="O88" s="93" t="s">
        <v>27</v>
      </c>
      <c r="Q88" s="14"/>
      <c r="AA88" s="14"/>
      <c r="AK88" s="14"/>
    </row>
    <row r="89" spans="10:50" x14ac:dyDescent="0.3"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</row>
    <row r="90" spans="10:50" x14ac:dyDescent="0.3">
      <c r="J90" s="126" t="s">
        <v>95</v>
      </c>
      <c r="K90" s="90"/>
      <c r="L90" s="127" t="s">
        <v>28</v>
      </c>
      <c r="M90" s="128"/>
      <c r="N90" s="127" t="s">
        <v>30</v>
      </c>
      <c r="O90" s="128"/>
      <c r="P90"/>
    </row>
    <row r="91" spans="10:50" x14ac:dyDescent="0.3">
      <c r="J91" s="126"/>
      <c r="K91" s="5"/>
      <c r="L91" s="55" t="s">
        <v>29</v>
      </c>
      <c r="M91" s="56" t="s">
        <v>3</v>
      </c>
      <c r="N91" s="55" t="s">
        <v>29</v>
      </c>
      <c r="O91" s="63" t="s">
        <v>3</v>
      </c>
      <c r="P91"/>
      <c r="R91" s="19" t="s">
        <v>47</v>
      </c>
      <c r="U91" s="17" t="s">
        <v>28</v>
      </c>
      <c r="X91" s="23" t="s">
        <v>30</v>
      </c>
    </row>
    <row r="92" spans="10:50" x14ac:dyDescent="0.3">
      <c r="J92" s="126"/>
      <c r="K92" s="7"/>
      <c r="L92" s="95">
        <f>L70-AW70</f>
        <v>0</v>
      </c>
      <c r="M92" s="56">
        <f t="shared" ref="M92:M104" si="77">IF(L92="","",L92*D4)</f>
        <v>0</v>
      </c>
      <c r="N92" s="95">
        <f>N70-AX70</f>
        <v>229.63362930431072</v>
      </c>
      <c r="O92" s="63">
        <f t="shared" ref="O92:O104" si="78">IF(N92="","",N92*D4)</f>
        <v>229.63362930431072</v>
      </c>
      <c r="P92"/>
      <c r="R92" s="26" t="s">
        <v>11</v>
      </c>
      <c r="U92" s="27">
        <f>L4-L92</f>
        <v>0</v>
      </c>
      <c r="V92" s="109">
        <f t="shared" ref="V92:V104" si="79">IF(U92="","",U92*D4)</f>
        <v>0</v>
      </c>
      <c r="X92" s="27">
        <f>N4-N92</f>
        <v>1112.3663706956893</v>
      </c>
      <c r="Y92" s="2">
        <f t="shared" ref="Y92:Y104" si="80">IF(X92="","",X92*D4)</f>
        <v>1112.3663706956893</v>
      </c>
    </row>
    <row r="93" spans="10:50" x14ac:dyDescent="0.3">
      <c r="J93" s="126"/>
      <c r="K93" s="7"/>
      <c r="L93" s="96">
        <f t="shared" ref="L93:L104" si="81">L71-AW71</f>
        <v>0</v>
      </c>
      <c r="M93" s="57">
        <f t="shared" si="77"/>
        <v>0</v>
      </c>
      <c r="N93" s="55">
        <f t="shared" ref="N93:N104" si="82">N71-AX71</f>
        <v>289.00983598731796</v>
      </c>
      <c r="O93" s="63">
        <f t="shared" si="78"/>
        <v>289.00983598731796</v>
      </c>
      <c r="P93"/>
      <c r="R93" s="26" t="s">
        <v>49</v>
      </c>
      <c r="U93" s="27">
        <f t="shared" ref="U93:U104" si="83">L5-L93</f>
        <v>0</v>
      </c>
      <c r="V93" s="109">
        <f t="shared" si="79"/>
        <v>0</v>
      </c>
      <c r="X93" s="27">
        <f t="shared" ref="X93:X104" si="84">N5-N93</f>
        <v>1399.990164012682</v>
      </c>
      <c r="Y93" s="2">
        <f t="shared" si="80"/>
        <v>1399.990164012682</v>
      </c>
    </row>
    <row r="94" spans="10:50" x14ac:dyDescent="0.3">
      <c r="J94" s="126"/>
      <c r="K94" s="7"/>
      <c r="L94" s="96">
        <f t="shared" si="81"/>
        <v>0</v>
      </c>
      <c r="M94" s="57">
        <f t="shared" si="77"/>
        <v>0</v>
      </c>
      <c r="N94" s="55">
        <f t="shared" si="82"/>
        <v>0</v>
      </c>
      <c r="O94" s="63">
        <f t="shared" si="78"/>
        <v>0</v>
      </c>
      <c r="P94"/>
      <c r="R94" s="26" t="s">
        <v>12</v>
      </c>
      <c r="U94" s="27">
        <f t="shared" si="83"/>
        <v>4000</v>
      </c>
      <c r="V94" s="109">
        <f t="shared" si="79"/>
        <v>4000</v>
      </c>
      <c r="X94" s="27">
        <f t="shared" si="84"/>
        <v>0</v>
      </c>
      <c r="Y94" s="2">
        <f t="shared" si="80"/>
        <v>0</v>
      </c>
    </row>
    <row r="95" spans="10:50" x14ac:dyDescent="0.3">
      <c r="J95" s="126"/>
      <c r="K95" s="7"/>
      <c r="L95" s="96">
        <f t="shared" si="81"/>
        <v>0</v>
      </c>
      <c r="M95" s="57">
        <f t="shared" si="77"/>
        <v>0</v>
      </c>
      <c r="N95" s="55">
        <f t="shared" si="82"/>
        <v>49.109427429461363</v>
      </c>
      <c r="O95" s="63">
        <f t="shared" si="78"/>
        <v>49.109427429461363</v>
      </c>
      <c r="P95"/>
      <c r="R95" s="26" t="s">
        <v>2</v>
      </c>
      <c r="U95" s="27">
        <f t="shared" si="83"/>
        <v>0</v>
      </c>
      <c r="V95" s="109">
        <f t="shared" si="79"/>
        <v>0</v>
      </c>
      <c r="X95" s="27">
        <f t="shared" si="84"/>
        <v>237.89057257053864</v>
      </c>
      <c r="Y95" s="2">
        <f t="shared" si="80"/>
        <v>237.89057257053864</v>
      </c>
    </row>
    <row r="96" spans="10:50" x14ac:dyDescent="0.3">
      <c r="J96" s="126"/>
      <c r="K96" s="7"/>
      <c r="L96" s="96">
        <f t="shared" si="81"/>
        <v>0</v>
      </c>
      <c r="M96" s="57">
        <f t="shared" si="77"/>
        <v>0</v>
      </c>
      <c r="N96" s="55">
        <f t="shared" si="82"/>
        <v>0</v>
      </c>
      <c r="O96" s="63">
        <f t="shared" si="78"/>
        <v>0</v>
      </c>
      <c r="P96"/>
      <c r="R96" s="26" t="s">
        <v>13</v>
      </c>
      <c r="U96" s="27">
        <f t="shared" si="83"/>
        <v>0</v>
      </c>
      <c r="V96" s="109">
        <f t="shared" si="79"/>
        <v>0</v>
      </c>
      <c r="X96" s="27">
        <f t="shared" si="84"/>
        <v>0</v>
      </c>
      <c r="Y96" s="2">
        <f t="shared" si="80"/>
        <v>0</v>
      </c>
    </row>
    <row r="97" spans="10:50" x14ac:dyDescent="0.3">
      <c r="J97" s="126"/>
      <c r="K97" s="7"/>
      <c r="L97" s="96">
        <f t="shared" si="81"/>
        <v>0</v>
      </c>
      <c r="M97" s="57">
        <f t="shared" si="77"/>
        <v>0</v>
      </c>
      <c r="N97" s="55">
        <f t="shared" si="82"/>
        <v>0</v>
      </c>
      <c r="O97" s="63">
        <f t="shared" si="78"/>
        <v>0</v>
      </c>
      <c r="P97"/>
      <c r="R97" s="26" t="s">
        <v>14</v>
      </c>
      <c r="U97" s="27">
        <f t="shared" si="83"/>
        <v>0</v>
      </c>
      <c r="V97" s="109">
        <f t="shared" si="79"/>
        <v>0</v>
      </c>
      <c r="X97" s="27">
        <f t="shared" si="84"/>
        <v>0</v>
      </c>
      <c r="Y97" s="2">
        <f t="shared" si="80"/>
        <v>0</v>
      </c>
    </row>
    <row r="98" spans="10:50" x14ac:dyDescent="0.3">
      <c r="J98" s="126"/>
      <c r="K98" s="7"/>
      <c r="L98" s="96">
        <f t="shared" si="81"/>
        <v>0</v>
      </c>
      <c r="M98" s="57">
        <f t="shared" si="77"/>
        <v>0</v>
      </c>
      <c r="N98" s="55">
        <f t="shared" si="82"/>
        <v>0</v>
      </c>
      <c r="O98" s="63">
        <f t="shared" si="78"/>
        <v>0</v>
      </c>
      <c r="P98"/>
      <c r="R98" s="26" t="s">
        <v>15</v>
      </c>
      <c r="U98" s="27">
        <f t="shared" si="83"/>
        <v>0</v>
      </c>
      <c r="V98" s="109">
        <f t="shared" si="79"/>
        <v>0</v>
      </c>
      <c r="X98" s="27">
        <f t="shared" si="84"/>
        <v>0</v>
      </c>
      <c r="Y98" s="2">
        <f t="shared" si="80"/>
        <v>0</v>
      </c>
    </row>
    <row r="99" spans="10:50" x14ac:dyDescent="0.3">
      <c r="J99" s="126"/>
      <c r="K99" s="7"/>
      <c r="L99" s="96">
        <f>L77-AW77</f>
        <v>0</v>
      </c>
      <c r="M99" s="57">
        <f t="shared" si="77"/>
        <v>0</v>
      </c>
      <c r="N99" s="55">
        <f t="shared" si="82"/>
        <v>0</v>
      </c>
      <c r="O99" s="63">
        <f t="shared" si="78"/>
        <v>0</v>
      </c>
      <c r="P99"/>
      <c r="R99" s="26" t="s">
        <v>16</v>
      </c>
      <c r="U99" s="27">
        <f>Y11+Y33+Y55+Y77</f>
        <v>0</v>
      </c>
      <c r="V99" s="109">
        <f t="shared" si="79"/>
        <v>0</v>
      </c>
      <c r="X99" s="27">
        <f t="shared" si="84"/>
        <v>0</v>
      </c>
      <c r="Y99" s="2">
        <f t="shared" si="80"/>
        <v>0</v>
      </c>
    </row>
    <row r="100" spans="10:50" x14ac:dyDescent="0.3">
      <c r="J100" s="126"/>
      <c r="K100" s="7"/>
      <c r="L100" s="96"/>
      <c r="M100" s="57" t="str">
        <f t="shared" si="77"/>
        <v/>
      </c>
      <c r="N100" s="55">
        <f t="shared" si="82"/>
        <v>0</v>
      </c>
      <c r="O100" s="63">
        <f t="shared" si="78"/>
        <v>0</v>
      </c>
      <c r="P100"/>
      <c r="R100" s="26" t="s">
        <v>17</v>
      </c>
      <c r="U100" s="27">
        <f>Y12</f>
        <v>0</v>
      </c>
      <c r="V100" s="109">
        <f t="shared" si="79"/>
        <v>0</v>
      </c>
      <c r="X100" s="27">
        <f t="shared" si="84"/>
        <v>0</v>
      </c>
      <c r="Y100" s="2">
        <f t="shared" si="80"/>
        <v>0</v>
      </c>
    </row>
    <row r="101" spans="10:50" x14ac:dyDescent="0.3">
      <c r="J101" s="126"/>
      <c r="K101" s="7"/>
      <c r="L101" s="96">
        <f t="shared" si="81"/>
        <v>0</v>
      </c>
      <c r="M101" s="57">
        <f t="shared" si="77"/>
        <v>0</v>
      </c>
      <c r="N101" s="55">
        <f t="shared" si="82"/>
        <v>0</v>
      </c>
      <c r="O101" s="63">
        <f t="shared" si="78"/>
        <v>0</v>
      </c>
      <c r="P101"/>
      <c r="R101" s="26" t="s">
        <v>18</v>
      </c>
      <c r="U101" s="27">
        <f t="shared" si="83"/>
        <v>0</v>
      </c>
      <c r="V101" s="109">
        <f t="shared" si="79"/>
        <v>0</v>
      </c>
      <c r="X101" s="27">
        <f t="shared" si="84"/>
        <v>0</v>
      </c>
      <c r="Y101" s="2">
        <f t="shared" si="80"/>
        <v>0</v>
      </c>
    </row>
    <row r="102" spans="10:50" x14ac:dyDescent="0.3">
      <c r="J102" s="126"/>
      <c r="K102" s="7"/>
      <c r="L102" s="96"/>
      <c r="M102" s="57" t="str">
        <f t="shared" si="77"/>
        <v/>
      </c>
      <c r="N102" s="55">
        <f t="shared" si="82"/>
        <v>0</v>
      </c>
      <c r="O102" s="63">
        <f t="shared" si="78"/>
        <v>0</v>
      </c>
      <c r="P102"/>
      <c r="R102" s="26" t="s">
        <v>19</v>
      </c>
      <c r="U102" s="27">
        <f>Y14</f>
        <v>0</v>
      </c>
      <c r="V102" s="109">
        <f t="shared" si="79"/>
        <v>0</v>
      </c>
      <c r="X102" s="27">
        <f t="shared" si="84"/>
        <v>0</v>
      </c>
      <c r="Y102" s="2">
        <f t="shared" si="80"/>
        <v>0</v>
      </c>
    </row>
    <row r="103" spans="10:50" x14ac:dyDescent="0.3">
      <c r="J103" s="126"/>
      <c r="K103" s="7"/>
      <c r="L103" s="96">
        <f t="shared" si="81"/>
        <v>0</v>
      </c>
      <c r="M103" s="57">
        <f t="shared" si="77"/>
        <v>0</v>
      </c>
      <c r="N103" s="55">
        <f t="shared" si="82"/>
        <v>0</v>
      </c>
      <c r="O103" s="63">
        <f t="shared" si="78"/>
        <v>0</v>
      </c>
      <c r="P103"/>
      <c r="R103" s="26" t="s">
        <v>20</v>
      </c>
      <c r="U103" s="103" t="str">
        <f>IF(L37=0,"0",IF(U105/L39&lt;=0.5,0,U105/L39))</f>
        <v>0</v>
      </c>
      <c r="V103" s="109">
        <f t="shared" si="79"/>
        <v>0</v>
      </c>
      <c r="X103" s="27">
        <f>N15-N103</f>
        <v>0</v>
      </c>
      <c r="Y103" s="2">
        <f t="shared" si="80"/>
        <v>0</v>
      </c>
    </row>
    <row r="104" spans="10:50" x14ac:dyDescent="0.3">
      <c r="J104" s="126"/>
      <c r="K104" s="7"/>
      <c r="L104" s="97">
        <f t="shared" si="81"/>
        <v>0</v>
      </c>
      <c r="M104" s="98">
        <f t="shared" si="77"/>
        <v>0</v>
      </c>
      <c r="N104" s="64">
        <f t="shared" si="82"/>
        <v>0.17111298755909887</v>
      </c>
      <c r="O104" s="66">
        <f t="shared" si="78"/>
        <v>0.17111298755909887</v>
      </c>
      <c r="P104"/>
      <c r="R104" s="26" t="s">
        <v>21</v>
      </c>
      <c r="U104" s="27">
        <f t="shared" si="83"/>
        <v>0</v>
      </c>
      <c r="V104" s="109">
        <f t="shared" si="79"/>
        <v>0</v>
      </c>
      <c r="X104" s="27">
        <f t="shared" si="84"/>
        <v>0.82888701244090113</v>
      </c>
      <c r="Y104" s="2">
        <f t="shared" si="80"/>
        <v>0.82888701244090113</v>
      </c>
    </row>
    <row r="105" spans="10:50" x14ac:dyDescent="0.3">
      <c r="J105" s="126"/>
      <c r="K105" s="7"/>
      <c r="L105" s="8">
        <f>SUM(L92:L104)</f>
        <v>0</v>
      </c>
      <c r="M105" s="5"/>
      <c r="N105" s="5">
        <f>SUM(N92:N104)</f>
        <v>567.92400570864913</v>
      </c>
      <c r="O105" s="5"/>
      <c r="P105" s="5"/>
      <c r="U105" s="107">
        <f>SUM(U92:U98)+SUM(U100:U102)+U104</f>
        <v>4000</v>
      </c>
      <c r="V105" s="108">
        <f>SUM(V92:V98)+SUM(V100:V102)+V104</f>
        <v>4000</v>
      </c>
      <c r="X105" s="107">
        <f>SUM(X92:X101)+X104</f>
        <v>2751.075994291351</v>
      </c>
      <c r="Y105" s="108">
        <f>SUM(Y92:Y101)+Y104</f>
        <v>2751.075994291351</v>
      </c>
    </row>
    <row r="106" spans="10:50" x14ac:dyDescent="0.3">
      <c r="J106" s="126"/>
      <c r="U106" s="102"/>
    </row>
    <row r="107" spans="10:50" x14ac:dyDescent="0.3">
      <c r="J107" s="126"/>
      <c r="L107" s="68" t="s">
        <v>28</v>
      </c>
      <c r="M107" s="71" t="s">
        <v>8</v>
      </c>
      <c r="N107" s="69" t="s">
        <v>9</v>
      </c>
      <c r="O107" s="70" t="s">
        <v>10</v>
      </c>
      <c r="Y107" s="2">
        <f>V105/Y105</f>
        <v>1.4539765561911928</v>
      </c>
    </row>
    <row r="108" spans="10:50" x14ac:dyDescent="0.3">
      <c r="J108" s="126"/>
      <c r="L108" s="67" t="s">
        <v>3</v>
      </c>
      <c r="M108" s="99">
        <f>SUM(M92:M94)+SUM(M99:M103)</f>
        <v>0</v>
      </c>
      <c r="N108" s="100">
        <f>SUM(M96,M98)</f>
        <v>0</v>
      </c>
      <c r="O108" s="101">
        <f>SUM(M95,M97)</f>
        <v>0</v>
      </c>
    </row>
    <row r="109" spans="10:50" x14ac:dyDescent="0.3">
      <c r="J109" s="126"/>
      <c r="L109" s="72" t="s">
        <v>23</v>
      </c>
      <c r="M109" s="73">
        <f>M108/SUM($M$42:$O$42)</f>
        <v>0</v>
      </c>
      <c r="N109" s="74">
        <f>N108/SUM($M$42:$O$42)</f>
        <v>0</v>
      </c>
      <c r="O109" s="75">
        <f>O108/SUM($M$42:$O$42)</f>
        <v>0</v>
      </c>
    </row>
    <row r="110" spans="10:50" x14ac:dyDescent="0.3">
      <c r="J110" s="126"/>
      <c r="L110" s="39"/>
      <c r="M110" s="91" t="s">
        <v>26</v>
      </c>
      <c r="N110" s="92" t="s">
        <v>5</v>
      </c>
      <c r="O110" s="93" t="s">
        <v>27</v>
      </c>
    </row>
    <row r="111" spans="10:50" x14ac:dyDescent="0.3"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</row>
  </sheetData>
  <mergeCells count="26">
    <mergeCell ref="F2:H2"/>
    <mergeCell ref="L24:M24"/>
    <mergeCell ref="N24:O24"/>
    <mergeCell ref="AL24:AT24"/>
    <mergeCell ref="R24:Z24"/>
    <mergeCell ref="AB24:AJ24"/>
    <mergeCell ref="J24:J44"/>
    <mergeCell ref="J2:J22"/>
    <mergeCell ref="L2:M2"/>
    <mergeCell ref="N2:O2"/>
    <mergeCell ref="R2:Z2"/>
    <mergeCell ref="J90:J110"/>
    <mergeCell ref="L90:M90"/>
    <mergeCell ref="N90:O90"/>
    <mergeCell ref="AL46:AT46"/>
    <mergeCell ref="J68:J88"/>
    <mergeCell ref="L68:M68"/>
    <mergeCell ref="N68:O68"/>
    <mergeCell ref="R68:Z68"/>
    <mergeCell ref="AB68:AJ68"/>
    <mergeCell ref="AL68:AT68"/>
    <mergeCell ref="J46:J66"/>
    <mergeCell ref="L46:M46"/>
    <mergeCell ref="N46:O46"/>
    <mergeCell ref="R46:Z46"/>
    <mergeCell ref="AB46:AJ46"/>
  </mergeCells>
  <hyperlinks>
    <hyperlink ref="B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7"/>
  <sheetViews>
    <sheetView showGridLines="0" showRowColHeaders="0" tabSelected="1" zoomScale="115" zoomScaleNormal="115" workbookViewId="0">
      <selection activeCell="S10" sqref="S10"/>
    </sheetView>
  </sheetViews>
  <sheetFormatPr baseColWidth="10" defaultColWidth="6.44140625" defaultRowHeight="25.5" customHeight="1" x14ac:dyDescent="0.3"/>
  <cols>
    <col min="1" max="1" width="6.33203125" style="2" customWidth="1"/>
    <col min="2" max="2" width="8.33203125" style="2" bestFit="1" customWidth="1"/>
    <col min="3" max="15" width="6.6640625" style="22" customWidth="1"/>
    <col min="16" max="16" width="7.5546875" style="2" customWidth="1"/>
    <col min="17" max="17" width="1.109375" style="2" customWidth="1"/>
    <col min="18" max="18" width="15.5546875" style="22" bestFit="1" customWidth="1"/>
    <col min="19" max="19" width="6.33203125" style="5" bestFit="1" customWidth="1"/>
    <col min="20" max="20" width="6.88671875" style="2" customWidth="1"/>
    <col min="21" max="21" width="2.5546875" style="2" customWidth="1"/>
    <col min="22" max="22" width="9.88671875" style="2" customWidth="1"/>
    <col min="23" max="23" width="5.88671875" style="2" customWidth="1"/>
    <col min="24" max="24" width="4.5546875" style="2" customWidth="1"/>
    <col min="25" max="25" width="8" style="2" customWidth="1"/>
    <col min="26" max="26" width="4.6640625" style="2" bestFit="1" customWidth="1"/>
    <col min="27" max="27" width="6.44140625" style="2"/>
    <col min="28" max="31" width="8.5546875" style="2" customWidth="1"/>
    <col min="32" max="32" width="7.109375" style="2" bestFit="1" customWidth="1"/>
    <col min="33" max="36" width="8.5546875" style="2" customWidth="1"/>
    <col min="37" max="16384" width="6.44140625" style="2"/>
  </cols>
  <sheetData>
    <row r="1" spans="2:36" ht="23.25" customHeight="1" thickBot="1" x14ac:dyDescent="0.3">
      <c r="X1" s="22"/>
      <c r="Y1" s="22"/>
      <c r="Z1" s="22"/>
    </row>
    <row r="2" spans="2:36" ht="25.5" customHeight="1" thickBot="1" x14ac:dyDescent="0.3">
      <c r="B2" s="137" t="s">
        <v>120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  <c r="R2" s="137" t="s">
        <v>117</v>
      </c>
      <c r="S2" s="138"/>
      <c r="T2" s="139"/>
      <c r="X2" s="33"/>
      <c r="Y2" s="33"/>
      <c r="Z2" s="33"/>
    </row>
    <row r="3" spans="2:36" ht="25.5" customHeight="1" thickBot="1" x14ac:dyDescent="0.35">
      <c r="B3" s="34" t="s">
        <v>114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  <c r="P3" s="37" t="s">
        <v>48</v>
      </c>
      <c r="Q3" s="7"/>
      <c r="R3" s="45" t="s">
        <v>108</v>
      </c>
      <c r="S3" s="116" t="s">
        <v>137</v>
      </c>
      <c r="T3" s="140">
        <f>Calcul!C29</f>
        <v>0.96</v>
      </c>
      <c r="X3" s="33"/>
      <c r="Y3" s="33"/>
      <c r="Z3" s="33"/>
    </row>
    <row r="4" spans="2:36" ht="25.5" customHeight="1" thickTop="1" x14ac:dyDescent="0.3">
      <c r="B4" s="49" t="s">
        <v>115</v>
      </c>
      <c r="C4" s="121">
        <v>0</v>
      </c>
      <c r="D4" s="122">
        <v>0</v>
      </c>
      <c r="E4" s="122">
        <v>4000</v>
      </c>
      <c r="F4" s="122">
        <v>0</v>
      </c>
      <c r="G4" s="122">
        <v>0</v>
      </c>
      <c r="H4" s="122">
        <v>0</v>
      </c>
      <c r="I4" s="122">
        <v>0</v>
      </c>
      <c r="J4" s="122">
        <v>0</v>
      </c>
      <c r="K4" s="122">
        <v>0</v>
      </c>
      <c r="L4" s="122">
        <v>0</v>
      </c>
      <c r="M4" s="122">
        <v>0</v>
      </c>
      <c r="N4" s="122">
        <v>0</v>
      </c>
      <c r="O4" s="123">
        <v>0</v>
      </c>
      <c r="P4" s="37">
        <f>SUM(C4:O4)</f>
        <v>4000</v>
      </c>
      <c r="R4" s="46" t="s">
        <v>112</v>
      </c>
      <c r="S4" s="117">
        <v>1</v>
      </c>
      <c r="T4" s="141"/>
    </row>
    <row r="5" spans="2:36" ht="25.5" customHeight="1" thickBot="1" x14ac:dyDescent="0.35">
      <c r="B5" s="44" t="s">
        <v>116</v>
      </c>
      <c r="C5" s="43">
        <f>Calcul!$U$92</f>
        <v>0</v>
      </c>
      <c r="D5" s="41">
        <f>Calcul!$U$93</f>
        <v>0</v>
      </c>
      <c r="E5" s="41">
        <f>Calcul!$U$94</f>
        <v>4000</v>
      </c>
      <c r="F5" s="41">
        <f>Calcul!$U$95</f>
        <v>0</v>
      </c>
      <c r="G5" s="41">
        <f>Calcul!$U$96</f>
        <v>0</v>
      </c>
      <c r="H5" s="41">
        <f>Calcul!$U$97</f>
        <v>0</v>
      </c>
      <c r="I5" s="41">
        <f>Calcul!$U$98</f>
        <v>0</v>
      </c>
      <c r="J5" s="41">
        <f>Calcul!$U$99</f>
        <v>0</v>
      </c>
      <c r="K5" s="41">
        <f>Calcul!$U$100</f>
        <v>0</v>
      </c>
      <c r="L5" s="41">
        <f>Calcul!$U$101</f>
        <v>0</v>
      </c>
      <c r="M5" s="41">
        <f>Calcul!$U$102</f>
        <v>0</v>
      </c>
      <c r="N5" s="104" t="str">
        <f>Calcul!$U$103</f>
        <v>0</v>
      </c>
      <c r="O5" s="42">
        <f>Calcul!$U$104</f>
        <v>0</v>
      </c>
      <c r="P5" s="38">
        <f>SUM(C5:O5)</f>
        <v>4000</v>
      </c>
      <c r="R5" s="46" t="s">
        <v>110</v>
      </c>
      <c r="S5" s="118">
        <v>1</v>
      </c>
      <c r="T5" s="141"/>
    </row>
    <row r="6" spans="2:36" ht="25.5" customHeight="1" thickBot="1" x14ac:dyDescent="0.35">
      <c r="B6" s="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8"/>
      <c r="R6" s="47" t="s">
        <v>111</v>
      </c>
      <c r="S6" s="119">
        <v>-0.14000000000000001</v>
      </c>
      <c r="T6" s="142"/>
    </row>
    <row r="7" spans="2:36" ht="9" customHeight="1" thickBot="1" x14ac:dyDescent="0.35">
      <c r="P7" s="37"/>
      <c r="R7" s="40"/>
    </row>
    <row r="8" spans="2:36" ht="25.5" customHeight="1" thickBot="1" x14ac:dyDescent="0.35">
      <c r="B8" s="137" t="s">
        <v>121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  <c r="P8" s="37"/>
      <c r="R8" s="137" t="s">
        <v>118</v>
      </c>
      <c r="S8" s="138"/>
      <c r="T8" s="139"/>
    </row>
    <row r="9" spans="2:36" ht="25.5" customHeight="1" thickBot="1" x14ac:dyDescent="0.35">
      <c r="B9" s="34" t="s">
        <v>114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37" t="s">
        <v>48</v>
      </c>
      <c r="Q9" s="7"/>
      <c r="R9" s="48" t="s">
        <v>107</v>
      </c>
      <c r="S9" s="116">
        <v>11</v>
      </c>
      <c r="T9" s="140">
        <f>Calcul!C30</f>
        <v>1.55</v>
      </c>
    </row>
    <row r="10" spans="2:36" ht="25.5" customHeight="1" thickTop="1" x14ac:dyDescent="0.3">
      <c r="B10" s="49" t="s">
        <v>115</v>
      </c>
      <c r="C10" s="121">
        <v>1342</v>
      </c>
      <c r="D10" s="122">
        <v>1689</v>
      </c>
      <c r="E10" s="122">
        <v>0</v>
      </c>
      <c r="F10" s="122">
        <v>287</v>
      </c>
      <c r="G10" s="122">
        <v>0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  <c r="O10" s="123">
        <v>1</v>
      </c>
      <c r="P10" s="37">
        <f>SUM(C10:O10)</f>
        <v>3319</v>
      </c>
      <c r="R10" s="46" t="s">
        <v>112</v>
      </c>
      <c r="S10" s="117">
        <v>1</v>
      </c>
      <c r="T10" s="141"/>
    </row>
    <row r="11" spans="2:36" ht="25.5" customHeight="1" thickBot="1" x14ac:dyDescent="0.35">
      <c r="B11" s="44" t="s">
        <v>116</v>
      </c>
      <c r="C11" s="43">
        <f>Calcul!$X$92</f>
        <v>1112.3663706956893</v>
      </c>
      <c r="D11" s="41">
        <f>Calcul!$X$93</f>
        <v>1399.990164012682</v>
      </c>
      <c r="E11" s="41">
        <f>Calcul!$X$94</f>
        <v>0</v>
      </c>
      <c r="F11" s="41">
        <f>Calcul!$X$95</f>
        <v>237.89057257053864</v>
      </c>
      <c r="G11" s="41">
        <f>Calcul!$X$96</f>
        <v>0</v>
      </c>
      <c r="H11" s="41">
        <f>Calcul!$X$97</f>
        <v>0</v>
      </c>
      <c r="I11" s="41">
        <f>Calcul!$X$98</f>
        <v>0</v>
      </c>
      <c r="J11" s="41">
        <f>Calcul!$X$99</f>
        <v>0</v>
      </c>
      <c r="K11" s="41">
        <f>Calcul!$X$100</f>
        <v>0</v>
      </c>
      <c r="L11" s="41">
        <f>Calcul!$X$101</f>
        <v>0</v>
      </c>
      <c r="M11" s="41">
        <f>Calcul!$X$102</f>
        <v>0</v>
      </c>
      <c r="N11" s="41">
        <f>Calcul!$X$103</f>
        <v>0</v>
      </c>
      <c r="O11" s="42">
        <f>Calcul!$X$104</f>
        <v>0.82888701244090113</v>
      </c>
      <c r="P11" s="38">
        <f>SUM(C11:O11)</f>
        <v>2751.075994291351</v>
      </c>
      <c r="R11" s="47" t="s">
        <v>113</v>
      </c>
      <c r="S11" s="120" t="s">
        <v>109</v>
      </c>
      <c r="T11" s="142"/>
    </row>
    <row r="12" spans="2:36" ht="12.75" customHeight="1" x14ac:dyDescent="0.3"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2:36" ht="12.75" customHeight="1" x14ac:dyDescent="0.3">
      <c r="R13" s="106" t="s">
        <v>119</v>
      </c>
      <c r="S13" s="5">
        <f>Calcul!G25-Calcul!C25</f>
        <v>0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2:36" ht="6" customHeight="1" x14ac:dyDescent="0.3"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2:36" ht="12.75" customHeight="1" x14ac:dyDescent="0.3">
      <c r="C15" s="135" t="s">
        <v>124</v>
      </c>
      <c r="D15" s="135"/>
      <c r="E15" s="135"/>
      <c r="F15" s="135"/>
      <c r="G15" s="54"/>
      <c r="H15" s="54"/>
      <c r="I15" s="54"/>
      <c r="J15" s="54"/>
      <c r="K15" s="54"/>
      <c r="L15" s="54"/>
      <c r="M15" s="54"/>
      <c r="N15" s="54"/>
      <c r="O15" s="54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2:36" ht="12.75" customHeight="1" x14ac:dyDescent="0.3">
      <c r="B16" s="136" t="s">
        <v>122</v>
      </c>
      <c r="C16" s="133"/>
      <c r="D16" s="133"/>
      <c r="E16" s="134" t="s">
        <v>62</v>
      </c>
      <c r="F16" s="134"/>
      <c r="G16" s="134"/>
      <c r="H16" s="54"/>
      <c r="I16" s="54"/>
      <c r="J16" s="54"/>
      <c r="K16" s="54"/>
      <c r="L16" s="54"/>
      <c r="M16" s="54"/>
      <c r="N16" s="54"/>
      <c r="O16" s="54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2:36" ht="12.75" customHeight="1" x14ac:dyDescent="0.3">
      <c r="B17" s="133" t="s">
        <v>123</v>
      </c>
      <c r="C17" s="133"/>
      <c r="D17" s="133"/>
      <c r="E17" s="134">
        <v>1</v>
      </c>
      <c r="F17" s="134"/>
      <c r="G17" s="134"/>
      <c r="H17" s="54"/>
      <c r="I17" s="54"/>
      <c r="J17" s="54"/>
      <c r="K17" s="54"/>
      <c r="L17" s="54"/>
      <c r="M17" s="54"/>
      <c r="N17" s="54"/>
      <c r="O17" s="54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2:36" ht="12.75" customHeight="1" x14ac:dyDescent="0.3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2:36" ht="12.75" customHeight="1" x14ac:dyDescent="0.3">
      <c r="B19" s="132" t="str">
        <f>IF(E16="","",CONCATENATE(VLOOKUP(E16,Data!$W$3:$AF$11,2,FALSE)," adds ",VLOOKUP(E16,Data!$W$3:$AF$11,7+E17,FALSE)*100,"% of strength to : ",E16))</f>
        <v>Thorgard's battle axe adds 10% of strength to : Axeman</v>
      </c>
      <c r="C19" s="132"/>
      <c r="D19" s="132"/>
      <c r="E19" s="132"/>
      <c r="F19" s="132"/>
      <c r="G19" s="132"/>
      <c r="H19" s="132"/>
      <c r="I19" s="132"/>
      <c r="J19" s="54"/>
      <c r="K19" s="54"/>
      <c r="L19" s="54"/>
      <c r="M19" s="54"/>
      <c r="N19" s="54"/>
      <c r="O19" s="54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2:36" ht="12.75" customHeight="1" x14ac:dyDescent="0.3">
      <c r="B20" s="132"/>
      <c r="C20" s="132"/>
      <c r="D20" s="132"/>
      <c r="E20" s="132"/>
      <c r="F20" s="132"/>
      <c r="G20" s="132"/>
      <c r="H20" s="132"/>
      <c r="I20" s="132"/>
      <c r="J20" s="54"/>
      <c r="K20" s="54"/>
      <c r="L20" s="54"/>
      <c r="M20" s="54"/>
      <c r="N20" s="54"/>
      <c r="O20" s="54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2:36" ht="5.25" customHeight="1" x14ac:dyDescent="0.3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2:36" ht="12.75" customHeight="1" x14ac:dyDescent="0.3">
      <c r="C22" s="135" t="s">
        <v>83</v>
      </c>
      <c r="D22" s="135"/>
      <c r="E22" s="135"/>
      <c r="F22" s="135"/>
      <c r="G22" s="54"/>
      <c r="H22" s="54"/>
      <c r="I22" s="54"/>
      <c r="J22" s="54"/>
      <c r="K22" s="54"/>
      <c r="L22" s="54"/>
      <c r="M22" s="54"/>
      <c r="N22" s="54"/>
      <c r="O22" s="54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2:36" ht="12.75" customHeight="1" x14ac:dyDescent="0.3">
      <c r="B23" s="136" t="s">
        <v>122</v>
      </c>
      <c r="C23" s="133"/>
      <c r="D23" s="133"/>
      <c r="E23" s="134" t="s">
        <v>61</v>
      </c>
      <c r="F23" s="134"/>
      <c r="G23" s="134"/>
      <c r="M23" s="2"/>
      <c r="N23" s="2"/>
      <c r="O23" s="2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2:36" ht="12.75" customHeight="1" x14ac:dyDescent="0.3">
      <c r="B24" s="133" t="s">
        <v>123</v>
      </c>
      <c r="C24" s="133"/>
      <c r="D24" s="133"/>
      <c r="E24" s="134">
        <v>1</v>
      </c>
      <c r="F24" s="134"/>
      <c r="G24" s="134"/>
      <c r="M24" s="2"/>
      <c r="N24" s="2"/>
      <c r="O24" s="2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2:36" ht="12.75" customHeight="1" x14ac:dyDescent="0.3">
      <c r="C25" s="54"/>
      <c r="D25" s="54"/>
      <c r="E25" s="54"/>
      <c r="F25" s="54"/>
      <c r="G25" s="54"/>
      <c r="M25" s="2"/>
      <c r="N25" s="2"/>
      <c r="O25" s="2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2:36" ht="12.75" customHeight="1" x14ac:dyDescent="0.3">
      <c r="B26" s="132" t="str">
        <f>IF(E23="","",CONCATENATE(VLOOKUP(E23,Data!$W$3:$AF$11,2,FALSE)," adds ",VLOOKUP(E23,Data!$W$3:$AF$11,3+E24,FALSE)*100,"% of defense to : ",E23))</f>
        <v>Paracelsus' Longsword adds 10% of defense to : Swordsman</v>
      </c>
      <c r="C26" s="132"/>
      <c r="D26" s="132"/>
      <c r="E26" s="132"/>
      <c r="F26" s="132"/>
      <c r="G26" s="132"/>
      <c r="H26" s="132"/>
      <c r="M26" s="2"/>
      <c r="N26" s="2"/>
      <c r="O26" s="2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2:36" ht="12.75" customHeight="1" x14ac:dyDescent="0.3">
      <c r="B27" s="132"/>
      <c r="C27" s="132"/>
      <c r="D27" s="132"/>
      <c r="E27" s="132"/>
      <c r="F27" s="132"/>
      <c r="G27" s="132"/>
      <c r="H27" s="132"/>
      <c r="M27" s="2"/>
      <c r="N27" s="2"/>
      <c r="O27" s="2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2:36" ht="12.75" customHeight="1" x14ac:dyDescent="0.3">
      <c r="B28" s="105"/>
      <c r="M28" s="2"/>
      <c r="N28" s="2"/>
      <c r="O28" s="2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2:36" ht="12.75" customHeight="1" x14ac:dyDescent="0.3">
      <c r="B29" s="105"/>
      <c r="M29" s="2"/>
      <c r="N29" s="2"/>
      <c r="O29" s="2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2:36" ht="12.75" customHeight="1" x14ac:dyDescent="0.3">
      <c r="B30" s="105" t="s">
        <v>106</v>
      </c>
      <c r="M30" s="2"/>
      <c r="N30" s="2"/>
      <c r="O30" s="2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2:36" ht="12.75" customHeight="1" x14ac:dyDescent="0.3">
      <c r="B31" s="105" t="s">
        <v>139</v>
      </c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 ht="12.75" customHeight="1" x14ac:dyDescent="0.3"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23:35" ht="12.75" customHeight="1" x14ac:dyDescent="0.3">
      <c r="W33" s="6"/>
      <c r="X33" s="7"/>
      <c r="AE33" s="22"/>
      <c r="AF33" s="22"/>
      <c r="AG33" s="22"/>
      <c r="AH33" s="22"/>
      <c r="AI33" s="22"/>
    </row>
    <row r="34" spans="23:35" ht="12.75" customHeight="1" x14ac:dyDescent="0.3">
      <c r="W34" s="6"/>
      <c r="X34" s="7"/>
      <c r="AE34" s="22"/>
      <c r="AF34" s="22"/>
      <c r="AG34" s="22"/>
      <c r="AH34" s="22"/>
      <c r="AI34" s="22"/>
    </row>
    <row r="35" spans="23:35" ht="12.75" customHeight="1" x14ac:dyDescent="0.3">
      <c r="W35" s="6"/>
      <c r="X35" s="7"/>
      <c r="AE35" s="22"/>
      <c r="AF35" s="22"/>
      <c r="AG35" s="22"/>
      <c r="AH35" s="22"/>
      <c r="AI35" s="22"/>
    </row>
    <row r="36" spans="23:35" ht="12.75" customHeight="1" x14ac:dyDescent="0.3">
      <c r="W36" s="6"/>
      <c r="X36" s="7"/>
      <c r="AE36" s="22"/>
      <c r="AF36" s="22"/>
      <c r="AG36" s="22"/>
      <c r="AH36" s="22"/>
      <c r="AI36" s="22"/>
    </row>
    <row r="37" spans="23:35" ht="12.75" customHeight="1" x14ac:dyDescent="0.3">
      <c r="W37" s="6"/>
      <c r="X37" s="7"/>
      <c r="AE37" s="22"/>
      <c r="AF37" s="22"/>
      <c r="AG37" s="22"/>
      <c r="AH37" s="22"/>
      <c r="AI37" s="22"/>
    </row>
    <row r="38" spans="23:35" ht="12.75" customHeight="1" x14ac:dyDescent="0.3">
      <c r="W38" s="6"/>
      <c r="X38" s="7"/>
      <c r="AE38" s="22"/>
      <c r="AF38" s="22"/>
      <c r="AG38" s="22"/>
      <c r="AH38" s="22"/>
      <c r="AI38" s="22"/>
    </row>
    <row r="39" spans="23:35" ht="12.75" customHeight="1" x14ac:dyDescent="0.3">
      <c r="W39" s="6"/>
      <c r="X39" s="7"/>
      <c r="AE39" s="22"/>
      <c r="AF39" s="22"/>
      <c r="AG39" s="22"/>
      <c r="AH39" s="22"/>
      <c r="AI39" s="22"/>
    </row>
    <row r="40" spans="23:35" ht="12.75" customHeight="1" x14ac:dyDescent="0.3">
      <c r="W40" s="6"/>
    </row>
    <row r="41" spans="23:35" ht="12.75" customHeight="1" x14ac:dyDescent="0.3">
      <c r="W41" s="6"/>
    </row>
    <row r="42" spans="23:35" ht="12.75" customHeight="1" x14ac:dyDescent="0.3"/>
    <row r="43" spans="23:35" ht="12.75" customHeight="1" x14ac:dyDescent="0.3"/>
    <row r="44" spans="23:35" ht="12.75" customHeight="1" x14ac:dyDescent="0.3"/>
    <row r="45" spans="23:35" ht="12.75" customHeight="1" x14ac:dyDescent="0.3"/>
    <row r="46" spans="23:35" ht="12.75" customHeight="1" x14ac:dyDescent="0.3"/>
    <row r="47" spans="23:35" ht="12.75" customHeight="1" x14ac:dyDescent="0.3"/>
    <row r="48" spans="23:35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</sheetData>
  <sheetProtection algorithmName="SHA-512" hashValue="MklZcAF8cCHlELOBcHOXewzGkPJ/b9VnaNiMHXwLKk1lJlEp2sGk5+9U5q01JX2cdF7VqmGok67X5GagFeHL/Q==" saltValue="gjEd3sK74YZaG+oEatNCTQ==" spinCount="100000" sheet="1" objects="1" scenarios="1" selectLockedCells="1"/>
  <mergeCells count="18">
    <mergeCell ref="C15:F15"/>
    <mergeCell ref="C22:F22"/>
    <mergeCell ref="B23:D23"/>
    <mergeCell ref="E23:G23"/>
    <mergeCell ref="R2:T2"/>
    <mergeCell ref="T3:T6"/>
    <mergeCell ref="B2:O2"/>
    <mergeCell ref="B8:O8"/>
    <mergeCell ref="R8:T8"/>
    <mergeCell ref="T9:T11"/>
    <mergeCell ref="B16:D16"/>
    <mergeCell ref="B17:D17"/>
    <mergeCell ref="B26:H27"/>
    <mergeCell ref="B24:D24"/>
    <mergeCell ref="E24:G24"/>
    <mergeCell ref="B19:I20"/>
    <mergeCell ref="E16:G16"/>
    <mergeCell ref="E17:G17"/>
  </mergeCells>
  <dataValidations count="5">
    <dataValidation type="list" allowBlank="1" showInputMessage="1" showErrorMessage="1" sqref="S4 S10">
      <mc:AlternateContent xmlns:x12ac="http://schemas.microsoft.com/office/spreadsheetml/2011/1/ac" xmlns:mc="http://schemas.openxmlformats.org/markup-compatibility/2006">
        <mc:Choice Requires="x12ac">
          <x12ac:list>"0,5",1,"1,05","1,1"</x12ac:list>
        </mc:Choice>
        <mc:Fallback>
          <formula1>"0,5,1,1,05,1,1"</formula1>
        </mc:Fallback>
      </mc:AlternateContent>
    </dataValidation>
    <dataValidation type="list" allowBlank="1" showInputMessage="1" showErrorMessage="1" sqref="S11">
      <formula1>"No,Yes"</formula1>
    </dataValidation>
    <dataValidation type="whole" allowBlank="1" showInputMessage="1" showErrorMessage="1" sqref="E24:G24 E17:G17">
      <formula1>0</formula1>
      <formula2>3</formula2>
    </dataValidation>
    <dataValidation type="list" allowBlank="1" showInputMessage="1" showErrorMessage="1" sqref="S3">
      <formula1>"No,Yes"</formula1>
    </dataValidation>
    <dataValidation type="decimal" allowBlank="1" showInputMessage="1" showErrorMessage="1" sqref="S6">
      <formula1>-0.15</formula1>
      <formula2>0.15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Data!$W$3:$W$11</xm:f>
          </x14:formula1>
          <xm:sqref>E16 E23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A2" sqref="A2"/>
    </sheetView>
  </sheetViews>
  <sheetFormatPr baseColWidth="10" defaultRowHeight="14.4" x14ac:dyDescent="0.3"/>
  <sheetData>
    <row r="1" spans="1:2" x14ac:dyDescent="0.3">
      <c r="A1" s="112">
        <v>42499</v>
      </c>
      <c r="B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Data</vt:lpstr>
      <vt:lpstr>Calcul</vt:lpstr>
      <vt:lpstr>Combat</vt:lpstr>
      <vt:lpstr>Logs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Régis Redon</dc:creator>
  <cp:lastModifiedBy>Maryjo</cp:lastModifiedBy>
  <dcterms:created xsi:type="dcterms:W3CDTF">2015-01-12T14:43:12Z</dcterms:created>
  <dcterms:modified xsi:type="dcterms:W3CDTF">2018-04-18T15:22:13Z</dcterms:modified>
</cp:coreProperties>
</file>