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3_ncr:1_{B8E1DC14-9B7B-45F9-9BF9-EDC6A3E5976A}" xr6:coauthVersionLast="31" xr6:coauthVersionMax="31" xr10:uidLastSave="{00000000-0000-0000-0000-000000000000}"/>
  <bookViews>
    <workbookView xWindow="0" yWindow="0" windowWidth="23040" windowHeight="9660" tabRatio="827" firstSheet="15" activeTab="16" xr2:uid="{00000000-000D-0000-FFFF-FFFF00000000}"/>
  </bookViews>
  <sheets>
    <sheet name="entete" sheetId="16" state="hidden" r:id="rId1"/>
    <sheet name="Feuil3" sheetId="22" state="hidden" r:id="rId2"/>
    <sheet name="SYNTHESE" sheetId="14" state="hidden" r:id="rId3"/>
    <sheet name="point mort" sheetId="17" state="hidden" r:id="rId4"/>
    <sheet name="ca et marge" sheetId="13" state="hidden" r:id="rId5"/>
    <sheet name="salaires" sheetId="2" state="hidden" r:id="rId6"/>
    <sheet name="loyer" sheetId="3" state="hidden" r:id="rId7"/>
    <sheet name="frais generaux" sheetId="9" state="hidden" r:id="rId8"/>
    <sheet name="impots" sheetId="10" state="hidden" r:id="rId9"/>
    <sheet name="amortissements" sheetId="12" state="hidden" r:id="rId10"/>
    <sheet name="SAISIE" sheetId="19" state="hidden" r:id="rId11"/>
    <sheet name="frais transport" sheetId="11" state="hidden" r:id="rId12"/>
    <sheet name="INVESTISSEMENT" sheetId="15" state="hidden" r:id="rId13"/>
    <sheet name="calcul emprunt" sheetId="23" state="hidden" r:id="rId14"/>
    <sheet name="note ne pas éditer" sheetId="18" state="hidden" r:id="rId15"/>
    <sheet name="menu" sheetId="35" r:id="rId16"/>
    <sheet name="A SAISIR" sheetId="20" r:id="rId17"/>
    <sheet name="tab rt" sheetId="25" r:id="rId18"/>
    <sheet name="point mrt" sheetId="29" r:id="rId19"/>
    <sheet name="ca marge in" sheetId="24" r:id="rId20"/>
    <sheet name="ca marge mois" sheetId="37" r:id="rId21"/>
    <sheet name="salaire" sheetId="27" r:id="rId22"/>
    <sheet name="location" sheetId="26" r:id="rId23"/>
    <sheet name="frais gnx" sheetId="30" r:id="rId24"/>
    <sheet name="impot" sheetId="28" r:id="rId25"/>
    <sheet name="autres" sheetId="31" r:id="rId26"/>
    <sheet name="dap" sheetId="32" r:id="rId27"/>
    <sheet name="frais fi" sheetId="33" r:id="rId28"/>
    <sheet name="invest" sheetId="34" r:id="rId29"/>
    <sheet name="emp" sheetId="21" r:id="rId30"/>
    <sheet name="trésorerie N" sheetId="36" r:id="rId31"/>
  </sheets>
  <externalReferences>
    <externalReference r:id="rId32"/>
  </externalReferences>
  <definedNames>
    <definedName name="_xlnm._FilterDatabase" localSheetId="16" hidden="1">'A SAISIR'!$B$9:$E$157</definedName>
    <definedName name="Annuité" localSheetId="16">'[1]Emprunt  '!Tx_intérêt_par_an/'A SAISIR'!#REF!</definedName>
    <definedName name="Annuité" localSheetId="29">'[1]Emprunt  '!Tx_intérêt_par_an/emp!#REF!</definedName>
    <definedName name="Annuité">[0]!Tx_intérêt_par_an/#REF!</definedName>
    <definedName name="Capital" localSheetId="16">IF('A SAISIR'!XFA1&lt;&gt;"",MIN('A SAISIR'!XFC1,'[1]Emprunt  '!Paiement_utilisé-'A SAISIR'!XFD1),"")</definedName>
    <definedName name="Capital" localSheetId="29">IF(emp!XFA1&lt;&gt;"",MIN(emp!XFC1,'[1]Emprunt  '!Paiement_utilisé-emp!XFD1),"")</definedName>
    <definedName name="cvbn">'ca et marge'!$B$8</definedName>
    <definedName name="Date_paiement" localSheetId="16">IF('A SAISIR'!XFD1&lt;&gt;"",DATE(YEAR([1]!Premier_paiement),MONTH([1]!Premier_paiement)+('A SAISIR'!XFD1-1)*12/[1]!Nb_de_paiements_par_an,DAY([1]!Premier_paiement+'A SAISIR'!#REF!)),"")</definedName>
    <definedName name="Date_paiement" localSheetId="29">IF(emp!XFD1&lt;&gt;"",DATE(YEAR([1]!Premier_paiement),MONTH([1]!Premier_paiement)+(emp!XFD1-1)*12/[1]!Nb_de_paiements_par_an,DAY([1]!Premier_paiement+emp!#REF!)),"")</definedName>
    <definedName name="Durée_prêt">#REF!</definedName>
    <definedName name="hmois">salaires!$B$13</definedName>
    <definedName name="_xlnm.Print_Titles" localSheetId="16">'A SAISIR'!$6:$9</definedName>
    <definedName name="Intérêts" localSheetId="16">IF('A SAISIR'!XFB1&lt;&gt;"",'A SAISIR'!XFD1*'[1]Emprunt  '!Annuité,"")</definedName>
    <definedName name="Intérêts" localSheetId="29">IF(emp!XFB1&lt;&gt;"",emp!XFD1*'[1]Emprunt  '!Annuité,"")</definedName>
    <definedName name="Intérêts_précédents" localSheetId="16">'A SAISIR'!#REF!</definedName>
    <definedName name="Intérêts_précédents" localSheetId="29">emp!#REF!</definedName>
    <definedName name="MM">#REF!</definedName>
    <definedName name="mmpo">'ca et marge'!$B$9</definedName>
    <definedName name="montant">emp!#REF!</definedName>
    <definedName name="Montant_début" localSheetId="16">IF('A SAISIR'!XFC1&lt;&gt;"",'A SAISIR'!D1048576,"")</definedName>
    <definedName name="Montant_début" localSheetId="29">IF(emp!XFC1&lt;&gt;"",emp!D1048576,"")</definedName>
    <definedName name="Montant_départ" localSheetId="16">'A SAISIR'!#REF!</definedName>
    <definedName name="Montant_départ" localSheetId="29">emp!#REF!</definedName>
    <definedName name="Montant_fin" localSheetId="16">IF('A SAISIR'!XEZ1&lt;&gt;"",'A SAISIR'!XFB1-'A SAISIR'!XFD1,"")</definedName>
    <definedName name="Montant_fin" localSheetId="29">IF(emp!XEZ1&lt;&gt;"",emp!XFB1-emp!XFD1,"")</definedName>
    <definedName name="Montant_prêt">#REF!</definedName>
    <definedName name="Nb_de_paiements_par_an">#REF!</definedName>
    <definedName name="Nbe_total_de_paiements" localSheetId="16">[1]!Nb_de_paiements_par_an*'A SAISIR'!#REF!</definedName>
    <definedName name="Nbe_total_de_paiements" localSheetId="29">[1]!Nb_de_paiements_par_an*emp!#REF!</definedName>
    <definedName name="Nbe_total_de_paiements">[0]!Nb_de_paiements_par_an*#REF!</definedName>
    <definedName name="Num_paiement" localSheetId="16">IF(OR('A SAISIR'!A1048576="",'A SAISIR'!A1048576='[1]Emprunt  '!Nbe_total_de_paiements),"",'A SAISIR'!A1048576+1)</definedName>
    <definedName name="Num_paiement" localSheetId="29">IF(OR(emp!A1048576="",emp!A1048576='[1]Emprunt  '!Nbe_total_de_paiements),"",emp!A1048576+1)</definedName>
    <definedName name="Num_premier_paiement">#REF!</definedName>
    <definedName name="paiement">emp!#REF!</definedName>
    <definedName name="Paiement_calculé">#REF!</definedName>
    <definedName name="Paiement_saisi" localSheetId="16">'A SAISIR'!#REF!</definedName>
    <definedName name="Paiement_saisi" localSheetId="29">emp!#REF!</definedName>
    <definedName name="Paiement_utilisé" localSheetId="16">'A SAISIR'!#REF!</definedName>
    <definedName name="Paiement_utilisé" localSheetId="29">emp!#REF!</definedName>
    <definedName name="Premier_paiement">#REF!</definedName>
    <definedName name="Somme_intérêts_cumulés" localSheetId="16">IF('A SAISIR'!XEY1&lt;&gt;"",'A SAISIR'!A1048576+'A SAISIR'!XFB1,"")</definedName>
    <definedName name="Somme_intérêts_cumulés" localSheetId="29">IF(emp!XEY1&lt;&gt;"",emp!A1048576+emp!XFB1,"")</definedName>
    <definedName name="Taux_de_charge_niv_1">salaires!$B$10</definedName>
    <definedName name="Taux_de_charge_niv_2">salaires!$B$11</definedName>
    <definedName name="Taux_intérêt_par_an">#REF!</definedName>
    <definedName name="Tx_intérêt_par_an">#REF!</definedName>
  </definedNames>
  <calcPr calcId="179017"/>
</workbook>
</file>

<file path=xl/calcChain.xml><?xml version="1.0" encoding="utf-8"?>
<calcChain xmlns="http://schemas.openxmlformats.org/spreadsheetml/2006/main">
  <c r="F36" i="20" l="1"/>
  <c r="F37" i="20" s="1"/>
  <c r="F35" i="20"/>
  <c r="F143" i="20" l="1"/>
  <c r="G47" i="20" l="1"/>
  <c r="H47" i="20" s="1"/>
  <c r="I47" i="20" s="1"/>
  <c r="J47" i="20" s="1"/>
  <c r="K47" i="20" s="1"/>
  <c r="L47" i="20" s="1"/>
  <c r="F38" i="36" l="1"/>
  <c r="B4" i="36"/>
  <c r="B3" i="36"/>
  <c r="F51" i="36"/>
  <c r="E35" i="36"/>
  <c r="B22" i="37"/>
  <c r="G25" i="20" l="1"/>
  <c r="H25" i="20"/>
  <c r="I25" i="20"/>
  <c r="J25" i="20"/>
  <c r="K25" i="20"/>
  <c r="L25" i="20"/>
  <c r="F25" i="20"/>
  <c r="B4" i="37"/>
  <c r="B3" i="37"/>
  <c r="C11" i="36"/>
  <c r="H11" i="27"/>
  <c r="H12" i="27"/>
  <c r="H10" i="27"/>
  <c r="D10" i="27"/>
  <c r="F10" i="27" s="1"/>
  <c r="B7" i="37"/>
  <c r="B8" i="37" s="1"/>
  <c r="G143" i="20"/>
  <c r="C33" i="25" s="1"/>
  <c r="H143" i="20"/>
  <c r="D33" i="25" s="1"/>
  <c r="I143" i="20"/>
  <c r="E33" i="25" s="1"/>
  <c r="J143" i="20"/>
  <c r="F33" i="25" s="1"/>
  <c r="K143" i="20"/>
  <c r="G33" i="25" s="1"/>
  <c r="L143" i="20"/>
  <c r="H33" i="25" s="1"/>
  <c r="B33" i="25"/>
  <c r="B22" i="34"/>
  <c r="B23" i="34"/>
  <c r="B11" i="34"/>
  <c r="B12" i="34"/>
  <c r="B13" i="34"/>
  <c r="B14" i="34"/>
  <c r="B16" i="34"/>
  <c r="B17" i="34"/>
  <c r="B18" i="34"/>
  <c r="B19" i="34"/>
  <c r="B10" i="34"/>
  <c r="B4" i="34"/>
  <c r="B3" i="34"/>
  <c r="C11" i="33"/>
  <c r="D11" i="33"/>
  <c r="E11" i="33"/>
  <c r="F11" i="33"/>
  <c r="G11" i="33"/>
  <c r="H11" i="33"/>
  <c r="C12" i="33"/>
  <c r="D12" i="33"/>
  <c r="E12" i="33"/>
  <c r="F12" i="33"/>
  <c r="G12" i="33"/>
  <c r="H12" i="33"/>
  <c r="C13" i="33"/>
  <c r="D13" i="33"/>
  <c r="E13" i="33"/>
  <c r="F13" i="33"/>
  <c r="G13" i="33"/>
  <c r="H13" i="33"/>
  <c r="C14" i="33"/>
  <c r="D14" i="33"/>
  <c r="E14" i="33"/>
  <c r="F14" i="33"/>
  <c r="G14" i="33"/>
  <c r="H14" i="33"/>
  <c r="B12" i="33"/>
  <c r="B13" i="33"/>
  <c r="B14" i="33"/>
  <c r="B11" i="33"/>
  <c r="B4" i="33"/>
  <c r="B3" i="33"/>
  <c r="B4" i="32"/>
  <c r="B3" i="32"/>
  <c r="B4" i="31"/>
  <c r="B3" i="31"/>
  <c r="B15" i="26"/>
  <c r="J63" i="20"/>
  <c r="D12" i="27" s="1"/>
  <c r="F12" i="27" s="1"/>
  <c r="J62" i="20"/>
  <c r="D11" i="27" s="1"/>
  <c r="F11" i="27" s="1"/>
  <c r="B27" i="30"/>
  <c r="C27" i="30" s="1"/>
  <c r="D27" i="30" s="1"/>
  <c r="E27" i="30" s="1"/>
  <c r="F27" i="30" s="1"/>
  <c r="G27" i="30" s="1"/>
  <c r="H27" i="30" s="1"/>
  <c r="B13" i="30"/>
  <c r="B15" i="30"/>
  <c r="B16" i="30"/>
  <c r="B19" i="30"/>
  <c r="B20" i="30"/>
  <c r="B22" i="30"/>
  <c r="B23" i="30"/>
  <c r="B24" i="30"/>
  <c r="B26" i="30"/>
  <c r="B29" i="30"/>
  <c r="C29" i="30"/>
  <c r="D29" i="30"/>
  <c r="E29" i="30"/>
  <c r="F29" i="30"/>
  <c r="G29" i="30"/>
  <c r="H29" i="30"/>
  <c r="B30" i="30"/>
  <c r="C30" i="30"/>
  <c r="D30" i="30"/>
  <c r="E30" i="30"/>
  <c r="F30" i="30"/>
  <c r="G30" i="30"/>
  <c r="H30" i="30"/>
  <c r="B31" i="30"/>
  <c r="C31" i="30"/>
  <c r="D31" i="30"/>
  <c r="E31" i="30"/>
  <c r="F31" i="30"/>
  <c r="G31" i="30"/>
  <c r="H31" i="30"/>
  <c r="A29" i="30"/>
  <c r="A30" i="30"/>
  <c r="A31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8" i="30"/>
  <c r="A10" i="30"/>
  <c r="B4" i="30"/>
  <c r="B3" i="30"/>
  <c r="B17" i="28"/>
  <c r="C15" i="28"/>
  <c r="B15" i="28"/>
  <c r="B12" i="28"/>
  <c r="B13" i="28"/>
  <c r="B11" i="28"/>
  <c r="B4" i="28"/>
  <c r="B3" i="28"/>
  <c r="B15" i="34" l="1"/>
  <c r="G51" i="36"/>
  <c r="B11" i="37"/>
  <c r="B13" i="37"/>
  <c r="B15" i="37"/>
  <c r="B17" i="37"/>
  <c r="B19" i="37"/>
  <c r="B9" i="37"/>
  <c r="B10" i="37"/>
  <c r="B12" i="37"/>
  <c r="B14" i="37"/>
  <c r="B16" i="37"/>
  <c r="B18" i="37"/>
  <c r="B20" i="37"/>
  <c r="B34" i="27"/>
  <c r="C34" i="27" s="1"/>
  <c r="D34" i="27" s="1"/>
  <c r="E34" i="27" s="1"/>
  <c r="F34" i="27" s="1"/>
  <c r="G34" i="27" s="1"/>
  <c r="H34" i="27" s="1"/>
  <c r="B35" i="27"/>
  <c r="C35" i="27" s="1"/>
  <c r="D35" i="27" s="1"/>
  <c r="E35" i="27" s="1"/>
  <c r="F35" i="27" s="1"/>
  <c r="G35" i="27" s="1"/>
  <c r="H35" i="27" s="1"/>
  <c r="B33" i="27"/>
  <c r="B11" i="27"/>
  <c r="B12" i="27"/>
  <c r="B10" i="27"/>
  <c r="B4" i="27"/>
  <c r="B3" i="27"/>
  <c r="G55" i="20"/>
  <c r="C19" i="26" s="1"/>
  <c r="B19" i="26"/>
  <c r="C11" i="26"/>
  <c r="C16" i="26" s="1"/>
  <c r="B17" i="26"/>
  <c r="B23" i="26" s="1"/>
  <c r="B9" i="26"/>
  <c r="C32" i="29"/>
  <c r="D32" i="29"/>
  <c r="E32" i="29"/>
  <c r="F32" i="29"/>
  <c r="G32" i="29"/>
  <c r="H32" i="29"/>
  <c r="C33" i="29"/>
  <c r="D33" i="29"/>
  <c r="E33" i="29"/>
  <c r="F33" i="29"/>
  <c r="G33" i="29"/>
  <c r="H33" i="29"/>
  <c r="B32" i="29"/>
  <c r="B33" i="29"/>
  <c r="H37" i="29"/>
  <c r="G37" i="29"/>
  <c r="F37" i="29"/>
  <c r="E37" i="29"/>
  <c r="D37" i="29"/>
  <c r="C37" i="29"/>
  <c r="B37" i="29"/>
  <c r="H18" i="29"/>
  <c r="G18" i="29"/>
  <c r="F18" i="29"/>
  <c r="E18" i="29"/>
  <c r="D18" i="29"/>
  <c r="C18" i="29"/>
  <c r="B18" i="29"/>
  <c r="B17" i="29"/>
  <c r="B12" i="29"/>
  <c r="A4" i="29"/>
  <c r="B3" i="29"/>
  <c r="C44" i="25"/>
  <c r="D44" i="25"/>
  <c r="E44" i="25"/>
  <c r="F44" i="25"/>
  <c r="G44" i="25"/>
  <c r="H44" i="25"/>
  <c r="B44" i="25"/>
  <c r="H18" i="25"/>
  <c r="G18" i="25"/>
  <c r="F18" i="25"/>
  <c r="E18" i="25"/>
  <c r="D18" i="25"/>
  <c r="C18" i="25"/>
  <c r="B18" i="25"/>
  <c r="B17" i="25"/>
  <c r="B12" i="25"/>
  <c r="B7" i="25"/>
  <c r="B8" i="25" s="1"/>
  <c r="A4" i="25"/>
  <c r="B3" i="25"/>
  <c r="C82" i="24"/>
  <c r="D82" i="24"/>
  <c r="E82" i="24"/>
  <c r="F82" i="24"/>
  <c r="G82" i="24"/>
  <c r="H82" i="24"/>
  <c r="B82" i="24"/>
  <c r="B32" i="37" l="1"/>
  <c r="D52" i="37" s="1"/>
  <c r="B44" i="36"/>
  <c r="C52" i="37"/>
  <c r="B24" i="37"/>
  <c r="D44" i="37" s="1"/>
  <c r="B36" i="36"/>
  <c r="C44" i="37"/>
  <c r="B29" i="37"/>
  <c r="D49" i="37" s="1"/>
  <c r="C49" i="37"/>
  <c r="B41" i="36"/>
  <c r="B30" i="37"/>
  <c r="D50" i="37" s="1"/>
  <c r="C50" i="37"/>
  <c r="B42" i="36"/>
  <c r="B35" i="36"/>
  <c r="B67" i="36" s="1"/>
  <c r="C43" i="37"/>
  <c r="B27" i="37"/>
  <c r="D47" i="37" s="1"/>
  <c r="C47" i="37"/>
  <c r="B39" i="36"/>
  <c r="B28" i="37"/>
  <c r="D48" i="37" s="1"/>
  <c r="B40" i="36"/>
  <c r="C48" i="37"/>
  <c r="B33" i="37"/>
  <c r="D53" i="37" s="1"/>
  <c r="C53" i="37"/>
  <c r="B45" i="36"/>
  <c r="B25" i="37"/>
  <c r="D45" i="37" s="1"/>
  <c r="C45" i="37"/>
  <c r="B37" i="36"/>
  <c r="B34" i="37"/>
  <c r="D54" i="37" s="1"/>
  <c r="C54" i="37"/>
  <c r="B46" i="36"/>
  <c r="B26" i="37"/>
  <c r="D46" i="37" s="1"/>
  <c r="C46" i="37"/>
  <c r="B38" i="36"/>
  <c r="B31" i="37"/>
  <c r="D51" i="37" s="1"/>
  <c r="C51" i="37"/>
  <c r="B43" i="36"/>
  <c r="B23" i="37"/>
  <c r="C35" i="36" s="1"/>
  <c r="C67" i="36" s="1"/>
  <c r="B21" i="37"/>
  <c r="B36" i="27"/>
  <c r="B37" i="27" s="1"/>
  <c r="C33" i="27"/>
  <c r="H55" i="20"/>
  <c r="C40" i="36" l="1"/>
  <c r="C72" i="36" s="1"/>
  <c r="C41" i="36"/>
  <c r="C73" i="36" s="1"/>
  <c r="C42" i="36"/>
  <c r="C74" i="36" s="1"/>
  <c r="B75" i="36"/>
  <c r="B77" i="36"/>
  <c r="B71" i="36"/>
  <c r="B68" i="36"/>
  <c r="B74" i="36"/>
  <c r="C43" i="36"/>
  <c r="C75" i="36" s="1"/>
  <c r="B70" i="36"/>
  <c r="B78" i="36"/>
  <c r="C37" i="36"/>
  <c r="C69" i="36" s="1"/>
  <c r="C45" i="36"/>
  <c r="C77" i="36" s="1"/>
  <c r="C39" i="36"/>
  <c r="C71" i="36" s="1"/>
  <c r="B73" i="36"/>
  <c r="C36" i="36"/>
  <c r="C68" i="36" s="1"/>
  <c r="C44" i="36"/>
  <c r="C76" i="36" s="1"/>
  <c r="B69" i="36"/>
  <c r="B76" i="36"/>
  <c r="B35" i="37"/>
  <c r="B36" i="37" s="1"/>
  <c r="D43" i="37"/>
  <c r="C38" i="36"/>
  <c r="C70" i="36" s="1"/>
  <c r="C46" i="36"/>
  <c r="C78" i="36" s="1"/>
  <c r="B72" i="36"/>
  <c r="C36" i="27"/>
  <c r="C37" i="27" s="1"/>
  <c r="D33" i="27"/>
  <c r="D36" i="27" s="1"/>
  <c r="D37" i="27" s="1"/>
  <c r="D19" i="26"/>
  <c r="I55" i="20"/>
  <c r="B19" i="25"/>
  <c r="B45" i="25"/>
  <c r="H40" i="36" l="1"/>
  <c r="H43" i="36"/>
  <c r="B16" i="24"/>
  <c r="B16" i="25" s="1"/>
  <c r="H41" i="36"/>
  <c r="H42" i="36"/>
  <c r="H38" i="36"/>
  <c r="H37" i="36"/>
  <c r="H36" i="36"/>
  <c r="H45" i="36"/>
  <c r="H46" i="36"/>
  <c r="H44" i="36"/>
  <c r="H39" i="36"/>
  <c r="E33" i="27"/>
  <c r="E36" i="27" s="1"/>
  <c r="E37" i="27" s="1"/>
  <c r="F33" i="27"/>
  <c r="F36" i="27" s="1"/>
  <c r="F37" i="27" s="1"/>
  <c r="J55" i="20"/>
  <c r="E19" i="26"/>
  <c r="G33" i="27" l="1"/>
  <c r="G36" i="27" s="1"/>
  <c r="G37" i="27" s="1"/>
  <c r="K55" i="20"/>
  <c r="F19" i="26"/>
  <c r="H33" i="27" l="1"/>
  <c r="H36" i="27" s="1"/>
  <c r="H37" i="27" s="1"/>
  <c r="L55" i="20"/>
  <c r="H19" i="26" s="1"/>
  <c r="G19" i="26"/>
  <c r="C56" i="24" l="1"/>
  <c r="D56" i="24"/>
  <c r="E56" i="24"/>
  <c r="F56" i="24"/>
  <c r="G56" i="24"/>
  <c r="H56" i="24"/>
  <c r="B56" i="24"/>
  <c r="C43" i="24"/>
  <c r="D43" i="24"/>
  <c r="E43" i="24"/>
  <c r="F43" i="24"/>
  <c r="G43" i="24"/>
  <c r="H43" i="24"/>
  <c r="B43" i="24"/>
  <c r="A45" i="24"/>
  <c r="A58" i="24" s="1"/>
  <c r="B45" i="24"/>
  <c r="C45" i="24"/>
  <c r="D45" i="24"/>
  <c r="E45" i="24"/>
  <c r="F45" i="24"/>
  <c r="G45" i="24"/>
  <c r="H45" i="24"/>
  <c r="A46" i="24"/>
  <c r="A59" i="24" s="1"/>
  <c r="B46" i="24"/>
  <c r="C46" i="24"/>
  <c r="D46" i="24"/>
  <c r="E46" i="24"/>
  <c r="F46" i="24"/>
  <c r="G46" i="24"/>
  <c r="H46" i="24"/>
  <c r="A47" i="24"/>
  <c r="A60" i="24" s="1"/>
  <c r="B47" i="24"/>
  <c r="C47" i="24"/>
  <c r="D47" i="24"/>
  <c r="E47" i="24"/>
  <c r="F47" i="24"/>
  <c r="G47" i="24"/>
  <c r="H47" i="24"/>
  <c r="A48" i="24"/>
  <c r="A61" i="24" s="1"/>
  <c r="B48" i="24"/>
  <c r="C48" i="24"/>
  <c r="D48" i="24"/>
  <c r="E48" i="24"/>
  <c r="F48" i="24"/>
  <c r="G48" i="24"/>
  <c r="H48" i="24"/>
  <c r="A49" i="24"/>
  <c r="A62" i="24" s="1"/>
  <c r="B49" i="24"/>
  <c r="C49" i="24"/>
  <c r="D49" i="24"/>
  <c r="E49" i="24"/>
  <c r="F49" i="24"/>
  <c r="G49" i="24"/>
  <c r="H49" i="24"/>
  <c r="A50" i="24"/>
  <c r="A63" i="24" s="1"/>
  <c r="B50" i="24"/>
  <c r="C50" i="24"/>
  <c r="D50" i="24"/>
  <c r="E50" i="24"/>
  <c r="F50" i="24"/>
  <c r="G50" i="24"/>
  <c r="H50" i="24"/>
  <c r="A51" i="24"/>
  <c r="A64" i="24" s="1"/>
  <c r="B51" i="24"/>
  <c r="C51" i="24"/>
  <c r="D51" i="24"/>
  <c r="E51" i="24"/>
  <c r="F51" i="24"/>
  <c r="G51" i="24"/>
  <c r="H51" i="24"/>
  <c r="A52" i="24"/>
  <c r="A65" i="24" s="1"/>
  <c r="B52" i="24"/>
  <c r="C52" i="24"/>
  <c r="D52" i="24"/>
  <c r="E52" i="24"/>
  <c r="F52" i="24"/>
  <c r="G52" i="24"/>
  <c r="H52" i="24"/>
  <c r="A53" i="24"/>
  <c r="A66" i="24" s="1"/>
  <c r="B53" i="24"/>
  <c r="C53" i="24"/>
  <c r="D53" i="24"/>
  <c r="E53" i="24"/>
  <c r="F53" i="24"/>
  <c r="G53" i="24"/>
  <c r="H53" i="24"/>
  <c r="A54" i="24"/>
  <c r="A67" i="24" s="1"/>
  <c r="B54" i="24"/>
  <c r="C54" i="24"/>
  <c r="D54" i="24"/>
  <c r="E54" i="24"/>
  <c r="F54" i="24"/>
  <c r="G54" i="24"/>
  <c r="H54" i="24"/>
  <c r="A55" i="24"/>
  <c r="A68" i="24" s="1"/>
  <c r="B55" i="24"/>
  <c r="C55" i="24"/>
  <c r="D55" i="24"/>
  <c r="E55" i="24"/>
  <c r="F55" i="24"/>
  <c r="G55" i="24"/>
  <c r="H55" i="24"/>
  <c r="C44" i="24"/>
  <c r="D44" i="24"/>
  <c r="E44" i="24"/>
  <c r="F44" i="24"/>
  <c r="G44" i="24"/>
  <c r="H44" i="24"/>
  <c r="B44" i="24"/>
  <c r="A44" i="24"/>
  <c r="A57" i="24" s="1"/>
  <c r="C26" i="24"/>
  <c r="D26" i="24"/>
  <c r="E26" i="24"/>
  <c r="F26" i="24"/>
  <c r="G26" i="24"/>
  <c r="H26" i="24"/>
  <c r="B26" i="24"/>
  <c r="B4" i="24"/>
  <c r="B3" i="24"/>
  <c r="C18" i="24"/>
  <c r="D18" i="24"/>
  <c r="E18" i="24"/>
  <c r="F18" i="24"/>
  <c r="G18" i="24"/>
  <c r="H18" i="24"/>
  <c r="B18" i="24"/>
  <c r="B17" i="24"/>
  <c r="C12" i="24"/>
  <c r="B12" i="24"/>
  <c r="B7" i="24"/>
  <c r="B8" i="24" s="1"/>
  <c r="F66" i="20"/>
  <c r="B22" i="27" s="1"/>
  <c r="F65" i="20"/>
  <c r="B21" i="27" s="1"/>
  <c r="F64" i="20"/>
  <c r="F29" i="20"/>
  <c r="G96" i="20"/>
  <c r="C19" i="33" s="1"/>
  <c r="H96" i="20"/>
  <c r="D19" i="33" s="1"/>
  <c r="I96" i="20"/>
  <c r="E19" i="33" s="1"/>
  <c r="J96" i="20"/>
  <c r="F19" i="33" s="1"/>
  <c r="K96" i="20"/>
  <c r="G19" i="33" s="1"/>
  <c r="L96" i="20"/>
  <c r="H19" i="33" s="1"/>
  <c r="G97" i="20"/>
  <c r="C20" i="33" s="1"/>
  <c r="H97" i="20"/>
  <c r="D20" i="33" s="1"/>
  <c r="I97" i="20"/>
  <c r="E20" i="33" s="1"/>
  <c r="J97" i="20"/>
  <c r="F20" i="33" s="1"/>
  <c r="K97" i="20"/>
  <c r="G20" i="33" s="1"/>
  <c r="L97" i="20"/>
  <c r="H20" i="33" s="1"/>
  <c r="G98" i="20"/>
  <c r="H98" i="20" s="1"/>
  <c r="I98" i="20" s="1"/>
  <c r="J98" i="20" s="1"/>
  <c r="K98" i="20" s="1"/>
  <c r="L98" i="20" s="1"/>
  <c r="F97" i="20"/>
  <c r="F96" i="20"/>
  <c r="B19" i="33" s="1"/>
  <c r="G118" i="20"/>
  <c r="G129" i="20"/>
  <c r="H129" i="20" s="1"/>
  <c r="I129" i="20" s="1"/>
  <c r="J129" i="20" s="1"/>
  <c r="K129" i="20" s="1"/>
  <c r="L129" i="20" s="1"/>
  <c r="G127" i="20"/>
  <c r="C12" i="28" s="1"/>
  <c r="G128" i="20"/>
  <c r="C13" i="28" s="1"/>
  <c r="G126" i="20"/>
  <c r="C11" i="28" s="1"/>
  <c r="H130" i="20"/>
  <c r="G27" i="20"/>
  <c r="H27" i="20" s="1"/>
  <c r="I27" i="20" s="1"/>
  <c r="J27" i="20" s="1"/>
  <c r="K27" i="20" s="1"/>
  <c r="L27" i="20" s="1"/>
  <c r="G28" i="20"/>
  <c r="H28" i="20" s="1"/>
  <c r="I28" i="20" s="1"/>
  <c r="J28" i="20" s="1"/>
  <c r="K28" i="20" s="1"/>
  <c r="L28" i="20" s="1"/>
  <c r="G26" i="20"/>
  <c r="H26" i="20" s="1"/>
  <c r="I26" i="20" s="1"/>
  <c r="J26" i="20" s="1"/>
  <c r="K26" i="20" s="1"/>
  <c r="L26" i="20" s="1"/>
  <c r="G138" i="20"/>
  <c r="H138" i="20" s="1"/>
  <c r="I138" i="20" s="1"/>
  <c r="J138" i="20" s="1"/>
  <c r="K138" i="20" s="1"/>
  <c r="L138" i="20" s="1"/>
  <c r="G139" i="20"/>
  <c r="H139" i="20" s="1"/>
  <c r="I139" i="20" s="1"/>
  <c r="J139" i="20" s="1"/>
  <c r="K139" i="20" s="1"/>
  <c r="L139" i="20" s="1"/>
  <c r="G136" i="20"/>
  <c r="H136" i="20" s="1"/>
  <c r="I136" i="20" s="1"/>
  <c r="J136" i="20" s="1"/>
  <c r="K136" i="20" s="1"/>
  <c r="L136" i="20" s="1"/>
  <c r="G137" i="20"/>
  <c r="H137" i="20" s="1"/>
  <c r="I137" i="20" s="1"/>
  <c r="J137" i="20" s="1"/>
  <c r="K137" i="20" s="1"/>
  <c r="L137" i="20" s="1"/>
  <c r="G135" i="20"/>
  <c r="H135" i="20" s="1"/>
  <c r="I135" i="20" s="1"/>
  <c r="J135" i="20" s="1"/>
  <c r="K135" i="20" s="1"/>
  <c r="L135" i="20" s="1"/>
  <c r="F133" i="20"/>
  <c r="G132" i="20"/>
  <c r="F117" i="20"/>
  <c r="B25" i="30" s="1"/>
  <c r="G116" i="20"/>
  <c r="B21" i="30"/>
  <c r="B18" i="30"/>
  <c r="B10" i="30"/>
  <c r="G105" i="20"/>
  <c r="G107" i="20"/>
  <c r="G108" i="20"/>
  <c r="G110" i="20"/>
  <c r="G111" i="20"/>
  <c r="G112" i="20"/>
  <c r="G113" i="20"/>
  <c r="G114" i="20"/>
  <c r="G115" i="20"/>
  <c r="C10" i="36"/>
  <c r="F3" i="21"/>
  <c r="B13" i="21" s="1"/>
  <c r="C4" i="21"/>
  <c r="C3" i="21"/>
  <c r="B17" i="21"/>
  <c r="B18" i="21" s="1"/>
  <c r="G39" i="20"/>
  <c r="H39" i="20" s="1"/>
  <c r="I39" i="20" s="1"/>
  <c r="J39" i="20" s="1"/>
  <c r="K39" i="20" s="1"/>
  <c r="L39" i="20" s="1"/>
  <c r="F56" i="20"/>
  <c r="G54" i="20"/>
  <c r="F53" i="20"/>
  <c r="B22" i="25" s="1"/>
  <c r="G51" i="20"/>
  <c r="G52" i="20"/>
  <c r="G50" i="20"/>
  <c r="B10" i="26"/>
  <c r="H48" i="20"/>
  <c r="G42" i="20"/>
  <c r="F41" i="20"/>
  <c r="F33" i="20"/>
  <c r="G31" i="20"/>
  <c r="G30" i="20"/>
  <c r="C22" i="37" s="1"/>
  <c r="H12" i="20"/>
  <c r="I12" i="20" s="1"/>
  <c r="J12" i="20" s="1"/>
  <c r="K12" i="20" s="1"/>
  <c r="L12" i="20" s="1"/>
  <c r="G10" i="20"/>
  <c r="C3" i="23"/>
  <c r="G20" i="15" s="1"/>
  <c r="C5" i="23"/>
  <c r="B17" i="23"/>
  <c r="B13" i="23"/>
  <c r="C4" i="23"/>
  <c r="E20" i="15" s="1"/>
  <c r="I35" i="14"/>
  <c r="I42" i="14" s="1"/>
  <c r="I23" i="17" s="1"/>
  <c r="D50" i="19"/>
  <c r="B6" i="12" s="1"/>
  <c r="C14" i="15" s="1"/>
  <c r="E6" i="22"/>
  <c r="D41" i="19"/>
  <c r="D31" i="19"/>
  <c r="B8" i="2" s="1"/>
  <c r="B17" i="2" s="1"/>
  <c r="E10" i="22"/>
  <c r="E21" i="19"/>
  <c r="F21" i="19" s="1"/>
  <c r="B5" i="13"/>
  <c r="F35" i="19"/>
  <c r="D12" i="2" s="1"/>
  <c r="E18" i="2" s="1"/>
  <c r="E28" i="2" s="1"/>
  <c r="E35" i="19"/>
  <c r="A1" i="15"/>
  <c r="A1" i="13"/>
  <c r="A1" i="17" s="1"/>
  <c r="B9" i="12"/>
  <c r="C15" i="15" s="1"/>
  <c r="B7" i="12"/>
  <c r="C13" i="15" s="1"/>
  <c r="C11" i="12"/>
  <c r="C20" i="12" s="1"/>
  <c r="D11" i="12"/>
  <c r="D20" i="12" s="1"/>
  <c r="E11" i="12"/>
  <c r="E20" i="12" s="1"/>
  <c r="F11" i="12"/>
  <c r="F20" i="12" s="1"/>
  <c r="G11" i="12"/>
  <c r="G20" i="12" s="1"/>
  <c r="H11" i="12"/>
  <c r="H20" i="12" s="1"/>
  <c r="I11" i="12"/>
  <c r="I20" i="12" s="1"/>
  <c r="B10" i="13"/>
  <c r="B20" i="13" s="1"/>
  <c r="C6" i="9"/>
  <c r="C13" i="9" s="1"/>
  <c r="B6" i="10"/>
  <c r="B13" i="10" s="1"/>
  <c r="C13" i="10" s="1"/>
  <c r="D13" i="10" s="1"/>
  <c r="E13" i="10" s="1"/>
  <c r="F13" i="10" s="1"/>
  <c r="G13" i="10" s="1"/>
  <c r="H13" i="10" s="1"/>
  <c r="I13" i="10" s="1"/>
  <c r="C6" i="2"/>
  <c r="C22" i="2" s="1"/>
  <c r="B12" i="2"/>
  <c r="C18" i="2" s="1"/>
  <c r="C28" i="2" s="1"/>
  <c r="B13" i="2"/>
  <c r="B10" i="2"/>
  <c r="B9" i="2"/>
  <c r="B27" i="2" s="1"/>
  <c r="C7" i="2"/>
  <c r="C32" i="2" s="1"/>
  <c r="B11" i="2"/>
  <c r="B6" i="3"/>
  <c r="B11" i="3" s="1"/>
  <c r="B7" i="3"/>
  <c r="C13" i="3" s="1"/>
  <c r="D13" i="3" s="1"/>
  <c r="E13" i="3" s="1"/>
  <c r="F13" i="3" s="1"/>
  <c r="G13" i="3" s="1"/>
  <c r="H13" i="3" s="1"/>
  <c r="I13" i="3" s="1"/>
  <c r="B8" i="3"/>
  <c r="B12" i="3" s="1"/>
  <c r="E25" i="19"/>
  <c r="C11" i="13" s="1"/>
  <c r="C24" i="13" s="1"/>
  <c r="E26" i="19"/>
  <c r="C12" i="13" s="1"/>
  <c r="C27" i="13" s="1"/>
  <c r="B6" i="11"/>
  <c r="B13" i="11" s="1"/>
  <c r="C13" i="11" s="1"/>
  <c r="D13" i="11" s="1"/>
  <c r="E13" i="11" s="1"/>
  <c r="F13" i="11" s="1"/>
  <c r="G13" i="11" s="1"/>
  <c r="H13" i="11" s="1"/>
  <c r="I13" i="11" s="1"/>
  <c r="D6" i="9"/>
  <c r="D13" i="9" s="1"/>
  <c r="D6" i="2"/>
  <c r="D22" i="2" s="1"/>
  <c r="C12" i="2"/>
  <c r="D18" i="2" s="1"/>
  <c r="D28" i="2" s="1"/>
  <c r="D7" i="2"/>
  <c r="D32" i="2" s="1"/>
  <c r="E6" i="9"/>
  <c r="E13" i="9" s="1"/>
  <c r="E6" i="2"/>
  <c r="E22" i="2" s="1"/>
  <c r="E7" i="2"/>
  <c r="E32" i="2" s="1"/>
  <c r="F6" i="9"/>
  <c r="F13" i="9" s="1"/>
  <c r="F6" i="2"/>
  <c r="F22" i="2" s="1"/>
  <c r="F7" i="2"/>
  <c r="F32" i="2" s="1"/>
  <c r="G6" i="9"/>
  <c r="G13" i="9" s="1"/>
  <c r="G6" i="2"/>
  <c r="G22" i="2" s="1"/>
  <c r="G7" i="2"/>
  <c r="G32" i="2" s="1"/>
  <c r="H6" i="9"/>
  <c r="H13" i="9" s="1"/>
  <c r="H6" i="2"/>
  <c r="H22" i="2" s="1"/>
  <c r="H7" i="2"/>
  <c r="H32" i="2" s="1"/>
  <c r="I6" i="9"/>
  <c r="I13" i="9" s="1"/>
  <c r="I6" i="2"/>
  <c r="I22" i="2" s="1"/>
  <c r="I7" i="2"/>
  <c r="I32" i="2" s="1"/>
  <c r="B5" i="12"/>
  <c r="B17" i="12" s="1"/>
  <c r="B7" i="13"/>
  <c r="B16" i="13" s="1"/>
  <c r="B6" i="9"/>
  <c r="B13" i="9" s="1"/>
  <c r="B5" i="2"/>
  <c r="B20" i="2" s="1"/>
  <c r="B30" i="2" s="1"/>
  <c r="B6" i="2"/>
  <c r="B22" i="2" s="1"/>
  <c r="B7" i="2"/>
  <c r="B32" i="2" s="1"/>
  <c r="B5" i="3"/>
  <c r="B14" i="3" s="1"/>
  <c r="B11" i="13"/>
  <c r="B24" i="13" s="1"/>
  <c r="B12" i="13"/>
  <c r="B27" i="13" s="1"/>
  <c r="C16" i="15"/>
  <c r="C17" i="15"/>
  <c r="B8" i="12"/>
  <c r="C12" i="15" s="1"/>
  <c r="C9" i="15"/>
  <c r="C8" i="15"/>
  <c r="C7" i="15"/>
  <c r="C6" i="15"/>
  <c r="B5" i="11"/>
  <c r="B14" i="11" s="1"/>
  <c r="B5" i="10"/>
  <c r="B14" i="10" s="1"/>
  <c r="B5" i="9"/>
  <c r="B14" i="9" s="1"/>
  <c r="B9" i="13"/>
  <c r="B8" i="13"/>
  <c r="B6" i="13"/>
  <c r="C6" i="13" s="1"/>
  <c r="D6" i="13" s="1"/>
  <c r="E6" i="13" s="1"/>
  <c r="F6" i="13" s="1"/>
  <c r="G6" i="13" s="1"/>
  <c r="H6" i="13" s="1"/>
  <c r="I6" i="13" s="1"/>
  <c r="F19" i="19"/>
  <c r="G19" i="19" s="1"/>
  <c r="H19" i="19" s="1"/>
  <c r="I19" i="19" s="1"/>
  <c r="J19" i="19" s="1"/>
  <c r="K19" i="19" s="1"/>
  <c r="E18" i="19"/>
  <c r="F18" i="19" s="1"/>
  <c r="G18" i="19" s="1"/>
  <c r="H18" i="19" s="1"/>
  <c r="I18" i="19" s="1"/>
  <c r="J18" i="19" s="1"/>
  <c r="K18" i="19" s="1"/>
  <c r="A1" i="14"/>
  <c r="B29" i="12"/>
  <c r="D21" i="12"/>
  <c r="E21" i="12"/>
  <c r="F21" i="12"/>
  <c r="G21" i="12"/>
  <c r="H21" i="12"/>
  <c r="I21" i="12"/>
  <c r="C21" i="12"/>
  <c r="C30" i="2"/>
  <c r="D20" i="2"/>
  <c r="D30" i="2" s="1"/>
  <c r="D14" i="3"/>
  <c r="E14" i="3" s="1"/>
  <c r="D17" i="12"/>
  <c r="E17" i="12" s="1"/>
  <c r="F17" i="12" s="1"/>
  <c r="G17" i="12" s="1"/>
  <c r="H17" i="12" s="1"/>
  <c r="D27" i="15"/>
  <c r="D16" i="13"/>
  <c r="E16" i="13" s="1"/>
  <c r="F16" i="13" s="1"/>
  <c r="G16" i="13" s="1"/>
  <c r="H16" i="13" s="1"/>
  <c r="I16" i="13" s="1"/>
  <c r="D14" i="11"/>
  <c r="D14" i="10"/>
  <c r="E14" i="10" s="1"/>
  <c r="F14" i="10" s="1"/>
  <c r="G14" i="10" s="1"/>
  <c r="H14" i="10" s="1"/>
  <c r="I14" i="10" s="1"/>
  <c r="D14" i="9"/>
  <c r="E14" i="9" s="1"/>
  <c r="F14" i="9" s="1"/>
  <c r="G14" i="9" s="1"/>
  <c r="H14" i="9" s="1"/>
  <c r="I14" i="9" s="1"/>
  <c r="B11" i="12"/>
  <c r="C7" i="37" l="1"/>
  <c r="C8" i="37" s="1"/>
  <c r="G36" i="20"/>
  <c r="G37" i="20" s="1"/>
  <c r="G35" i="20"/>
  <c r="F25" i="19"/>
  <c r="D11" i="13" s="1"/>
  <c r="D24" i="13" s="1"/>
  <c r="A1" i="9"/>
  <c r="H114" i="20"/>
  <c r="C22" i="30"/>
  <c r="H110" i="20"/>
  <c r="C18" i="30"/>
  <c r="H132" i="20"/>
  <c r="C17" i="28"/>
  <c r="C22" i="12"/>
  <c r="A1" i="2"/>
  <c r="A1" i="12"/>
  <c r="C15" i="26"/>
  <c r="C17" i="26" s="1"/>
  <c r="C23" i="26" s="1"/>
  <c r="G102" i="20"/>
  <c r="H112" i="20"/>
  <c r="C20" i="30"/>
  <c r="H107" i="20"/>
  <c r="C15" i="30"/>
  <c r="G104" i="20"/>
  <c r="B12" i="30"/>
  <c r="H116" i="20"/>
  <c r="C24" i="30"/>
  <c r="I130" i="20"/>
  <c r="D15" i="28"/>
  <c r="F14" i="3"/>
  <c r="G14" i="3" s="1"/>
  <c r="H14" i="3" s="1"/>
  <c r="I14" i="3" s="1"/>
  <c r="A1" i="3"/>
  <c r="A1" i="11"/>
  <c r="C21" i="15"/>
  <c r="G25" i="19"/>
  <c r="E11" i="13" s="1"/>
  <c r="E24" i="13" s="1"/>
  <c r="G35" i="19"/>
  <c r="E14" i="11"/>
  <c r="F14" i="11" s="1"/>
  <c r="G14" i="11" s="1"/>
  <c r="H14" i="11" s="1"/>
  <c r="I14" i="11" s="1"/>
  <c r="C9" i="37"/>
  <c r="C17" i="37"/>
  <c r="C31" i="37" s="1"/>
  <c r="C13" i="37"/>
  <c r="C27" i="37" s="1"/>
  <c r="C18" i="37"/>
  <c r="C32" i="37" s="1"/>
  <c r="C14" i="37"/>
  <c r="C28" i="37" s="1"/>
  <c r="C10" i="37"/>
  <c r="C24" i="37" s="1"/>
  <c r="C19" i="37"/>
  <c r="C33" i="37" s="1"/>
  <c r="C15" i="37"/>
  <c r="C29" i="37" s="1"/>
  <c r="C11" i="37"/>
  <c r="C25" i="37" s="1"/>
  <c r="C20" i="37"/>
  <c r="C34" i="37" s="1"/>
  <c r="C16" i="37"/>
  <c r="C30" i="37" s="1"/>
  <c r="C12" i="37"/>
  <c r="C26" i="37" s="1"/>
  <c r="H42" i="20"/>
  <c r="C12" i="25"/>
  <c r="C12" i="29"/>
  <c r="H115" i="20"/>
  <c r="C23" i="30"/>
  <c r="H111" i="20"/>
  <c r="C19" i="30"/>
  <c r="H105" i="20"/>
  <c r="C13" i="30"/>
  <c r="G109" i="20"/>
  <c r="B17" i="30"/>
  <c r="I48" i="20"/>
  <c r="D11" i="26"/>
  <c r="D16" i="26" s="1"/>
  <c r="G26" i="12"/>
  <c r="H26" i="12" s="1"/>
  <c r="I26" i="12" s="1"/>
  <c r="A1" i="10"/>
  <c r="C5" i="13"/>
  <c r="C15" i="13" s="1"/>
  <c r="H113" i="20"/>
  <c r="C21" i="30"/>
  <c r="H108" i="20"/>
  <c r="C16" i="30"/>
  <c r="G103" i="20"/>
  <c r="B11" i="30"/>
  <c r="H31" i="20"/>
  <c r="C17" i="29"/>
  <c r="C17" i="25"/>
  <c r="C17" i="24"/>
  <c r="B22" i="29"/>
  <c r="C51" i="36"/>
  <c r="H118" i="20"/>
  <c r="D26" i="30" s="1"/>
  <c r="C26" i="30"/>
  <c r="G64" i="20"/>
  <c r="B20" i="27"/>
  <c r="F131" i="20"/>
  <c r="B24" i="25"/>
  <c r="I28" i="12"/>
  <c r="H27" i="12"/>
  <c r="I27" i="12" s="1"/>
  <c r="C9" i="23"/>
  <c r="E16" i="23" s="1"/>
  <c r="C16" i="23"/>
  <c r="H16" i="23" s="1"/>
  <c r="F86" i="20"/>
  <c r="B21" i="34" s="1"/>
  <c r="B20" i="34"/>
  <c r="B10" i="32"/>
  <c r="B38" i="32" s="1"/>
  <c r="B20" i="33"/>
  <c r="F69" i="20"/>
  <c r="B28" i="27" s="1"/>
  <c r="B41" i="27" s="1"/>
  <c r="B23" i="27"/>
  <c r="B24" i="27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H54" i="20"/>
  <c r="C9" i="26"/>
  <c r="B12" i="26"/>
  <c r="B13" i="26"/>
  <c r="G56" i="20"/>
  <c r="C7" i="25"/>
  <c r="C8" i="25" s="1"/>
  <c r="C7" i="24"/>
  <c r="C8" i="24" s="1"/>
  <c r="B16" i="29"/>
  <c r="B20" i="25"/>
  <c r="F44" i="20"/>
  <c r="B9" i="25"/>
  <c r="B11" i="25" s="1"/>
  <c r="B11" i="29" s="1"/>
  <c r="B9" i="24"/>
  <c r="B11" i="24" s="1"/>
  <c r="F67" i="20"/>
  <c r="B26" i="27" s="1"/>
  <c r="F119" i="20"/>
  <c r="I118" i="20"/>
  <c r="E26" i="30" s="1"/>
  <c r="H127" i="20"/>
  <c r="D12" i="28" s="1"/>
  <c r="H128" i="20"/>
  <c r="H126" i="20"/>
  <c r="G133" i="20"/>
  <c r="C24" i="25" s="1"/>
  <c r="C24" i="29" s="1"/>
  <c r="F106" i="20"/>
  <c r="G117" i="20"/>
  <c r="C25" i="30" s="1"/>
  <c r="G53" i="20"/>
  <c r="C22" i="25" s="1"/>
  <c r="C22" i="29" s="1"/>
  <c r="C5" i="21"/>
  <c r="C16" i="21" s="1"/>
  <c r="B19" i="21"/>
  <c r="A16" i="21"/>
  <c r="A17" i="21"/>
  <c r="A18" i="21"/>
  <c r="A19" i="21"/>
  <c r="H33" i="20"/>
  <c r="G41" i="20"/>
  <c r="G49" i="20"/>
  <c r="C10" i="26" s="1"/>
  <c r="H52" i="20"/>
  <c r="I52" i="20" s="1"/>
  <c r="G65" i="20"/>
  <c r="C21" i="27" s="1"/>
  <c r="G66" i="20"/>
  <c r="C22" i="27" s="1"/>
  <c r="G33" i="20"/>
  <c r="H50" i="20"/>
  <c r="H51" i="20"/>
  <c r="I51" i="20" s="1"/>
  <c r="F68" i="20"/>
  <c r="H10" i="20"/>
  <c r="H30" i="20"/>
  <c r="C18" i="15"/>
  <c r="B18" i="23"/>
  <c r="A16" i="23"/>
  <c r="A17" i="23"/>
  <c r="C17" i="23"/>
  <c r="A18" i="23"/>
  <c r="F26" i="19"/>
  <c r="D12" i="13" s="1"/>
  <c r="D27" i="13" s="1"/>
  <c r="D5" i="13"/>
  <c r="D15" i="13" s="1"/>
  <c r="D19" i="13" s="1"/>
  <c r="G21" i="19"/>
  <c r="C17" i="2"/>
  <c r="D17" i="2" s="1"/>
  <c r="B19" i="2"/>
  <c r="B21" i="2" s="1"/>
  <c r="B23" i="2" s="1"/>
  <c r="E24" i="12"/>
  <c r="F24" i="12" s="1"/>
  <c r="G24" i="12" s="1"/>
  <c r="H24" i="12" s="1"/>
  <c r="I24" i="12" s="1"/>
  <c r="F25" i="12"/>
  <c r="G25" i="12" s="1"/>
  <c r="H25" i="12" s="1"/>
  <c r="I25" i="12" s="1"/>
  <c r="D23" i="12"/>
  <c r="E23" i="12" s="1"/>
  <c r="F23" i="12" s="1"/>
  <c r="G23" i="12" s="1"/>
  <c r="H23" i="12" s="1"/>
  <c r="I23" i="12" s="1"/>
  <c r="D26" i="15"/>
  <c r="D25" i="15"/>
  <c r="B15" i="12"/>
  <c r="C15" i="12" s="1"/>
  <c r="D15" i="12" s="1"/>
  <c r="E15" i="12" s="1"/>
  <c r="F15" i="12" s="1"/>
  <c r="G15" i="12" s="1"/>
  <c r="H15" i="12" s="1"/>
  <c r="I15" i="12" s="1"/>
  <c r="C7" i="14"/>
  <c r="C18" i="13"/>
  <c r="C19" i="13"/>
  <c r="B16" i="12"/>
  <c r="B18" i="12" s="1"/>
  <c r="B31" i="12" s="1"/>
  <c r="C11" i="3"/>
  <c r="D11" i="3" s="1"/>
  <c r="G26" i="19"/>
  <c r="C20" i="13"/>
  <c r="D20" i="13" s="1"/>
  <c r="B8" i="14"/>
  <c r="B15" i="13"/>
  <c r="B18" i="13" s="1"/>
  <c r="C29" i="12"/>
  <c r="D22" i="12"/>
  <c r="C12" i="3"/>
  <c r="D12" i="3" s="1"/>
  <c r="E12" i="3" s="1"/>
  <c r="F12" i="3" s="1"/>
  <c r="G12" i="3" s="1"/>
  <c r="H12" i="3" s="1"/>
  <c r="I12" i="3" s="1"/>
  <c r="B15" i="3"/>
  <c r="B17" i="3" s="1"/>
  <c r="C27" i="2"/>
  <c r="B29" i="2"/>
  <c r="B31" i="2" s="1"/>
  <c r="B33" i="2" s="1"/>
  <c r="C22" i="13"/>
  <c r="C28" i="13" s="1"/>
  <c r="E20" i="2"/>
  <c r="B14" i="13"/>
  <c r="D28" i="15"/>
  <c r="D7" i="37" l="1"/>
  <c r="D8" i="37" s="1"/>
  <c r="H36" i="20"/>
  <c r="H37" i="20" s="1"/>
  <c r="H35" i="20"/>
  <c r="F21" i="15"/>
  <c r="E29" i="15" s="1"/>
  <c r="D29" i="15" s="1"/>
  <c r="D15" i="26"/>
  <c r="H25" i="19"/>
  <c r="F16" i="23"/>
  <c r="E17" i="23"/>
  <c r="D16" i="23"/>
  <c r="I127" i="20"/>
  <c r="G99" i="20"/>
  <c r="C10" i="32" s="1"/>
  <c r="C38" i="32" s="1"/>
  <c r="F72" i="20"/>
  <c r="I30" i="20"/>
  <c r="D22" i="37"/>
  <c r="I108" i="20"/>
  <c r="D16" i="30"/>
  <c r="H35" i="19"/>
  <c r="E12" i="2"/>
  <c r="F18" i="2" s="1"/>
  <c r="F28" i="2" s="1"/>
  <c r="H102" i="20"/>
  <c r="C10" i="30"/>
  <c r="I126" i="20"/>
  <c r="D11" i="28"/>
  <c r="B24" i="29"/>
  <c r="H109" i="20"/>
  <c r="C17" i="30"/>
  <c r="I111" i="20"/>
  <c r="D19" i="30"/>
  <c r="I116" i="20"/>
  <c r="D24" i="30"/>
  <c r="I107" i="20"/>
  <c r="D15" i="30"/>
  <c r="I110" i="20"/>
  <c r="D18" i="30"/>
  <c r="D12" i="37"/>
  <c r="D16" i="37"/>
  <c r="D20" i="37"/>
  <c r="D9" i="37"/>
  <c r="D13" i="37"/>
  <c r="D17" i="37"/>
  <c r="D10" i="37"/>
  <c r="D14" i="37"/>
  <c r="D18" i="37"/>
  <c r="D11" i="37"/>
  <c r="D15" i="37"/>
  <c r="D19" i="37"/>
  <c r="E12" i="28"/>
  <c r="H103" i="20"/>
  <c r="C11" i="30"/>
  <c r="I113" i="20"/>
  <c r="D21" i="30"/>
  <c r="I42" i="20"/>
  <c r="D12" i="29"/>
  <c r="D12" i="25"/>
  <c r="D12" i="24"/>
  <c r="C23" i="37"/>
  <c r="C35" i="37" s="1"/>
  <c r="C21" i="37"/>
  <c r="I128" i="20"/>
  <c r="D13" i="28"/>
  <c r="J48" i="20"/>
  <c r="J52" i="20" s="1"/>
  <c r="E11" i="26"/>
  <c r="E16" i="26" s="1"/>
  <c r="I105" i="20"/>
  <c r="D13" i="30"/>
  <c r="I115" i="20"/>
  <c r="D23" i="30"/>
  <c r="J130" i="20"/>
  <c r="E15" i="28"/>
  <c r="H104" i="20"/>
  <c r="C12" i="30"/>
  <c r="I112" i="20"/>
  <c r="D20" i="30"/>
  <c r="I132" i="20"/>
  <c r="D17" i="28"/>
  <c r="I114" i="20"/>
  <c r="D22" i="30"/>
  <c r="C9" i="21"/>
  <c r="E18" i="21" s="1"/>
  <c r="D35" i="36"/>
  <c r="H35" i="36" s="1"/>
  <c r="I35" i="36" s="1"/>
  <c r="I36" i="36" s="1"/>
  <c r="I37" i="36" s="1"/>
  <c r="I38" i="36" s="1"/>
  <c r="I39" i="36" s="1"/>
  <c r="I40" i="36" s="1"/>
  <c r="I41" i="36" s="1"/>
  <c r="I42" i="36" s="1"/>
  <c r="I43" i="36" s="1"/>
  <c r="I44" i="36" s="1"/>
  <c r="I45" i="36" s="1"/>
  <c r="I46" i="36" s="1"/>
  <c r="I31" i="20"/>
  <c r="D17" i="29"/>
  <c r="D17" i="25"/>
  <c r="D17" i="24"/>
  <c r="D67" i="36"/>
  <c r="C52" i="36"/>
  <c r="B28" i="30"/>
  <c r="F124" i="20"/>
  <c r="B25" i="25" s="1"/>
  <c r="C17" i="21"/>
  <c r="H64" i="20"/>
  <c r="C20" i="27"/>
  <c r="C23" i="27" s="1"/>
  <c r="C24" i="27" s="1"/>
  <c r="F70" i="20"/>
  <c r="B39" i="27"/>
  <c r="B8" i="32"/>
  <c r="B8" i="31"/>
  <c r="B11" i="31" s="1"/>
  <c r="B38" i="31" s="1"/>
  <c r="B8" i="34"/>
  <c r="B8" i="33"/>
  <c r="B39" i="32"/>
  <c r="B30" i="25"/>
  <c r="B30" i="29" s="1"/>
  <c r="F71" i="20"/>
  <c r="B27" i="27"/>
  <c r="I54" i="20"/>
  <c r="D9" i="26"/>
  <c r="C12" i="26"/>
  <c r="C13" i="26"/>
  <c r="H117" i="20"/>
  <c r="D25" i="30" s="1"/>
  <c r="D7" i="25"/>
  <c r="D8" i="25" s="1"/>
  <c r="D7" i="24"/>
  <c r="D8" i="24" s="1"/>
  <c r="G119" i="20"/>
  <c r="C28" i="30" s="1"/>
  <c r="C9" i="25"/>
  <c r="C10" i="25" s="1"/>
  <c r="C9" i="24"/>
  <c r="C10" i="24" s="1"/>
  <c r="B14" i="30"/>
  <c r="B8" i="26"/>
  <c r="B20" i="26" s="1"/>
  <c r="B22" i="26" s="1"/>
  <c r="B25" i="26" s="1"/>
  <c r="B26" i="26" s="1"/>
  <c r="B8" i="30"/>
  <c r="B8" i="28"/>
  <c r="B19" i="28" s="1"/>
  <c r="B22" i="28" s="1"/>
  <c r="B23" i="28" s="1"/>
  <c r="B17" i="27"/>
  <c r="F45" i="20"/>
  <c r="B13" i="25"/>
  <c r="B13" i="24"/>
  <c r="C16" i="29"/>
  <c r="B21" i="25"/>
  <c r="B21" i="29" s="1"/>
  <c r="B46" i="25"/>
  <c r="I50" i="20"/>
  <c r="E15" i="26" s="1"/>
  <c r="D17" i="26"/>
  <c r="D23" i="26" s="1"/>
  <c r="B85" i="24"/>
  <c r="B87" i="24"/>
  <c r="B84" i="24"/>
  <c r="B86" i="24"/>
  <c r="B83" i="24"/>
  <c r="B19" i="24"/>
  <c r="B20" i="24" s="1"/>
  <c r="B58" i="24"/>
  <c r="B60" i="24"/>
  <c r="B62" i="24"/>
  <c r="B64" i="24"/>
  <c r="B66" i="24"/>
  <c r="B68" i="24"/>
  <c r="B59" i="24"/>
  <c r="B61" i="24"/>
  <c r="B63" i="24"/>
  <c r="B65" i="24"/>
  <c r="B67" i="24"/>
  <c r="B57" i="24"/>
  <c r="B27" i="24"/>
  <c r="J118" i="20"/>
  <c r="F26" i="30" s="1"/>
  <c r="H133" i="20"/>
  <c r="G44" i="20"/>
  <c r="G106" i="20"/>
  <c r="C14" i="30" s="1"/>
  <c r="C18" i="21"/>
  <c r="H16" i="21"/>
  <c r="F16" i="21"/>
  <c r="C19" i="21"/>
  <c r="B20" i="21"/>
  <c r="H56" i="20"/>
  <c r="H49" i="20"/>
  <c r="D10" i="26" s="1"/>
  <c r="H53" i="20"/>
  <c r="D22" i="25" s="1"/>
  <c r="D22" i="29" s="1"/>
  <c r="G67" i="20"/>
  <c r="G68" i="20"/>
  <c r="H65" i="20"/>
  <c r="D21" i="27" s="1"/>
  <c r="G69" i="20"/>
  <c r="H66" i="20"/>
  <c r="D22" i="27" s="1"/>
  <c r="H41" i="20"/>
  <c r="I10" i="20"/>
  <c r="C19" i="2"/>
  <c r="C21" i="2" s="1"/>
  <c r="C23" i="2" s="1"/>
  <c r="C24" i="2" s="1"/>
  <c r="C25" i="2" s="1"/>
  <c r="H17" i="23"/>
  <c r="F17" i="23"/>
  <c r="D17" i="23"/>
  <c r="G16" i="23"/>
  <c r="E18" i="23"/>
  <c r="C18" i="23"/>
  <c r="B19" i="23"/>
  <c r="D18" i="13"/>
  <c r="C8" i="14"/>
  <c r="D7" i="14"/>
  <c r="C16" i="12"/>
  <c r="C18" i="12" s="1"/>
  <c r="C31" i="12" s="1"/>
  <c r="C15" i="3"/>
  <c r="C17" i="3" s="1"/>
  <c r="C17" i="17" s="1"/>
  <c r="H21" i="19"/>
  <c r="E5" i="13"/>
  <c r="E15" i="13" s="1"/>
  <c r="D17" i="13"/>
  <c r="E12" i="13"/>
  <c r="E27" i="13" s="1"/>
  <c r="H26" i="19"/>
  <c r="F11" i="13"/>
  <c r="F24" i="13" s="1"/>
  <c r="I25" i="19"/>
  <c r="B22" i="13"/>
  <c r="B19" i="13"/>
  <c r="B7" i="14"/>
  <c r="D16" i="12"/>
  <c r="B32" i="14"/>
  <c r="B41" i="14" s="1"/>
  <c r="B20" i="17"/>
  <c r="D15" i="3"/>
  <c r="D17" i="3" s="1"/>
  <c r="E11" i="3"/>
  <c r="B24" i="2"/>
  <c r="B25" i="2" s="1"/>
  <c r="C14" i="13"/>
  <c r="B6" i="17"/>
  <c r="D23" i="15"/>
  <c r="B11" i="11"/>
  <c r="B14" i="12"/>
  <c r="B11" i="10"/>
  <c r="B11" i="9"/>
  <c r="B10" i="3"/>
  <c r="B15" i="2"/>
  <c r="B6" i="14"/>
  <c r="B52" i="14" s="1"/>
  <c r="C12" i="9"/>
  <c r="C16" i="9" s="1"/>
  <c r="C12" i="10"/>
  <c r="C16" i="10" s="1"/>
  <c r="C12" i="11"/>
  <c r="C16" i="11" s="1"/>
  <c r="C30" i="13" s="1"/>
  <c r="C29" i="13"/>
  <c r="C15" i="14" s="1"/>
  <c r="C38" i="2"/>
  <c r="C9" i="14"/>
  <c r="D19" i="2"/>
  <c r="D21" i="2" s="1"/>
  <c r="D23" i="2" s="1"/>
  <c r="E17" i="2"/>
  <c r="C29" i="2"/>
  <c r="C31" i="2" s="1"/>
  <c r="C33" i="2" s="1"/>
  <c r="D27" i="2"/>
  <c r="E30" i="2"/>
  <c r="F20" i="2"/>
  <c r="D22" i="13"/>
  <c r="D28" i="13" s="1"/>
  <c r="E20" i="13"/>
  <c r="D8" i="14"/>
  <c r="B34" i="2"/>
  <c r="B35" i="2" s="1"/>
  <c r="B26" i="14"/>
  <c r="B17" i="17"/>
  <c r="D29" i="12"/>
  <c r="E22" i="12"/>
  <c r="E7" i="37" l="1"/>
  <c r="E8" i="37" s="1"/>
  <c r="I35" i="20"/>
  <c r="I36" i="20"/>
  <c r="I37" i="20" s="1"/>
  <c r="D29" i="37"/>
  <c r="D24" i="37"/>
  <c r="D34" i="37"/>
  <c r="H99" i="20"/>
  <c r="D10" i="32" s="1"/>
  <c r="D38" i="32" s="1"/>
  <c r="C38" i="30"/>
  <c r="E19" i="21"/>
  <c r="D19" i="21" s="1"/>
  <c r="D51" i="36"/>
  <c r="D52" i="36" s="1"/>
  <c r="D53" i="36" s="1"/>
  <c r="D54" i="36" s="1"/>
  <c r="D55" i="36" s="1"/>
  <c r="D56" i="36" s="1"/>
  <c r="D57" i="36" s="1"/>
  <c r="D58" i="36" s="1"/>
  <c r="D59" i="36" s="1"/>
  <c r="D60" i="36" s="1"/>
  <c r="D61" i="36" s="1"/>
  <c r="D62" i="36" s="1"/>
  <c r="E17" i="21"/>
  <c r="D17" i="21" s="1"/>
  <c r="F92" i="20"/>
  <c r="E16" i="21"/>
  <c r="D16" i="21" s="1"/>
  <c r="G16" i="21" s="1"/>
  <c r="H17" i="21"/>
  <c r="H18" i="21" s="1"/>
  <c r="H19" i="21" s="1"/>
  <c r="F73" i="20"/>
  <c r="B23" i="25" s="1"/>
  <c r="B23" i="29" s="1"/>
  <c r="B38" i="30"/>
  <c r="B39" i="30" s="1"/>
  <c r="B25" i="29"/>
  <c r="E67" i="36"/>
  <c r="E68" i="36" s="1"/>
  <c r="E69" i="36" s="1"/>
  <c r="E70" i="36" s="1"/>
  <c r="E71" i="36" s="1"/>
  <c r="E72" i="36" s="1"/>
  <c r="E73" i="36" s="1"/>
  <c r="E74" i="36" s="1"/>
  <c r="E75" i="36" s="1"/>
  <c r="E76" i="36" s="1"/>
  <c r="E77" i="36" s="1"/>
  <c r="E78" i="36" s="1"/>
  <c r="C25" i="13"/>
  <c r="C26" i="13" s="1"/>
  <c r="C31" i="13" s="1"/>
  <c r="D32" i="37"/>
  <c r="D27" i="37"/>
  <c r="D26" i="37"/>
  <c r="J107" i="20"/>
  <c r="E15" i="30"/>
  <c r="J111" i="20"/>
  <c r="E19" i="30"/>
  <c r="I102" i="20"/>
  <c r="D10" i="30"/>
  <c r="J108" i="20"/>
  <c r="E16" i="30"/>
  <c r="C26" i="14"/>
  <c r="J132" i="20"/>
  <c r="E17" i="28"/>
  <c r="I104" i="20"/>
  <c r="D12" i="30"/>
  <c r="J115" i="20"/>
  <c r="E23" i="30"/>
  <c r="K48" i="20"/>
  <c r="F11" i="26"/>
  <c r="F16" i="26" s="1"/>
  <c r="C16" i="24"/>
  <c r="C16" i="25" s="1"/>
  <c r="C36" i="37"/>
  <c r="J42" i="20"/>
  <c r="E12" i="29"/>
  <c r="E12" i="25"/>
  <c r="E12" i="24"/>
  <c r="I103" i="20"/>
  <c r="D11" i="30"/>
  <c r="D33" i="37"/>
  <c r="D28" i="37"/>
  <c r="D21" i="37"/>
  <c r="D23" i="37"/>
  <c r="J51" i="20"/>
  <c r="J110" i="20"/>
  <c r="E18" i="30"/>
  <c r="J116" i="20"/>
  <c r="E24" i="30"/>
  <c r="I109" i="20"/>
  <c r="D17" i="30"/>
  <c r="J126" i="20"/>
  <c r="E11" i="28"/>
  <c r="I35" i="19"/>
  <c r="F12" i="2"/>
  <c r="G18" i="2" s="1"/>
  <c r="G28" i="2" s="1"/>
  <c r="E9" i="37"/>
  <c r="E16" i="37"/>
  <c r="E18" i="37"/>
  <c r="E14" i="37"/>
  <c r="E10" i="37"/>
  <c r="E19" i="37"/>
  <c r="E15" i="37"/>
  <c r="E11" i="37"/>
  <c r="E20" i="37"/>
  <c r="E12" i="37"/>
  <c r="E17" i="37"/>
  <c r="E13" i="37"/>
  <c r="J114" i="20"/>
  <c r="E22" i="30"/>
  <c r="J112" i="20"/>
  <c r="E20" i="30"/>
  <c r="K130" i="20"/>
  <c r="F15" i="28"/>
  <c r="J105" i="20"/>
  <c r="E13" i="30"/>
  <c r="J128" i="20"/>
  <c r="E13" i="28"/>
  <c r="J113" i="20"/>
  <c r="E21" i="30"/>
  <c r="J127" i="20"/>
  <c r="D25" i="37"/>
  <c r="D31" i="37"/>
  <c r="D30" i="37"/>
  <c r="J30" i="20"/>
  <c r="E22" i="37"/>
  <c r="J31" i="20"/>
  <c r="E17" i="29"/>
  <c r="E17" i="25"/>
  <c r="E17" i="24"/>
  <c r="I33" i="20"/>
  <c r="D68" i="36"/>
  <c r="C53" i="36"/>
  <c r="F17" i="21"/>
  <c r="F18" i="21" s="1"/>
  <c r="F19" i="21" s="1"/>
  <c r="G70" i="20"/>
  <c r="C26" i="27"/>
  <c r="C39" i="27" s="1"/>
  <c r="I64" i="20"/>
  <c r="D20" i="27"/>
  <c r="D23" i="27" s="1"/>
  <c r="D24" i="27" s="1"/>
  <c r="H131" i="20"/>
  <c r="D24" i="25"/>
  <c r="D24" i="29" s="1"/>
  <c r="C11" i="25"/>
  <c r="C11" i="29" s="1"/>
  <c r="C8" i="34"/>
  <c r="C8" i="33"/>
  <c r="C8" i="32"/>
  <c r="C39" i="32" s="1"/>
  <c r="C8" i="31"/>
  <c r="C11" i="31" s="1"/>
  <c r="C38" i="31" s="1"/>
  <c r="B39" i="31"/>
  <c r="B26" i="25"/>
  <c r="E51" i="36" s="1"/>
  <c r="C11" i="24"/>
  <c r="I99" i="20"/>
  <c r="C30" i="25"/>
  <c r="C30" i="29" s="1"/>
  <c r="G72" i="20"/>
  <c r="C28" i="27"/>
  <c r="C41" i="27" s="1"/>
  <c r="G71" i="20"/>
  <c r="C27" i="27"/>
  <c r="B29" i="27"/>
  <c r="B30" i="27" s="1"/>
  <c r="B31" i="27" s="1"/>
  <c r="B40" i="27"/>
  <c r="B43" i="27" s="1"/>
  <c r="B45" i="27" s="1"/>
  <c r="J54" i="20"/>
  <c r="E9" i="26"/>
  <c r="D13" i="26"/>
  <c r="D12" i="26"/>
  <c r="E7" i="25"/>
  <c r="E8" i="25" s="1"/>
  <c r="E7" i="24"/>
  <c r="E8" i="24" s="1"/>
  <c r="G45" i="20"/>
  <c r="C13" i="25"/>
  <c r="C13" i="24"/>
  <c r="C8" i="26"/>
  <c r="C20" i="26" s="1"/>
  <c r="C22" i="26" s="1"/>
  <c r="C25" i="26" s="1"/>
  <c r="C26" i="26" s="1"/>
  <c r="C8" i="30"/>
  <c r="C39" i="30" s="1"/>
  <c r="C8" i="28"/>
  <c r="C19" i="28" s="1"/>
  <c r="C22" i="28" s="1"/>
  <c r="C23" i="28" s="1"/>
  <c r="C17" i="27"/>
  <c r="C57" i="24"/>
  <c r="C84" i="24"/>
  <c r="C86" i="24"/>
  <c r="C68" i="24"/>
  <c r="C66" i="24"/>
  <c r="C64" i="24"/>
  <c r="C62" i="24"/>
  <c r="C60" i="24"/>
  <c r="C58" i="24"/>
  <c r="C83" i="24"/>
  <c r="C85" i="24"/>
  <c r="C87" i="24"/>
  <c r="C27" i="24"/>
  <c r="C67" i="24"/>
  <c r="C65" i="24"/>
  <c r="C63" i="24"/>
  <c r="C61" i="24"/>
  <c r="C59" i="24"/>
  <c r="C19" i="24"/>
  <c r="B14" i="25"/>
  <c r="B14" i="24"/>
  <c r="D16" i="29"/>
  <c r="H119" i="20"/>
  <c r="D28" i="30" s="1"/>
  <c r="D9" i="25"/>
  <c r="D10" i="25" s="1"/>
  <c r="D9" i="24"/>
  <c r="D10" i="24" s="1"/>
  <c r="C19" i="25"/>
  <c r="C20" i="25" s="1"/>
  <c r="C45" i="25"/>
  <c r="J50" i="20"/>
  <c r="F15" i="26" s="1"/>
  <c r="E17" i="26"/>
  <c r="E23" i="26" s="1"/>
  <c r="B88" i="24"/>
  <c r="B21" i="24"/>
  <c r="B28" i="24"/>
  <c r="G124" i="20"/>
  <c r="C25" i="25" s="1"/>
  <c r="C25" i="29" s="1"/>
  <c r="K118" i="20"/>
  <c r="G26" i="30" s="1"/>
  <c r="D18" i="21"/>
  <c r="I117" i="20"/>
  <c r="E25" i="30" s="1"/>
  <c r="I133" i="20"/>
  <c r="H44" i="20"/>
  <c r="H106" i="20"/>
  <c r="E20" i="21"/>
  <c r="C20" i="21"/>
  <c r="B21" i="21"/>
  <c r="A20" i="21"/>
  <c r="I56" i="20"/>
  <c r="H67" i="20"/>
  <c r="I53" i="20"/>
  <c r="E22" i="25" s="1"/>
  <c r="E22" i="29" s="1"/>
  <c r="I49" i="20"/>
  <c r="E10" i="26" s="1"/>
  <c r="H68" i="20"/>
  <c r="I65" i="20"/>
  <c r="E21" i="27" s="1"/>
  <c r="H69" i="20"/>
  <c r="I66" i="20"/>
  <c r="E22" i="27" s="1"/>
  <c r="I41" i="20"/>
  <c r="E16" i="29"/>
  <c r="J10" i="20"/>
  <c r="B28" i="13"/>
  <c r="H18" i="23"/>
  <c r="F18" i="23"/>
  <c r="D18" i="23"/>
  <c r="E19" i="23"/>
  <c r="C19" i="23"/>
  <c r="B20" i="23"/>
  <c r="A19" i="23"/>
  <c r="G17" i="23"/>
  <c r="C17" i="14"/>
  <c r="C18" i="14"/>
  <c r="C19" i="14" s="1"/>
  <c r="C10" i="14"/>
  <c r="F5" i="13"/>
  <c r="F15" i="13" s="1"/>
  <c r="I21" i="19"/>
  <c r="E19" i="13"/>
  <c r="E18" i="13"/>
  <c r="E7" i="14"/>
  <c r="E17" i="13"/>
  <c r="C27" i="14"/>
  <c r="B37" i="2"/>
  <c r="B24" i="14" s="1"/>
  <c r="I26" i="19"/>
  <c r="F12" i="13"/>
  <c r="F27" i="13" s="1"/>
  <c r="G11" i="13"/>
  <c r="G24" i="13" s="1"/>
  <c r="J25" i="19"/>
  <c r="B12" i="9"/>
  <c r="B16" i="9" s="1"/>
  <c r="B12" i="10"/>
  <c r="B16" i="10" s="1"/>
  <c r="B12" i="11"/>
  <c r="B16" i="11" s="1"/>
  <c r="B30" i="13" s="1"/>
  <c r="B14" i="14" s="1"/>
  <c r="B9" i="14"/>
  <c r="B10" i="14" s="1"/>
  <c r="B38" i="2"/>
  <c r="B29" i="13"/>
  <c r="F29" i="15"/>
  <c r="G29" i="15" s="1"/>
  <c r="H29" i="15" s="1"/>
  <c r="I29" i="15" s="1"/>
  <c r="J29" i="15" s="1"/>
  <c r="D29" i="2"/>
  <c r="D31" i="2" s="1"/>
  <c r="D33" i="2" s="1"/>
  <c r="E27" i="2"/>
  <c r="E19" i="2"/>
  <c r="E21" i="2" s="1"/>
  <c r="E23" i="2" s="1"/>
  <c r="F17" i="2"/>
  <c r="C11" i="14"/>
  <c r="C12" i="14" s="1"/>
  <c r="C16" i="14" s="1"/>
  <c r="C53" i="14"/>
  <c r="C14" i="14"/>
  <c r="C28" i="14"/>
  <c r="C18" i="17"/>
  <c r="F11" i="3"/>
  <c r="E15" i="3"/>
  <c r="E17" i="3" s="1"/>
  <c r="E29" i="12"/>
  <c r="F22" i="12"/>
  <c r="D12" i="10"/>
  <c r="D16" i="10" s="1"/>
  <c r="D12" i="11"/>
  <c r="D16" i="11" s="1"/>
  <c r="D30" i="13" s="1"/>
  <c r="D12" i="9"/>
  <c r="D16" i="9" s="1"/>
  <c r="D29" i="13"/>
  <c r="D15" i="14" s="1"/>
  <c r="D38" i="2"/>
  <c r="D9" i="14"/>
  <c r="C34" i="2"/>
  <c r="C35" i="2" s="1"/>
  <c r="C37" i="2" s="1"/>
  <c r="D24" i="2"/>
  <c r="D25" i="2" s="1"/>
  <c r="C30" i="14"/>
  <c r="C31" i="14" s="1"/>
  <c r="C19" i="17"/>
  <c r="D14" i="13"/>
  <c r="E14" i="13" s="1"/>
  <c r="E14" i="12" s="1"/>
  <c r="C6" i="17"/>
  <c r="E23" i="15"/>
  <c r="C11" i="11"/>
  <c r="C14" i="12"/>
  <c r="C11" i="10"/>
  <c r="C11" i="9"/>
  <c r="C10" i="3"/>
  <c r="C15" i="2"/>
  <c r="C6" i="14"/>
  <c r="C52" i="14" s="1"/>
  <c r="D26" i="14"/>
  <c r="D17" i="17"/>
  <c r="C32" i="14"/>
  <c r="C41" i="14" s="1"/>
  <c r="C20" i="17"/>
  <c r="F20" i="13"/>
  <c r="E8" i="14"/>
  <c r="E22" i="13"/>
  <c r="E28" i="13" s="1"/>
  <c r="F30" i="2"/>
  <c r="G20" i="2"/>
  <c r="E16" i="12"/>
  <c r="D18" i="12"/>
  <c r="D31" i="12" s="1"/>
  <c r="F7" i="37" l="1"/>
  <c r="F8" i="37" s="1"/>
  <c r="J35" i="20"/>
  <c r="J36" i="20"/>
  <c r="J37" i="20" s="1"/>
  <c r="D25" i="13"/>
  <c r="D26" i="13" s="1"/>
  <c r="D31" i="13" s="1"/>
  <c r="D32" i="13" s="1"/>
  <c r="E27" i="37"/>
  <c r="E25" i="37"/>
  <c r="D11" i="25"/>
  <c r="D11" i="29" s="1"/>
  <c r="C20" i="24"/>
  <c r="C21" i="24" s="1"/>
  <c r="E34" i="37"/>
  <c r="E24" i="37"/>
  <c r="E28" i="37"/>
  <c r="E31" i="37"/>
  <c r="B15" i="33"/>
  <c r="F93" i="20"/>
  <c r="B16" i="33" s="1"/>
  <c r="G92" i="20"/>
  <c r="E29" i="37"/>
  <c r="E32" i="37"/>
  <c r="F67" i="36"/>
  <c r="E52" i="36"/>
  <c r="H51" i="36"/>
  <c r="K113" i="20"/>
  <c r="F21" i="30"/>
  <c r="K105" i="20"/>
  <c r="F13" i="30"/>
  <c r="K112" i="20"/>
  <c r="F20" i="30"/>
  <c r="G12" i="2"/>
  <c r="H18" i="2" s="1"/>
  <c r="H28" i="2" s="1"/>
  <c r="J35" i="19"/>
  <c r="J109" i="20"/>
  <c r="E17" i="30"/>
  <c r="K110" i="20"/>
  <c r="F18" i="30"/>
  <c r="F68" i="36"/>
  <c r="E26" i="37"/>
  <c r="E33" i="37"/>
  <c r="E30" i="37"/>
  <c r="K51" i="20"/>
  <c r="K115" i="20"/>
  <c r="F23" i="30"/>
  <c r="K132" i="20"/>
  <c r="F17" i="28"/>
  <c r="K108" i="20"/>
  <c r="F16" i="30"/>
  <c r="K111" i="20"/>
  <c r="F19" i="30"/>
  <c r="K30" i="20"/>
  <c r="F22" i="37"/>
  <c r="K127" i="20"/>
  <c r="F12" i="28"/>
  <c r="K128" i="20"/>
  <c r="F13" i="28"/>
  <c r="L130" i="20"/>
  <c r="H15" i="28" s="1"/>
  <c r="G15" i="28"/>
  <c r="K114" i="20"/>
  <c r="F22" i="30"/>
  <c r="E23" i="37"/>
  <c r="E21" i="37"/>
  <c r="K126" i="20"/>
  <c r="F11" i="28"/>
  <c r="K116" i="20"/>
  <c r="F24" i="30"/>
  <c r="D35" i="37"/>
  <c r="F12" i="37"/>
  <c r="F26" i="37" s="1"/>
  <c r="F16" i="37"/>
  <c r="F20" i="37"/>
  <c r="F9" i="37"/>
  <c r="F13" i="37"/>
  <c r="F27" i="37" s="1"/>
  <c r="F17" i="37"/>
  <c r="F10" i="37"/>
  <c r="F14" i="37"/>
  <c r="F18" i="37"/>
  <c r="F32" i="37" s="1"/>
  <c r="F11" i="37"/>
  <c r="F15" i="37"/>
  <c r="F19" i="37"/>
  <c r="J103" i="20"/>
  <c r="E11" i="30"/>
  <c r="K42" i="20"/>
  <c r="F12" i="29"/>
  <c r="F12" i="25"/>
  <c r="F12" i="24"/>
  <c r="L48" i="20"/>
  <c r="H11" i="26" s="1"/>
  <c r="H16" i="26" s="1"/>
  <c r="G11" i="26"/>
  <c r="G16" i="26" s="1"/>
  <c r="J104" i="20"/>
  <c r="E12" i="30"/>
  <c r="J102" i="20"/>
  <c r="E10" i="30"/>
  <c r="K107" i="20"/>
  <c r="F15" i="30"/>
  <c r="K52" i="20"/>
  <c r="L52" i="20" s="1"/>
  <c r="K31" i="20"/>
  <c r="F17" i="29"/>
  <c r="F17" i="25"/>
  <c r="F17" i="24"/>
  <c r="J33" i="20"/>
  <c r="C54" i="36"/>
  <c r="D69" i="36"/>
  <c r="F69" i="36" s="1"/>
  <c r="G17" i="21"/>
  <c r="G18" i="21" s="1"/>
  <c r="G19" i="21" s="1"/>
  <c r="G73" i="20"/>
  <c r="C23" i="25" s="1"/>
  <c r="C23" i="29" s="1"/>
  <c r="J64" i="20"/>
  <c r="E20" i="27"/>
  <c r="E23" i="27" s="1"/>
  <c r="E24" i="27" s="1"/>
  <c r="H70" i="20"/>
  <c r="D26" i="27"/>
  <c r="D39" i="27" s="1"/>
  <c r="I131" i="20"/>
  <c r="E24" i="25"/>
  <c r="E24" i="29" s="1"/>
  <c r="B16" i="17"/>
  <c r="D8" i="32"/>
  <c r="D39" i="32" s="1"/>
  <c r="D8" i="31"/>
  <c r="D11" i="31" s="1"/>
  <c r="D38" i="31" s="1"/>
  <c r="D8" i="34"/>
  <c r="D8" i="33"/>
  <c r="B26" i="29"/>
  <c r="B27" i="29" s="1"/>
  <c r="B27" i="25"/>
  <c r="B28" i="25" s="1"/>
  <c r="C39" i="31"/>
  <c r="C26" i="25"/>
  <c r="J99" i="20"/>
  <c r="E10" i="32"/>
  <c r="E38" i="32" s="1"/>
  <c r="D30" i="25"/>
  <c r="D30" i="29" s="1"/>
  <c r="H72" i="20"/>
  <c r="D28" i="27"/>
  <c r="D41" i="27" s="1"/>
  <c r="H71" i="20"/>
  <c r="H73" i="20" s="1"/>
  <c r="D23" i="25" s="1"/>
  <c r="D23" i="29" s="1"/>
  <c r="D27" i="27"/>
  <c r="B44" i="27"/>
  <c r="C29" i="27"/>
  <c r="C30" i="27" s="1"/>
  <c r="C31" i="27" s="1"/>
  <c r="C40" i="27"/>
  <c r="C43" i="27" s="1"/>
  <c r="C45" i="27" s="1"/>
  <c r="K54" i="20"/>
  <c r="F9" i="26"/>
  <c r="E12" i="26"/>
  <c r="E13" i="26"/>
  <c r="F7" i="25"/>
  <c r="F8" i="25" s="1"/>
  <c r="F7" i="24"/>
  <c r="F8" i="24" s="1"/>
  <c r="H45" i="20"/>
  <c r="D13" i="25"/>
  <c r="D13" i="24"/>
  <c r="I119" i="20"/>
  <c r="E28" i="30" s="1"/>
  <c r="E9" i="25"/>
  <c r="E10" i="25" s="1"/>
  <c r="E9" i="24"/>
  <c r="E10" i="24" s="1"/>
  <c r="H124" i="20"/>
  <c r="D25" i="25" s="1"/>
  <c r="D25" i="29" s="1"/>
  <c r="D14" i="30"/>
  <c r="D38" i="30" s="1"/>
  <c r="C21" i="25"/>
  <c r="C21" i="29" s="1"/>
  <c r="C46" i="25"/>
  <c r="D8" i="26"/>
  <c r="D20" i="26" s="1"/>
  <c r="D22" i="26" s="1"/>
  <c r="D25" i="26" s="1"/>
  <c r="D26" i="26" s="1"/>
  <c r="D8" i="30"/>
  <c r="D8" i="28"/>
  <c r="D19" i="28" s="1"/>
  <c r="D22" i="28" s="1"/>
  <c r="D23" i="28" s="1"/>
  <c r="D17" i="27"/>
  <c r="D83" i="24"/>
  <c r="D85" i="24"/>
  <c r="D87" i="24"/>
  <c r="D27" i="24"/>
  <c r="D67" i="24"/>
  <c r="D65" i="24"/>
  <c r="D63" i="24"/>
  <c r="D61" i="24"/>
  <c r="D59" i="24"/>
  <c r="D57" i="24"/>
  <c r="D84" i="24"/>
  <c r="D86" i="24"/>
  <c r="D19" i="24"/>
  <c r="D68" i="24"/>
  <c r="D66" i="24"/>
  <c r="D64" i="24"/>
  <c r="D62" i="24"/>
  <c r="D60" i="24"/>
  <c r="D58" i="24"/>
  <c r="C14" i="25"/>
  <c r="C14" i="24"/>
  <c r="C88" i="24"/>
  <c r="D19" i="25"/>
  <c r="D45" i="25"/>
  <c r="C28" i="24"/>
  <c r="D11" i="24"/>
  <c r="K50" i="20"/>
  <c r="G15" i="26" s="1"/>
  <c r="F17" i="26"/>
  <c r="F23" i="26" s="1"/>
  <c r="L118" i="20"/>
  <c r="H26" i="30" s="1"/>
  <c r="J117" i="20"/>
  <c r="F25" i="30" s="1"/>
  <c r="J133" i="20"/>
  <c r="I44" i="20"/>
  <c r="I106" i="20"/>
  <c r="E14" i="30" s="1"/>
  <c r="H20" i="21"/>
  <c r="F20" i="21"/>
  <c r="D20" i="21"/>
  <c r="E21" i="21"/>
  <c r="C21" i="21"/>
  <c r="B22" i="21"/>
  <c r="A21" i="21"/>
  <c r="J56" i="20"/>
  <c r="J66" i="20"/>
  <c r="F22" i="27" s="1"/>
  <c r="I69" i="20"/>
  <c r="J65" i="20"/>
  <c r="F21" i="27" s="1"/>
  <c r="I68" i="20"/>
  <c r="J49" i="20"/>
  <c r="F10" i="26" s="1"/>
  <c r="J53" i="20"/>
  <c r="F22" i="25" s="1"/>
  <c r="F22" i="29" s="1"/>
  <c r="I67" i="20"/>
  <c r="J41" i="20"/>
  <c r="K10" i="20"/>
  <c r="B39" i="2"/>
  <c r="H19" i="23"/>
  <c r="F19" i="23"/>
  <c r="D19" i="23"/>
  <c r="G18" i="23"/>
  <c r="E20" i="23"/>
  <c r="C20" i="23"/>
  <c r="B21" i="23"/>
  <c r="A20" i="23"/>
  <c r="D14" i="14"/>
  <c r="C29" i="14"/>
  <c r="B25" i="14"/>
  <c r="D27" i="14"/>
  <c r="D17" i="14"/>
  <c r="D18" i="14"/>
  <c r="D19" i="14" s="1"/>
  <c r="D10" i="14"/>
  <c r="B27" i="14"/>
  <c r="B18" i="14"/>
  <c r="B19" i="14" s="1"/>
  <c r="F17" i="13"/>
  <c r="F19" i="13"/>
  <c r="F18" i="13"/>
  <c r="F7" i="14"/>
  <c r="J21" i="19"/>
  <c r="G5" i="13"/>
  <c r="G15" i="13" s="1"/>
  <c r="G12" i="13"/>
  <c r="G27" i="13" s="1"/>
  <c r="J26" i="19"/>
  <c r="H11" i="13"/>
  <c r="H24" i="13" s="1"/>
  <c r="K25" i="19"/>
  <c r="I11" i="13" s="1"/>
  <c r="I24" i="13" s="1"/>
  <c r="B25" i="13"/>
  <c r="B26" i="13" s="1"/>
  <c r="B31" i="13" s="1"/>
  <c r="B15" i="14"/>
  <c r="B53" i="14"/>
  <c r="B30" i="14"/>
  <c r="B31" i="14" s="1"/>
  <c r="B19" i="17"/>
  <c r="B18" i="17"/>
  <c r="B28" i="14"/>
  <c r="C24" i="14"/>
  <c r="C33" i="14" s="1"/>
  <c r="C39" i="2"/>
  <c r="C16" i="17"/>
  <c r="C21" i="17" s="1"/>
  <c r="D32" i="14"/>
  <c r="D41" i="14" s="1"/>
  <c r="D20" i="17"/>
  <c r="G30" i="2"/>
  <c r="H20" i="2"/>
  <c r="E12" i="9"/>
  <c r="E16" i="9" s="1"/>
  <c r="E12" i="10"/>
  <c r="E16" i="10" s="1"/>
  <c r="E12" i="11"/>
  <c r="E16" i="11" s="1"/>
  <c r="E30" i="13" s="1"/>
  <c r="E14" i="14" s="1"/>
  <c r="E29" i="13"/>
  <c r="E38" i="2"/>
  <c r="E9" i="14"/>
  <c r="F22" i="13"/>
  <c r="F28" i="13" s="1"/>
  <c r="G20" i="13"/>
  <c r="F8" i="14"/>
  <c r="E18" i="12"/>
  <c r="E31" i="12" s="1"/>
  <c r="F16" i="12"/>
  <c r="D11" i="14"/>
  <c r="D12" i="14" s="1"/>
  <c r="D16" i="14" s="1"/>
  <c r="D53" i="14"/>
  <c r="D28" i="14"/>
  <c r="D18" i="17"/>
  <c r="D30" i="14"/>
  <c r="D31" i="14" s="1"/>
  <c r="D19" i="17"/>
  <c r="E26" i="14"/>
  <c r="E17" i="17"/>
  <c r="C20" i="14"/>
  <c r="C22" i="14" s="1"/>
  <c r="C32" i="13"/>
  <c r="F19" i="2"/>
  <c r="F21" i="2" s="1"/>
  <c r="F23" i="2" s="1"/>
  <c r="G17" i="2"/>
  <c r="E29" i="2"/>
  <c r="E31" i="2" s="1"/>
  <c r="E33" i="2" s="1"/>
  <c r="F27" i="2"/>
  <c r="D6" i="17"/>
  <c r="F23" i="15"/>
  <c r="D11" i="11"/>
  <c r="D14" i="12"/>
  <c r="D11" i="10"/>
  <c r="D11" i="9"/>
  <c r="D10" i="3"/>
  <c r="D15" i="2"/>
  <c r="D6" i="14"/>
  <c r="D52" i="14" s="1"/>
  <c r="F29" i="12"/>
  <c r="G22" i="12"/>
  <c r="F15" i="3"/>
  <c r="F17" i="3" s="1"/>
  <c r="G11" i="3"/>
  <c r="E24" i="2"/>
  <c r="E25" i="2" s="1"/>
  <c r="D34" i="2"/>
  <c r="D35" i="2" s="1"/>
  <c r="D37" i="2" s="1"/>
  <c r="G7" i="37" l="1"/>
  <c r="G8" i="37" s="1"/>
  <c r="G15" i="37" s="1"/>
  <c r="K36" i="20"/>
  <c r="K37" i="20" s="1"/>
  <c r="K35" i="20"/>
  <c r="D20" i="14"/>
  <c r="D22" i="14" s="1"/>
  <c r="C15" i="33"/>
  <c r="H92" i="20"/>
  <c r="G93" i="20"/>
  <c r="C16" i="33" s="1"/>
  <c r="F28" i="37"/>
  <c r="F33" i="37"/>
  <c r="F25" i="37"/>
  <c r="F31" i="37"/>
  <c r="F30" i="37"/>
  <c r="F23" i="37"/>
  <c r="F21" i="37"/>
  <c r="D36" i="37"/>
  <c r="D16" i="24"/>
  <c r="D16" i="25" s="1"/>
  <c r="D20" i="25" s="1"/>
  <c r="L126" i="20"/>
  <c r="H11" i="28" s="1"/>
  <c r="G11" i="28"/>
  <c r="L114" i="20"/>
  <c r="H22" i="30" s="1"/>
  <c r="G22" i="30"/>
  <c r="L128" i="20"/>
  <c r="H13" i="28" s="1"/>
  <c r="G13" i="28"/>
  <c r="G22" i="37"/>
  <c r="L30" i="20"/>
  <c r="H22" i="37" s="1"/>
  <c r="L108" i="20"/>
  <c r="H16" i="30" s="1"/>
  <c r="G16" i="30"/>
  <c r="L115" i="20"/>
  <c r="H23" i="30" s="1"/>
  <c r="G23" i="30"/>
  <c r="K102" i="20"/>
  <c r="F10" i="30"/>
  <c r="L42" i="20"/>
  <c r="G12" i="29"/>
  <c r="G12" i="25"/>
  <c r="G12" i="24"/>
  <c r="F29" i="37"/>
  <c r="F24" i="37"/>
  <c r="F34" i="37"/>
  <c r="L51" i="20"/>
  <c r="K109" i="20"/>
  <c r="F17" i="30"/>
  <c r="L112" i="20"/>
  <c r="H20" i="30" s="1"/>
  <c r="G20" i="30"/>
  <c r="L113" i="20"/>
  <c r="H21" i="30" s="1"/>
  <c r="G21" i="30"/>
  <c r="G9" i="37"/>
  <c r="G19" i="37"/>
  <c r="G20" i="37"/>
  <c r="G16" i="37"/>
  <c r="G13" i="37"/>
  <c r="G18" i="37"/>
  <c r="L116" i="20"/>
  <c r="H24" i="30" s="1"/>
  <c r="G24" i="30"/>
  <c r="E35" i="37"/>
  <c r="L127" i="20"/>
  <c r="H12" i="28" s="1"/>
  <c r="G12" i="28"/>
  <c r="L111" i="20"/>
  <c r="H19" i="30" s="1"/>
  <c r="G19" i="30"/>
  <c r="L132" i="20"/>
  <c r="H17" i="28" s="1"/>
  <c r="G17" i="28"/>
  <c r="K35" i="19"/>
  <c r="I12" i="2" s="1"/>
  <c r="H12" i="2"/>
  <c r="I18" i="2" s="1"/>
  <c r="I28" i="2" s="1"/>
  <c r="I51" i="36"/>
  <c r="H67" i="36"/>
  <c r="I67" i="36" s="1"/>
  <c r="L107" i="20"/>
  <c r="H15" i="30" s="1"/>
  <c r="G15" i="30"/>
  <c r="K104" i="20"/>
  <c r="F12" i="30"/>
  <c r="K103" i="20"/>
  <c r="F11" i="30"/>
  <c r="L110" i="20"/>
  <c r="H18" i="30" s="1"/>
  <c r="G18" i="30"/>
  <c r="L105" i="20"/>
  <c r="H13" i="30" s="1"/>
  <c r="G13" i="30"/>
  <c r="E53" i="36"/>
  <c r="H52" i="36"/>
  <c r="H68" i="36" s="1"/>
  <c r="L31" i="20"/>
  <c r="G17" i="29"/>
  <c r="G17" i="25"/>
  <c r="G17" i="24"/>
  <c r="K33" i="20"/>
  <c r="C55" i="36"/>
  <c r="D70" i="36"/>
  <c r="F70" i="36" s="1"/>
  <c r="E38" i="30"/>
  <c r="I70" i="20"/>
  <c r="E26" i="27"/>
  <c r="E39" i="27" s="1"/>
  <c r="K64" i="20"/>
  <c r="F20" i="27"/>
  <c r="F23" i="27" s="1"/>
  <c r="F24" i="27" s="1"/>
  <c r="J131" i="20"/>
  <c r="F24" i="25"/>
  <c r="F24" i="29" s="1"/>
  <c r="C26" i="29"/>
  <c r="C27" i="29" s="1"/>
  <c r="C27" i="25"/>
  <c r="C28" i="25" s="1"/>
  <c r="C29" i="25" s="1"/>
  <c r="B47" i="25"/>
  <c r="B29" i="25"/>
  <c r="E8" i="34"/>
  <c r="E8" i="33"/>
  <c r="E8" i="32"/>
  <c r="E39" i="32" s="1"/>
  <c r="E8" i="31"/>
  <c r="E11" i="31" s="1"/>
  <c r="E38" i="31" s="1"/>
  <c r="D39" i="31"/>
  <c r="D26" i="25"/>
  <c r="E11" i="25"/>
  <c r="E11" i="29" s="1"/>
  <c r="D39" i="30"/>
  <c r="C44" i="27"/>
  <c r="K99" i="20"/>
  <c r="F10" i="32"/>
  <c r="F38" i="32" s="1"/>
  <c r="E30" i="25"/>
  <c r="E30" i="29" s="1"/>
  <c r="I72" i="20"/>
  <c r="E28" i="27"/>
  <c r="E41" i="27" s="1"/>
  <c r="I71" i="20"/>
  <c r="E27" i="27"/>
  <c r="D29" i="27"/>
  <c r="D30" i="27" s="1"/>
  <c r="D31" i="27" s="1"/>
  <c r="D40" i="27"/>
  <c r="D43" i="27" s="1"/>
  <c r="D45" i="27" s="1"/>
  <c r="L54" i="20"/>
  <c r="H9" i="26" s="1"/>
  <c r="G9" i="26"/>
  <c r="F13" i="26"/>
  <c r="F12" i="26"/>
  <c r="F16" i="29"/>
  <c r="J119" i="20"/>
  <c r="F28" i="30" s="1"/>
  <c r="F9" i="25"/>
  <c r="F10" i="25" s="1"/>
  <c r="F9" i="24"/>
  <c r="F10" i="24" s="1"/>
  <c r="I45" i="20"/>
  <c r="E13" i="25"/>
  <c r="E13" i="24"/>
  <c r="D14" i="25"/>
  <c r="D14" i="24"/>
  <c r="E11" i="24"/>
  <c r="G7" i="25"/>
  <c r="G8" i="25" s="1"/>
  <c r="G7" i="24"/>
  <c r="G8" i="24" s="1"/>
  <c r="E8" i="26"/>
  <c r="E20" i="26" s="1"/>
  <c r="E22" i="26" s="1"/>
  <c r="E25" i="26" s="1"/>
  <c r="E26" i="26" s="1"/>
  <c r="E8" i="30"/>
  <c r="E8" i="28"/>
  <c r="E19" i="28" s="1"/>
  <c r="E22" i="28" s="1"/>
  <c r="E23" i="28" s="1"/>
  <c r="E17" i="27"/>
  <c r="E19" i="24"/>
  <c r="E84" i="24"/>
  <c r="E86" i="24"/>
  <c r="E27" i="24"/>
  <c r="E67" i="24"/>
  <c r="E65" i="24"/>
  <c r="E63" i="24"/>
  <c r="E61" i="24"/>
  <c r="E59" i="24"/>
  <c r="E57" i="24"/>
  <c r="E83" i="24"/>
  <c r="E85" i="24"/>
  <c r="E87" i="24"/>
  <c r="E68" i="24"/>
  <c r="E66" i="24"/>
  <c r="E64" i="24"/>
  <c r="E62" i="24"/>
  <c r="E60" i="24"/>
  <c r="E58" i="24"/>
  <c r="E19" i="25"/>
  <c r="E45" i="25"/>
  <c r="D88" i="24"/>
  <c r="L50" i="20"/>
  <c r="G17" i="26"/>
  <c r="G23" i="26" s="1"/>
  <c r="I124" i="20"/>
  <c r="E25" i="25" s="1"/>
  <c r="E25" i="29" s="1"/>
  <c r="K117" i="20"/>
  <c r="G25" i="30" s="1"/>
  <c r="K133" i="20"/>
  <c r="J44" i="20"/>
  <c r="J106" i="20"/>
  <c r="H21" i="21"/>
  <c r="F21" i="21"/>
  <c r="D21" i="21"/>
  <c r="G20" i="21"/>
  <c r="E22" i="21"/>
  <c r="C22" i="21"/>
  <c r="B23" i="21"/>
  <c r="A22" i="21"/>
  <c r="K65" i="20"/>
  <c r="G21" i="27" s="1"/>
  <c r="J68" i="20"/>
  <c r="K56" i="20"/>
  <c r="J67" i="20"/>
  <c r="K53" i="20"/>
  <c r="G22" i="25" s="1"/>
  <c r="G22" i="29" s="1"/>
  <c r="K49" i="20"/>
  <c r="G10" i="26" s="1"/>
  <c r="K66" i="20"/>
  <c r="G22" i="27" s="1"/>
  <c r="J69" i="20"/>
  <c r="K41" i="20"/>
  <c r="L10" i="20"/>
  <c r="H20" i="23"/>
  <c r="F20" i="23"/>
  <c r="D20" i="23"/>
  <c r="E21" i="23"/>
  <c r="C21" i="23"/>
  <c r="B22" i="23"/>
  <c r="A21" i="23"/>
  <c r="G19" i="23"/>
  <c r="B32" i="13"/>
  <c r="B20" i="14"/>
  <c r="B29" i="14"/>
  <c r="B33" i="14"/>
  <c r="B34" i="14" s="1"/>
  <c r="D29" i="14"/>
  <c r="E18" i="14"/>
  <c r="E10" i="14"/>
  <c r="E15" i="14"/>
  <c r="E17" i="14" s="1"/>
  <c r="B11" i="14"/>
  <c r="B12" i="14" s="1"/>
  <c r="B16" i="14" s="1"/>
  <c r="B17" i="14"/>
  <c r="K21" i="19"/>
  <c r="I5" i="13" s="1"/>
  <c r="I15" i="13" s="1"/>
  <c r="H5" i="13"/>
  <c r="H15" i="13" s="1"/>
  <c r="E27" i="14"/>
  <c r="G18" i="13"/>
  <c r="G17" i="13"/>
  <c r="G7" i="14"/>
  <c r="G19" i="13"/>
  <c r="C25" i="14"/>
  <c r="C34" i="14" s="1"/>
  <c r="H12" i="13"/>
  <c r="H27" i="13" s="1"/>
  <c r="K26" i="19"/>
  <c r="I12" i="13" s="1"/>
  <c r="I27" i="13" s="1"/>
  <c r="B21" i="17"/>
  <c r="B21" i="14"/>
  <c r="B13" i="17" s="1"/>
  <c r="D24" i="14"/>
  <c r="D33" i="14" s="1"/>
  <c r="D16" i="17"/>
  <c r="D21" i="17" s="1"/>
  <c r="D39" i="2"/>
  <c r="H11" i="3"/>
  <c r="G15" i="3"/>
  <c r="G17" i="3" s="1"/>
  <c r="G29" i="12"/>
  <c r="H22" i="12"/>
  <c r="G23" i="15"/>
  <c r="E11" i="11"/>
  <c r="E11" i="10"/>
  <c r="E11" i="9"/>
  <c r="E10" i="3"/>
  <c r="E15" i="2"/>
  <c r="E6" i="14"/>
  <c r="E52" i="14" s="1"/>
  <c r="F14" i="13"/>
  <c r="E6" i="17"/>
  <c r="E34" i="2"/>
  <c r="E35" i="2" s="1"/>
  <c r="E37" i="2" s="1"/>
  <c r="C21" i="14"/>
  <c r="C13" i="17" s="1"/>
  <c r="C54" i="14"/>
  <c r="F26" i="14"/>
  <c r="F17" i="17"/>
  <c r="D21" i="14"/>
  <c r="D13" i="17" s="1"/>
  <c r="D54" i="14"/>
  <c r="F29" i="2"/>
  <c r="F31" i="2" s="1"/>
  <c r="F33" i="2" s="1"/>
  <c r="G27" i="2"/>
  <c r="G19" i="2"/>
  <c r="G21" i="2" s="1"/>
  <c r="G23" i="2" s="1"/>
  <c r="H17" i="2"/>
  <c r="F18" i="12"/>
  <c r="F31" i="12" s="1"/>
  <c r="G16" i="12"/>
  <c r="F12" i="10"/>
  <c r="F16" i="10" s="1"/>
  <c r="F12" i="11"/>
  <c r="F16" i="11" s="1"/>
  <c r="F30" i="13" s="1"/>
  <c r="F14" i="14" s="1"/>
  <c r="F12" i="9"/>
  <c r="F16" i="9" s="1"/>
  <c r="F29" i="13"/>
  <c r="F15" i="14" s="1"/>
  <c r="F38" i="2"/>
  <c r="F9" i="14"/>
  <c r="E28" i="14"/>
  <c r="E18" i="17"/>
  <c r="E25" i="13"/>
  <c r="E26" i="13" s="1"/>
  <c r="E31" i="13" s="1"/>
  <c r="F24" i="2"/>
  <c r="F25" i="2" s="1"/>
  <c r="E32" i="14"/>
  <c r="E41" i="14" s="1"/>
  <c r="E20" i="17"/>
  <c r="H20" i="13"/>
  <c r="G8" i="14"/>
  <c r="G22" i="13"/>
  <c r="G28" i="13" s="1"/>
  <c r="E53" i="14"/>
  <c r="E30" i="14"/>
  <c r="E31" i="14" s="1"/>
  <c r="E19" i="17"/>
  <c r="H30" i="2"/>
  <c r="I20" i="2"/>
  <c r="I30" i="2" s="1"/>
  <c r="G29" i="37" l="1"/>
  <c r="H7" i="37"/>
  <c r="H8" i="37" s="1"/>
  <c r="L36" i="20"/>
  <c r="L37" i="20" s="1"/>
  <c r="L35" i="20"/>
  <c r="G10" i="37"/>
  <c r="G17" i="37"/>
  <c r="G11" i="37"/>
  <c r="G14" i="37"/>
  <c r="G28" i="37" s="1"/>
  <c r="G12" i="37"/>
  <c r="G26" i="37" s="1"/>
  <c r="D15" i="33"/>
  <c r="H93" i="20"/>
  <c r="D16" i="33" s="1"/>
  <c r="I92" i="20"/>
  <c r="G27" i="37"/>
  <c r="G34" i="37"/>
  <c r="D20" i="24"/>
  <c r="I52" i="36"/>
  <c r="E39" i="30"/>
  <c r="I68" i="36"/>
  <c r="D21" i="25"/>
  <c r="D21" i="29" s="1"/>
  <c r="D46" i="25"/>
  <c r="I73" i="20"/>
  <c r="E23" i="25" s="1"/>
  <c r="E23" i="29" s="1"/>
  <c r="L103" i="20"/>
  <c r="H11" i="30" s="1"/>
  <c r="G11" i="30"/>
  <c r="E16" i="24"/>
  <c r="E36" i="37"/>
  <c r="L109" i="20"/>
  <c r="H17" i="30" s="1"/>
  <c r="G17" i="30"/>
  <c r="H12" i="29"/>
  <c r="H12" i="25"/>
  <c r="H12" i="24"/>
  <c r="H12" i="37"/>
  <c r="H26" i="37" s="1"/>
  <c r="H16" i="37"/>
  <c r="H30" i="37" s="1"/>
  <c r="H20" i="37"/>
  <c r="H34" i="37" s="1"/>
  <c r="H9" i="37"/>
  <c r="H13" i="37"/>
  <c r="H27" i="37" s="1"/>
  <c r="H17" i="37"/>
  <c r="H31" i="37" s="1"/>
  <c r="H10" i="37"/>
  <c r="H24" i="37" s="1"/>
  <c r="H14" i="37"/>
  <c r="H28" i="37" s="1"/>
  <c r="H18" i="37"/>
  <c r="H32" i="37" s="1"/>
  <c r="H11" i="37"/>
  <c r="H25" i="37" s="1"/>
  <c r="H15" i="37"/>
  <c r="H29" i="37" s="1"/>
  <c r="H19" i="37"/>
  <c r="H33" i="37" s="1"/>
  <c r="G32" i="37"/>
  <c r="G30" i="37"/>
  <c r="G33" i="37"/>
  <c r="E54" i="36"/>
  <c r="H53" i="36"/>
  <c r="H69" i="36" s="1"/>
  <c r="L104" i="20"/>
  <c r="H12" i="30" s="1"/>
  <c r="G12" i="30"/>
  <c r="G23" i="37"/>
  <c r="G21" i="37"/>
  <c r="L102" i="20"/>
  <c r="H10" i="30" s="1"/>
  <c r="G10" i="30"/>
  <c r="F35" i="37"/>
  <c r="G24" i="37"/>
  <c r="G31" i="37"/>
  <c r="G25" i="37"/>
  <c r="H17" i="29"/>
  <c r="H17" i="25"/>
  <c r="H17" i="24"/>
  <c r="L33" i="20"/>
  <c r="C56" i="36"/>
  <c r="D71" i="36"/>
  <c r="F71" i="36" s="1"/>
  <c r="H15" i="26"/>
  <c r="H17" i="26" s="1"/>
  <c r="H23" i="26" s="1"/>
  <c r="J70" i="20"/>
  <c r="F26" i="27"/>
  <c r="F39" i="27" s="1"/>
  <c r="L64" i="20"/>
  <c r="H20" i="27" s="1"/>
  <c r="G20" i="27"/>
  <c r="G23" i="27" s="1"/>
  <c r="G24" i="27" s="1"/>
  <c r="K131" i="20"/>
  <c r="G24" i="25"/>
  <c r="G24" i="29" s="1"/>
  <c r="C47" i="25"/>
  <c r="F11" i="25"/>
  <c r="F11" i="29" s="1"/>
  <c r="F8" i="32"/>
  <c r="F39" i="32" s="1"/>
  <c r="F8" i="31"/>
  <c r="F11" i="31" s="1"/>
  <c r="F38" i="31" s="1"/>
  <c r="F8" i="34"/>
  <c r="F8" i="33"/>
  <c r="D27" i="25"/>
  <c r="D28" i="25" s="1"/>
  <c r="D29" i="25" s="1"/>
  <c r="D26" i="29"/>
  <c r="D27" i="29" s="1"/>
  <c r="E39" i="31"/>
  <c r="E26" i="25"/>
  <c r="F11" i="24"/>
  <c r="E88" i="24"/>
  <c r="F30" i="25"/>
  <c r="F30" i="29" s="1"/>
  <c r="L99" i="20"/>
  <c r="H10" i="32" s="1"/>
  <c r="H38" i="32" s="1"/>
  <c r="G10" i="32"/>
  <c r="G38" i="32" s="1"/>
  <c r="J72" i="20"/>
  <c r="F28" i="27"/>
  <c r="F41" i="27" s="1"/>
  <c r="J71" i="20"/>
  <c r="F27" i="27"/>
  <c r="E29" i="27"/>
  <c r="E30" i="27" s="1"/>
  <c r="E31" i="27" s="1"/>
  <c r="E40" i="27"/>
  <c r="E43" i="27" s="1"/>
  <c r="E45" i="27" s="1"/>
  <c r="D44" i="27"/>
  <c r="G12" i="26"/>
  <c r="G13" i="26"/>
  <c r="K119" i="20"/>
  <c r="G28" i="30" s="1"/>
  <c r="G9" i="25"/>
  <c r="G10" i="25" s="1"/>
  <c r="G9" i="24"/>
  <c r="G10" i="24" s="1"/>
  <c r="H7" i="25"/>
  <c r="H8" i="25" s="1"/>
  <c r="H7" i="24"/>
  <c r="H8" i="24" s="1"/>
  <c r="J124" i="20"/>
  <c r="F25" i="25" s="1"/>
  <c r="F25" i="29" s="1"/>
  <c r="F14" i="30"/>
  <c r="F38" i="30" s="1"/>
  <c r="F8" i="26"/>
  <c r="F20" i="26" s="1"/>
  <c r="F22" i="26" s="1"/>
  <c r="F25" i="26" s="1"/>
  <c r="F26" i="26" s="1"/>
  <c r="F8" i="30"/>
  <c r="F8" i="28"/>
  <c r="F19" i="28" s="1"/>
  <c r="F22" i="28" s="1"/>
  <c r="F23" i="28" s="1"/>
  <c r="F17" i="27"/>
  <c r="F84" i="24"/>
  <c r="F86" i="24"/>
  <c r="F19" i="24"/>
  <c r="F68" i="24"/>
  <c r="F66" i="24"/>
  <c r="F64" i="24"/>
  <c r="F62" i="24"/>
  <c r="F60" i="24"/>
  <c r="F58" i="24"/>
  <c r="F83" i="24"/>
  <c r="F85" i="24"/>
  <c r="F87" i="24"/>
  <c r="F27" i="24"/>
  <c r="F67" i="24"/>
  <c r="F65" i="24"/>
  <c r="F63" i="24"/>
  <c r="F61" i="24"/>
  <c r="F59" i="24"/>
  <c r="F57" i="24"/>
  <c r="F19" i="25"/>
  <c r="F45" i="25"/>
  <c r="G16" i="29"/>
  <c r="J45" i="20"/>
  <c r="F13" i="25"/>
  <c r="F13" i="24"/>
  <c r="E14" i="25"/>
  <c r="E14" i="24"/>
  <c r="L117" i="20"/>
  <c r="H25" i="30" s="1"/>
  <c r="L133" i="20"/>
  <c r="K44" i="20"/>
  <c r="K106" i="20"/>
  <c r="G14" i="30" s="1"/>
  <c r="H22" i="21"/>
  <c r="F22" i="21"/>
  <c r="D22" i="21"/>
  <c r="G21" i="21"/>
  <c r="E23" i="21"/>
  <c r="C23" i="21"/>
  <c r="B24" i="21"/>
  <c r="A23" i="21"/>
  <c r="K67" i="20"/>
  <c r="L56" i="20"/>
  <c r="L49" i="20"/>
  <c r="H10" i="26" s="1"/>
  <c r="L53" i="20"/>
  <c r="H22" i="25" s="1"/>
  <c r="H22" i="29" s="1"/>
  <c r="L65" i="20"/>
  <c r="H21" i="27" s="1"/>
  <c r="K68" i="20"/>
  <c r="L66" i="20"/>
  <c r="H22" i="27" s="1"/>
  <c r="K69" i="20"/>
  <c r="L41" i="20"/>
  <c r="B54" i="14"/>
  <c r="B22" i="14"/>
  <c r="H21" i="23"/>
  <c r="F21" i="23"/>
  <c r="D21" i="23"/>
  <c r="E22" i="23"/>
  <c r="C22" i="23"/>
  <c r="B23" i="23"/>
  <c r="A22" i="23"/>
  <c r="G20" i="23"/>
  <c r="E32" i="13"/>
  <c r="E20" i="14"/>
  <c r="E54" i="14" s="1"/>
  <c r="E29" i="14"/>
  <c r="E11" i="14"/>
  <c r="E12" i="14" s="1"/>
  <c r="E16" i="14" s="1"/>
  <c r="F18" i="14"/>
  <c r="F19" i="14" s="1"/>
  <c r="F10" i="14"/>
  <c r="F17" i="14"/>
  <c r="F25" i="13"/>
  <c r="F26" i="13" s="1"/>
  <c r="F31" i="13" s="1"/>
  <c r="F20" i="14" s="1"/>
  <c r="F22" i="14" s="1"/>
  <c r="I17" i="13"/>
  <c r="I19" i="13"/>
  <c r="I18" i="13"/>
  <c r="I7" i="14"/>
  <c r="H17" i="13"/>
  <c r="H7" i="14"/>
  <c r="H18" i="13"/>
  <c r="H19" i="13"/>
  <c r="D25" i="14"/>
  <c r="D34" i="14" s="1"/>
  <c r="F27" i="14"/>
  <c r="E24" i="14"/>
  <c r="E33" i="14" s="1"/>
  <c r="E39" i="2"/>
  <c r="E16" i="17"/>
  <c r="E21" i="17" s="1"/>
  <c r="G12" i="9"/>
  <c r="G16" i="9" s="1"/>
  <c r="G12" i="10"/>
  <c r="G16" i="10" s="1"/>
  <c r="G12" i="11"/>
  <c r="G16" i="11" s="1"/>
  <c r="G30" i="13" s="1"/>
  <c r="G14" i="14" s="1"/>
  <c r="G29" i="13"/>
  <c r="G25" i="13" s="1"/>
  <c r="G26" i="13" s="1"/>
  <c r="G38" i="2"/>
  <c r="G9" i="14"/>
  <c r="H22" i="13"/>
  <c r="H28" i="13" s="1"/>
  <c r="I20" i="13"/>
  <c r="H8" i="14"/>
  <c r="F11" i="14"/>
  <c r="F12" i="14" s="1"/>
  <c r="F16" i="14" s="1"/>
  <c r="F53" i="14"/>
  <c r="F28" i="14"/>
  <c r="F18" i="17"/>
  <c r="G18" i="12"/>
  <c r="G31" i="12" s="1"/>
  <c r="H16" i="12"/>
  <c r="G24" i="2"/>
  <c r="G25" i="2" s="1"/>
  <c r="F34" i="2"/>
  <c r="F35" i="2" s="1"/>
  <c r="F37" i="2" s="1"/>
  <c r="H15" i="3"/>
  <c r="H17" i="3" s="1"/>
  <c r="I11" i="3"/>
  <c r="I15" i="3" s="1"/>
  <c r="I17" i="3" s="1"/>
  <c r="F30" i="14"/>
  <c r="F31" i="14" s="1"/>
  <c r="F19" i="17"/>
  <c r="F32" i="14"/>
  <c r="F41" i="14" s="1"/>
  <c r="F20" i="17"/>
  <c r="H19" i="2"/>
  <c r="H21" i="2" s="1"/>
  <c r="H23" i="2" s="1"/>
  <c r="I17" i="2"/>
  <c r="I19" i="2" s="1"/>
  <c r="I21" i="2" s="1"/>
  <c r="I23" i="2" s="1"/>
  <c r="G29" i="2"/>
  <c r="G31" i="2" s="1"/>
  <c r="G33" i="2" s="1"/>
  <c r="H27" i="2"/>
  <c r="G14" i="13"/>
  <c r="F6" i="17"/>
  <c r="H23" i="15"/>
  <c r="F11" i="11"/>
  <c r="F14" i="12"/>
  <c r="F11" i="10"/>
  <c r="F11" i="9"/>
  <c r="F10" i="3"/>
  <c r="F15" i="2"/>
  <c r="F6" i="14"/>
  <c r="F52" i="14" s="1"/>
  <c r="H29" i="12"/>
  <c r="I22" i="12"/>
  <c r="I29" i="12" s="1"/>
  <c r="G26" i="14"/>
  <c r="G27" i="14" s="1"/>
  <c r="G17" i="17"/>
  <c r="G38" i="30" l="1"/>
  <c r="J73" i="20"/>
  <c r="F23" i="25" s="1"/>
  <c r="F23" i="29" s="1"/>
  <c r="E20" i="24"/>
  <c r="E28" i="24" s="1"/>
  <c r="E16" i="25"/>
  <c r="E20" i="25" s="1"/>
  <c r="E15" i="33"/>
  <c r="J92" i="20"/>
  <c r="I93" i="20"/>
  <c r="E16" i="33" s="1"/>
  <c r="I53" i="36"/>
  <c r="D21" i="24"/>
  <c r="D28" i="24"/>
  <c r="I69" i="36"/>
  <c r="F36" i="37"/>
  <c r="F16" i="24"/>
  <c r="F16" i="25" s="1"/>
  <c r="F20" i="25" s="1"/>
  <c r="G35" i="37"/>
  <c r="E55" i="36"/>
  <c r="H54" i="36"/>
  <c r="H70" i="36" s="1"/>
  <c r="D47" i="25"/>
  <c r="H21" i="37"/>
  <c r="H23" i="37"/>
  <c r="H35" i="37" s="1"/>
  <c r="C57" i="36"/>
  <c r="D72" i="36"/>
  <c r="F72" i="36" s="1"/>
  <c r="K70" i="20"/>
  <c r="G26" i="27"/>
  <c r="G39" i="27" s="1"/>
  <c r="L131" i="20"/>
  <c r="H24" i="25"/>
  <c r="H24" i="29" s="1"/>
  <c r="G11" i="24"/>
  <c r="G31" i="13"/>
  <c r="G11" i="25"/>
  <c r="G11" i="29" s="1"/>
  <c r="G8" i="34"/>
  <c r="G8" i="33"/>
  <c r="G8" i="32"/>
  <c r="G39" i="32" s="1"/>
  <c r="G8" i="31"/>
  <c r="G11" i="31" s="1"/>
  <c r="G38" i="31" s="1"/>
  <c r="E26" i="29"/>
  <c r="E27" i="29" s="1"/>
  <c r="E27" i="25"/>
  <c r="F39" i="31"/>
  <c r="F26" i="25"/>
  <c r="G30" i="25"/>
  <c r="G30" i="29" s="1"/>
  <c r="H30" i="25"/>
  <c r="H30" i="29" s="1"/>
  <c r="K72" i="20"/>
  <c r="G28" i="27"/>
  <c r="G41" i="27" s="1"/>
  <c r="H23" i="27"/>
  <c r="H24" i="27" s="1"/>
  <c r="F29" i="27"/>
  <c r="F30" i="27" s="1"/>
  <c r="F31" i="27" s="1"/>
  <c r="F40" i="27"/>
  <c r="F43" i="27" s="1"/>
  <c r="F45" i="27" s="1"/>
  <c r="K71" i="20"/>
  <c r="G27" i="27"/>
  <c r="E44" i="27"/>
  <c r="H13" i="26"/>
  <c r="H12" i="26"/>
  <c r="H16" i="29"/>
  <c r="L119" i="20"/>
  <c r="H28" i="30" s="1"/>
  <c r="H9" i="25"/>
  <c r="H10" i="25" s="1"/>
  <c r="H9" i="24"/>
  <c r="H10" i="24" s="1"/>
  <c r="K45" i="20"/>
  <c r="G13" i="25"/>
  <c r="G13" i="24"/>
  <c r="F88" i="24"/>
  <c r="F39" i="30"/>
  <c r="G19" i="25"/>
  <c r="G45" i="25"/>
  <c r="F14" i="25"/>
  <c r="F14" i="24"/>
  <c r="G8" i="26"/>
  <c r="G20" i="26" s="1"/>
  <c r="G22" i="26" s="1"/>
  <c r="G25" i="26" s="1"/>
  <c r="G26" i="26" s="1"/>
  <c r="G8" i="30"/>
  <c r="G39" i="30" s="1"/>
  <c r="G8" i="28"/>
  <c r="G19" i="28" s="1"/>
  <c r="G22" i="28" s="1"/>
  <c r="G23" i="28" s="1"/>
  <c r="G17" i="27"/>
  <c r="G19" i="24"/>
  <c r="G84" i="24"/>
  <c r="G86" i="24"/>
  <c r="G68" i="24"/>
  <c r="G66" i="24"/>
  <c r="G64" i="24"/>
  <c r="G62" i="24"/>
  <c r="G60" i="24"/>
  <c r="G58" i="24"/>
  <c r="G83" i="24"/>
  <c r="G85" i="24"/>
  <c r="G87" i="24"/>
  <c r="G27" i="24"/>
  <c r="G67" i="24"/>
  <c r="G65" i="24"/>
  <c r="G63" i="24"/>
  <c r="G61" i="24"/>
  <c r="G59" i="24"/>
  <c r="G57" i="24"/>
  <c r="K124" i="20"/>
  <c r="G25" i="25" s="1"/>
  <c r="G25" i="29" s="1"/>
  <c r="L44" i="20"/>
  <c r="L106" i="20"/>
  <c r="H14" i="30" s="1"/>
  <c r="E24" i="21"/>
  <c r="C24" i="21"/>
  <c r="B25" i="21"/>
  <c r="A24" i="21"/>
  <c r="H23" i="21"/>
  <c r="F23" i="21"/>
  <c r="D23" i="21"/>
  <c r="G22" i="21"/>
  <c r="L68" i="20"/>
  <c r="L67" i="20"/>
  <c r="L69" i="20"/>
  <c r="E21" i="14"/>
  <c r="E13" i="17" s="1"/>
  <c r="E22" i="14"/>
  <c r="E23" i="23"/>
  <c r="C23" i="23"/>
  <c r="B24" i="23"/>
  <c r="A23" i="23"/>
  <c r="H22" i="23"/>
  <c r="F22" i="23"/>
  <c r="D22" i="23"/>
  <c r="G21" i="23"/>
  <c r="F29" i="14"/>
  <c r="G18" i="14"/>
  <c r="G19" i="14" s="1"/>
  <c r="G10" i="14"/>
  <c r="G15" i="14"/>
  <c r="F32" i="13"/>
  <c r="E25" i="14"/>
  <c r="E34" i="14" s="1"/>
  <c r="F24" i="14"/>
  <c r="F33" i="14" s="1"/>
  <c r="F16" i="17"/>
  <c r="F21" i="17" s="1"/>
  <c r="F39" i="2"/>
  <c r="H29" i="2"/>
  <c r="H31" i="2" s="1"/>
  <c r="H33" i="2" s="1"/>
  <c r="I27" i="2"/>
  <c r="I29" i="2" s="1"/>
  <c r="I31" i="2" s="1"/>
  <c r="I33" i="2" s="1"/>
  <c r="I16" i="12"/>
  <c r="I18" i="12" s="1"/>
  <c r="I31" i="12" s="1"/>
  <c r="H18" i="12"/>
  <c r="H31" i="12" s="1"/>
  <c r="H14" i="13"/>
  <c r="G6" i="17"/>
  <c r="I23" i="15"/>
  <c r="G11" i="11"/>
  <c r="G14" i="12"/>
  <c r="G11" i="10"/>
  <c r="G11" i="9"/>
  <c r="G10" i="3"/>
  <c r="G15" i="2"/>
  <c r="G6" i="14"/>
  <c r="G52" i="14" s="1"/>
  <c r="G34" i="2"/>
  <c r="G35" i="2" s="1"/>
  <c r="G37" i="2" s="1"/>
  <c r="H24" i="2"/>
  <c r="H25" i="2" s="1"/>
  <c r="H26" i="14"/>
  <c r="H17" i="17"/>
  <c r="G32" i="14"/>
  <c r="G41" i="14" s="1"/>
  <c r="G20" i="17"/>
  <c r="F21" i="14"/>
  <c r="F13" i="17" s="1"/>
  <c r="F54" i="14"/>
  <c r="I8" i="14"/>
  <c r="I22" i="13"/>
  <c r="I28" i="13" s="1"/>
  <c r="G30" i="14"/>
  <c r="G31" i="14" s="1"/>
  <c r="G19" i="17"/>
  <c r="I24" i="2"/>
  <c r="I25" i="2" s="1"/>
  <c r="I26" i="14"/>
  <c r="I17" i="17"/>
  <c r="H12" i="10"/>
  <c r="H16" i="10" s="1"/>
  <c r="H12" i="11"/>
  <c r="H16" i="11" s="1"/>
  <c r="H30" i="13" s="1"/>
  <c r="H14" i="14" s="1"/>
  <c r="H12" i="9"/>
  <c r="H16" i="9" s="1"/>
  <c r="H29" i="13"/>
  <c r="H15" i="14" s="1"/>
  <c r="H38" i="2"/>
  <c r="H9" i="14"/>
  <c r="G11" i="14"/>
  <c r="G12" i="14" s="1"/>
  <c r="G53" i="14"/>
  <c r="G28" i="14"/>
  <c r="G18" i="17"/>
  <c r="E28" i="25" l="1"/>
  <c r="E47" i="25" s="1"/>
  <c r="E21" i="24"/>
  <c r="E46" i="25"/>
  <c r="E21" i="25"/>
  <c r="E21" i="29" s="1"/>
  <c r="F15" i="33"/>
  <c r="K92" i="20"/>
  <c r="J93" i="20"/>
  <c r="F16" i="33" s="1"/>
  <c r="K73" i="20"/>
  <c r="G23" i="25" s="1"/>
  <c r="G23" i="29" s="1"/>
  <c r="I70" i="36"/>
  <c r="I54" i="36"/>
  <c r="F20" i="24"/>
  <c r="F21" i="24" s="1"/>
  <c r="F46" i="25"/>
  <c r="F21" i="25"/>
  <c r="F21" i="29" s="1"/>
  <c r="H36" i="37"/>
  <c r="H16" i="24"/>
  <c r="H16" i="25" s="1"/>
  <c r="E56" i="36"/>
  <c r="H55" i="36"/>
  <c r="H71" i="36" s="1"/>
  <c r="I71" i="36" s="1"/>
  <c r="G16" i="24"/>
  <c r="G16" i="25" s="1"/>
  <c r="G20" i="25" s="1"/>
  <c r="G36" i="37"/>
  <c r="C58" i="36"/>
  <c r="D73" i="36"/>
  <c r="F73" i="36" s="1"/>
  <c r="F44" i="27"/>
  <c r="E29" i="25"/>
  <c r="L70" i="20"/>
  <c r="H26" i="27"/>
  <c r="H39" i="27" s="1"/>
  <c r="H38" i="30"/>
  <c r="F27" i="25"/>
  <c r="F28" i="25" s="1"/>
  <c r="F47" i="25" s="1"/>
  <c r="F26" i="29"/>
  <c r="F27" i="29" s="1"/>
  <c r="H8" i="32"/>
  <c r="H39" i="32" s="1"/>
  <c r="H8" i="31"/>
  <c r="H11" i="31" s="1"/>
  <c r="H38" i="31" s="1"/>
  <c r="H8" i="34"/>
  <c r="H8" i="33"/>
  <c r="G39" i="31"/>
  <c r="G26" i="25"/>
  <c r="H11" i="25"/>
  <c r="H11" i="29" s="1"/>
  <c r="L72" i="20"/>
  <c r="H28" i="27"/>
  <c r="H41" i="27" s="1"/>
  <c r="G29" i="27"/>
  <c r="G30" i="27" s="1"/>
  <c r="G31" i="27" s="1"/>
  <c r="G40" i="27"/>
  <c r="G43" i="27" s="1"/>
  <c r="G45" i="27" s="1"/>
  <c r="L71" i="20"/>
  <c r="H27" i="27"/>
  <c r="L45" i="20"/>
  <c r="H13" i="25"/>
  <c r="H13" i="24"/>
  <c r="G88" i="24"/>
  <c r="H11" i="24"/>
  <c r="H19" i="25"/>
  <c r="H45" i="25"/>
  <c r="H8" i="26"/>
  <c r="H20" i="26" s="1"/>
  <c r="H22" i="26" s="1"/>
  <c r="H25" i="26" s="1"/>
  <c r="H26" i="26" s="1"/>
  <c r="H8" i="30"/>
  <c r="H8" i="28"/>
  <c r="H19" i="28" s="1"/>
  <c r="H22" i="28" s="1"/>
  <c r="H23" i="28" s="1"/>
  <c r="H17" i="27"/>
  <c r="H83" i="24"/>
  <c r="H85" i="24"/>
  <c r="H87" i="24"/>
  <c r="H27" i="24"/>
  <c r="H67" i="24"/>
  <c r="H65" i="24"/>
  <c r="H63" i="24"/>
  <c r="H61" i="24"/>
  <c r="H59" i="24"/>
  <c r="H57" i="24"/>
  <c r="H84" i="24"/>
  <c r="H86" i="24"/>
  <c r="H19" i="24"/>
  <c r="H68" i="24"/>
  <c r="H66" i="24"/>
  <c r="H64" i="24"/>
  <c r="H62" i="24"/>
  <c r="H60" i="24"/>
  <c r="H58" i="24"/>
  <c r="G14" i="25"/>
  <c r="G14" i="24"/>
  <c r="L124" i="20"/>
  <c r="H25" i="25" s="1"/>
  <c r="H25" i="29" s="1"/>
  <c r="H24" i="21"/>
  <c r="F24" i="21"/>
  <c r="D24" i="21"/>
  <c r="E25" i="21"/>
  <c r="C25" i="21"/>
  <c r="B26" i="21"/>
  <c r="A25" i="21"/>
  <c r="G23" i="21"/>
  <c r="H23" i="23"/>
  <c r="F23" i="23"/>
  <c r="D23" i="23"/>
  <c r="E24" i="23"/>
  <c r="C24" i="23"/>
  <c r="B25" i="23"/>
  <c r="A24" i="23"/>
  <c r="G22" i="23"/>
  <c r="G29" i="14"/>
  <c r="G17" i="14"/>
  <c r="G16" i="14"/>
  <c r="H18" i="14"/>
  <c r="H19" i="14" s="1"/>
  <c r="H10" i="14"/>
  <c r="H25" i="13"/>
  <c r="H26" i="13" s="1"/>
  <c r="H31" i="13" s="1"/>
  <c r="H17" i="14"/>
  <c r="F25" i="14"/>
  <c r="F34" i="14" s="1"/>
  <c r="H27" i="14"/>
  <c r="G24" i="14"/>
  <c r="G33" i="14" s="1"/>
  <c r="G39" i="2"/>
  <c r="G16" i="17"/>
  <c r="G21" i="17" s="1"/>
  <c r="G20" i="14"/>
  <c r="G22" i="14" s="1"/>
  <c r="G32" i="13"/>
  <c r="I14" i="13"/>
  <c r="H6" i="17"/>
  <c r="J23" i="15"/>
  <c r="H11" i="11"/>
  <c r="H14" i="12"/>
  <c r="H11" i="10"/>
  <c r="H11" i="9"/>
  <c r="H10" i="3"/>
  <c r="H15" i="2"/>
  <c r="H6" i="14"/>
  <c r="H52" i="14" s="1"/>
  <c r="H11" i="14"/>
  <c r="H12" i="14" s="1"/>
  <c r="H16" i="14" s="1"/>
  <c r="H53" i="14"/>
  <c r="H28" i="14"/>
  <c r="H18" i="17"/>
  <c r="H30" i="14"/>
  <c r="H31" i="14" s="1"/>
  <c r="H19" i="17"/>
  <c r="H32" i="14"/>
  <c r="H41" i="14" s="1"/>
  <c r="H20" i="17"/>
  <c r="H34" i="2"/>
  <c r="H35" i="2" s="1"/>
  <c r="H37" i="2" s="1"/>
  <c r="I12" i="9"/>
  <c r="I16" i="9" s="1"/>
  <c r="I12" i="10"/>
  <c r="I16" i="10" s="1"/>
  <c r="I12" i="11"/>
  <c r="I16" i="11" s="1"/>
  <c r="I30" i="13" s="1"/>
  <c r="I14" i="14" s="1"/>
  <c r="I29" i="13"/>
  <c r="I15" i="14" s="1"/>
  <c r="I38" i="2"/>
  <c r="I9" i="14"/>
  <c r="I10" i="14" s="1"/>
  <c r="I32" i="14"/>
  <c r="I41" i="14" s="1"/>
  <c r="I20" i="17"/>
  <c r="I34" i="2"/>
  <c r="I35" i="2" s="1"/>
  <c r="I37" i="2" s="1"/>
  <c r="H20" i="24" l="1"/>
  <c r="H21" i="24" s="1"/>
  <c r="G15" i="33"/>
  <c r="K93" i="20"/>
  <c r="G16" i="33" s="1"/>
  <c r="L92" i="20"/>
  <c r="H39" i="30"/>
  <c r="F28" i="24"/>
  <c r="G21" i="25"/>
  <c r="G21" i="29" s="1"/>
  <c r="G46" i="25"/>
  <c r="I55" i="36"/>
  <c r="H20" i="25"/>
  <c r="H21" i="25" s="1"/>
  <c r="H21" i="29" s="1"/>
  <c r="E57" i="36"/>
  <c r="H56" i="36"/>
  <c r="H72" i="36" s="1"/>
  <c r="I72" i="36" s="1"/>
  <c r="G20" i="24"/>
  <c r="C59" i="36"/>
  <c r="D74" i="36"/>
  <c r="F74" i="36" s="1"/>
  <c r="F29" i="25"/>
  <c r="L73" i="20"/>
  <c r="H23" i="25" s="1"/>
  <c r="H23" i="29" s="1"/>
  <c r="G26" i="29"/>
  <c r="G27" i="29" s="1"/>
  <c r="G27" i="25"/>
  <c r="G28" i="25" s="1"/>
  <c r="G29" i="25" s="1"/>
  <c r="H39" i="31"/>
  <c r="H26" i="25"/>
  <c r="H29" i="27"/>
  <c r="H30" i="27" s="1"/>
  <c r="H31" i="27" s="1"/>
  <c r="H40" i="27"/>
  <c r="H43" i="27" s="1"/>
  <c r="H45" i="27" s="1"/>
  <c r="G44" i="27"/>
  <c r="H14" i="25"/>
  <c r="H14" i="24"/>
  <c r="H88" i="24"/>
  <c r="H25" i="21"/>
  <c r="F25" i="21"/>
  <c r="D25" i="21"/>
  <c r="E26" i="21"/>
  <c r="C26" i="21"/>
  <c r="B27" i="21"/>
  <c r="A26" i="21"/>
  <c r="G24" i="21"/>
  <c r="E25" i="23"/>
  <c r="C25" i="23"/>
  <c r="B26" i="23"/>
  <c r="A25" i="23"/>
  <c r="H24" i="23"/>
  <c r="F24" i="23"/>
  <c r="D24" i="23"/>
  <c r="G23" i="23"/>
  <c r="H20" i="14"/>
  <c r="H22" i="14" s="1"/>
  <c r="H32" i="13"/>
  <c r="H29" i="14"/>
  <c r="I27" i="14"/>
  <c r="I18" i="14"/>
  <c r="I17" i="14"/>
  <c r="G25" i="14"/>
  <c r="G34" i="14" s="1"/>
  <c r="I24" i="14"/>
  <c r="I25" i="14" s="1"/>
  <c r="I16" i="17"/>
  <c r="I39" i="2"/>
  <c r="H24" i="14"/>
  <c r="H33" i="14" s="1"/>
  <c r="H16" i="17"/>
  <c r="H21" i="17" s="1"/>
  <c r="H39" i="2"/>
  <c r="I11" i="14"/>
  <c r="I12" i="14" s="1"/>
  <c r="I16" i="14" s="1"/>
  <c r="I53" i="14"/>
  <c r="I30" i="14"/>
  <c r="I31" i="14" s="1"/>
  <c r="I19" i="17"/>
  <c r="K23" i="15"/>
  <c r="I11" i="11"/>
  <c r="I14" i="12"/>
  <c r="I11" i="10"/>
  <c r="I11" i="9"/>
  <c r="I10" i="3"/>
  <c r="I15" i="2"/>
  <c r="I6" i="14"/>
  <c r="I52" i="14" s="1"/>
  <c r="I6" i="17"/>
  <c r="G21" i="14"/>
  <c r="G13" i="17" s="1"/>
  <c r="G54" i="14"/>
  <c r="I28" i="14"/>
  <c r="I18" i="17"/>
  <c r="H21" i="14"/>
  <c r="H13" i="17" s="1"/>
  <c r="H54" i="14"/>
  <c r="I25" i="13"/>
  <c r="I26" i="13" s="1"/>
  <c r="I31" i="13" s="1"/>
  <c r="H28" i="24" l="1"/>
  <c r="L93" i="20"/>
  <c r="H16" i="33" s="1"/>
  <c r="H15" i="33"/>
  <c r="I56" i="36"/>
  <c r="H46" i="25"/>
  <c r="G28" i="24"/>
  <c r="G21" i="24"/>
  <c r="G47" i="25"/>
  <c r="E58" i="36"/>
  <c r="H57" i="36"/>
  <c r="H73" i="36" s="1"/>
  <c r="I73" i="36" s="1"/>
  <c r="C60" i="36"/>
  <c r="D75" i="36"/>
  <c r="F75" i="36" s="1"/>
  <c r="H27" i="25"/>
  <c r="H28" i="25" s="1"/>
  <c r="H47" i="25" s="1"/>
  <c r="H26" i="29"/>
  <c r="H27" i="29" s="1"/>
  <c r="H44" i="27"/>
  <c r="H26" i="21"/>
  <c r="F26" i="21"/>
  <c r="D26" i="21"/>
  <c r="G25" i="21"/>
  <c r="E27" i="21"/>
  <c r="K16" i="21" s="1"/>
  <c r="C27" i="21"/>
  <c r="B28" i="21"/>
  <c r="A27" i="21"/>
  <c r="H25" i="23"/>
  <c r="F25" i="23"/>
  <c r="D25" i="23"/>
  <c r="E26" i="23"/>
  <c r="C26" i="23"/>
  <c r="B27" i="23"/>
  <c r="A26" i="23"/>
  <c r="G24" i="23"/>
  <c r="I20" i="14"/>
  <c r="I22" i="14" s="1"/>
  <c r="I32" i="13"/>
  <c r="I29" i="14"/>
  <c r="I33" i="14"/>
  <c r="I19" i="14"/>
  <c r="H25" i="14"/>
  <c r="H34" i="14" s="1"/>
  <c r="I21" i="17"/>
  <c r="I21" i="14" l="1"/>
  <c r="I13" i="17" s="1"/>
  <c r="I54" i="14"/>
  <c r="I57" i="36"/>
  <c r="E59" i="36"/>
  <c r="H58" i="36"/>
  <c r="H74" i="36" s="1"/>
  <c r="I74" i="36" s="1"/>
  <c r="C61" i="36"/>
  <c r="D76" i="36"/>
  <c r="F76" i="36" s="1"/>
  <c r="H29" i="25"/>
  <c r="H27" i="21"/>
  <c r="F27" i="21"/>
  <c r="D27" i="21"/>
  <c r="J16" i="21" s="1"/>
  <c r="F95" i="20" s="1"/>
  <c r="B18" i="33" s="1"/>
  <c r="B38" i="33" s="1"/>
  <c r="I16" i="21"/>
  <c r="F94" i="20" s="1"/>
  <c r="B17" i="33" s="1"/>
  <c r="B29" i="21"/>
  <c r="E28" i="21"/>
  <c r="C28" i="21"/>
  <c r="A28" i="21"/>
  <c r="G26" i="21"/>
  <c r="H26" i="23"/>
  <c r="F26" i="23"/>
  <c r="D26" i="23"/>
  <c r="G25" i="23"/>
  <c r="E27" i="23"/>
  <c r="K16" i="23" s="1"/>
  <c r="C27" i="23"/>
  <c r="B28" i="23"/>
  <c r="A27" i="23"/>
  <c r="I55" i="14"/>
  <c r="I34" i="14"/>
  <c r="I12" i="17"/>
  <c r="I37" i="14"/>
  <c r="I58" i="36" l="1"/>
  <c r="E60" i="36"/>
  <c r="H59" i="36"/>
  <c r="C62" i="36"/>
  <c r="D77" i="36"/>
  <c r="F77" i="36" s="1"/>
  <c r="B31" i="25"/>
  <c r="B39" i="33"/>
  <c r="H28" i="21"/>
  <c r="F28" i="21"/>
  <c r="D28" i="21"/>
  <c r="B30" i="21"/>
  <c r="E29" i="21"/>
  <c r="C29" i="21"/>
  <c r="A29" i="21"/>
  <c r="G27" i="21"/>
  <c r="H27" i="23"/>
  <c r="F27" i="23"/>
  <c r="D30" i="15" s="1"/>
  <c r="D27" i="23"/>
  <c r="I16" i="23"/>
  <c r="B29" i="23"/>
  <c r="E28" i="23"/>
  <c r="C28" i="23"/>
  <c r="A28" i="23"/>
  <c r="G26" i="23"/>
  <c r="I9" i="17"/>
  <c r="I22" i="17" s="1"/>
  <c r="I25" i="17"/>
  <c r="I44" i="14"/>
  <c r="I38" i="14"/>
  <c r="E61" i="36" l="1"/>
  <c r="H60" i="36"/>
  <c r="H76" i="36" s="1"/>
  <c r="H75" i="36"/>
  <c r="I75" i="36" s="1"/>
  <c r="I59" i="36"/>
  <c r="D78" i="36"/>
  <c r="F78" i="36" s="1"/>
  <c r="F79" i="36" s="1"/>
  <c r="B31" i="29"/>
  <c r="B20" i="29" s="1"/>
  <c r="B8" i="29" s="1"/>
  <c r="B7" i="29" s="1"/>
  <c r="B34" i="25"/>
  <c r="G28" i="21"/>
  <c r="H29" i="21"/>
  <c r="F29" i="21"/>
  <c r="D29" i="21"/>
  <c r="B31" i="21"/>
  <c r="E30" i="21"/>
  <c r="C30" i="21"/>
  <c r="A30" i="21"/>
  <c r="H28" i="23"/>
  <c r="F28" i="23"/>
  <c r="D28" i="23"/>
  <c r="B30" i="23"/>
  <c r="E29" i="23"/>
  <c r="C29" i="23"/>
  <c r="A29" i="23"/>
  <c r="G27" i="23"/>
  <c r="J16" i="23"/>
  <c r="D37" i="15" s="1"/>
  <c r="B35" i="14" s="1"/>
  <c r="I26" i="17"/>
  <c r="K24" i="15"/>
  <c r="K31" i="15" s="1"/>
  <c r="I45" i="14"/>
  <c r="I56" i="14"/>
  <c r="I76" i="36" l="1"/>
  <c r="I60" i="36"/>
  <c r="E62" i="36"/>
  <c r="H62" i="36" s="1"/>
  <c r="H78" i="36" s="1"/>
  <c r="H61" i="36"/>
  <c r="H77" i="36" s="1"/>
  <c r="B48" i="25"/>
  <c r="B35" i="25"/>
  <c r="B39" i="29"/>
  <c r="B28" i="29"/>
  <c r="G29" i="21"/>
  <c r="H30" i="21"/>
  <c r="F30" i="21"/>
  <c r="D30" i="21"/>
  <c r="B32" i="21"/>
  <c r="E31" i="21"/>
  <c r="C31" i="21"/>
  <c r="A31" i="21"/>
  <c r="B55" i="14"/>
  <c r="B37" i="14"/>
  <c r="B42" i="14"/>
  <c r="B23" i="17" s="1"/>
  <c r="B12" i="17" s="1"/>
  <c r="G28" i="23"/>
  <c r="H29" i="23"/>
  <c r="F29" i="23"/>
  <c r="D29" i="23"/>
  <c r="B31" i="23"/>
  <c r="E30" i="23"/>
  <c r="C30" i="23"/>
  <c r="A30" i="23"/>
  <c r="I77" i="36" l="1"/>
  <c r="I78" i="36" s="1"/>
  <c r="I61" i="36"/>
  <c r="I62" i="36" s="1"/>
  <c r="B29" i="29"/>
  <c r="B40" i="29"/>
  <c r="B34" i="29"/>
  <c r="B9" i="29"/>
  <c r="B13" i="29" s="1"/>
  <c r="B14" i="29" s="1"/>
  <c r="B38" i="29"/>
  <c r="B19" i="29"/>
  <c r="H31" i="21"/>
  <c r="F31" i="21"/>
  <c r="D31" i="21"/>
  <c r="B33" i="21"/>
  <c r="E32" i="21"/>
  <c r="C32" i="21"/>
  <c r="A32" i="21"/>
  <c r="G30" i="21"/>
  <c r="B44" i="14"/>
  <c r="B38" i="14"/>
  <c r="B25" i="17"/>
  <c r="B9" i="17"/>
  <c r="B22" i="17" s="1"/>
  <c r="G29" i="23"/>
  <c r="H30" i="23"/>
  <c r="F30" i="23"/>
  <c r="D30" i="23"/>
  <c r="B32" i="23"/>
  <c r="E31" i="23"/>
  <c r="C31" i="23"/>
  <c r="A31" i="23"/>
  <c r="G30" i="23" l="1"/>
  <c r="B41" i="29"/>
  <c r="B35" i="29"/>
  <c r="H32" i="21"/>
  <c r="F32" i="21"/>
  <c r="D32" i="21"/>
  <c r="B34" i="21"/>
  <c r="E33" i="21"/>
  <c r="C33" i="21"/>
  <c r="A33" i="21"/>
  <c r="G31" i="21"/>
  <c r="B56" i="14"/>
  <c r="B45" i="14"/>
  <c r="D24" i="15"/>
  <c r="B26" i="17"/>
  <c r="H31" i="23"/>
  <c r="F31" i="23"/>
  <c r="D31" i="23"/>
  <c r="B33" i="23"/>
  <c r="E32" i="23"/>
  <c r="C32" i="23"/>
  <c r="A32" i="23"/>
  <c r="G31" i="23" l="1"/>
  <c r="H33" i="21"/>
  <c r="F33" i="21"/>
  <c r="D33" i="21"/>
  <c r="B35" i="21"/>
  <c r="E34" i="21"/>
  <c r="C34" i="21"/>
  <c r="A34" i="21"/>
  <c r="G32" i="21"/>
  <c r="D31" i="15"/>
  <c r="D32" i="15"/>
  <c r="H32" i="23"/>
  <c r="F32" i="23"/>
  <c r="D32" i="23"/>
  <c r="B34" i="23"/>
  <c r="E33" i="23"/>
  <c r="C33" i="23"/>
  <c r="A33" i="23"/>
  <c r="H34" i="21" l="1"/>
  <c r="F34" i="21"/>
  <c r="D34" i="21"/>
  <c r="B36" i="21"/>
  <c r="E35" i="21"/>
  <c r="C35" i="21"/>
  <c r="A35" i="21"/>
  <c r="G33" i="21"/>
  <c r="H33" i="23"/>
  <c r="F33" i="23"/>
  <c r="D33" i="23"/>
  <c r="B35" i="23"/>
  <c r="E34" i="23"/>
  <c r="C34" i="23"/>
  <c r="A34" i="23"/>
  <c r="G32" i="23"/>
  <c r="H35" i="21" l="1"/>
  <c r="F35" i="21"/>
  <c r="D35" i="21"/>
  <c r="B37" i="21"/>
  <c r="E36" i="21"/>
  <c r="C36" i="21"/>
  <c r="A36" i="21"/>
  <c r="G34" i="21"/>
  <c r="H34" i="23"/>
  <c r="F34" i="23"/>
  <c r="D34" i="23"/>
  <c r="B36" i="23"/>
  <c r="E35" i="23"/>
  <c r="C35" i="23"/>
  <c r="A35" i="23"/>
  <c r="G33" i="23"/>
  <c r="H36" i="21" l="1"/>
  <c r="F36" i="21"/>
  <c r="D36" i="21"/>
  <c r="B38" i="21"/>
  <c r="E37" i="21"/>
  <c r="C37" i="21"/>
  <c r="A37" i="21"/>
  <c r="G35" i="21"/>
  <c r="H35" i="23"/>
  <c r="F35" i="23"/>
  <c r="D35" i="23"/>
  <c r="B37" i="23"/>
  <c r="E36" i="23"/>
  <c r="C36" i="23"/>
  <c r="A36" i="23"/>
  <c r="G34" i="23"/>
  <c r="H37" i="21" l="1"/>
  <c r="F37" i="21"/>
  <c r="D37" i="21"/>
  <c r="B39" i="21"/>
  <c r="E38" i="21"/>
  <c r="C38" i="21"/>
  <c r="A38" i="21"/>
  <c r="G36" i="21"/>
  <c r="H36" i="23"/>
  <c r="F36" i="23"/>
  <c r="D36" i="23"/>
  <c r="B38" i="23"/>
  <c r="E37" i="23"/>
  <c r="C37" i="23"/>
  <c r="A37" i="23"/>
  <c r="G35" i="23"/>
  <c r="H38" i="21" l="1"/>
  <c r="F38" i="21"/>
  <c r="D38" i="21"/>
  <c r="B40" i="21"/>
  <c r="E39" i="21"/>
  <c r="K28" i="21" s="1"/>
  <c r="C39" i="21"/>
  <c r="A39" i="21"/>
  <c r="G37" i="21"/>
  <c r="H37" i="23"/>
  <c r="F37" i="23"/>
  <c r="D37" i="23"/>
  <c r="B39" i="23"/>
  <c r="E38" i="23"/>
  <c r="C38" i="23"/>
  <c r="A38" i="23"/>
  <c r="G36" i="23"/>
  <c r="H39" i="21" l="1"/>
  <c r="F39" i="21"/>
  <c r="D39" i="21"/>
  <c r="I28" i="21"/>
  <c r="G94" i="20" s="1"/>
  <c r="C17" i="33" s="1"/>
  <c r="B41" i="21"/>
  <c r="E40" i="21"/>
  <c r="C40" i="21"/>
  <c r="A40" i="21"/>
  <c r="G38" i="21"/>
  <c r="H38" i="23"/>
  <c r="F38" i="23"/>
  <c r="D38" i="23"/>
  <c r="B40" i="23"/>
  <c r="E39" i="23"/>
  <c r="K28" i="23" s="1"/>
  <c r="C39" i="23"/>
  <c r="A39" i="23"/>
  <c r="G37" i="23"/>
  <c r="H40" i="21" l="1"/>
  <c r="F40" i="21"/>
  <c r="D40" i="21"/>
  <c r="E41" i="21"/>
  <c r="C41" i="21"/>
  <c r="B42" i="21"/>
  <c r="A41" i="21"/>
  <c r="G39" i="21"/>
  <c r="J28" i="21"/>
  <c r="G95" i="20" s="1"/>
  <c r="C18" i="33" s="1"/>
  <c r="C38" i="33" s="1"/>
  <c r="H39" i="23"/>
  <c r="F39" i="23"/>
  <c r="E30" i="15" s="1"/>
  <c r="D39" i="23"/>
  <c r="I28" i="23"/>
  <c r="B41" i="23"/>
  <c r="E40" i="23"/>
  <c r="C40" i="23"/>
  <c r="A40" i="23"/>
  <c r="G38" i="23"/>
  <c r="C31" i="25" l="1"/>
  <c r="C39" i="33"/>
  <c r="H41" i="21"/>
  <c r="F41" i="21"/>
  <c r="D41" i="21"/>
  <c r="E42" i="21"/>
  <c r="C42" i="21"/>
  <c r="B43" i="21"/>
  <c r="A42" i="21"/>
  <c r="G40" i="21"/>
  <c r="H40" i="23"/>
  <c r="F40" i="23"/>
  <c r="D40" i="23"/>
  <c r="E41" i="23"/>
  <c r="C41" i="23"/>
  <c r="B42" i="23"/>
  <c r="A41" i="23"/>
  <c r="G39" i="23"/>
  <c r="J28" i="23"/>
  <c r="E37" i="15" s="1"/>
  <c r="C35" i="14" s="1"/>
  <c r="C31" i="29" l="1"/>
  <c r="C20" i="29" s="1"/>
  <c r="C34" i="25"/>
  <c r="H42" i="21"/>
  <c r="F42" i="21"/>
  <c r="D42" i="21"/>
  <c r="G41" i="21"/>
  <c r="E43" i="21"/>
  <c r="C43" i="21"/>
  <c r="B44" i="21"/>
  <c r="A43" i="21"/>
  <c r="C42" i="14"/>
  <c r="C23" i="17" s="1"/>
  <c r="C12" i="17" s="1"/>
  <c r="C55" i="14"/>
  <c r="C37" i="14"/>
  <c r="H41" i="23"/>
  <c r="F41" i="23"/>
  <c r="D41" i="23"/>
  <c r="E42" i="23"/>
  <c r="C42" i="23"/>
  <c r="B43" i="23"/>
  <c r="A42" i="23"/>
  <c r="G40" i="23"/>
  <c r="C35" i="25" l="1"/>
  <c r="C48" i="25"/>
  <c r="C28" i="29"/>
  <c r="C39" i="29"/>
  <c r="C8" i="29"/>
  <c r="C7" i="29" s="1"/>
  <c r="E44" i="21"/>
  <c r="C44" i="21"/>
  <c r="B45" i="21"/>
  <c r="A44" i="21"/>
  <c r="H43" i="21"/>
  <c r="F43" i="21"/>
  <c r="D43" i="21"/>
  <c r="G42" i="21"/>
  <c r="C44" i="14"/>
  <c r="C38" i="14"/>
  <c r="C25" i="17"/>
  <c r="C9" i="17"/>
  <c r="C22" i="17" s="1"/>
  <c r="H42" i="23"/>
  <c r="F42" i="23"/>
  <c r="D42" i="23"/>
  <c r="G41" i="23"/>
  <c r="E43" i="23"/>
  <c r="C43" i="23"/>
  <c r="B44" i="23"/>
  <c r="A43" i="23"/>
  <c r="C34" i="29" l="1"/>
  <c r="C41" i="29" s="1"/>
  <c r="C40" i="29"/>
  <c r="E45" i="21"/>
  <c r="C45" i="21"/>
  <c r="B46" i="21"/>
  <c r="A45" i="21"/>
  <c r="H44" i="21"/>
  <c r="F44" i="21"/>
  <c r="D44" i="21"/>
  <c r="G43" i="21"/>
  <c r="E24" i="15"/>
  <c r="E31" i="15" s="1"/>
  <c r="E32" i="15" s="1"/>
  <c r="C45" i="14"/>
  <c r="C56" i="14"/>
  <c r="C26" i="17"/>
  <c r="E44" i="23"/>
  <c r="C44" i="23"/>
  <c r="B45" i="23"/>
  <c r="A44" i="23"/>
  <c r="H43" i="23"/>
  <c r="F43" i="23"/>
  <c r="D43" i="23"/>
  <c r="G42" i="23"/>
  <c r="H45" i="21" l="1"/>
  <c r="F45" i="21"/>
  <c r="D45" i="21"/>
  <c r="E46" i="21"/>
  <c r="C46" i="21"/>
  <c r="B47" i="21"/>
  <c r="A46" i="21"/>
  <c r="G44" i="21"/>
  <c r="H44" i="23"/>
  <c r="F44" i="23"/>
  <c r="D44" i="23"/>
  <c r="G43" i="23"/>
  <c r="E45" i="23"/>
  <c r="C45" i="23"/>
  <c r="B46" i="23"/>
  <c r="A45" i="23"/>
  <c r="H46" i="21" l="1"/>
  <c r="F46" i="21"/>
  <c r="D46" i="21"/>
  <c r="E47" i="21"/>
  <c r="C47" i="21"/>
  <c r="B48" i="21"/>
  <c r="A47" i="21"/>
  <c r="G45" i="21"/>
  <c r="H45" i="23"/>
  <c r="F45" i="23"/>
  <c r="D45" i="23"/>
  <c r="G44" i="23"/>
  <c r="E46" i="23"/>
  <c r="C46" i="23"/>
  <c r="B47" i="23"/>
  <c r="A46" i="23"/>
  <c r="E48" i="21" l="1"/>
  <c r="C48" i="21"/>
  <c r="B49" i="21"/>
  <c r="A48" i="21"/>
  <c r="H47" i="21"/>
  <c r="F47" i="21"/>
  <c r="D47" i="21"/>
  <c r="G46" i="21"/>
  <c r="E47" i="23"/>
  <c r="C47" i="23"/>
  <c r="B48" i="23"/>
  <c r="A47" i="23"/>
  <c r="H46" i="23"/>
  <c r="F46" i="23"/>
  <c r="D46" i="23"/>
  <c r="G45" i="23"/>
  <c r="H48" i="21" l="1"/>
  <c r="F48" i="21"/>
  <c r="D48" i="21"/>
  <c r="G47" i="21"/>
  <c r="E49" i="21"/>
  <c r="C49" i="21"/>
  <c r="B50" i="21"/>
  <c r="A49" i="21"/>
  <c r="H47" i="23"/>
  <c r="F47" i="23"/>
  <c r="D47" i="23"/>
  <c r="E48" i="23"/>
  <c r="C48" i="23"/>
  <c r="B49" i="23"/>
  <c r="A48" i="23"/>
  <c r="G46" i="23"/>
  <c r="E50" i="21" l="1"/>
  <c r="C50" i="21"/>
  <c r="B51" i="21"/>
  <c r="A50" i="21"/>
  <c r="H49" i="21"/>
  <c r="F49" i="21"/>
  <c r="D49" i="21"/>
  <c r="G48" i="21"/>
  <c r="H48" i="23"/>
  <c r="F48" i="23"/>
  <c r="D48" i="23"/>
  <c r="E49" i="23"/>
  <c r="C49" i="23"/>
  <c r="B50" i="23"/>
  <c r="A49" i="23"/>
  <c r="G47" i="23"/>
  <c r="H50" i="21" l="1"/>
  <c r="F50" i="21"/>
  <c r="D50" i="21"/>
  <c r="E51" i="21"/>
  <c r="K40" i="21" s="1"/>
  <c r="C51" i="21"/>
  <c r="B52" i="21"/>
  <c r="A51" i="21"/>
  <c r="G49" i="21"/>
  <c r="E50" i="23"/>
  <c r="C50" i="23"/>
  <c r="B51" i="23"/>
  <c r="A50" i="23"/>
  <c r="H49" i="23"/>
  <c r="F49" i="23"/>
  <c r="D49" i="23"/>
  <c r="G48" i="23"/>
  <c r="H51" i="21" l="1"/>
  <c r="F51" i="21"/>
  <c r="D51" i="21"/>
  <c r="I40" i="21"/>
  <c r="H94" i="20" s="1"/>
  <c r="D17" i="33" s="1"/>
  <c r="G50" i="21"/>
  <c r="B53" i="21"/>
  <c r="E52" i="21"/>
  <c r="C52" i="21"/>
  <c r="A52" i="21"/>
  <c r="H50" i="23"/>
  <c r="F50" i="23"/>
  <c r="D50" i="23"/>
  <c r="E51" i="23"/>
  <c r="K40" i="23" s="1"/>
  <c r="C51" i="23"/>
  <c r="B52" i="23"/>
  <c r="A51" i="23"/>
  <c r="G49" i="23"/>
  <c r="H52" i="21" l="1"/>
  <c r="F52" i="21"/>
  <c r="D52" i="21"/>
  <c r="B54" i="21"/>
  <c r="E53" i="21"/>
  <c r="C53" i="21"/>
  <c r="A53" i="21"/>
  <c r="G51" i="21"/>
  <c r="J40" i="21"/>
  <c r="H95" i="20" s="1"/>
  <c r="D18" i="33" s="1"/>
  <c r="D38" i="33" s="1"/>
  <c r="B53" i="23"/>
  <c r="E52" i="23"/>
  <c r="C52" i="23"/>
  <c r="A52" i="23"/>
  <c r="H51" i="23"/>
  <c r="F51" i="23"/>
  <c r="F30" i="15" s="1"/>
  <c r="D51" i="23"/>
  <c r="I40" i="23"/>
  <c r="G50" i="23"/>
  <c r="D39" i="33" l="1"/>
  <c r="D31" i="25"/>
  <c r="G52" i="21"/>
  <c r="H53" i="21"/>
  <c r="F53" i="21"/>
  <c r="D53" i="21"/>
  <c r="B55" i="21"/>
  <c r="E54" i="21"/>
  <c r="C54" i="21"/>
  <c r="A54" i="21"/>
  <c r="G51" i="23"/>
  <c r="J40" i="23"/>
  <c r="F37" i="15" s="1"/>
  <c r="D35" i="14" s="1"/>
  <c r="H52" i="23"/>
  <c r="F52" i="23"/>
  <c r="D52" i="23"/>
  <c r="B54" i="23"/>
  <c r="E53" i="23"/>
  <c r="C53" i="23"/>
  <c r="A53" i="23"/>
  <c r="D31" i="29" l="1"/>
  <c r="D20" i="29" s="1"/>
  <c r="D34" i="25"/>
  <c r="G53" i="21"/>
  <c r="H54" i="21"/>
  <c r="F54" i="21"/>
  <c r="D54" i="21"/>
  <c r="B56" i="21"/>
  <c r="E55" i="21"/>
  <c r="C55" i="21"/>
  <c r="A55" i="21"/>
  <c r="D42" i="14"/>
  <c r="D23" i="17" s="1"/>
  <c r="D12" i="17" s="1"/>
  <c r="D55" i="14"/>
  <c r="D37" i="14"/>
  <c r="G52" i="23"/>
  <c r="H53" i="23"/>
  <c r="F53" i="23"/>
  <c r="D53" i="23"/>
  <c r="B55" i="23"/>
  <c r="E54" i="23"/>
  <c r="C54" i="23"/>
  <c r="A54" i="23"/>
  <c r="D35" i="25" l="1"/>
  <c r="D48" i="25"/>
  <c r="D28" i="29"/>
  <c r="D8" i="29"/>
  <c r="D7" i="29" s="1"/>
  <c r="G54" i="21"/>
  <c r="H55" i="21"/>
  <c r="F55" i="21"/>
  <c r="D55" i="21"/>
  <c r="B57" i="21"/>
  <c r="E56" i="21"/>
  <c r="C56" i="21"/>
  <c r="A56" i="21"/>
  <c r="D38" i="14"/>
  <c r="D44" i="14"/>
  <c r="D9" i="17"/>
  <c r="D22" i="17" s="1"/>
  <c r="D25" i="17"/>
  <c r="G53" i="23"/>
  <c r="H54" i="23"/>
  <c r="F54" i="23"/>
  <c r="D54" i="23"/>
  <c r="B56" i="23"/>
  <c r="E55" i="23"/>
  <c r="C55" i="23"/>
  <c r="A55" i="23"/>
  <c r="D26" i="17" l="1"/>
  <c r="D40" i="29"/>
  <c r="D34" i="29"/>
  <c r="D41" i="29" s="1"/>
  <c r="G55" i="21"/>
  <c r="H56" i="21"/>
  <c r="F56" i="21"/>
  <c r="D56" i="21"/>
  <c r="B58" i="21"/>
  <c r="E57" i="21"/>
  <c r="C57" i="21"/>
  <c r="A57" i="21"/>
  <c r="F24" i="15"/>
  <c r="F31" i="15" s="1"/>
  <c r="F32" i="15" s="1"/>
  <c r="D56" i="14"/>
  <c r="D45" i="14"/>
  <c r="H55" i="23"/>
  <c r="F55" i="23"/>
  <c r="D55" i="23"/>
  <c r="B57" i="23"/>
  <c r="E56" i="23"/>
  <c r="C56" i="23"/>
  <c r="A56" i="23"/>
  <c r="G54" i="23"/>
  <c r="H57" i="21" l="1"/>
  <c r="F57" i="21"/>
  <c r="D57" i="21"/>
  <c r="B59" i="21"/>
  <c r="E58" i="21"/>
  <c r="C58" i="21"/>
  <c r="A58" i="21"/>
  <c r="G56" i="21"/>
  <c r="H56" i="23"/>
  <c r="F56" i="23"/>
  <c r="D56" i="23"/>
  <c r="B58" i="23"/>
  <c r="E57" i="23"/>
  <c r="C57" i="23"/>
  <c r="A57" i="23"/>
  <c r="G55" i="23"/>
  <c r="H58" i="21" l="1"/>
  <c r="F58" i="21"/>
  <c r="D58" i="21"/>
  <c r="B60" i="21"/>
  <c r="E59" i="21"/>
  <c r="C59" i="21"/>
  <c r="A59" i="21"/>
  <c r="G57" i="21"/>
  <c r="H57" i="23"/>
  <c r="F57" i="23"/>
  <c r="D57" i="23"/>
  <c r="B59" i="23"/>
  <c r="E58" i="23"/>
  <c r="C58" i="23"/>
  <c r="A58" i="23"/>
  <c r="G56" i="23"/>
  <c r="H59" i="21" l="1"/>
  <c r="F59" i="21"/>
  <c r="D59" i="21"/>
  <c r="B61" i="21"/>
  <c r="E60" i="21"/>
  <c r="C60" i="21"/>
  <c r="A60" i="21"/>
  <c r="G58" i="21"/>
  <c r="H58" i="23"/>
  <c r="F58" i="23"/>
  <c r="D58" i="23"/>
  <c r="B60" i="23"/>
  <c r="E59" i="23"/>
  <c r="C59" i="23"/>
  <c r="A59" i="23"/>
  <c r="G57" i="23"/>
  <c r="H60" i="21" l="1"/>
  <c r="F60" i="21"/>
  <c r="D60" i="21"/>
  <c r="B62" i="21"/>
  <c r="E61" i="21"/>
  <c r="C61" i="21"/>
  <c r="A61" i="21"/>
  <c r="G59" i="21"/>
  <c r="H59" i="23"/>
  <c r="F59" i="23"/>
  <c r="D59" i="23"/>
  <c r="B61" i="23"/>
  <c r="E60" i="23"/>
  <c r="C60" i="23"/>
  <c r="A60" i="23"/>
  <c r="G58" i="23"/>
  <c r="H61" i="21" l="1"/>
  <c r="F61" i="21"/>
  <c r="D61" i="21"/>
  <c r="B63" i="21"/>
  <c r="E62" i="21"/>
  <c r="C62" i="21"/>
  <c r="A62" i="21"/>
  <c r="G60" i="21"/>
  <c r="H60" i="23"/>
  <c r="F60" i="23"/>
  <c r="D60" i="23"/>
  <c r="B62" i="23"/>
  <c r="E61" i="23"/>
  <c r="C61" i="23"/>
  <c r="A61" i="23"/>
  <c r="G59" i="23"/>
  <c r="H62" i="21" l="1"/>
  <c r="F62" i="21"/>
  <c r="D62" i="21"/>
  <c r="B64" i="21"/>
  <c r="E63" i="21"/>
  <c r="K52" i="21" s="1"/>
  <c r="C63" i="21"/>
  <c r="A63" i="21"/>
  <c r="G61" i="21"/>
  <c r="H61" i="23"/>
  <c r="F61" i="23"/>
  <c r="D61" i="23"/>
  <c r="B63" i="23"/>
  <c r="E62" i="23"/>
  <c r="C62" i="23"/>
  <c r="A62" i="23"/>
  <c r="G60" i="23"/>
  <c r="H63" i="21" l="1"/>
  <c r="F63" i="21"/>
  <c r="D63" i="21"/>
  <c r="I52" i="21"/>
  <c r="I94" i="20" s="1"/>
  <c r="E17" i="33" s="1"/>
  <c r="B65" i="21"/>
  <c r="E64" i="21"/>
  <c r="C64" i="21"/>
  <c r="A64" i="21"/>
  <c r="G62" i="21"/>
  <c r="H62" i="23"/>
  <c r="F62" i="23"/>
  <c r="D62" i="23"/>
  <c r="B64" i="23"/>
  <c r="E63" i="23"/>
  <c r="K52" i="23" s="1"/>
  <c r="C63" i="23"/>
  <c r="A63" i="23"/>
  <c r="G61" i="23"/>
  <c r="H64" i="21" l="1"/>
  <c r="F64" i="21"/>
  <c r="D64" i="21"/>
  <c r="E65" i="21"/>
  <c r="C65" i="21"/>
  <c r="B66" i="21"/>
  <c r="A65" i="21"/>
  <c r="G63" i="21"/>
  <c r="J52" i="21"/>
  <c r="I95" i="20" s="1"/>
  <c r="E18" i="33" s="1"/>
  <c r="E38" i="33" s="1"/>
  <c r="H63" i="23"/>
  <c r="F63" i="23"/>
  <c r="G30" i="15" s="1"/>
  <c r="D63" i="23"/>
  <c r="I52" i="23"/>
  <c r="B65" i="23"/>
  <c r="E64" i="23"/>
  <c r="C64" i="23"/>
  <c r="A64" i="23"/>
  <c r="G62" i="23"/>
  <c r="E39" i="33" l="1"/>
  <c r="E31" i="25"/>
  <c r="H65" i="21"/>
  <c r="F65" i="21"/>
  <c r="D65" i="21"/>
  <c r="E66" i="21"/>
  <c r="C66" i="21"/>
  <c r="B67" i="21"/>
  <c r="A66" i="21"/>
  <c r="G64" i="21"/>
  <c r="H64" i="23"/>
  <c r="F64" i="23"/>
  <c r="D64" i="23"/>
  <c r="E65" i="23"/>
  <c r="C65" i="23"/>
  <c r="B66" i="23"/>
  <c r="A65" i="23"/>
  <c r="G63" i="23"/>
  <c r="J52" i="23"/>
  <c r="G37" i="15" s="1"/>
  <c r="E35" i="14" s="1"/>
  <c r="E31" i="29" l="1"/>
  <c r="E20" i="29" s="1"/>
  <c r="E8" i="29" s="1"/>
  <c r="E7" i="29" s="1"/>
  <c r="E34" i="25"/>
  <c r="H66" i="21"/>
  <c r="F66" i="21"/>
  <c r="D66" i="21"/>
  <c r="G65" i="21"/>
  <c r="E67" i="21"/>
  <c r="C67" i="21"/>
  <c r="B68" i="21"/>
  <c r="A67" i="21"/>
  <c r="E55" i="14"/>
  <c r="E42" i="14"/>
  <c r="E23" i="17" s="1"/>
  <c r="E12" i="17" s="1"/>
  <c r="E37" i="14"/>
  <c r="H65" i="23"/>
  <c r="F65" i="23"/>
  <c r="D65" i="23"/>
  <c r="E66" i="23"/>
  <c r="C66" i="23"/>
  <c r="B67" i="23"/>
  <c r="A66" i="23"/>
  <c r="G64" i="23"/>
  <c r="E35" i="25" l="1"/>
  <c r="E48" i="25"/>
  <c r="E39" i="29"/>
  <c r="E28" i="29"/>
  <c r="E68" i="21"/>
  <c r="C68" i="21"/>
  <c r="B69" i="21"/>
  <c r="A68" i="21"/>
  <c r="H67" i="21"/>
  <c r="F67" i="21"/>
  <c r="D67" i="21"/>
  <c r="G66" i="21"/>
  <c r="E9" i="17"/>
  <c r="E22" i="17" s="1"/>
  <c r="E25" i="17"/>
  <c r="E38" i="14"/>
  <c r="E44" i="14"/>
  <c r="E67" i="23"/>
  <c r="C67" i="23"/>
  <c r="B68" i="23"/>
  <c r="A67" i="23"/>
  <c r="H66" i="23"/>
  <c r="F66" i="23"/>
  <c r="D66" i="23"/>
  <c r="G65" i="23"/>
  <c r="E26" i="17" l="1"/>
  <c r="E34" i="29"/>
  <c r="E41" i="29" s="1"/>
  <c r="E40" i="29"/>
  <c r="H68" i="21"/>
  <c r="F68" i="21"/>
  <c r="D68" i="21"/>
  <c r="E69" i="21"/>
  <c r="C69" i="21"/>
  <c r="B70" i="21"/>
  <c r="A69" i="21"/>
  <c r="G67" i="21"/>
  <c r="G24" i="15"/>
  <c r="G31" i="15" s="1"/>
  <c r="G32" i="15" s="1"/>
  <c r="E45" i="14"/>
  <c r="E56" i="14"/>
  <c r="H67" i="23"/>
  <c r="F67" i="23"/>
  <c r="D67" i="23"/>
  <c r="G66" i="23"/>
  <c r="E68" i="23"/>
  <c r="C68" i="23"/>
  <c r="B69" i="23"/>
  <c r="A68" i="23"/>
  <c r="E70" i="21" l="1"/>
  <c r="C70" i="21"/>
  <c r="B71" i="21"/>
  <c r="A70" i="21"/>
  <c r="H69" i="21"/>
  <c r="F69" i="21"/>
  <c r="D69" i="21"/>
  <c r="G68" i="21"/>
  <c r="H68" i="23"/>
  <c r="F68" i="23"/>
  <c r="D68" i="23"/>
  <c r="E69" i="23"/>
  <c r="C69" i="23"/>
  <c r="B70" i="23"/>
  <c r="A69" i="23"/>
  <c r="G67" i="23"/>
  <c r="H70" i="21" l="1"/>
  <c r="F70" i="21"/>
  <c r="D70" i="21"/>
  <c r="E71" i="21"/>
  <c r="C71" i="21"/>
  <c r="B72" i="21"/>
  <c r="A71" i="21"/>
  <c r="G69" i="21"/>
  <c r="E70" i="23"/>
  <c r="C70" i="23"/>
  <c r="B71" i="23"/>
  <c r="A70" i="23"/>
  <c r="H69" i="23"/>
  <c r="F69" i="23"/>
  <c r="D69" i="23"/>
  <c r="G68" i="23"/>
  <c r="H71" i="21" l="1"/>
  <c r="F71" i="21"/>
  <c r="D71" i="21"/>
  <c r="G70" i="21"/>
  <c r="E72" i="21"/>
  <c r="C72" i="21"/>
  <c r="B73" i="21"/>
  <c r="A72" i="21"/>
  <c r="H70" i="23"/>
  <c r="F70" i="23"/>
  <c r="D70" i="23"/>
  <c r="E71" i="23"/>
  <c r="C71" i="23"/>
  <c r="B72" i="23"/>
  <c r="A71" i="23"/>
  <c r="G69" i="23"/>
  <c r="H72" i="21" l="1"/>
  <c r="F72" i="21"/>
  <c r="D72" i="21"/>
  <c r="E73" i="21"/>
  <c r="C73" i="21"/>
  <c r="B74" i="21"/>
  <c r="A73" i="21"/>
  <c r="G71" i="21"/>
  <c r="H71" i="23"/>
  <c r="F71" i="23"/>
  <c r="D71" i="23"/>
  <c r="E72" i="23"/>
  <c r="C72" i="23"/>
  <c r="B73" i="23"/>
  <c r="A72" i="23"/>
  <c r="G70" i="23"/>
  <c r="E74" i="21" l="1"/>
  <c r="C74" i="21"/>
  <c r="B75" i="21"/>
  <c r="A74" i="21"/>
  <c r="H73" i="21"/>
  <c r="F73" i="21"/>
  <c r="D73" i="21"/>
  <c r="G72" i="21"/>
  <c r="E73" i="23"/>
  <c r="C73" i="23"/>
  <c r="B74" i="23"/>
  <c r="A73" i="23"/>
  <c r="H72" i="23"/>
  <c r="F72" i="23"/>
  <c r="D72" i="23"/>
  <c r="G71" i="23"/>
  <c r="H74" i="21" l="1"/>
  <c r="F74" i="21"/>
  <c r="D74" i="21"/>
  <c r="E75" i="21"/>
  <c r="K64" i="21" s="1"/>
  <c r="C75" i="21"/>
  <c r="B76" i="21"/>
  <c r="A75" i="21"/>
  <c r="G73" i="21"/>
  <c r="H73" i="23"/>
  <c r="F73" i="23"/>
  <c r="D73" i="23"/>
  <c r="G72" i="23"/>
  <c r="E74" i="23"/>
  <c r="C74" i="23"/>
  <c r="B75" i="23"/>
  <c r="A74" i="23"/>
  <c r="B77" i="21" l="1"/>
  <c r="E76" i="21"/>
  <c r="C76" i="21"/>
  <c r="A76" i="21"/>
  <c r="H75" i="21"/>
  <c r="F75" i="21"/>
  <c r="D75" i="21"/>
  <c r="I64" i="21"/>
  <c r="J94" i="20" s="1"/>
  <c r="F17" i="33" s="1"/>
  <c r="G74" i="21"/>
  <c r="E75" i="23"/>
  <c r="K64" i="23" s="1"/>
  <c r="C75" i="23"/>
  <c r="B76" i="23"/>
  <c r="A75" i="23"/>
  <c r="H74" i="23"/>
  <c r="F74" i="23"/>
  <c r="D74" i="23"/>
  <c r="G73" i="23"/>
  <c r="G75" i="21" l="1"/>
  <c r="J64" i="21"/>
  <c r="J95" i="20" s="1"/>
  <c r="F18" i="33" s="1"/>
  <c r="F38" i="33" s="1"/>
  <c r="H76" i="21"/>
  <c r="F76" i="21"/>
  <c r="D76" i="21"/>
  <c r="B78" i="21"/>
  <c r="E77" i="21"/>
  <c r="C77" i="21"/>
  <c r="A77" i="21"/>
  <c r="H75" i="23"/>
  <c r="F75" i="23"/>
  <c r="H30" i="15" s="1"/>
  <c r="D75" i="23"/>
  <c r="I64" i="23"/>
  <c r="B77" i="23"/>
  <c r="E76" i="23"/>
  <c r="C76" i="23"/>
  <c r="A76" i="23"/>
  <c r="G74" i="23"/>
  <c r="F39" i="33" l="1"/>
  <c r="F31" i="25"/>
  <c r="G76" i="21"/>
  <c r="H77" i="21"/>
  <c r="F77" i="21"/>
  <c r="D77" i="21"/>
  <c r="B79" i="21"/>
  <c r="E78" i="21"/>
  <c r="C78" i="21"/>
  <c r="A78" i="21"/>
  <c r="H76" i="23"/>
  <c r="F76" i="23"/>
  <c r="D76" i="23"/>
  <c r="B78" i="23"/>
  <c r="E77" i="23"/>
  <c r="C77" i="23"/>
  <c r="A77" i="23"/>
  <c r="G75" i="23"/>
  <c r="J64" i="23"/>
  <c r="H37" i="15" s="1"/>
  <c r="F35" i="14" s="1"/>
  <c r="F31" i="29" l="1"/>
  <c r="F20" i="29" s="1"/>
  <c r="F34" i="25"/>
  <c r="G77" i="21"/>
  <c r="H78" i="21"/>
  <c r="F78" i="21"/>
  <c r="D78" i="21"/>
  <c r="B80" i="21"/>
  <c r="E79" i="21"/>
  <c r="C79" i="21"/>
  <c r="A79" i="21"/>
  <c r="F42" i="14"/>
  <c r="F23" i="17" s="1"/>
  <c r="F12" i="17" s="1"/>
  <c r="F55" i="14"/>
  <c r="F37" i="14"/>
  <c r="G76" i="23"/>
  <c r="H77" i="23"/>
  <c r="F77" i="23"/>
  <c r="D77" i="23"/>
  <c r="B79" i="23"/>
  <c r="E78" i="23"/>
  <c r="C78" i="23"/>
  <c r="A78" i="23"/>
  <c r="F48" i="25" l="1"/>
  <c r="F35" i="25"/>
  <c r="F39" i="29"/>
  <c r="F28" i="29"/>
  <c r="F8" i="29"/>
  <c r="F7" i="29" s="1"/>
  <c r="G78" i="21"/>
  <c r="H79" i="21"/>
  <c r="F79" i="21"/>
  <c r="D79" i="21"/>
  <c r="B81" i="21"/>
  <c r="E80" i="21"/>
  <c r="C80" i="21"/>
  <c r="A80" i="21"/>
  <c r="F38" i="14"/>
  <c r="F44" i="14"/>
  <c r="F25" i="17"/>
  <c r="F9" i="17"/>
  <c r="F22" i="17" s="1"/>
  <c r="G77" i="23"/>
  <c r="H78" i="23"/>
  <c r="F78" i="23"/>
  <c r="D78" i="23"/>
  <c r="B80" i="23"/>
  <c r="E79" i="23"/>
  <c r="C79" i="23"/>
  <c r="A79" i="23"/>
  <c r="G78" i="23" l="1"/>
  <c r="F40" i="29"/>
  <c r="F34" i="29"/>
  <c r="F41" i="29" s="1"/>
  <c r="G79" i="21"/>
  <c r="H80" i="21"/>
  <c r="F80" i="21"/>
  <c r="D80" i="21"/>
  <c r="B82" i="21"/>
  <c r="E81" i="21"/>
  <c r="C81" i="21"/>
  <c r="A81" i="21"/>
  <c r="F45" i="14"/>
  <c r="H24" i="15"/>
  <c r="H31" i="15" s="1"/>
  <c r="H32" i="15" s="1"/>
  <c r="F56" i="14"/>
  <c r="F26" i="17"/>
  <c r="H79" i="23"/>
  <c r="F79" i="23"/>
  <c r="D79" i="23"/>
  <c r="G79" i="23" s="1"/>
  <c r="B81" i="23"/>
  <c r="E80" i="23"/>
  <c r="C80" i="23"/>
  <c r="A80" i="23"/>
  <c r="H81" i="21" l="1"/>
  <c r="F81" i="21"/>
  <c r="D81" i="21"/>
  <c r="B83" i="21"/>
  <c r="E82" i="21"/>
  <c r="C82" i="21"/>
  <c r="A82" i="21"/>
  <c r="G80" i="21"/>
  <c r="H80" i="23"/>
  <c r="F80" i="23"/>
  <c r="D80" i="23"/>
  <c r="B82" i="23"/>
  <c r="E81" i="23"/>
  <c r="C81" i="23"/>
  <c r="A81" i="23"/>
  <c r="H82" i="21" l="1"/>
  <c r="F82" i="21"/>
  <c r="D82" i="21"/>
  <c r="B84" i="21"/>
  <c r="E83" i="21"/>
  <c r="C83" i="21"/>
  <c r="A83" i="21"/>
  <c r="G81" i="21"/>
  <c r="H81" i="23"/>
  <c r="F81" i="23"/>
  <c r="D81" i="23"/>
  <c r="B83" i="23"/>
  <c r="E82" i="23"/>
  <c r="C82" i="23"/>
  <c r="A82" i="23"/>
  <c r="G80" i="23"/>
  <c r="H83" i="21" l="1"/>
  <c r="F83" i="21"/>
  <c r="D83" i="21"/>
  <c r="B85" i="21"/>
  <c r="E84" i="21"/>
  <c r="C84" i="21"/>
  <c r="A84" i="21"/>
  <c r="G82" i="21"/>
  <c r="H82" i="23"/>
  <c r="F82" i="23"/>
  <c r="D82" i="23"/>
  <c r="B84" i="23"/>
  <c r="E83" i="23"/>
  <c r="C83" i="23"/>
  <c r="A83" i="23"/>
  <c r="G81" i="23"/>
  <c r="H84" i="21" l="1"/>
  <c r="F84" i="21"/>
  <c r="D84" i="21"/>
  <c r="B86" i="21"/>
  <c r="E85" i="21"/>
  <c r="C85" i="21"/>
  <c r="A85" i="21"/>
  <c r="G83" i="21"/>
  <c r="H83" i="23"/>
  <c r="F83" i="23"/>
  <c r="D83" i="23"/>
  <c r="B85" i="23"/>
  <c r="E84" i="23"/>
  <c r="C84" i="23"/>
  <c r="A84" i="23"/>
  <c r="G82" i="23"/>
  <c r="G84" i="21" l="1"/>
  <c r="H85" i="21"/>
  <c r="F85" i="21"/>
  <c r="D85" i="21"/>
  <c r="B87" i="21"/>
  <c r="E86" i="21"/>
  <c r="C86" i="21"/>
  <c r="A86" i="21"/>
  <c r="H84" i="23"/>
  <c r="F84" i="23"/>
  <c r="D84" i="23"/>
  <c r="B86" i="23"/>
  <c r="E85" i="23"/>
  <c r="C85" i="23"/>
  <c r="A85" i="23"/>
  <c r="G83" i="23"/>
  <c r="G85" i="21" l="1"/>
  <c r="H86" i="21"/>
  <c r="F86" i="21"/>
  <c r="D86" i="21"/>
  <c r="B88" i="21"/>
  <c r="E87" i="21"/>
  <c r="K76" i="21" s="1"/>
  <c r="C87" i="21"/>
  <c r="A87" i="21"/>
  <c r="H85" i="23"/>
  <c r="F85" i="23"/>
  <c r="D85" i="23"/>
  <c r="B87" i="23"/>
  <c r="E86" i="23"/>
  <c r="C86" i="23"/>
  <c r="A86" i="23"/>
  <c r="G84" i="23"/>
  <c r="G86" i="21" l="1"/>
  <c r="H87" i="21"/>
  <c r="F87" i="21"/>
  <c r="D87" i="21"/>
  <c r="I76" i="21"/>
  <c r="K94" i="20" s="1"/>
  <c r="G17" i="33" s="1"/>
  <c r="B89" i="21"/>
  <c r="E88" i="21"/>
  <c r="C88" i="21"/>
  <c r="A88" i="21"/>
  <c r="H86" i="23"/>
  <c r="F86" i="23"/>
  <c r="D86" i="23"/>
  <c r="B88" i="23"/>
  <c r="E87" i="23"/>
  <c r="K76" i="23" s="1"/>
  <c r="C87" i="23"/>
  <c r="A87" i="23"/>
  <c r="G85" i="23"/>
  <c r="H88" i="21" l="1"/>
  <c r="F88" i="21"/>
  <c r="D88" i="21"/>
  <c r="E89" i="21"/>
  <c r="C89" i="21"/>
  <c r="B90" i="21"/>
  <c r="A89" i="21"/>
  <c r="G87" i="21"/>
  <c r="J76" i="21"/>
  <c r="K95" i="20" s="1"/>
  <c r="G18" i="33" s="1"/>
  <c r="G38" i="33" s="1"/>
  <c r="H87" i="23"/>
  <c r="F87" i="23"/>
  <c r="I30" i="15" s="1"/>
  <c r="D87" i="23"/>
  <c r="I76" i="23"/>
  <c r="B89" i="23"/>
  <c r="E88" i="23"/>
  <c r="C88" i="23"/>
  <c r="A88" i="23"/>
  <c r="G86" i="23"/>
  <c r="G31" i="25" l="1"/>
  <c r="G39" i="33"/>
  <c r="H89" i="21"/>
  <c r="F89" i="21"/>
  <c r="D89" i="21"/>
  <c r="E90" i="21"/>
  <c r="C90" i="21"/>
  <c r="B91" i="21"/>
  <c r="A90" i="21"/>
  <c r="G88" i="21"/>
  <c r="H88" i="23"/>
  <c r="F88" i="23"/>
  <c r="D88" i="23"/>
  <c r="E89" i="23"/>
  <c r="C89" i="23"/>
  <c r="B90" i="23"/>
  <c r="A89" i="23"/>
  <c r="G87" i="23"/>
  <c r="J76" i="23"/>
  <c r="I37" i="15" s="1"/>
  <c r="G35" i="14" s="1"/>
  <c r="G31" i="29" l="1"/>
  <c r="G20" i="29" s="1"/>
  <c r="G34" i="25"/>
  <c r="E91" i="21"/>
  <c r="C91" i="21"/>
  <c r="B92" i="21"/>
  <c r="A91" i="21"/>
  <c r="H90" i="21"/>
  <c r="F90" i="21"/>
  <c r="D90" i="21"/>
  <c r="G89" i="21"/>
  <c r="G42" i="14"/>
  <c r="G23" i="17" s="1"/>
  <c r="G12" i="17" s="1"/>
  <c r="G37" i="14"/>
  <c r="G55" i="14"/>
  <c r="H89" i="23"/>
  <c r="F89" i="23"/>
  <c r="D89" i="23"/>
  <c r="E90" i="23"/>
  <c r="C90" i="23"/>
  <c r="B91" i="23"/>
  <c r="A90" i="23"/>
  <c r="G88" i="23"/>
  <c r="G48" i="25" l="1"/>
  <c r="G35" i="25"/>
  <c r="G39" i="29"/>
  <c r="G28" i="29"/>
  <c r="G8" i="29"/>
  <c r="G7" i="29" s="1"/>
  <c r="H91" i="21"/>
  <c r="F91" i="21"/>
  <c r="D91" i="21"/>
  <c r="G90" i="21"/>
  <c r="E92" i="21"/>
  <c r="C92" i="21"/>
  <c r="B93" i="21"/>
  <c r="A92" i="21"/>
  <c r="G38" i="14"/>
  <c r="G44" i="14"/>
  <c r="G9" i="17"/>
  <c r="G22" i="17" s="1"/>
  <c r="G25" i="17"/>
  <c r="H90" i="23"/>
  <c r="F90" i="23"/>
  <c r="D90" i="23"/>
  <c r="G89" i="23"/>
  <c r="E91" i="23"/>
  <c r="C91" i="23"/>
  <c r="B92" i="23"/>
  <c r="A91" i="23"/>
  <c r="G26" i="17" l="1"/>
  <c r="G40" i="29"/>
  <c r="G34" i="29"/>
  <c r="G41" i="29" s="1"/>
  <c r="H92" i="21"/>
  <c r="F92" i="21"/>
  <c r="D92" i="21"/>
  <c r="E93" i="21"/>
  <c r="C93" i="21"/>
  <c r="B94" i="21"/>
  <c r="A93" i="21"/>
  <c r="G91" i="21"/>
  <c r="I24" i="15"/>
  <c r="I31" i="15" s="1"/>
  <c r="I32" i="15" s="1"/>
  <c r="G45" i="14"/>
  <c r="G56" i="14"/>
  <c r="E92" i="23"/>
  <c r="C92" i="23"/>
  <c r="B93" i="23"/>
  <c r="A92" i="23"/>
  <c r="H91" i="23"/>
  <c r="F91" i="23"/>
  <c r="D91" i="23"/>
  <c r="G90" i="23"/>
  <c r="G91" i="23" l="1"/>
  <c r="H93" i="21"/>
  <c r="F93" i="21"/>
  <c r="D93" i="21"/>
  <c r="G92" i="21"/>
  <c r="E94" i="21"/>
  <c r="C94" i="21"/>
  <c r="B95" i="21"/>
  <c r="A94" i="21"/>
  <c r="H92" i="23"/>
  <c r="F92" i="23"/>
  <c r="D92" i="23"/>
  <c r="G92" i="23" s="1"/>
  <c r="E93" i="23"/>
  <c r="C93" i="23"/>
  <c r="B94" i="23"/>
  <c r="A93" i="23"/>
  <c r="E95" i="21" l="1"/>
  <c r="C95" i="21"/>
  <c r="B96" i="21"/>
  <c r="A95" i="21"/>
  <c r="H94" i="21"/>
  <c r="F94" i="21"/>
  <c r="D94" i="21"/>
  <c r="G93" i="21"/>
  <c r="H93" i="23"/>
  <c r="F93" i="23"/>
  <c r="D93" i="23"/>
  <c r="E94" i="23"/>
  <c r="C94" i="23"/>
  <c r="B95" i="23"/>
  <c r="A94" i="23"/>
  <c r="H95" i="21" l="1"/>
  <c r="F95" i="21"/>
  <c r="D95" i="21"/>
  <c r="G94" i="21"/>
  <c r="E96" i="21"/>
  <c r="C96" i="21"/>
  <c r="B97" i="21"/>
  <c r="A96" i="21"/>
  <c r="H94" i="23"/>
  <c r="F94" i="23"/>
  <c r="D94" i="23"/>
  <c r="E95" i="23"/>
  <c r="C95" i="23"/>
  <c r="B96" i="23"/>
  <c r="A95" i="23"/>
  <c r="G93" i="23"/>
  <c r="E97" i="21" l="1"/>
  <c r="C97" i="21"/>
  <c r="B98" i="21"/>
  <c r="A97" i="21"/>
  <c r="H96" i="21"/>
  <c r="F96" i="21"/>
  <c r="D96" i="21"/>
  <c r="G95" i="21"/>
  <c r="E96" i="23"/>
  <c r="C96" i="23"/>
  <c r="B97" i="23"/>
  <c r="A96" i="23"/>
  <c r="H95" i="23"/>
  <c r="F95" i="23"/>
  <c r="D95" i="23"/>
  <c r="G94" i="23"/>
  <c r="H97" i="21" l="1"/>
  <c r="F97" i="21"/>
  <c r="D97" i="21"/>
  <c r="G96" i="21"/>
  <c r="E98" i="21"/>
  <c r="C98" i="21"/>
  <c r="B99" i="21"/>
  <c r="A98" i="21"/>
  <c r="H96" i="23"/>
  <c r="F96" i="23"/>
  <c r="D96" i="23"/>
  <c r="G95" i="23"/>
  <c r="E97" i="23"/>
  <c r="C97" i="23"/>
  <c r="B98" i="23"/>
  <c r="A97" i="23"/>
  <c r="H98" i="21" l="1"/>
  <c r="F98" i="21"/>
  <c r="D98" i="21"/>
  <c r="G97" i="21"/>
  <c r="E99" i="21"/>
  <c r="K88" i="21" s="1"/>
  <c r="K14" i="21" s="1"/>
  <c r="C99" i="21"/>
  <c r="A99" i="21"/>
  <c r="E98" i="23"/>
  <c r="C98" i="23"/>
  <c r="B99" i="23"/>
  <c r="A98" i="23"/>
  <c r="H97" i="23"/>
  <c r="F97" i="23"/>
  <c r="D97" i="23"/>
  <c r="G96" i="23"/>
  <c r="H99" i="21" l="1"/>
  <c r="F99" i="21"/>
  <c r="D99" i="21"/>
  <c r="I88" i="21"/>
  <c r="G98" i="21"/>
  <c r="H98" i="23"/>
  <c r="F98" i="23"/>
  <c r="D98" i="23"/>
  <c r="E99" i="23"/>
  <c r="K88" i="23" s="1"/>
  <c r="K14" i="23" s="1"/>
  <c r="C99" i="23"/>
  <c r="A99" i="23"/>
  <c r="G97" i="23"/>
  <c r="I14" i="21" l="1"/>
  <c r="L94" i="20"/>
  <c r="H17" i="33" s="1"/>
  <c r="G99" i="21"/>
  <c r="J88" i="21"/>
  <c r="H99" i="23"/>
  <c r="F99" i="23"/>
  <c r="J30" i="15" s="1"/>
  <c r="D99" i="23"/>
  <c r="I88" i="23"/>
  <c r="I14" i="23" s="1"/>
  <c r="G98" i="23"/>
  <c r="J14" i="21" l="1"/>
  <c r="L95" i="20"/>
  <c r="H18" i="33" s="1"/>
  <c r="H38" i="33" s="1"/>
  <c r="G99" i="23"/>
  <c r="J88" i="23"/>
  <c r="H31" i="25" l="1"/>
  <c r="H39" i="33"/>
  <c r="J14" i="23"/>
  <c r="J37" i="15"/>
  <c r="H35" i="14" s="1"/>
  <c r="H31" i="29" l="1"/>
  <c r="H20" i="29" s="1"/>
  <c r="H34" i="25"/>
  <c r="H55" i="14"/>
  <c r="H42" i="14"/>
  <c r="H23" i="17" s="1"/>
  <c r="H12" i="17" s="1"/>
  <c r="H37" i="14"/>
  <c r="H35" i="25" l="1"/>
  <c r="H48" i="25"/>
  <c r="H39" i="29"/>
  <c r="H28" i="29"/>
  <c r="H8" i="29"/>
  <c r="H7" i="29" s="1"/>
  <c r="H9" i="17"/>
  <c r="H22" i="17" s="1"/>
  <c r="H25" i="17"/>
  <c r="H44" i="14"/>
  <c r="H38" i="14"/>
  <c r="H26" i="17" l="1"/>
  <c r="H40" i="29"/>
  <c r="H34" i="29"/>
  <c r="H41" i="29" s="1"/>
  <c r="J24" i="15"/>
  <c r="J31" i="15" s="1"/>
  <c r="J32" i="15" s="1"/>
  <c r="K32" i="15" s="1"/>
  <c r="D35" i="15" s="1"/>
  <c r="H56" i="14"/>
  <c r="H45" i="14"/>
  <c r="G131" i="20" l="1"/>
  <c r="D39" i="29"/>
  <c r="D38" i="29"/>
  <c r="D29" i="29"/>
  <c r="D19" i="29"/>
  <c r="D35" i="29"/>
  <c r="F38" i="29"/>
  <c r="F29" i="29"/>
  <c r="F19" i="29"/>
  <c r="F35" i="29"/>
  <c r="H38" i="29"/>
  <c r="H29" i="29"/>
  <c r="H19" i="29"/>
  <c r="H35" i="29"/>
  <c r="C38" i="29"/>
  <c r="C29" i="29"/>
  <c r="C19" i="29"/>
  <c r="C35" i="29"/>
  <c r="E38" i="29"/>
  <c r="E29" i="29"/>
  <c r="E19" i="29"/>
  <c r="E35" i="29"/>
  <c r="G38" i="29"/>
  <c r="G29" i="29"/>
  <c r="G19" i="29"/>
  <c r="G35" i="29"/>
  <c r="D9" i="29" l="1"/>
  <c r="D13" i="29" s="1"/>
  <c r="D14" i="29" s="1"/>
  <c r="E9" i="29"/>
  <c r="E13" i="29" s="1"/>
  <c r="E14" i="29" s="1"/>
  <c r="H9" i="29"/>
  <c r="H13" i="29" s="1"/>
  <c r="H14" i="29" s="1"/>
  <c r="G9" i="29"/>
  <c r="G13" i="29" s="1"/>
  <c r="G14" i="29" s="1"/>
  <c r="F9" i="29"/>
  <c r="F13" i="29" s="1"/>
  <c r="F14" i="29" s="1"/>
  <c r="C9" i="29"/>
  <c r="C13" i="29" s="1"/>
  <c r="C14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F10" authorId="0" shapeId="0" xr:uid="{6A297F5F-DCA8-4D70-AA72-9EA890826F6E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Saisir un Chiffre d'affaire TTC
</t>
        </r>
      </text>
    </comment>
    <comment ref="F30" authorId="0" shapeId="0" xr:uid="{ECCB248B-702F-4845-9D24-F6D796C5D108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Inserer le taux de marge</t>
        </r>
      </text>
    </comment>
    <comment ref="F39" authorId="0" shapeId="0" xr:uid="{3B635E02-8147-49AA-82DE-FC5A51C01DAB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Saisir le Panier Moyen estimé</t>
        </r>
      </text>
    </comment>
    <comment ref="F47" authorId="0" shapeId="0" xr:uid="{A5EC983E-7EEA-4B27-B844-B9EEFD1E7D5F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Saisir le loyer </t>
        </r>
      </text>
    </comment>
    <comment ref="G48" authorId="0" shapeId="0" xr:uid="{CBF0AE18-CFD9-4720-8EDD-82FF1F1B658E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Indiquer le pourcentage d'évolution du loyer</t>
        </r>
      </text>
    </comment>
    <comment ref="F50" authorId="0" shapeId="0" xr:uid="{341E34F8-99D5-4031-A57D-D5B7D72C77AE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Indiquer les charges</t>
        </r>
      </text>
    </comment>
    <comment ref="F51" authorId="0" shapeId="0" xr:uid="{135E2CB5-AC43-4AA2-96B1-C923355B8F3D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Indiquer les charges</t>
        </r>
      </text>
    </comment>
    <comment ref="F52" authorId="0" shapeId="0" xr:uid="{6DF3C336-66DF-4CDE-A847-04C7829C959B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Indiquer les charges</t>
        </r>
      </text>
    </comment>
    <comment ref="F54" authorId="0" shapeId="0" xr:uid="{7B1574CB-8D36-4B84-AC58-F7CC9E95AB8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Insérer la surface</t>
        </r>
      </text>
    </comment>
    <comment ref="F58" authorId="0" shapeId="0" xr:uid="{2C7544BF-8C56-4FA4-8BA5-8CB1B2E4A539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Saisir le nombre de responsable</t>
        </r>
      </text>
    </comment>
    <comment ref="F59" authorId="0" shapeId="0" xr:uid="{4325A378-7A10-44E2-A606-E2E011D7EAF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Saisir le nombre d'assitante magasin</t>
        </r>
      </text>
    </comment>
    <comment ref="F60" authorId="0" shapeId="0" xr:uid="{FCB823C4-FC88-4CEC-9365-BAD87389EAC7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Saisir le nombre de vendeuse</t>
        </r>
      </text>
    </comment>
    <comment ref="G130" authorId="0" shapeId="0" xr:uid="{A17FD32A-EF0C-4BEC-92F0-32542CDD456A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 titre indicatif</t>
        </r>
      </text>
    </comment>
    <comment ref="F132" authorId="0" shapeId="0" xr:uid="{A59AFA53-B809-4303-9729-DF4B00C0A0FD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 titre indicatif</t>
        </r>
      </text>
    </comment>
  </commentList>
</comments>
</file>

<file path=xl/sharedStrings.xml><?xml version="1.0" encoding="utf-8"?>
<sst xmlns="http://schemas.openxmlformats.org/spreadsheetml/2006/main" count="1299" uniqueCount="622">
  <si>
    <t>Dépôt de garantie</t>
  </si>
  <si>
    <t>Emprunt</t>
  </si>
  <si>
    <t>Loyer</t>
  </si>
  <si>
    <t>Frais de transport</t>
  </si>
  <si>
    <t>MARGE BRUTE</t>
  </si>
  <si>
    <t>CATTC</t>
  </si>
  <si>
    <t>CAHT</t>
  </si>
  <si>
    <t>heures travaillées</t>
  </si>
  <si>
    <t>Prevision salaires</t>
  </si>
  <si>
    <t>% augmentation</t>
  </si>
  <si>
    <t>Salaire brut mois</t>
  </si>
  <si>
    <t>Mois travaillés</t>
  </si>
  <si>
    <t>Salaire brut mois trav,</t>
  </si>
  <si>
    <t>Taux de charges</t>
  </si>
  <si>
    <t>Cout total salaires</t>
  </si>
  <si>
    <t>Prevision loyers</t>
  </si>
  <si>
    <t>Nombre de mois</t>
  </si>
  <si>
    <t>Mois de départ</t>
  </si>
  <si>
    <t>Loyer mensuel</t>
  </si>
  <si>
    <t>Loyer annuel</t>
  </si>
  <si>
    <t>Taux de réévaluation</t>
  </si>
  <si>
    <t>Loyer mois</t>
  </si>
  <si>
    <t>Cout total loyers</t>
  </si>
  <si>
    <t>Prevision frais généraux</t>
  </si>
  <si>
    <t>CAHT prévu</t>
  </si>
  <si>
    <t>Cout total frais généraux</t>
  </si>
  <si>
    <t>Prevision amortissements</t>
  </si>
  <si>
    <t>Frais d'acquisitions</t>
  </si>
  <si>
    <t>Frais d'aménagement</t>
  </si>
  <si>
    <t>Droit au bail</t>
  </si>
  <si>
    <t>Frais de démarrage</t>
  </si>
  <si>
    <t>Durée 7</t>
  </si>
  <si>
    <t>Panier moyen</t>
  </si>
  <si>
    <t>Prix unitaire de vente moyen</t>
  </si>
  <si>
    <t>Nombre de pdts vendus</t>
  </si>
  <si>
    <t>Taux de tva</t>
  </si>
  <si>
    <t>taux de marge</t>
  </si>
  <si>
    <t>MARGE brute</t>
  </si>
  <si>
    <t>Cout d'achat</t>
  </si>
  <si>
    <t>MARGE nette</t>
  </si>
  <si>
    <t>Démarque inconnue</t>
  </si>
  <si>
    <t>Taux de MARGE NETTE</t>
  </si>
  <si>
    <t>Prevision CA ET MARGE</t>
  </si>
  <si>
    <t>Prevision impots</t>
  </si>
  <si>
    <t>Prevision frais de transport</t>
  </si>
  <si>
    <t>MARGE NETTE</t>
  </si>
  <si>
    <t>TAUX DE MARGE NETTE</t>
  </si>
  <si>
    <t>FRAIS:</t>
  </si>
  <si>
    <t>SALAIRES</t>
  </si>
  <si>
    <t>LOYERS</t>
  </si>
  <si>
    <t>FRAIS GENERAUX</t>
  </si>
  <si>
    <t>IMPOTS</t>
  </si>
  <si>
    <t>AMORTISSEMENTS</t>
  </si>
  <si>
    <t>TOTAL FRAIS</t>
  </si>
  <si>
    <t>FRAIS D'EMPRUNT</t>
  </si>
  <si>
    <t>RESULTAT</t>
  </si>
  <si>
    <t>ECHEANCE CAPITAL</t>
  </si>
  <si>
    <t>AMORTISSEMENT</t>
  </si>
  <si>
    <t>FRAIS EMPRUNT</t>
  </si>
  <si>
    <t>EBE</t>
  </si>
  <si>
    <t>Nombre de clients mois</t>
  </si>
  <si>
    <t xml:space="preserve">Enseigne </t>
  </si>
  <si>
    <t>RESERVE NATURELLE</t>
  </si>
  <si>
    <t>Surface</t>
  </si>
  <si>
    <t>Date acquisition</t>
  </si>
  <si>
    <t>Date ouverture</t>
  </si>
  <si>
    <t>Mois en année 1</t>
  </si>
  <si>
    <t>Travaux aménagement</t>
  </si>
  <si>
    <t>Frais acquisition</t>
  </si>
  <si>
    <t>Financement</t>
  </si>
  <si>
    <t>Investissement</t>
  </si>
  <si>
    <t>Stock de départ</t>
  </si>
  <si>
    <t>Apport nécessaire</t>
  </si>
  <si>
    <t>Solde flux trésorerie</t>
  </si>
  <si>
    <t>Échéances emprunt</t>
  </si>
  <si>
    <t>Solde net trésorerie</t>
  </si>
  <si>
    <t>b</t>
  </si>
  <si>
    <t>a-b</t>
  </si>
  <si>
    <t>PREVISION INVESTISSEMENT</t>
  </si>
  <si>
    <t>Solde flux tréso.cumul</t>
  </si>
  <si>
    <t xml:space="preserve"> </t>
  </si>
  <si>
    <t>PREVISIONNEL</t>
  </si>
  <si>
    <t>Apport</t>
  </si>
  <si>
    <t>taux tva</t>
  </si>
  <si>
    <t>an 1</t>
  </si>
  <si>
    <t>an 2</t>
  </si>
  <si>
    <t>an 3</t>
  </si>
  <si>
    <t>an 4</t>
  </si>
  <si>
    <t>an 5</t>
  </si>
  <si>
    <t>an 6</t>
  </si>
  <si>
    <t>an 7</t>
  </si>
  <si>
    <t>an 8</t>
  </si>
  <si>
    <t>taux de démarque</t>
  </si>
  <si>
    <t>nombre de mois départ</t>
  </si>
  <si>
    <t>% évolution ca</t>
  </si>
  <si>
    <t>% variation tx horaire</t>
  </si>
  <si>
    <t>Nombre de mois an 1</t>
  </si>
  <si>
    <t>Nombre de salariés niv 1</t>
  </si>
  <si>
    <t>Nombre de salariés niv 2</t>
  </si>
  <si>
    <t>Taux horaire niv 1</t>
  </si>
  <si>
    <t>Taux horaire niv 2</t>
  </si>
  <si>
    <t xml:space="preserve">Niveau 1 </t>
  </si>
  <si>
    <t>Niveau 2</t>
  </si>
  <si>
    <t>Total brut niv 1</t>
  </si>
  <si>
    <t>Nombre salarié niv 1</t>
  </si>
  <si>
    <t>Taux de charge niv 1</t>
  </si>
  <si>
    <t>Taux de charge niv 2</t>
  </si>
  <si>
    <t>Nombre salarié niv 2</t>
  </si>
  <si>
    <t>Total brut niv 2</t>
  </si>
  <si>
    <t>Total charge niv 1</t>
  </si>
  <si>
    <t>COUT TOTAL NIV 1</t>
  </si>
  <si>
    <t>Total charge niv 2</t>
  </si>
  <si>
    <t>COUT TOTAL NIV 2</t>
  </si>
  <si>
    <t>rappel caht</t>
  </si>
  <si>
    <t>%CAHT</t>
  </si>
  <si>
    <t>charges mois</t>
  </si>
  <si>
    <t>chagres mois</t>
  </si>
  <si>
    <t>Taux de charges/caht</t>
  </si>
  <si>
    <t>investissement divers</t>
  </si>
  <si>
    <t>durée amortissement divers</t>
  </si>
  <si>
    <t>Total amortissements acqu,</t>
  </si>
  <si>
    <t>Investissement départ</t>
  </si>
  <si>
    <t>investissement futur</t>
  </si>
  <si>
    <t>durée amortissement</t>
  </si>
  <si>
    <t>Durée/an amort</t>
  </si>
  <si>
    <t>amort 2</t>
  </si>
  <si>
    <t>amort 3</t>
  </si>
  <si>
    <t>amort 4</t>
  </si>
  <si>
    <t>amort 5</t>
  </si>
  <si>
    <t>amort 6</t>
  </si>
  <si>
    <t>amort 7</t>
  </si>
  <si>
    <t>amort 8</t>
  </si>
  <si>
    <t>Total amortissements futur</t>
  </si>
  <si>
    <t>Total amortissements DAP</t>
  </si>
  <si>
    <t>tx tva</t>
  </si>
  <si>
    <t>EBE % caht</t>
  </si>
  <si>
    <t>RESULTAT % caht</t>
  </si>
  <si>
    <t>caht</t>
  </si>
  <si>
    <t>ebe</t>
  </si>
  <si>
    <t>marge</t>
  </si>
  <si>
    <t xml:space="preserve">frais </t>
  </si>
  <si>
    <t>Droit au Bail (DAB)/DE</t>
  </si>
  <si>
    <t>taux</t>
  </si>
  <si>
    <t>1ère année</t>
  </si>
  <si>
    <t>Synthèse</t>
  </si>
  <si>
    <t>Caht et marges</t>
  </si>
  <si>
    <t>Salaires</t>
  </si>
  <si>
    <t>Frais généraux</t>
  </si>
  <si>
    <t>Impôts</t>
  </si>
  <si>
    <t>Amortissements</t>
  </si>
  <si>
    <t>►</t>
  </si>
  <si>
    <t xml:space="preserve">Ca sur 12 mois </t>
  </si>
  <si>
    <t>calcul du point mort =</t>
  </si>
  <si>
    <t xml:space="preserve">niveau de ca pour être à l'équilibre </t>
  </si>
  <si>
    <t>marges et frais inchangés</t>
  </si>
  <si>
    <t>Point mort</t>
  </si>
  <si>
    <t>ACHATS CONSOMMES</t>
  </si>
  <si>
    <t>FRAIS DE PORT</t>
  </si>
  <si>
    <t>CAHT point mort</t>
  </si>
  <si>
    <t xml:space="preserve">Pour la saisie </t>
  </si>
  <si>
    <t>FRANCHISE</t>
  </si>
  <si>
    <t>NOM</t>
  </si>
  <si>
    <t>ADRESSE</t>
  </si>
  <si>
    <t>VILLE</t>
  </si>
  <si>
    <t>CODE POSTAL</t>
  </si>
  <si>
    <t>1ère année d'exercice</t>
  </si>
  <si>
    <t>nombre de mois du 1er exercice</t>
  </si>
  <si>
    <t>date début exercice</t>
  </si>
  <si>
    <t>panier moyen ttc</t>
  </si>
  <si>
    <t xml:space="preserve">prix unitaire de vente </t>
  </si>
  <si>
    <t>taux de tva s/vente</t>
  </si>
  <si>
    <t>activité</t>
  </si>
  <si>
    <t>nbre mois départ</t>
  </si>
  <si>
    <t>nbre salariés niv 1</t>
  </si>
  <si>
    <t>nbre salariés niv 2</t>
  </si>
  <si>
    <t>tx horaire niv 1</t>
  </si>
  <si>
    <t>tx horaire niv 2</t>
  </si>
  <si>
    <t>tx de charge niv 1</t>
  </si>
  <si>
    <t>tx de charge niv 2</t>
  </si>
  <si>
    <t>%variation tx horaire</t>
  </si>
  <si>
    <t>nbr heures travaillée / mois</t>
  </si>
  <si>
    <t>loyer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</si>
  <si>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</si>
  <si>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</si>
  <si>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</si>
  <si>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</si>
  <si>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</si>
  <si>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</si>
  <si>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</si>
  <si>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</si>
  <si>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frais généraux</t>
  </si>
  <si>
    <t>impôts</t>
  </si>
  <si>
    <t>dap</t>
  </si>
  <si>
    <t>zone de saisie</t>
  </si>
  <si>
    <t>saisir les zones en rose</t>
  </si>
  <si>
    <t>obs</t>
  </si>
  <si>
    <t>00/00/00</t>
  </si>
  <si>
    <t>m²</t>
  </si>
  <si>
    <t>24&lt;x&lt;30</t>
  </si>
  <si>
    <t>30&lt;x&lt;38</t>
  </si>
  <si>
    <t>eur/heur</t>
  </si>
  <si>
    <t>euros</t>
  </si>
  <si>
    <t>%</t>
  </si>
  <si>
    <t>nbre</t>
  </si>
  <si>
    <t xml:space="preserve">charges mois </t>
  </si>
  <si>
    <t>Surface M²</t>
  </si>
  <si>
    <t>Durée emprunt</t>
  </si>
  <si>
    <t>Taux emprunt</t>
  </si>
  <si>
    <t>année</t>
  </si>
  <si>
    <t>SAISIR SEULEMENT LA FEUILLE "SAISIE"</t>
  </si>
  <si>
    <r>
      <t xml:space="preserve">ET SAISIR SEULEMENT LES CELLULES EN </t>
    </r>
    <r>
      <rPr>
        <b/>
        <sz val="18"/>
        <color indexed="45"/>
        <rFont val="Arial"/>
        <family val="2"/>
      </rPr>
      <t>ROSE</t>
    </r>
  </si>
  <si>
    <t>nbr</t>
  </si>
  <si>
    <t>type</t>
  </si>
  <si>
    <t>franchise ou affilié</t>
  </si>
  <si>
    <t>franchise</t>
  </si>
  <si>
    <t xml:space="preserve"> transport</t>
  </si>
  <si>
    <t>CANADA</t>
  </si>
  <si>
    <t>int cumul</t>
  </si>
  <si>
    <t>EBE/EBIT</t>
  </si>
  <si>
    <t>HYPOTHESES</t>
  </si>
  <si>
    <t>TAUX DE MARGE</t>
  </si>
  <si>
    <t>DEMARQUE INCONNUE EN SUS</t>
  </si>
  <si>
    <t xml:space="preserve">TAUX DE MARGE NETTE </t>
  </si>
  <si>
    <t>TAUX HORAIRE</t>
  </si>
  <si>
    <t>13USD</t>
  </si>
  <si>
    <t>NOMBRE DE MOIS 1ER ANNEE</t>
  </si>
  <si>
    <t>TAUX DE CHARGES FRAIS GENERAUX</t>
  </si>
  <si>
    <t>TAUX DE REEVALUATION LOYER / AN</t>
  </si>
  <si>
    <t>IMPOTS DIVERS HORS IMPOT SOCIETE</t>
  </si>
  <si>
    <t>FRAIS DE TRANSPORT</t>
  </si>
  <si>
    <t>non compris</t>
  </si>
  <si>
    <t>EMPRUNT</t>
  </si>
  <si>
    <t>capital à emprunter</t>
  </si>
  <si>
    <t>taux emprunt</t>
  </si>
  <si>
    <t>droit de franchise</t>
  </si>
  <si>
    <t>durée de l'emprunt</t>
  </si>
  <si>
    <t>7 ans</t>
  </si>
  <si>
    <t>PROGRESSION CA / AN</t>
  </si>
  <si>
    <t>NON COMPRIS LES FRAIS DE L'EXPLOITANT</t>
  </si>
  <si>
    <t>ANGERS</t>
  </si>
  <si>
    <t>CA SUR 12 MOIS / AN ttc</t>
  </si>
  <si>
    <t>% marge brute</t>
  </si>
  <si>
    <t>démarque</t>
  </si>
  <si>
    <t>% démarque</t>
  </si>
  <si>
    <t>ca m²</t>
  </si>
  <si>
    <t xml:space="preserve">ACTIVITE </t>
  </si>
  <si>
    <t>v2</t>
  </si>
  <si>
    <t>remise sur achat 5%</t>
  </si>
  <si>
    <t>MARGE BRUTE REMISE</t>
  </si>
  <si>
    <t xml:space="preserve">ECHEANCES </t>
  </si>
  <si>
    <t>TOTAL</t>
  </si>
  <si>
    <t>Frais enseigne</t>
  </si>
  <si>
    <t>capital du au 31/12</t>
  </si>
  <si>
    <t>intérêts annuels</t>
  </si>
  <si>
    <t>RESULTAT REX</t>
  </si>
  <si>
    <t>v3</t>
  </si>
  <si>
    <t>Valeur démarque</t>
  </si>
  <si>
    <t>EMPRUNT (taux fixe, ech constant)</t>
  </si>
  <si>
    <t>date début</t>
  </si>
  <si>
    <t>nombre de mois</t>
  </si>
  <si>
    <t>npm</t>
  </si>
  <si>
    <t>valeur à financer</t>
  </si>
  <si>
    <t>va</t>
  </si>
  <si>
    <t>zone de saisie en jaune</t>
  </si>
  <si>
    <t xml:space="preserve">vc </t>
  </si>
  <si>
    <t>période</t>
  </si>
  <si>
    <t>échéances période</t>
  </si>
  <si>
    <t>échéances</t>
  </si>
  <si>
    <t>int pour x périodes</t>
  </si>
  <si>
    <t>période début</t>
  </si>
  <si>
    <t>période fin</t>
  </si>
  <si>
    <t>cumul</t>
  </si>
  <si>
    <t>mois</t>
  </si>
  <si>
    <t>k</t>
  </si>
  <si>
    <t>int</t>
  </si>
  <si>
    <t>ech</t>
  </si>
  <si>
    <t>kdu</t>
  </si>
  <si>
    <t>k remboursé</t>
  </si>
  <si>
    <t>k/an</t>
  </si>
  <si>
    <t>int / an</t>
  </si>
  <si>
    <t>ech/an</t>
  </si>
  <si>
    <t>durée mois</t>
  </si>
  <si>
    <t>SAISIE</t>
  </si>
  <si>
    <t>N</t>
  </si>
  <si>
    <t>N+1</t>
  </si>
  <si>
    <t>N+2</t>
  </si>
  <si>
    <t>N+3</t>
  </si>
  <si>
    <t>N+4</t>
  </si>
  <si>
    <t>N+5</t>
  </si>
  <si>
    <t>N+6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</si>
  <si>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</si>
  <si>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</si>
  <si>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</si>
  <si>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</si>
  <si>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</si>
  <si>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</si>
  <si>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</si>
  <si>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</si>
  <si>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</si>
  <si>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</si>
  <si>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</si>
  <si>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</si>
  <si>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PROG</t>
  </si>
  <si>
    <t>MARGE</t>
  </si>
  <si>
    <t>DI</t>
  </si>
  <si>
    <t>TX DE MARGE</t>
  </si>
  <si>
    <t>corr DI</t>
  </si>
  <si>
    <t>DI+</t>
  </si>
  <si>
    <t>PANIER</t>
  </si>
  <si>
    <t>PROG PANIER</t>
  </si>
  <si>
    <t>nb clients</t>
  </si>
  <si>
    <t>indice de vente</t>
  </si>
  <si>
    <t>ca</t>
  </si>
  <si>
    <t>prog idv</t>
  </si>
  <si>
    <t>nb art vendus</t>
  </si>
  <si>
    <t>pu moy art vendus</t>
  </si>
  <si>
    <t>prog loyer mois</t>
  </si>
  <si>
    <t>loyer an</t>
  </si>
  <si>
    <t>loyer moy mois</t>
  </si>
  <si>
    <t>charges 1 loyer/an</t>
  </si>
  <si>
    <t>charges 2 loyer/an</t>
  </si>
  <si>
    <t>charges 3 loyer/an</t>
  </si>
  <si>
    <t>total coût annuel</t>
  </si>
  <si>
    <t>superficie m²</t>
  </si>
  <si>
    <t>cattc/m²</t>
  </si>
  <si>
    <t>brut sal 1</t>
  </si>
  <si>
    <t>brut sal 2</t>
  </si>
  <si>
    <t>brut sal 3</t>
  </si>
  <si>
    <t>tx heure sal 1</t>
  </si>
  <si>
    <t>tx heure sal 2</t>
  </si>
  <si>
    <t>tx heure sal 3</t>
  </si>
  <si>
    <t>tx ch sal 1</t>
  </si>
  <si>
    <t>tx ch sal 2</t>
  </si>
  <si>
    <t>tx ch sal 3</t>
  </si>
  <si>
    <t>nb heures sal 1</t>
  </si>
  <si>
    <t>nb heures sal 2</t>
  </si>
  <si>
    <t>nb heures sal 3</t>
  </si>
  <si>
    <t>prog sal 1</t>
  </si>
  <si>
    <t>prog sal 2</t>
  </si>
  <si>
    <t>prog sal 3</t>
  </si>
  <si>
    <t>ch sal 1</t>
  </si>
  <si>
    <t>ch sal 2</t>
  </si>
  <si>
    <t>ch sal 3</t>
  </si>
  <si>
    <t>coût sal 1/an</t>
  </si>
  <si>
    <t>coût sal 2/an</t>
  </si>
  <si>
    <t>coût sal 3/an</t>
  </si>
  <si>
    <t>salaires</t>
  </si>
  <si>
    <t>droit au bail</t>
  </si>
  <si>
    <t>honoraires 1</t>
  </si>
  <si>
    <t>honoraires 2</t>
  </si>
  <si>
    <t>honoraires 3</t>
  </si>
  <si>
    <t>enseigne</t>
  </si>
  <si>
    <t>stock de départ</t>
  </si>
  <si>
    <t>apport personnel</t>
  </si>
  <si>
    <t>aides diverses</t>
  </si>
  <si>
    <t>emprunt</t>
  </si>
  <si>
    <t>tx emprunt</t>
  </si>
  <si>
    <t>durée emprunts mois</t>
  </si>
  <si>
    <t>début emprunt mois</t>
  </si>
  <si>
    <t>apport personnel calculé</t>
  </si>
  <si>
    <t>diff</t>
  </si>
  <si>
    <t>échéances/mois</t>
  </si>
  <si>
    <t>échéances/an</t>
  </si>
  <si>
    <t>capital remboursé</t>
  </si>
  <si>
    <t>intérêts emprunts</t>
  </si>
  <si>
    <t>travaux</t>
  </si>
  <si>
    <t>edf</t>
  </si>
  <si>
    <t>eau</t>
  </si>
  <si>
    <t>gaz</t>
  </si>
  <si>
    <t>fournitures bureau</t>
  </si>
  <si>
    <t>fournitures clients</t>
  </si>
  <si>
    <t>maintenance porte</t>
  </si>
  <si>
    <t>maintenance incendie</t>
  </si>
  <si>
    <t>tel</t>
  </si>
  <si>
    <t>fax</t>
  </si>
  <si>
    <t>internet</t>
  </si>
  <si>
    <t>maintenance info</t>
  </si>
  <si>
    <t>doc</t>
  </si>
  <si>
    <t>maintenance vitre/lav</t>
  </si>
  <si>
    <t>honoraires expert comptable</t>
  </si>
  <si>
    <t>divers frais%</t>
  </si>
  <si>
    <t>PROG FRAIS</t>
  </si>
  <si>
    <t>divers frais</t>
  </si>
  <si>
    <t>COÜT TOTAL FRGNX</t>
  </si>
  <si>
    <t>COUT TOTAL 123</t>
  </si>
  <si>
    <t>autres frais 1</t>
  </si>
  <si>
    <t>autres frais 2</t>
  </si>
  <si>
    <t>autres fournisseurs</t>
  </si>
  <si>
    <t>clients</t>
  </si>
  <si>
    <t>charges sociales</t>
  </si>
  <si>
    <t>impots</t>
  </si>
  <si>
    <t>déplacement DR</t>
  </si>
  <si>
    <t>fournisseurs achats marchandises</t>
  </si>
  <si>
    <t>taxe foncière</t>
  </si>
  <si>
    <t>cfe/cvae</t>
  </si>
  <si>
    <t>autres taxes</t>
  </si>
  <si>
    <t>taux de taxe sur caht</t>
  </si>
  <si>
    <t>COÜT TOTAL IMPOTS</t>
  </si>
  <si>
    <t>j</t>
  </si>
  <si>
    <t xml:space="preserve">cout CB </t>
  </si>
  <si>
    <t>CB</t>
  </si>
  <si>
    <t>ESPECES</t>
  </si>
  <si>
    <t>CH</t>
  </si>
  <si>
    <t>prog des taxes</t>
  </si>
  <si>
    <t>paiments clients</t>
  </si>
  <si>
    <t>tx impôt société</t>
  </si>
  <si>
    <t>minimum cout CB</t>
  </si>
  <si>
    <t>total investissement incorporel</t>
  </si>
  <si>
    <t>total investissement corporel</t>
  </si>
  <si>
    <t xml:space="preserve">taux amortissement </t>
  </si>
  <si>
    <t>amortissement corporel</t>
  </si>
  <si>
    <t>CA MARGES ET INDICATEURS</t>
  </si>
  <si>
    <t>LIEU</t>
  </si>
  <si>
    <t>cout formalites de creation société</t>
  </si>
  <si>
    <t>capital (euros)</t>
  </si>
  <si>
    <t>associé 1</t>
  </si>
  <si>
    <t>associé 2</t>
  </si>
  <si>
    <t>clt</t>
  </si>
  <si>
    <t>mar</t>
  </si>
  <si>
    <t>indic</t>
  </si>
  <si>
    <t>indicateurs</t>
  </si>
  <si>
    <t>loc</t>
  </si>
  <si>
    <t>sal</t>
  </si>
  <si>
    <t>investissements</t>
  </si>
  <si>
    <t>inves</t>
  </si>
  <si>
    <t>frgnx</t>
  </si>
  <si>
    <t>impo</t>
  </si>
  <si>
    <t>delpaie</t>
  </si>
  <si>
    <t>autres</t>
  </si>
  <si>
    <t>fait</t>
  </si>
  <si>
    <t>paiements</t>
  </si>
  <si>
    <t>% de détention</t>
  </si>
  <si>
    <t>progression</t>
  </si>
  <si>
    <t>panier</t>
  </si>
  <si>
    <t>idv</t>
  </si>
  <si>
    <t>progression CA</t>
  </si>
  <si>
    <t>cattc</t>
  </si>
  <si>
    <t>marge nette</t>
  </si>
  <si>
    <t>DI%</t>
  </si>
  <si>
    <t>DI+%</t>
  </si>
  <si>
    <t>di val</t>
  </si>
  <si>
    <t>tx marge nette</t>
  </si>
  <si>
    <t>nb articles vendus</t>
  </si>
  <si>
    <t>pu/art</t>
  </si>
  <si>
    <t>répartition type par rayon</t>
  </si>
  <si>
    <t>ACCESS. COSMETIQUE</t>
  </si>
  <si>
    <t>ACCESS. MODE</t>
  </si>
  <si>
    <t>BIJOUX</t>
  </si>
  <si>
    <t>COSMETIQUE</t>
  </si>
  <si>
    <t>DIVERS</t>
  </si>
  <si>
    <t>total</t>
  </si>
  <si>
    <t>divers</t>
  </si>
  <si>
    <t>locations immobilières</t>
  </si>
  <si>
    <t>total frais exploitation</t>
  </si>
  <si>
    <t>amortissements</t>
  </si>
  <si>
    <t>frais financier</t>
  </si>
  <si>
    <t>impots divers</t>
  </si>
  <si>
    <t>rt</t>
  </si>
  <si>
    <t>résultat</t>
  </si>
  <si>
    <t>% ca</t>
  </si>
  <si>
    <t>POINT MORT</t>
  </si>
  <si>
    <t>LOCATION</t>
  </si>
  <si>
    <t>loyer mensuel</t>
  </si>
  <si>
    <t>loyer m²</t>
  </si>
  <si>
    <t>loyer annuel</t>
  </si>
  <si>
    <t>% ca loyer</t>
  </si>
  <si>
    <t>% du ca / loyer</t>
  </si>
  <si>
    <t>charge annuelle</t>
  </si>
  <si>
    <t>charge mensuelle</t>
  </si>
  <si>
    <t>correction du %</t>
  </si>
  <si>
    <t>charges</t>
  </si>
  <si>
    <t>coût location</t>
  </si>
  <si>
    <t>%ca</t>
  </si>
  <si>
    <t>NB salaire 1 RM</t>
  </si>
  <si>
    <t>NB salaire 2 ASS</t>
  </si>
  <si>
    <t>NB salaire 3 VT</t>
  </si>
  <si>
    <t>brut salaire 1</t>
  </si>
  <si>
    <t>brut salaire 2</t>
  </si>
  <si>
    <t>brut salaire 3</t>
  </si>
  <si>
    <t>heures salaire 1</t>
  </si>
  <si>
    <t>heures salaire 2</t>
  </si>
  <si>
    <t>heures salaire 3</t>
  </si>
  <si>
    <t>charges salaires 1</t>
  </si>
  <si>
    <t>charges salaires 2</t>
  </si>
  <si>
    <t>charges salaires 3</t>
  </si>
  <si>
    <t>total brut mois</t>
  </si>
  <si>
    <t>total par an</t>
  </si>
  <si>
    <t>total charges mois</t>
  </si>
  <si>
    <t>total heures mois</t>
  </si>
  <si>
    <t xml:space="preserve">total par an </t>
  </si>
  <si>
    <t xml:space="preserve">coût salaire 1 par an </t>
  </si>
  <si>
    <t xml:space="preserve">coût salaire 2 par an </t>
  </si>
  <si>
    <t>coût salaire 3 par an</t>
  </si>
  <si>
    <t>%caht</t>
  </si>
  <si>
    <t>coût horaire moyen</t>
  </si>
  <si>
    <t>taux de charge moyen</t>
  </si>
  <si>
    <t>cfe / cvae</t>
  </si>
  <si>
    <t>prog taxes</t>
  </si>
  <si>
    <t>tx de taxe / caht</t>
  </si>
  <si>
    <t>autres frais</t>
  </si>
  <si>
    <t>% cout CB</t>
  </si>
  <si>
    <t>AUTRES</t>
  </si>
  <si>
    <t>FRAIS FINANCIERS</t>
  </si>
  <si>
    <t>total intérêts par an</t>
  </si>
  <si>
    <t>INVESTISSEMENTS</t>
  </si>
  <si>
    <t>AUTRES INVESTISSEMENTS</t>
  </si>
  <si>
    <t>autres coûts</t>
  </si>
  <si>
    <t>total autres coûts</t>
  </si>
  <si>
    <t>type de société</t>
  </si>
  <si>
    <t>Autres</t>
  </si>
  <si>
    <t>Frais financier</t>
  </si>
  <si>
    <t>heures/sem</t>
  </si>
  <si>
    <t>heures/mois</t>
  </si>
  <si>
    <t>tx de ch</t>
  </si>
  <si>
    <t>salariés</t>
  </si>
  <si>
    <t>RESSOURCES</t>
  </si>
  <si>
    <t>EMPLOIS</t>
  </si>
  <si>
    <t>ANNEE</t>
  </si>
  <si>
    <t>frais acquisition</t>
  </si>
  <si>
    <t>achats stock</t>
  </si>
  <si>
    <t>achats de marchandise</t>
  </si>
  <si>
    <t xml:space="preserve">frais généraux 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</si>
  <si>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</si>
  <si>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</si>
  <si>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</si>
  <si>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</si>
  <si>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</si>
  <si>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</si>
  <si>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</si>
  <si>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</si>
  <si>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</si>
  <si>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</si>
  <si>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</si>
  <si>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</si>
  <si>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marge mois</t>
  </si>
  <si>
    <t xml:space="preserve">correction </t>
  </si>
  <si>
    <t>solde 1</t>
  </si>
  <si>
    <t>solde 2</t>
  </si>
  <si>
    <t>janvier s1</t>
  </si>
  <si>
    <t>juillet s2</t>
  </si>
  <si>
    <t>CA MARGES par mois (avant Démarque)</t>
  </si>
  <si>
    <t>total ca</t>
  </si>
  <si>
    <t>DI val</t>
  </si>
  <si>
    <t>ressources</t>
  </si>
  <si>
    <t>achats conso</t>
  </si>
  <si>
    <t>apport</t>
  </si>
  <si>
    <t>stock départ</t>
  </si>
  <si>
    <t>ressources totales</t>
  </si>
  <si>
    <t>nette</t>
  </si>
  <si>
    <t>nett cum</t>
  </si>
  <si>
    <t>emplois</t>
  </si>
  <si>
    <t>locations</t>
  </si>
  <si>
    <t>ech elmprunt</t>
  </si>
  <si>
    <t>autres ch</t>
  </si>
  <si>
    <t>net</t>
  </si>
  <si>
    <t>dab</t>
  </si>
  <si>
    <t>TVA ventes</t>
  </si>
  <si>
    <t>TVA achats</t>
  </si>
  <si>
    <t>TVA loc</t>
  </si>
  <si>
    <t>TVA frgnx</t>
  </si>
  <si>
    <t>tva à payer</t>
  </si>
  <si>
    <t>total mois</t>
  </si>
  <si>
    <t>EMPLOIS RESSOURCES</t>
  </si>
  <si>
    <t>net ress-emp-TVA</t>
  </si>
  <si>
    <t>frais notaire</t>
  </si>
  <si>
    <t>frais de notaires</t>
  </si>
  <si>
    <t>travaux (ct m²)+ meubles plexi+ caisse</t>
  </si>
  <si>
    <t>travaux et agencements+caisse+plexi</t>
  </si>
  <si>
    <t>honoraires agent immo</t>
  </si>
  <si>
    <t>REIMS ERLON</t>
  </si>
  <si>
    <t>MR CUIF</t>
  </si>
  <si>
    <t>Responsable Magasin</t>
  </si>
  <si>
    <t>Assistante Magasin</t>
  </si>
  <si>
    <t>Vendeuse</t>
  </si>
  <si>
    <t>Commentaires</t>
  </si>
  <si>
    <t>Indiquer le CA TTC Prévisionnel dans la case verte</t>
  </si>
  <si>
    <t>La saisonnalité est donnée à titre indicatif et
 libre de toutes modifications celon les sites d'implantation</t>
  </si>
  <si>
    <t>L'estimation de la progression du CA est donnée à titre indicatif et librement modifiable</t>
  </si>
  <si>
    <t>Franchisé</t>
  </si>
  <si>
    <t>Indiquer la surface du local (en m²)</t>
  </si>
  <si>
    <t>Répartition des encaissements en % librement modifiable et donné 
à titre indicatif</t>
  </si>
  <si>
    <t>Indiquer le taux de marge en % dans la case verte</t>
  </si>
  <si>
    <t>Indiquer le panier moyen dans la case verte (en €)</t>
  </si>
  <si>
    <t>Indiquer l'indice de progression du loyer dans la case verte (en %)</t>
  </si>
  <si>
    <t>Indiquer le loyer dans la case verte (HT/HC/AN en €)</t>
  </si>
  <si>
    <t>Indiquer les charges (en €)</t>
  </si>
  <si>
    <t>Indiquer les cahrges (en €)</t>
  </si>
  <si>
    <t>Uniquement variable seul (en %)</t>
  </si>
  <si>
    <t>Indiquer le nobmre de responsable magasin (en personne)</t>
  </si>
  <si>
    <t>Indiquer le nombre d'assistante responsable magasin (en personne)</t>
  </si>
  <si>
    <t>Indiquer le nombre de vendeuse (en personne)</t>
  </si>
  <si>
    <t>nb salaires 1</t>
  </si>
  <si>
    <t xml:space="preserve">nb salaires 2 </t>
  </si>
  <si>
    <t xml:space="preserve">nb salaires 3 </t>
  </si>
  <si>
    <t>Indiquer en euros le taux horaire de rémunération ( Les cases jaunes sont modifiables, et les valeurs données à titre indicatif)</t>
  </si>
  <si>
    <t>Saisir le montant du droit au bail (en €)</t>
  </si>
  <si>
    <t>Informatique logiciel</t>
  </si>
  <si>
    <t>Saisir le montant du coût des logiciel informatique (en €)</t>
  </si>
  <si>
    <t>Saisir le montant des autres honoraires (en €)</t>
  </si>
  <si>
    <t>Saisir le montant des honoraires agent immobilier (en €)</t>
  </si>
  <si>
    <t>Nous vous conseillons, avant la signature de votre contrat de Franchise, d’élaborer une étude prévisionnelle avec les conseils de votre Expert-Comptable et/ou de votre Banquier. 
Vous pouvez également vous renseigner auprès d’autres membres de votre réseau ou auprès de notre Service Recrutement pour avoir toute information utile.</t>
  </si>
  <si>
    <t>Saisir le montant des frais de notaire (en €)</t>
  </si>
  <si>
    <t>Saisir le montant total des coût travaux (en €)</t>
  </si>
  <si>
    <t>Saisir le montant des droits de franchise (en €)</t>
  </si>
  <si>
    <t>Saisir le montant de l'enseigne (en €)</t>
  </si>
  <si>
    <t>Saisir le montant du stock de départ (en €)</t>
  </si>
  <si>
    <t>Montant apport personnel (en €)</t>
  </si>
  <si>
    <t>Saisir le montant des aides diverses (en €)</t>
  </si>
  <si>
    <t>Saisir le montant de l'emprunt (en €)</t>
  </si>
  <si>
    <t>Saisir le taux d'emprunt (en %)</t>
  </si>
  <si>
    <t>Saisir le nombre de mois de l'emprunt (en mois)</t>
  </si>
  <si>
    <t>Saisir la date du début de l'emprunt (JJ/MM/AA)</t>
  </si>
  <si>
    <t>Saisir le taux d'amortissment</t>
  </si>
  <si>
    <t>Si amortissment corporel, saisir le montant</t>
  </si>
  <si>
    <t>Progression des frais (en %)</t>
  </si>
  <si>
    <t>Frais en €</t>
  </si>
  <si>
    <t>Montant en €</t>
  </si>
  <si>
    <t>Taux d'imposition en vigeur dans le pays d'implantation (en %)</t>
  </si>
  <si>
    <t>En %</t>
  </si>
  <si>
    <t>Saisir en €</t>
  </si>
  <si>
    <t>PREVISIONNEL STATISTIQUE</t>
  </si>
  <si>
    <t>SAISIR LES DONNEES DANS L'ONGLET " A SAISIR"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</si>
</sst>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#,##0.00\ &quot;€&quot;;[Red]\-#,##0.00\ &quot;€&quot;"/>
    <numFmt numFmtId="42" formatCode="_-* #,##0\ &quot;€&quot;_-;\-* #,##0\ &quot;€&quot;_-;_-* &quot;-&quot;\ &quot;€&quot;_-;_-@_-"/>
    <numFmt numFmtId="164" formatCode="_-* #,##0.00\ &quot;F&quot;_-;\-* #,##0.00\ &quot;F&quot;_-;_-* &quot;-&quot;??\ &quot;F&quot;_-;_-@_-"/>
    <numFmt numFmtId="165" formatCode="_-* #,##0.00\ _F_-;\-* #,##0.00\ _F_-;_-* &quot;-&quot;??\ _F_-;_-@_-"/>
    <numFmt numFmtId="166" formatCode="_(&quot;$&quot;* #,##0_);_(&quot;$&quot;* \(#,##0\);_(&quot;$&quot;* &quot;-&quot;_);_(@_)"/>
    <numFmt numFmtId="167" formatCode="_(* #,##0_);_(* \(#,##0\);_(* &quot;-&quot;_);_(@_)"/>
    <numFmt numFmtId="168" formatCode="0.0%"/>
    <numFmt numFmtId="169" formatCode="0.0"/>
    <numFmt numFmtId="170" formatCode="_-* #,##0.0\ _F_-;\-* #,##0.0\ _F_-;_-* &quot;-&quot;??\ _F_-;_-@_-"/>
    <numFmt numFmtId="171" formatCode="_-* #,##0\ _F_-;\-* #,##0\ _F_-;_-* &quot;-&quot;??\ _F_-;_-@_-"/>
    <numFmt numFmtId="172" formatCode="_-* #,##0.000\ _F_-;\-* #,##0.000\ _F_-;_-* &quot;-&quot;??\ _F_-;_-@_-"/>
    <numFmt numFmtId="173" formatCode="dd/mm/yy;@"/>
    <numFmt numFmtId="174" formatCode="[$-40C]mmm\-yy;@"/>
    <numFmt numFmtId="175" formatCode="d/m/yy;@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18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18"/>
      <color indexed="10"/>
      <name val="Arial"/>
      <family val="2"/>
    </font>
    <font>
      <b/>
      <sz val="18"/>
      <color indexed="45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theme="0"/>
      <name val="Arial"/>
      <family val="2"/>
    </font>
    <font>
      <sz val="14"/>
      <color theme="0"/>
      <name val="Arial Black"/>
      <family val="2"/>
    </font>
    <font>
      <b/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u/>
      <sz val="12"/>
      <name val="Arial"/>
      <family val="2"/>
    </font>
    <font>
      <sz val="8"/>
      <color theme="0"/>
      <name val="Arial"/>
      <family val="2"/>
    </font>
    <font>
      <i/>
      <sz val="8"/>
      <name val="Arial"/>
      <family val="2"/>
    </font>
    <font>
      <sz val="10"/>
      <color theme="0" tint="-0.249977111117893"/>
      <name val="Arial"/>
      <family val="2"/>
    </font>
    <font>
      <b/>
      <sz val="10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/>
      <top style="medium">
        <color theme="6" tint="-0.2499465926084170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theme="1"/>
      </left>
      <right/>
      <top style="medium">
        <color theme="1"/>
      </top>
      <bottom style="medium">
        <color theme="6" tint="-0.24994659260841701"/>
      </bottom>
      <diagonal/>
    </border>
    <border>
      <left/>
      <right/>
      <top style="medium">
        <color theme="1"/>
      </top>
      <bottom style="medium">
        <color theme="6" tint="-0.24994659260841701"/>
      </bottom>
      <diagonal/>
    </border>
    <border>
      <left/>
      <right style="medium">
        <color theme="1"/>
      </right>
      <top style="medium">
        <color theme="1"/>
      </top>
      <bottom style="medium">
        <color theme="6" tint="-0.24994659260841701"/>
      </bottom>
      <diagonal/>
    </border>
    <border>
      <left style="medium">
        <color theme="1"/>
      </left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 style="medium">
        <color theme="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theme="1"/>
      </left>
      <right/>
      <top style="medium">
        <color theme="6" tint="-0.24994659260841701"/>
      </top>
      <bottom/>
      <diagonal/>
    </border>
    <border>
      <left/>
      <right style="medium">
        <color theme="1"/>
      </right>
      <top style="medium">
        <color theme="6" tint="-0.2499465926084170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66">
    <xf numFmtId="0" fontId="0" fillId="0" borderId="0" xfId="0"/>
    <xf numFmtId="0" fontId="0" fillId="0" borderId="0" xfId="0" applyProtection="1"/>
    <xf numFmtId="164" fontId="1" fillId="0" borderId="0" xfId="4" applyProtection="1"/>
    <xf numFmtId="0" fontId="2" fillId="0" borderId="1" xfId="0" applyFont="1" applyBorder="1" applyProtection="1"/>
    <xf numFmtId="0" fontId="0" fillId="0" borderId="1" xfId="0" applyBorder="1" applyProtection="1"/>
    <xf numFmtId="0" fontId="0" fillId="0" borderId="2" xfId="0" applyBorder="1" applyProtection="1"/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0" applyFont="1" applyProtection="1"/>
    <xf numFmtId="0" fontId="0" fillId="0" borderId="0" xfId="0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2" fillId="2" borderId="4" xfId="0" applyFont="1" applyFill="1" applyBorder="1" applyAlignment="1" applyProtection="1">
      <alignment horizontal="center"/>
    </xf>
    <xf numFmtId="0" fontId="0" fillId="0" borderId="5" xfId="0" applyBorder="1" applyProtection="1"/>
    <xf numFmtId="169" fontId="0" fillId="0" borderId="1" xfId="0" applyNumberFormat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0" fontId="0" fillId="3" borderId="1" xfId="0" applyFill="1" applyBorder="1" applyProtection="1"/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14" fontId="2" fillId="4" borderId="4" xfId="0" applyNumberFormat="1" applyFont="1" applyFill="1" applyBorder="1" applyAlignment="1" applyProtection="1">
      <alignment horizontal="center"/>
      <protection locked="0"/>
    </xf>
    <xf numFmtId="171" fontId="2" fillId="4" borderId="1" xfId="3" applyNumberFormat="1" applyFont="1" applyFill="1" applyBorder="1" applyAlignment="1" applyProtection="1">
      <alignment horizontal="center"/>
      <protection locked="0"/>
    </xf>
    <xf numFmtId="171" fontId="2" fillId="4" borderId="4" xfId="3" applyNumberFormat="1" applyFont="1" applyFill="1" applyBorder="1" applyAlignment="1" applyProtection="1">
      <alignment horizontal="center"/>
      <protection locked="0"/>
    </xf>
    <xf numFmtId="14" fontId="2" fillId="4" borderId="1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165" fontId="2" fillId="4" borderId="1" xfId="3" applyNumberFormat="1" applyFont="1" applyFill="1" applyBorder="1" applyAlignment="1" applyProtection="1">
      <alignment horizontal="center"/>
      <protection locked="0"/>
    </xf>
    <xf numFmtId="168" fontId="2" fillId="4" borderId="1" xfId="5" applyNumberFormat="1" applyFont="1" applyFill="1" applyBorder="1" applyAlignment="1" applyProtection="1">
      <alignment horizontal="center"/>
      <protection locked="0"/>
    </xf>
    <xf numFmtId="168" fontId="0" fillId="4" borderId="1" xfId="5" applyNumberFormat="1" applyFont="1" applyFill="1" applyBorder="1" applyProtection="1">
      <protection locked="0"/>
    </xf>
    <xf numFmtId="9" fontId="2" fillId="4" borderId="1" xfId="5" applyFont="1" applyFill="1" applyBorder="1" applyProtection="1">
      <protection locked="0"/>
    </xf>
    <xf numFmtId="0" fontId="0" fillId="3" borderId="0" xfId="0" applyFill="1" applyProtection="1"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Fill="1" applyProtection="1"/>
    <xf numFmtId="0" fontId="0" fillId="0" borderId="1" xfId="0" applyFill="1" applyBorder="1" applyProtection="1"/>
    <xf numFmtId="0" fontId="2" fillId="0" borderId="1" xfId="0" applyFont="1" applyFill="1" applyBorder="1" applyAlignment="1" applyProtection="1">
      <alignment horizontal="center"/>
    </xf>
    <xf numFmtId="9" fontId="0" fillId="3" borderId="1" xfId="0" applyNumberFormat="1" applyFill="1" applyBorder="1" applyProtection="1"/>
    <xf numFmtId="165" fontId="0" fillId="0" borderId="0" xfId="3" applyFont="1" applyProtection="1"/>
    <xf numFmtId="171" fontId="2" fillId="5" borderId="1" xfId="3" applyNumberFormat="1" applyFont="1" applyFill="1" applyBorder="1" applyAlignment="1" applyProtection="1">
      <alignment horizontal="center"/>
    </xf>
    <xf numFmtId="171" fontId="0" fillId="0" borderId="1" xfId="3" applyNumberFormat="1" applyFont="1" applyBorder="1" applyAlignment="1" applyProtection="1">
      <alignment horizontal="left"/>
    </xf>
    <xf numFmtId="171" fontId="0" fillId="0" borderId="1" xfId="3" applyNumberFormat="1" applyFont="1" applyBorder="1" applyProtection="1"/>
    <xf numFmtId="171" fontId="0" fillId="0" borderId="0" xfId="3" applyNumberFormat="1" applyFont="1" applyProtection="1"/>
    <xf numFmtId="10" fontId="0" fillId="0" borderId="1" xfId="5" applyNumberFormat="1" applyFont="1" applyBorder="1" applyProtection="1"/>
    <xf numFmtId="171" fontId="8" fillId="2" borderId="1" xfId="3" applyNumberFormat="1" applyFont="1" applyFill="1" applyBorder="1" applyAlignment="1" applyProtection="1">
      <alignment horizontal="left"/>
    </xf>
    <xf numFmtId="171" fontId="8" fillId="2" borderId="1" xfId="3" applyNumberFormat="1" applyFont="1" applyFill="1" applyBorder="1" applyAlignment="1" applyProtection="1">
      <alignment horizontal="center"/>
    </xf>
    <xf numFmtId="171" fontId="0" fillId="0" borderId="0" xfId="3" applyNumberFormat="1" applyFont="1" applyAlignment="1" applyProtection="1">
      <alignment horizontal="center"/>
    </xf>
    <xf numFmtId="0" fontId="0" fillId="0" borderId="1" xfId="0" applyBorder="1" applyAlignment="1" applyProtection="1">
      <alignment horizontal="left"/>
    </xf>
    <xf numFmtId="171" fontId="8" fillId="2" borderId="1" xfId="3" applyNumberFormat="1" applyFont="1" applyFill="1" applyBorder="1" applyProtection="1"/>
    <xf numFmtId="168" fontId="0" fillId="0" borderId="1" xfId="5" applyNumberFormat="1" applyFont="1" applyBorder="1" applyProtection="1"/>
    <xf numFmtId="171" fontId="2" fillId="0" borderId="1" xfId="3" applyNumberFormat="1" applyFont="1" applyBorder="1" applyAlignment="1" applyProtection="1">
      <alignment horizontal="left"/>
    </xf>
    <xf numFmtId="171" fontId="2" fillId="0" borderId="1" xfId="3" applyNumberFormat="1" applyFont="1" applyBorder="1" applyProtection="1"/>
    <xf numFmtId="0" fontId="6" fillId="0" borderId="1" xfId="0" applyFont="1" applyBorder="1" applyProtection="1"/>
    <xf numFmtId="165" fontId="0" fillId="0" borderId="1" xfId="3" applyFont="1" applyBorder="1" applyProtection="1"/>
    <xf numFmtId="171" fontId="6" fillId="0" borderId="1" xfId="3" applyNumberFormat="1" applyFont="1" applyBorder="1" applyProtection="1"/>
    <xf numFmtId="0" fontId="6" fillId="0" borderId="0" xfId="0" applyFont="1" applyProtection="1"/>
    <xf numFmtId="10" fontId="7" fillId="0" borderId="1" xfId="5" applyNumberFormat="1" applyFont="1" applyBorder="1" applyAlignment="1" applyProtection="1">
      <alignment horizontal="center"/>
    </xf>
    <xf numFmtId="0" fontId="8" fillId="2" borderId="1" xfId="0" applyFont="1" applyFill="1" applyBorder="1" applyProtection="1"/>
    <xf numFmtId="10" fontId="8" fillId="2" borderId="1" xfId="5" applyNumberFormat="1" applyFont="1" applyFill="1" applyBorder="1" applyProtection="1"/>
    <xf numFmtId="42" fontId="0" fillId="0" borderId="1" xfId="0" applyNumberFormat="1" applyBorder="1" applyProtection="1"/>
    <xf numFmtId="0" fontId="11" fillId="0" borderId="0" xfId="0" applyFont="1" applyProtection="1"/>
    <xf numFmtId="171" fontId="11" fillId="0" borderId="0" xfId="3" applyNumberFormat="1" applyFont="1" applyProtection="1"/>
    <xf numFmtId="0" fontId="3" fillId="0" borderId="0" xfId="0" applyFont="1" applyFill="1" applyProtection="1"/>
    <xf numFmtId="0" fontId="2" fillId="0" borderId="3" xfId="0" applyFont="1" applyBorder="1" applyAlignment="1" applyProtection="1">
      <alignment horizontal="center"/>
    </xf>
    <xf numFmtId="165" fontId="2" fillId="0" borderId="1" xfId="3" applyFont="1" applyBorder="1" applyAlignment="1" applyProtection="1">
      <alignment horizontal="center"/>
    </xf>
    <xf numFmtId="171" fontId="0" fillId="0" borderId="1" xfId="3" applyNumberFormat="1" applyFont="1" applyFill="1" applyBorder="1" applyProtection="1"/>
    <xf numFmtId="171" fontId="1" fillId="0" borderId="1" xfId="3" applyNumberFormat="1" applyFont="1" applyFill="1" applyBorder="1" applyProtection="1"/>
    <xf numFmtId="165" fontId="0" fillId="0" borderId="1" xfId="3" applyFont="1" applyFill="1" applyBorder="1" applyProtection="1"/>
    <xf numFmtId="10" fontId="0" fillId="0" borderId="1" xfId="5" applyNumberFormat="1" applyFont="1" applyFill="1" applyBorder="1" applyProtection="1"/>
    <xf numFmtId="171" fontId="2" fillId="5" borderId="1" xfId="0" applyNumberFormat="1" applyFont="1" applyFill="1" applyBorder="1" applyAlignment="1" applyProtection="1">
      <alignment horizontal="center"/>
    </xf>
    <xf numFmtId="171" fontId="0" fillId="0" borderId="1" xfId="3" applyNumberFormat="1" applyFont="1" applyBorder="1" applyAlignment="1" applyProtection="1">
      <alignment horizontal="center"/>
    </xf>
    <xf numFmtId="9" fontId="0" fillId="0" borderId="1" xfId="5" applyFont="1" applyBorder="1" applyProtection="1"/>
    <xf numFmtId="42" fontId="0" fillId="0" borderId="0" xfId="0" applyNumberFormat="1" applyProtection="1"/>
    <xf numFmtId="171" fontId="5" fillId="0" borderId="1" xfId="3" applyNumberFormat="1" applyFont="1" applyFill="1" applyBorder="1" applyAlignment="1" applyProtection="1">
      <alignment horizontal="center"/>
    </xf>
    <xf numFmtId="9" fontId="0" fillId="0" borderId="1" xfId="5" applyFont="1" applyFill="1" applyBorder="1" applyAlignment="1" applyProtection="1">
      <alignment horizontal="center"/>
    </xf>
    <xf numFmtId="171" fontId="2" fillId="0" borderId="1" xfId="3" applyNumberFormat="1" applyFont="1" applyFill="1" applyBorder="1" applyAlignment="1" applyProtection="1">
      <alignment horizontal="center"/>
    </xf>
    <xf numFmtId="171" fontId="2" fillId="0" borderId="1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left"/>
    </xf>
    <xf numFmtId="2" fontId="0" fillId="0" borderId="1" xfId="0" applyNumberFormat="1" applyBorder="1" applyProtection="1"/>
    <xf numFmtId="165" fontId="0" fillId="0" borderId="1" xfId="3" applyFont="1" applyBorder="1" applyAlignment="1" applyProtection="1">
      <alignment horizontal="center"/>
    </xf>
    <xf numFmtId="9" fontId="0" fillId="0" borderId="1" xfId="5" applyFont="1" applyBorder="1" applyAlignment="1" applyProtection="1">
      <alignment horizontal="center"/>
    </xf>
    <xf numFmtId="170" fontId="0" fillId="0" borderId="1" xfId="3" applyNumberFormat="1" applyFont="1" applyBorder="1" applyProtection="1"/>
    <xf numFmtId="171" fontId="10" fillId="2" borderId="1" xfId="3" applyNumberFormat="1" applyFont="1" applyFill="1" applyBorder="1" applyAlignment="1" applyProtection="1">
      <alignment horizontal="left"/>
    </xf>
    <xf numFmtId="165" fontId="0" fillId="0" borderId="1" xfId="3" applyNumberFormat="1" applyFont="1" applyBorder="1" applyProtection="1"/>
    <xf numFmtId="165" fontId="0" fillId="0" borderId="1" xfId="0" applyNumberFormat="1" applyBorder="1" applyProtection="1"/>
    <xf numFmtId="0" fontId="7" fillId="0" borderId="1" xfId="0" applyFont="1" applyBorder="1" applyProtection="1"/>
    <xf numFmtId="171" fontId="7" fillId="0" borderId="1" xfId="3" applyNumberFormat="1" applyFont="1" applyBorder="1" applyProtection="1"/>
    <xf numFmtId="0" fontId="7" fillId="0" borderId="0" xfId="0" applyFont="1" applyProtection="1"/>
    <xf numFmtId="10" fontId="7" fillId="0" borderId="1" xfId="5" applyNumberFormat="1" applyFont="1" applyBorder="1" applyProtection="1"/>
    <xf numFmtId="9" fontId="0" fillId="0" borderId="1" xfId="0" applyNumberFormat="1" applyBorder="1" applyAlignment="1" applyProtection="1">
      <alignment horizontal="center"/>
    </xf>
    <xf numFmtId="10" fontId="0" fillId="0" borderId="0" xfId="5" applyNumberFormat="1" applyFont="1" applyAlignment="1" applyProtection="1">
      <alignment horizontal="center"/>
    </xf>
    <xf numFmtId="168" fontId="0" fillId="0" borderId="1" xfId="5" applyNumberFormat="1" applyFont="1" applyBorder="1" applyAlignment="1" applyProtection="1">
      <alignment horizontal="center"/>
    </xf>
    <xf numFmtId="165" fontId="2" fillId="0" borderId="3" xfId="3" applyFont="1" applyBorder="1" applyAlignment="1" applyProtection="1">
      <alignment horizontal="center"/>
    </xf>
    <xf numFmtId="171" fontId="1" fillId="3" borderId="1" xfId="3" applyNumberFormat="1" applyFill="1" applyBorder="1" applyProtection="1"/>
    <xf numFmtId="165" fontId="0" fillId="6" borderId="1" xfId="3" applyFont="1" applyFill="1" applyBorder="1" applyProtection="1"/>
    <xf numFmtId="171" fontId="0" fillId="6" borderId="1" xfId="3" applyNumberFormat="1" applyFont="1" applyFill="1" applyBorder="1" applyProtection="1"/>
    <xf numFmtId="0" fontId="2" fillId="0" borderId="0" xfId="0" applyFont="1" applyProtection="1"/>
    <xf numFmtId="0" fontId="0" fillId="2" borderId="1" xfId="0" applyFill="1" applyBorder="1" applyProtection="1"/>
    <xf numFmtId="165" fontId="0" fillId="2" borderId="1" xfId="3" applyFont="1" applyFill="1" applyBorder="1" applyProtection="1"/>
    <xf numFmtId="171" fontId="2" fillId="0" borderId="1" xfId="0" applyNumberFormat="1" applyFont="1" applyBorder="1" applyProtection="1"/>
    <xf numFmtId="0" fontId="2" fillId="0" borderId="3" xfId="0" applyFont="1" applyBorder="1" applyProtection="1"/>
    <xf numFmtId="168" fontId="0" fillId="0" borderId="1" xfId="5" applyNumberFormat="1" applyFont="1" applyFill="1" applyBorder="1" applyProtection="1"/>
    <xf numFmtId="0" fontId="0" fillId="0" borderId="6" xfId="0" applyBorder="1" applyProtection="1"/>
    <xf numFmtId="0" fontId="0" fillId="0" borderId="7" xfId="0" applyFill="1" applyBorder="1" applyAlignment="1" applyProtection="1">
      <alignment horizontal="center"/>
    </xf>
    <xf numFmtId="0" fontId="0" fillId="0" borderId="8" xfId="0" applyBorder="1" applyProtection="1"/>
    <xf numFmtId="0" fontId="0" fillId="0" borderId="0" xfId="0" applyFill="1" applyBorder="1" applyAlignment="1" applyProtection="1">
      <alignment horizontal="center"/>
    </xf>
    <xf numFmtId="0" fontId="0" fillId="0" borderId="9" xfId="0" applyBorder="1" applyProtection="1"/>
    <xf numFmtId="14" fontId="0" fillId="0" borderId="0" xfId="0" applyNumberFormat="1" applyFill="1" applyBorder="1" applyAlignment="1" applyProtection="1">
      <alignment horizontal="center"/>
    </xf>
    <xf numFmtId="171" fontId="0" fillId="0" borderId="0" xfId="3" applyNumberFormat="1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0" xfId="0" applyBorder="1" applyProtection="1"/>
    <xf numFmtId="171" fontId="0" fillId="0" borderId="11" xfId="0" applyNumberFormat="1" applyBorder="1" applyAlignment="1" applyProtection="1">
      <alignment horizontal="center"/>
    </xf>
    <xf numFmtId="0" fontId="0" fillId="0" borderId="12" xfId="0" applyBorder="1" applyProtection="1"/>
    <xf numFmtId="0" fontId="2" fillId="5" borderId="1" xfId="0" applyFont="1" applyFill="1" applyBorder="1" applyAlignment="1" applyProtection="1">
      <alignment horizontal="center"/>
    </xf>
    <xf numFmtId="171" fontId="0" fillId="0" borderId="1" xfId="0" applyNumberFormat="1" applyBorder="1" applyProtection="1"/>
    <xf numFmtId="0" fontId="0" fillId="0" borderId="0" xfId="0" applyAlignment="1" applyProtection="1">
      <alignment horizontal="right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center"/>
    </xf>
    <xf numFmtId="168" fontId="2" fillId="4" borderId="4" xfId="5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168" fontId="2" fillId="2" borderId="1" xfId="5" applyNumberFormat="1" applyFont="1" applyFill="1" applyBorder="1" applyAlignment="1" applyProtection="1">
      <alignment horizontal="center"/>
      <protection locked="0"/>
    </xf>
    <xf numFmtId="171" fontId="2" fillId="2" borderId="1" xfId="3" applyNumberFormat="1" applyFont="1" applyFill="1" applyBorder="1" applyAlignment="1" applyProtection="1">
      <alignment horizontal="center"/>
      <protection locked="0"/>
    </xf>
    <xf numFmtId="0" fontId="0" fillId="2" borderId="0" xfId="0" applyFill="1" applyProtection="1"/>
    <xf numFmtId="0" fontId="0" fillId="2" borderId="0" xfId="0" applyFill="1" applyProtection="1">
      <protection locked="0"/>
    </xf>
    <xf numFmtId="0" fontId="0" fillId="0" borderId="14" xfId="0" applyBorder="1" applyProtection="1"/>
    <xf numFmtId="0" fontId="2" fillId="2" borderId="0" xfId="0" applyFont="1" applyFill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/>
    </xf>
    <xf numFmtId="0" fontId="1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68" fontId="0" fillId="3" borderId="1" xfId="0" applyNumberFormat="1" applyFill="1" applyBorder="1" applyProtection="1"/>
    <xf numFmtId="9" fontId="15" fillId="2" borderId="1" xfId="5" applyFont="1" applyFill="1" applyBorder="1" applyProtection="1"/>
    <xf numFmtId="168" fontId="4" fillId="0" borderId="1" xfId="5" applyNumberFormat="1" applyFont="1" applyBorder="1" applyAlignment="1" applyProtection="1">
      <alignment horizontal="center"/>
    </xf>
    <xf numFmtId="168" fontId="0" fillId="0" borderId="0" xfId="5" applyNumberFormat="1" applyFont="1" applyProtection="1"/>
    <xf numFmtId="0" fontId="4" fillId="0" borderId="0" xfId="6" applyFont="1"/>
    <xf numFmtId="171" fontId="0" fillId="9" borderId="1" xfId="3" applyNumberFormat="1" applyFont="1" applyFill="1" applyBorder="1" applyProtection="1"/>
    <xf numFmtId="0" fontId="5" fillId="0" borderId="0" xfId="0" applyFont="1"/>
    <xf numFmtId="0" fontId="5" fillId="0" borderId="2" xfId="0" applyFont="1" applyBorder="1" applyProtection="1"/>
    <xf numFmtId="0" fontId="0" fillId="0" borderId="0" xfId="0" applyAlignment="1">
      <alignment horizontal="right"/>
    </xf>
    <xf numFmtId="9" fontId="0" fillId="0" borderId="0" xfId="0" applyNumberFormat="1" applyAlignment="1">
      <alignment horizontal="right"/>
    </xf>
    <xf numFmtId="9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5" fontId="0" fillId="0" borderId="0" xfId="3" applyFont="1" applyAlignment="1">
      <alignment horizontal="right"/>
    </xf>
    <xf numFmtId="10" fontId="0" fillId="0" borderId="0" xfId="0" applyNumberFormat="1" applyAlignment="1">
      <alignment horizontal="right"/>
    </xf>
    <xf numFmtId="0" fontId="3" fillId="0" borderId="0" xfId="0" applyFont="1"/>
    <xf numFmtId="0" fontId="16" fillId="8" borderId="0" xfId="0" applyFont="1" applyFill="1" applyAlignment="1">
      <alignment horizontal="center"/>
    </xf>
    <xf numFmtId="165" fontId="2" fillId="4" borderId="1" xfId="3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/>
    </xf>
    <xf numFmtId="171" fontId="0" fillId="0" borderId="0" xfId="0" applyNumberFormat="1" applyProtection="1"/>
    <xf numFmtId="171" fontId="10" fillId="2" borderId="1" xfId="3" applyNumberFormat="1" applyFont="1" applyFill="1" applyBorder="1" applyAlignment="1" applyProtection="1">
      <alignment horizontal="center"/>
    </xf>
    <xf numFmtId="0" fontId="17" fillId="0" borderId="0" xfId="0" applyFont="1" applyProtection="1"/>
    <xf numFmtId="0" fontId="16" fillId="8" borderId="1" xfId="0" applyFont="1" applyFill="1" applyBorder="1" applyProtection="1"/>
    <xf numFmtId="168" fontId="16" fillId="8" borderId="1" xfId="5" applyNumberFormat="1" applyFont="1" applyFill="1" applyBorder="1" applyProtection="1"/>
    <xf numFmtId="171" fontId="0" fillId="9" borderId="1" xfId="3" applyNumberFormat="1" applyFont="1" applyFill="1" applyBorder="1" applyAlignment="1" applyProtection="1">
      <alignment horizontal="center"/>
    </xf>
    <xf numFmtId="0" fontId="0" fillId="9" borderId="1" xfId="0" applyFill="1" applyBorder="1" applyAlignment="1" applyProtection="1">
      <alignment horizontal="center"/>
    </xf>
    <xf numFmtId="168" fontId="0" fillId="9" borderId="1" xfId="5" applyNumberFormat="1" applyFont="1" applyFill="1" applyBorder="1" applyAlignment="1" applyProtection="1">
      <alignment horizontal="center"/>
    </xf>
    <xf numFmtId="0" fontId="0" fillId="9" borderId="5" xfId="0" applyFill="1" applyBorder="1" applyProtection="1"/>
    <xf numFmtId="0" fontId="19" fillId="9" borderId="4" xfId="0" applyFont="1" applyFill="1" applyBorder="1" applyProtection="1"/>
    <xf numFmtId="0" fontId="5" fillId="0" borderId="1" xfId="0" applyFont="1" applyBorder="1" applyProtection="1"/>
    <xf numFmtId="0" fontId="2" fillId="0" borderId="5" xfId="0" applyFont="1" applyBorder="1" applyProtection="1"/>
    <xf numFmtId="171" fontId="2" fillId="0" borderId="14" xfId="3" applyNumberFormat="1" applyFont="1" applyFill="1" applyBorder="1" applyAlignment="1" applyProtection="1">
      <alignment horizontal="center"/>
    </xf>
    <xf numFmtId="0" fontId="19" fillId="0" borderId="1" xfId="0" applyFont="1" applyBorder="1" applyAlignment="1" applyProtection="1">
      <alignment horizontal="center"/>
    </xf>
    <xf numFmtId="171" fontId="18" fillId="0" borderId="1" xfId="3" applyNumberFormat="1" applyFont="1" applyBorder="1" applyProtection="1"/>
    <xf numFmtId="171" fontId="18" fillId="0" borderId="1" xfId="0" applyNumberFormat="1" applyFont="1" applyBorder="1" applyProtection="1"/>
    <xf numFmtId="171" fontId="2" fillId="0" borderId="1" xfId="3" applyNumberFormat="1" applyFont="1" applyBorder="1" applyAlignment="1" applyProtection="1">
      <alignment horizontal="center"/>
    </xf>
    <xf numFmtId="171" fontId="2" fillId="0" borderId="0" xfId="3" applyNumberFormat="1" applyFont="1" applyAlignment="1" applyProtection="1">
      <alignment horizontal="center"/>
    </xf>
    <xf numFmtId="171" fontId="2" fillId="0" borderId="0" xfId="3" applyNumberFormat="1" applyFont="1" applyProtection="1"/>
    <xf numFmtId="0" fontId="20" fillId="8" borderId="1" xfId="0" applyFont="1" applyFill="1" applyBorder="1" applyProtection="1"/>
    <xf numFmtId="171" fontId="20" fillId="8" borderId="1" xfId="3" applyNumberFormat="1" applyFont="1" applyFill="1" applyBorder="1" applyProtection="1"/>
    <xf numFmtId="0" fontId="5" fillId="0" borderId="0" xfId="0" applyFont="1" applyProtection="1"/>
    <xf numFmtId="10" fontId="2" fillId="0" borderId="1" xfId="5" applyNumberFormat="1" applyFont="1" applyBorder="1" applyAlignment="1" applyProtection="1">
      <alignment horizontal="center"/>
    </xf>
    <xf numFmtId="10" fontId="0" fillId="0" borderId="1" xfId="5" applyNumberFormat="1" applyFont="1" applyBorder="1" applyAlignment="1" applyProtection="1">
      <alignment horizontal="center"/>
    </xf>
    <xf numFmtId="165" fontId="0" fillId="0" borderId="0" xfId="3" applyNumberFormat="1" applyFont="1"/>
    <xf numFmtId="172" fontId="0" fillId="0" borderId="0" xfId="3" applyNumberFormat="1" applyFont="1"/>
    <xf numFmtId="0" fontId="1" fillId="0" borderId="1" xfId="0" applyFont="1" applyBorder="1" applyAlignment="1">
      <alignment horizontal="center"/>
    </xf>
    <xf numFmtId="165" fontId="1" fillId="0" borderId="1" xfId="3" applyNumberFormat="1" applyFont="1" applyBorder="1"/>
    <xf numFmtId="168" fontId="1" fillId="9" borderId="1" xfId="0" applyNumberFormat="1" applyFont="1" applyFill="1" applyBorder="1" applyAlignment="1">
      <alignment horizontal="center"/>
    </xf>
    <xf numFmtId="165" fontId="0" fillId="0" borderId="1" xfId="3" applyNumberFormat="1" applyFont="1" applyBorder="1"/>
    <xf numFmtId="173" fontId="1" fillId="9" borderId="1" xfId="3" applyNumberFormat="1" applyFont="1" applyFill="1" applyBorder="1" applyAlignment="1">
      <alignment horizontal="center"/>
    </xf>
    <xf numFmtId="171" fontId="0" fillId="9" borderId="1" xfId="3" applyNumberFormat="1" applyFont="1" applyFill="1" applyBorder="1"/>
    <xf numFmtId="0" fontId="0" fillId="0" borderId="1" xfId="0" applyBorder="1"/>
    <xf numFmtId="0" fontId="0" fillId="9" borderId="1" xfId="0" applyFill="1" applyBorder="1"/>
    <xf numFmtId="40" fontId="2" fillId="9" borderId="1" xfId="3" applyNumberFormat="1" applyFont="1" applyFill="1" applyBorder="1"/>
    <xf numFmtId="174" fontId="0" fillId="0" borderId="0" xfId="0" applyNumberFormat="1"/>
    <xf numFmtId="165" fontId="1" fillId="0" borderId="0" xfId="3" applyNumberFormat="1" applyFont="1"/>
    <xf numFmtId="8" fontId="0" fillId="0" borderId="0" xfId="0" applyNumberFormat="1"/>
    <xf numFmtId="173" fontId="15" fillId="0" borderId="0" xfId="3" applyNumberFormat="1" applyFont="1"/>
    <xf numFmtId="171" fontId="20" fillId="8" borderId="1" xfId="3" applyNumberFormat="1" applyFont="1" applyFill="1" applyBorder="1"/>
    <xf numFmtId="174" fontId="2" fillId="0" borderId="1" xfId="0" applyNumberFormat="1" applyFont="1" applyBorder="1" applyAlignment="1">
      <alignment horizontal="center"/>
    </xf>
    <xf numFmtId="40" fontId="1" fillId="0" borderId="1" xfId="3" applyNumberFormat="1" applyFont="1" applyBorder="1" applyAlignment="1">
      <alignment horizontal="center"/>
    </xf>
    <xf numFmtId="172" fontId="0" fillId="0" borderId="1" xfId="3" applyNumberFormat="1" applyFont="1" applyBorder="1"/>
    <xf numFmtId="172" fontId="1" fillId="0" borderId="1" xfId="3" applyNumberFormat="1" applyFont="1" applyBorder="1" applyAlignment="1">
      <alignment horizontal="center"/>
    </xf>
    <xf numFmtId="40" fontId="1" fillId="0" borderId="1" xfId="3" applyNumberFormat="1" applyFont="1" applyFill="1" applyBorder="1" applyAlignment="1">
      <alignment horizontal="center"/>
    </xf>
    <xf numFmtId="174" fontId="2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0" fontId="0" fillId="0" borderId="1" xfId="3" applyNumberFormat="1" applyFont="1" applyBorder="1"/>
    <xf numFmtId="171" fontId="0" fillId="0" borderId="1" xfId="3" applyNumberFormat="1" applyFont="1" applyBorder="1"/>
    <xf numFmtId="40" fontId="19" fillId="9" borderId="4" xfId="0" applyNumberFormat="1" applyFont="1" applyFill="1" applyBorder="1" applyProtection="1"/>
    <xf numFmtId="0" fontId="1" fillId="9" borderId="1" xfId="0" applyFont="1" applyFill="1" applyBorder="1" applyAlignment="1" applyProtection="1">
      <alignment horizontal="center"/>
    </xf>
    <xf numFmtId="0" fontId="24" fillId="0" borderId="0" xfId="6" applyFont="1"/>
    <xf numFmtId="0" fontId="4" fillId="0" borderId="1" xfId="6" applyFont="1" applyBorder="1"/>
    <xf numFmtId="0" fontId="4" fillId="0" borderId="1" xfId="6" applyFont="1" applyBorder="1" applyAlignment="1">
      <alignment horizontal="center"/>
    </xf>
    <xf numFmtId="171" fontId="4" fillId="9" borderId="1" xfId="3" applyNumberFormat="1" applyFont="1" applyFill="1" applyBorder="1"/>
    <xf numFmtId="171" fontId="4" fillId="0" borderId="1" xfId="3" applyNumberFormat="1" applyFont="1" applyBorder="1"/>
    <xf numFmtId="10" fontId="4" fillId="9" borderId="1" xfId="6" applyNumberFormat="1" applyFont="1" applyFill="1" applyBorder="1"/>
    <xf numFmtId="9" fontId="4" fillId="9" borderId="1" xfId="6" applyNumberFormat="1" applyFont="1" applyFill="1" applyBorder="1"/>
    <xf numFmtId="9" fontId="4" fillId="0" borderId="1" xfId="6" applyNumberFormat="1" applyFont="1" applyBorder="1"/>
    <xf numFmtId="168" fontId="4" fillId="9" borderId="1" xfId="6" applyNumberFormat="1" applyFont="1" applyFill="1" applyBorder="1"/>
    <xf numFmtId="168" fontId="4" fillId="0" borderId="1" xfId="6" applyNumberFormat="1" applyFont="1" applyBorder="1"/>
    <xf numFmtId="10" fontId="4" fillId="0" borderId="1" xfId="6" applyNumberFormat="1" applyFont="1" applyFill="1" applyBorder="1"/>
    <xf numFmtId="168" fontId="4" fillId="0" borderId="1" xfId="5" applyNumberFormat="1" applyFont="1" applyBorder="1"/>
    <xf numFmtId="165" fontId="4" fillId="0" borderId="1" xfId="3" applyFont="1" applyBorder="1"/>
    <xf numFmtId="0" fontId="4" fillId="9" borderId="1" xfId="6" applyFont="1" applyFill="1" applyBorder="1" applyAlignment="1">
      <alignment horizontal="center"/>
    </xf>
    <xf numFmtId="171" fontId="4" fillId="0" borderId="1" xfId="3" applyNumberFormat="1" applyFont="1" applyBorder="1" applyAlignment="1">
      <alignment horizontal="center"/>
    </xf>
    <xf numFmtId="171" fontId="4" fillId="0" borderId="1" xfId="6" applyNumberFormat="1" applyFont="1" applyBorder="1"/>
    <xf numFmtId="9" fontId="4" fillId="11" borderId="1" xfId="6" applyNumberFormat="1" applyFont="1" applyFill="1" applyBorder="1"/>
    <xf numFmtId="165" fontId="4" fillId="9" borderId="1" xfId="3" applyFont="1" applyFill="1" applyBorder="1"/>
    <xf numFmtId="0" fontId="4" fillId="0" borderId="1" xfId="6" applyFont="1" applyFill="1" applyBorder="1"/>
    <xf numFmtId="0" fontId="4" fillId="8" borderId="1" xfId="6" applyFont="1" applyFill="1" applyBorder="1"/>
    <xf numFmtId="168" fontId="4" fillId="8" borderId="1" xfId="5" applyNumberFormat="1" applyFont="1" applyFill="1" applyBorder="1"/>
    <xf numFmtId="165" fontId="4" fillId="8" borderId="1" xfId="3" applyFont="1" applyFill="1" applyBorder="1"/>
    <xf numFmtId="0" fontId="0" fillId="8" borderId="1" xfId="0" applyFill="1" applyBorder="1"/>
    <xf numFmtId="171" fontId="4" fillId="12" borderId="1" xfId="3" applyNumberFormat="1" applyFont="1" applyFill="1" applyBorder="1"/>
    <xf numFmtId="38" fontId="4" fillId="0" borderId="1" xfId="3" applyNumberFormat="1" applyFont="1" applyBorder="1"/>
    <xf numFmtId="0" fontId="4" fillId="0" borderId="0" xfId="0" applyFont="1"/>
    <xf numFmtId="0" fontId="4" fillId="0" borderId="1" xfId="0" applyFont="1" applyBorder="1"/>
    <xf numFmtId="0" fontId="4" fillId="8" borderId="1" xfId="0" applyFont="1" applyFill="1" applyBorder="1"/>
    <xf numFmtId="0" fontId="0" fillId="0" borderId="0" xfId="0" applyFill="1"/>
    <xf numFmtId="171" fontId="4" fillId="0" borderId="1" xfId="3" applyNumberFormat="1" applyFont="1" applyFill="1" applyBorder="1"/>
    <xf numFmtId="168" fontId="4" fillId="0" borderId="1" xfId="5" applyNumberFormat="1" applyFont="1" applyFill="1" applyBorder="1"/>
    <xf numFmtId="9" fontId="4" fillId="9" borderId="1" xfId="5" applyFont="1" applyFill="1" applyBorder="1" applyAlignment="1">
      <alignment horizontal="center"/>
    </xf>
    <xf numFmtId="9" fontId="4" fillId="0" borderId="1" xfId="5" applyFont="1" applyBorder="1" applyAlignment="1">
      <alignment horizontal="center"/>
    </xf>
    <xf numFmtId="9" fontId="4" fillId="9" borderId="1" xfId="6" applyNumberFormat="1" applyFont="1" applyFill="1" applyBorder="1" applyAlignment="1">
      <alignment horizontal="center"/>
    </xf>
    <xf numFmtId="0" fontId="4" fillId="0" borderId="1" xfId="6" applyFont="1" applyFill="1" applyBorder="1" applyAlignment="1">
      <alignment horizontal="center"/>
    </xf>
    <xf numFmtId="171" fontId="0" fillId="9" borderId="1" xfId="3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40" fontId="2" fillId="9" borderId="1" xfId="3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0" fillId="8" borderId="1" xfId="6" applyFont="1" applyFill="1" applyBorder="1" applyAlignment="1">
      <alignment horizontal="center"/>
    </xf>
    <xf numFmtId="0" fontId="4" fillId="0" borderId="1" xfId="6" applyFont="1" applyBorder="1" applyAlignment="1">
      <alignment horizontal="right"/>
    </xf>
    <xf numFmtId="9" fontId="4" fillId="0" borderId="1" xfId="6" applyNumberFormat="1" applyFont="1" applyFill="1" applyBorder="1"/>
    <xf numFmtId="9" fontId="4" fillId="9" borderId="1" xfId="5" applyNumberFormat="1" applyFont="1" applyFill="1" applyBorder="1" applyAlignment="1">
      <alignment horizontal="center"/>
    </xf>
    <xf numFmtId="10" fontId="4" fillId="0" borderId="1" xfId="5" applyNumberFormat="1" applyFont="1" applyBorder="1"/>
    <xf numFmtId="10" fontId="4" fillId="0" borderId="1" xfId="6" applyNumberFormat="1" applyFont="1" applyBorder="1"/>
    <xf numFmtId="165" fontId="4" fillId="0" borderId="1" xfId="3" applyFont="1" applyFill="1" applyBorder="1"/>
    <xf numFmtId="171" fontId="4" fillId="11" borderId="1" xfId="3" applyNumberFormat="1" applyFont="1" applyFill="1" applyBorder="1"/>
    <xf numFmtId="9" fontId="25" fillId="8" borderId="1" xfId="6" applyNumberFormat="1" applyFont="1" applyFill="1" applyBorder="1"/>
    <xf numFmtId="0" fontId="1" fillId="0" borderId="0" xfId="0" applyFont="1"/>
    <xf numFmtId="0" fontId="6" fillId="0" borderId="5" xfId="6" applyFont="1" applyBorder="1" applyAlignment="1">
      <alignment horizontal="center"/>
    </xf>
    <xf numFmtId="0" fontId="6" fillId="0" borderId="1" xfId="6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justify"/>
    </xf>
    <xf numFmtId="0" fontId="0" fillId="8" borderId="1" xfId="0" applyFill="1" applyBorder="1" applyAlignment="1">
      <alignment horizontal="center" vertical="justify"/>
    </xf>
    <xf numFmtId="171" fontId="4" fillId="8" borderId="1" xfId="3" applyNumberFormat="1" applyFont="1" applyFill="1" applyBorder="1"/>
    <xf numFmtId="10" fontId="4" fillId="9" borderId="1" xfId="5" applyNumberFormat="1" applyFont="1" applyFill="1" applyBorder="1"/>
    <xf numFmtId="0" fontId="4" fillId="0" borderId="1" xfId="6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textRotation="90"/>
    </xf>
    <xf numFmtId="0" fontId="2" fillId="8" borderId="1" xfId="0" applyFont="1" applyFill="1" applyBorder="1" applyAlignment="1">
      <alignment horizontal="center" vertical="center" textRotation="90"/>
    </xf>
    <xf numFmtId="0" fontId="2" fillId="8" borderId="1" xfId="0" applyFont="1" applyFill="1" applyBorder="1" applyAlignment="1">
      <alignment horizontal="center" vertical="justify" textRotation="90"/>
    </xf>
    <xf numFmtId="0" fontId="2" fillId="8" borderId="1" xfId="0" applyFont="1" applyFill="1" applyBorder="1" applyAlignment="1">
      <alignment textRotation="90"/>
    </xf>
    <xf numFmtId="0" fontId="26" fillId="0" borderId="1" xfId="6" applyFont="1" applyBorder="1"/>
    <xf numFmtId="0" fontId="26" fillId="9" borderId="1" xfId="6" applyFont="1" applyFill="1" applyBorder="1"/>
    <xf numFmtId="171" fontId="0" fillId="0" borderId="0" xfId="3" applyNumberFormat="1" applyFont="1"/>
    <xf numFmtId="168" fontId="0" fillId="0" borderId="0" xfId="5" applyNumberFormat="1" applyFont="1"/>
    <xf numFmtId="0" fontId="16" fillId="8" borderId="1" xfId="0" applyFont="1" applyFill="1" applyBorder="1" applyAlignment="1">
      <alignment horizontal="center"/>
    </xf>
    <xf numFmtId="0" fontId="15" fillId="8" borderId="0" xfId="0" applyFont="1" applyFill="1"/>
    <xf numFmtId="171" fontId="0" fillId="0" borderId="1" xfId="0" applyNumberFormat="1" applyBorder="1"/>
    <xf numFmtId="168" fontId="0" fillId="0" borderId="1" xfId="5" applyNumberFormat="1" applyFont="1" applyBorder="1" applyAlignment="1">
      <alignment horizontal="center"/>
    </xf>
    <xf numFmtId="165" fontId="0" fillId="0" borderId="1" xfId="3" applyFont="1" applyBorder="1"/>
    <xf numFmtId="170" fontId="0" fillId="0" borderId="1" xfId="3" applyNumberFormat="1" applyFont="1" applyBorder="1"/>
    <xf numFmtId="0" fontId="4" fillId="9" borderId="5" xfId="6" applyFont="1" applyFill="1" applyBorder="1" applyAlignment="1"/>
    <xf numFmtId="0" fontId="4" fillId="9" borderId="14" xfId="6" applyFont="1" applyFill="1" applyBorder="1" applyAlignment="1"/>
    <xf numFmtId="0" fontId="1" fillId="9" borderId="1" xfId="0" applyFont="1" applyFill="1" applyBorder="1"/>
    <xf numFmtId="171" fontId="0" fillId="9" borderId="1" xfId="0" applyNumberFormat="1" applyFill="1" applyBorder="1"/>
    <xf numFmtId="168" fontId="0" fillId="9" borderId="1" xfId="5" applyNumberFormat="1" applyFont="1" applyFill="1" applyBorder="1" applyAlignment="1">
      <alignment horizontal="center"/>
    </xf>
    <xf numFmtId="0" fontId="2" fillId="0" borderId="1" xfId="0" applyFont="1" applyBorder="1"/>
    <xf numFmtId="171" fontId="2" fillId="0" borderId="1" xfId="3" applyNumberFormat="1" applyFont="1" applyBorder="1"/>
    <xf numFmtId="168" fontId="2" fillId="0" borderId="1" xfId="5" applyNumberFormat="1" applyFont="1" applyBorder="1"/>
    <xf numFmtId="171" fontId="0" fillId="0" borderId="0" xfId="0" applyNumberFormat="1"/>
    <xf numFmtId="10" fontId="0" fillId="0" borderId="0" xfId="5" applyNumberFormat="1" applyFont="1"/>
    <xf numFmtId="10" fontId="0" fillId="0" borderId="0" xfId="0" applyNumberFormat="1"/>
    <xf numFmtId="0" fontId="4" fillId="0" borderId="1" xfId="0" applyFont="1" applyFill="1" applyBorder="1"/>
    <xf numFmtId="9" fontId="0" fillId="0" borderId="1" xfId="5" applyFont="1" applyBorder="1" applyAlignment="1">
      <alignment horizontal="center"/>
    </xf>
    <xf numFmtId="9" fontId="0" fillId="0" borderId="1" xfId="5" applyFont="1" applyFill="1" applyBorder="1" applyAlignment="1">
      <alignment horizontal="center"/>
    </xf>
    <xf numFmtId="0" fontId="4" fillId="12" borderId="1" xfId="0" applyFont="1" applyFill="1" applyBorder="1"/>
    <xf numFmtId="9" fontId="27" fillId="12" borderId="1" xfId="5" applyFont="1" applyFill="1" applyBorder="1" applyAlignment="1">
      <alignment horizontal="center"/>
    </xf>
    <xf numFmtId="0" fontId="16" fillId="8" borderId="1" xfId="0" applyFont="1" applyFill="1" applyBorder="1"/>
    <xf numFmtId="0" fontId="6" fillId="0" borderId="1" xfId="0" applyFont="1" applyBorder="1"/>
    <xf numFmtId="171" fontId="2" fillId="0" borderId="1" xfId="5" applyNumberFormat="1" applyFont="1" applyBorder="1"/>
    <xf numFmtId="0" fontId="1" fillId="0" borderId="1" xfId="0" applyFont="1" applyFill="1" applyBorder="1"/>
    <xf numFmtId="0" fontId="2" fillId="14" borderId="1" xfId="0" applyFont="1" applyFill="1" applyBorder="1"/>
    <xf numFmtId="171" fontId="2" fillId="14" borderId="1" xfId="0" applyNumberFormat="1" applyFont="1" applyFill="1" applyBorder="1"/>
    <xf numFmtId="0" fontId="2" fillId="9" borderId="1" xfId="0" applyFont="1" applyFill="1" applyBorder="1"/>
    <xf numFmtId="171" fontId="2" fillId="9" borderId="1" xfId="0" applyNumberFormat="1" applyFont="1" applyFill="1" applyBorder="1"/>
    <xf numFmtId="0" fontId="2" fillId="0" borderId="1" xfId="0" applyFont="1" applyFill="1" applyBorder="1"/>
    <xf numFmtId="9" fontId="2" fillId="14" borderId="1" xfId="5" applyFont="1" applyFill="1" applyBorder="1" applyAlignment="1">
      <alignment horizontal="center"/>
    </xf>
    <xf numFmtId="0" fontId="15" fillId="0" borderId="0" xfId="0" applyFont="1"/>
    <xf numFmtId="171" fontId="15" fillId="0" borderId="0" xfId="0" applyNumberFormat="1" applyFont="1"/>
    <xf numFmtId="168" fontId="0" fillId="13" borderId="1" xfId="5" applyNumberFormat="1" applyFont="1" applyFill="1" applyBorder="1" applyAlignment="1">
      <alignment horizontal="center"/>
    </xf>
    <xf numFmtId="171" fontId="0" fillId="0" borderId="1" xfId="3" applyNumberFormat="1" applyFont="1" applyBorder="1" applyAlignment="1">
      <alignment horizontal="center"/>
    </xf>
    <xf numFmtId="171" fontId="2" fillId="0" borderId="1" xfId="3" applyNumberFormat="1" applyFont="1" applyBorder="1" applyAlignment="1">
      <alignment horizontal="center"/>
    </xf>
    <xf numFmtId="171" fontId="2" fillId="9" borderId="1" xfId="3" applyNumberFormat="1" applyFont="1" applyFill="1" applyBorder="1" applyAlignment="1">
      <alignment horizontal="center"/>
    </xf>
    <xf numFmtId="0" fontId="2" fillId="13" borderId="1" xfId="0" applyFont="1" applyFill="1" applyBorder="1"/>
    <xf numFmtId="171" fontId="2" fillId="13" borderId="1" xfId="3" applyNumberFormat="1" applyFont="1" applyFill="1" applyBorder="1" applyAlignment="1">
      <alignment horizontal="center"/>
    </xf>
    <xf numFmtId="168" fontId="2" fillId="9" borderId="1" xfId="5" applyNumberFormat="1" applyFont="1" applyFill="1" applyBorder="1" applyAlignment="1">
      <alignment horizontal="center"/>
    </xf>
    <xf numFmtId="171" fontId="0" fillId="0" borderId="1" xfId="3" applyNumberFormat="1" applyFont="1" applyFill="1" applyBorder="1"/>
    <xf numFmtId="171" fontId="2" fillId="0" borderId="1" xfId="3" applyNumberFormat="1" applyFont="1" applyFill="1" applyBorder="1"/>
    <xf numFmtId="168" fontId="0" fillId="0" borderId="1" xfId="5" applyNumberFormat="1" applyFont="1" applyFill="1" applyBorder="1" applyAlignment="1">
      <alignment horizontal="center"/>
    </xf>
    <xf numFmtId="171" fontId="0" fillId="0" borderId="1" xfId="3" applyNumberFormat="1" applyFont="1" applyFill="1" applyBorder="1" applyAlignment="1">
      <alignment horizontal="center"/>
    </xf>
    <xf numFmtId="171" fontId="1" fillId="0" borderId="1" xfId="3" applyNumberFormat="1" applyFont="1" applyFill="1" applyBorder="1" applyAlignment="1">
      <alignment horizontal="center"/>
    </xf>
    <xf numFmtId="165" fontId="2" fillId="9" borderId="1" xfId="3" applyFont="1" applyFill="1" applyBorder="1" applyAlignment="1">
      <alignment horizontal="center"/>
    </xf>
    <xf numFmtId="171" fontId="1" fillId="0" borderId="1" xfId="3" applyNumberFormat="1" applyFont="1" applyFill="1" applyBorder="1"/>
    <xf numFmtId="168" fontId="1" fillId="0" borderId="1" xfId="5" applyNumberFormat="1" applyFont="1" applyFill="1" applyBorder="1" applyAlignment="1">
      <alignment horizontal="center"/>
    </xf>
    <xf numFmtId="165" fontId="1" fillId="0" borderId="1" xfId="3" applyFont="1" applyFill="1" applyBorder="1"/>
    <xf numFmtId="10" fontId="1" fillId="0" borderId="1" xfId="5" applyNumberFormat="1" applyFont="1" applyFill="1" applyBorder="1" applyAlignment="1">
      <alignment horizontal="center"/>
    </xf>
    <xf numFmtId="165" fontId="4" fillId="9" borderId="1" xfId="3" applyFont="1" applyFill="1" applyBorder="1" applyAlignment="1">
      <alignment horizontal="center"/>
    </xf>
    <xf numFmtId="9" fontId="1" fillId="0" borderId="1" xfId="0" applyNumberFormat="1" applyFont="1" applyFill="1" applyBorder="1"/>
    <xf numFmtId="168" fontId="1" fillId="0" borderId="1" xfId="5" applyNumberFormat="1" applyFont="1" applyFill="1" applyBorder="1"/>
    <xf numFmtId="175" fontId="1" fillId="0" borderId="1" xfId="3" applyNumberFormat="1" applyFont="1" applyFill="1" applyBorder="1" applyAlignment="1">
      <alignment horizontal="center"/>
    </xf>
    <xf numFmtId="0" fontId="1" fillId="0" borderId="1" xfId="6" applyFont="1" applyBorder="1"/>
    <xf numFmtId="171" fontId="1" fillId="0" borderId="1" xfId="3" applyNumberFormat="1" applyFont="1" applyBorder="1"/>
    <xf numFmtId="0" fontId="1" fillId="0" borderId="0" xfId="0" applyFont="1" applyProtection="1"/>
    <xf numFmtId="171" fontId="2" fillId="14" borderId="1" xfId="3" applyNumberFormat="1" applyFont="1" applyFill="1" applyBorder="1"/>
    <xf numFmtId="165" fontId="2" fillId="14" borderId="1" xfId="3" applyNumberFormat="1" applyFont="1" applyFill="1" applyBorder="1"/>
    <xf numFmtId="165" fontId="2" fillId="0" borderId="1" xfId="3" applyNumberFormat="1" applyFont="1" applyFill="1" applyBorder="1"/>
    <xf numFmtId="9" fontId="2" fillId="0" borderId="1" xfId="5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71" fontId="25" fillId="8" borderId="1" xfId="3" applyNumberFormat="1" applyFont="1" applyFill="1" applyBorder="1"/>
    <xf numFmtId="168" fontId="0" fillId="0" borderId="1" xfId="5" applyNumberFormat="1" applyFont="1" applyBorder="1"/>
    <xf numFmtId="168" fontId="2" fillId="9" borderId="1" xfId="5" applyNumberFormat="1" applyFont="1" applyFill="1" applyBorder="1"/>
    <xf numFmtId="0" fontId="28" fillId="0" borderId="1" xfId="0" applyFont="1" applyBorder="1"/>
    <xf numFmtId="9" fontId="28" fillId="0" borderId="1" xfId="0" applyNumberFormat="1" applyFont="1" applyBorder="1"/>
    <xf numFmtId="0" fontId="0" fillId="0" borderId="5" xfId="0" applyBorder="1"/>
    <xf numFmtId="0" fontId="0" fillId="0" borderId="0" xfId="0" applyBorder="1"/>
    <xf numFmtId="0" fontId="16" fillId="8" borderId="5" xfId="0" applyFont="1" applyFill="1" applyBorder="1" applyAlignment="1">
      <alignment horizontal="center"/>
    </xf>
    <xf numFmtId="0" fontId="16" fillId="8" borderId="14" xfId="0" applyFont="1" applyFill="1" applyBorder="1" applyAlignment="1">
      <alignment horizontal="center"/>
    </xf>
    <xf numFmtId="38" fontId="0" fillId="0" borderId="1" xfId="3" applyNumberFormat="1" applyFont="1" applyBorder="1"/>
    <xf numFmtId="38" fontId="0" fillId="0" borderId="1" xfId="0" applyNumberFormat="1" applyBorder="1"/>
    <xf numFmtId="38" fontId="0" fillId="15" borderId="1" xfId="0" applyNumberFormat="1" applyFill="1" applyBorder="1"/>
    <xf numFmtId="38" fontId="0" fillId="12" borderId="9" xfId="0" applyNumberFormat="1" applyFill="1" applyBorder="1"/>
    <xf numFmtId="38" fontId="0" fillId="0" borderId="14" xfId="3" applyNumberFormat="1" applyFont="1" applyBorder="1"/>
    <xf numFmtId="38" fontId="0" fillId="12" borderId="12" xfId="0" applyNumberFormat="1" applyFill="1" applyBorder="1"/>
    <xf numFmtId="38" fontId="16" fillId="8" borderId="1" xfId="3" applyNumberFormat="1" applyFont="1" applyFill="1" applyBorder="1"/>
    <xf numFmtId="171" fontId="0" fillId="13" borderId="1" xfId="3" applyNumberFormat="1" applyFont="1" applyFill="1" applyBorder="1"/>
    <xf numFmtId="0" fontId="2" fillId="0" borderId="0" xfId="0" applyFont="1"/>
    <xf numFmtId="171" fontId="2" fillId="13" borderId="1" xfId="3" applyNumberFormat="1" applyFont="1" applyFill="1" applyBorder="1"/>
    <xf numFmtId="0" fontId="2" fillId="15" borderId="1" xfId="0" applyFont="1" applyFill="1" applyBorder="1"/>
    <xf numFmtId="0" fontId="2" fillId="12" borderId="8" xfId="0" applyFont="1" applyFill="1" applyBorder="1"/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16" fillId="8" borderId="0" xfId="0" applyFont="1" applyFill="1"/>
    <xf numFmtId="38" fontId="0" fillId="0" borderId="0" xfId="3" applyNumberFormat="1" applyFont="1" applyBorder="1"/>
    <xf numFmtId="38" fontId="0" fillId="0" borderId="0" xfId="0" applyNumberFormat="1"/>
    <xf numFmtId="38" fontId="2" fillId="15" borderId="1" xfId="0" applyNumberFormat="1" applyFont="1" applyFill="1" applyBorder="1"/>
    <xf numFmtId="171" fontId="4" fillId="16" borderId="1" xfId="3" applyNumberFormat="1" applyFont="1" applyFill="1" applyBorder="1"/>
    <xf numFmtId="9" fontId="4" fillId="16" borderId="1" xfId="6" applyNumberFormat="1" applyFont="1" applyFill="1" applyBorder="1"/>
    <xf numFmtId="168" fontId="4" fillId="16" borderId="1" xfId="6" applyNumberFormat="1" applyFont="1" applyFill="1" applyBorder="1"/>
    <xf numFmtId="0" fontId="4" fillId="16" borderId="1" xfId="6" applyFont="1" applyFill="1" applyBorder="1"/>
    <xf numFmtId="171" fontId="4" fillId="16" borderId="1" xfId="3" applyNumberFormat="1" applyFont="1" applyFill="1" applyBorder="1" applyAlignment="1">
      <alignment horizontal="center"/>
    </xf>
    <xf numFmtId="0" fontId="20" fillId="8" borderId="5" xfId="6" applyFont="1" applyFill="1" applyBorder="1" applyAlignment="1">
      <alignment horizontal="center"/>
    </xf>
    <xf numFmtId="171" fontId="4" fillId="0" borderId="5" xfId="3" applyNumberFormat="1" applyFont="1" applyBorder="1"/>
    <xf numFmtId="171" fontId="4" fillId="9" borderId="5" xfId="3" applyNumberFormat="1" applyFont="1" applyFill="1" applyBorder="1"/>
    <xf numFmtId="10" fontId="4" fillId="9" borderId="5" xfId="6" applyNumberFormat="1" applyFont="1" applyFill="1" applyBorder="1"/>
    <xf numFmtId="0" fontId="26" fillId="9" borderId="5" xfId="6" applyFont="1" applyFill="1" applyBorder="1"/>
    <xf numFmtId="0" fontId="0" fillId="0" borderId="0" xfId="0" applyBorder="1" applyAlignment="1">
      <alignment horizontal="center" vertical="center"/>
    </xf>
    <xf numFmtId="171" fontId="25" fillId="8" borderId="5" xfId="3" applyNumberFormat="1" applyFont="1" applyFill="1" applyBorder="1"/>
    <xf numFmtId="9" fontId="4" fillId="0" borderId="5" xfId="6" applyNumberFormat="1" applyFont="1" applyFill="1" applyBorder="1"/>
    <xf numFmtId="9" fontId="25" fillId="8" borderId="5" xfId="6" applyNumberFormat="1" applyFont="1" applyFill="1" applyBorder="1"/>
    <xf numFmtId="9" fontId="4" fillId="0" borderId="5" xfId="6" applyNumberFormat="1" applyFont="1" applyBorder="1"/>
    <xf numFmtId="168" fontId="4" fillId="0" borderId="5" xfId="6" applyNumberFormat="1" applyFont="1" applyBorder="1"/>
    <xf numFmtId="10" fontId="4" fillId="0" borderId="5" xfId="6" applyNumberFormat="1" applyFont="1" applyFill="1" applyBorder="1"/>
    <xf numFmtId="0" fontId="4" fillId="0" borderId="5" xfId="0" applyFont="1" applyBorder="1"/>
    <xf numFmtId="168" fontId="4" fillId="0" borderId="5" xfId="5" applyNumberFormat="1" applyFont="1" applyBorder="1"/>
    <xf numFmtId="0" fontId="0" fillId="8" borderId="0" xfId="0" applyFill="1"/>
    <xf numFmtId="168" fontId="4" fillId="16" borderId="1" xfId="5" applyNumberFormat="1" applyFont="1" applyFill="1" applyBorder="1" applyAlignment="1">
      <alignment horizontal="center"/>
    </xf>
    <xf numFmtId="173" fontId="4" fillId="16" borderId="1" xfId="3" applyNumberFormat="1" applyFont="1" applyFill="1" applyBorder="1" applyAlignment="1">
      <alignment horizontal="center"/>
    </xf>
    <xf numFmtId="0" fontId="9" fillId="0" borderId="5" xfId="0" applyFont="1" applyBorder="1" applyAlignment="1" applyProtection="1">
      <alignment horizontal="center"/>
    </xf>
    <xf numFmtId="0" fontId="9" fillId="0" borderId="15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/>
    </xf>
    <xf numFmtId="0" fontId="21" fillId="8" borderId="0" xfId="0" applyFont="1" applyFill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4" fontId="23" fillId="8" borderId="0" xfId="0" applyNumberFormat="1" applyFont="1" applyFill="1" applyAlignment="1">
      <alignment horizontal="center"/>
    </xf>
    <xf numFmtId="172" fontId="1" fillId="0" borderId="1" xfId="3" applyNumberFormat="1" applyFont="1" applyBorder="1" applyAlignment="1">
      <alignment horizontal="center"/>
    </xf>
    <xf numFmtId="165" fontId="1" fillId="10" borderId="5" xfId="3" applyNumberFormat="1" applyFont="1" applyFill="1" applyBorder="1" applyAlignment="1">
      <alignment horizontal="center"/>
    </xf>
    <xf numFmtId="165" fontId="0" fillId="10" borderId="15" xfId="3" applyNumberFormat="1" applyFont="1" applyFill="1" applyBorder="1" applyAlignment="1">
      <alignment horizontal="center"/>
    </xf>
    <xf numFmtId="165" fontId="0" fillId="10" borderId="14" xfId="3" applyNumberFormat="1" applyFont="1" applyFill="1" applyBorder="1" applyAlignment="1">
      <alignment horizontal="center"/>
    </xf>
    <xf numFmtId="0" fontId="13" fillId="7" borderId="1" xfId="0" applyFont="1" applyFill="1" applyBorder="1" applyAlignment="1" applyProtection="1">
      <alignment horizontal="center"/>
      <protection locked="0"/>
    </xf>
    <xf numFmtId="0" fontId="31" fillId="17" borderId="0" xfId="0" applyFont="1" applyFill="1" applyAlignment="1" applyProtection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1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6" fillId="0" borderId="1" xfId="6" applyFont="1" applyBorder="1" applyAlignment="1">
      <alignment horizontal="center" vertical="center" textRotation="90"/>
    </xf>
    <xf numFmtId="0" fontId="1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1" fillId="0" borderId="36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8" borderId="36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</cellXfs>
  <cellStyles count="7">
    <cellStyle name="Comma [0]" xfId="1" xr:uid="{00000000-0005-0000-0000-000000000000}"/>
    <cellStyle name="Currency [0]" xfId="2" xr:uid="{00000000-0005-0000-0000-000001000000}"/>
    <cellStyle name="Milliers" xfId="3" builtinId="3"/>
    <cellStyle name="Monétaire" xfId="4" builtinId="4"/>
    <cellStyle name="Normal" xfId="0" builtinId="0"/>
    <cellStyle name="Normal_Calcul de prêt" xfId="6" xr:uid="{00000000-0005-0000-0000-000005000000}"/>
    <cellStyle name="Pourcentage" xfId="5" builtinId="5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93280464490578"/>
          <c:y val="8.707865168539318E-2"/>
          <c:w val="0.71809785456348085"/>
          <c:h val="0.676966292134833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SYNTHESE!$A$53</c:f>
              <c:strCache>
                <c:ptCount val="1"/>
                <c:pt idx="0">
                  <c:v>caht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SYNTHESE!$B$52:$I$52</c:f>
              <c:numCache>
                <c:formatCode>_-* #\ ##0\ _F_-;\-* #\ ##0\ _F_-;_-* "-"??\ _F_-;_-@_-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SYNTHESE!$B$53:$I$53</c:f>
              <c:numCache>
                <c:formatCode>_-* #\ ##0\ _F_-;\-* #\ ##0\ _F_-;_-* "-"??\ _F_-;_-@_-</c:formatCode>
                <c:ptCount val="8"/>
                <c:pt idx="0">
                  <c:v>250836.1204013378</c:v>
                </c:pt>
                <c:pt idx="1">
                  <c:v>255852.84280936455</c:v>
                </c:pt>
                <c:pt idx="2">
                  <c:v>260969.89966555184</c:v>
                </c:pt>
                <c:pt idx="3">
                  <c:v>268798.99665551842</c:v>
                </c:pt>
                <c:pt idx="4">
                  <c:v>276862.96655518399</c:v>
                </c:pt>
                <c:pt idx="5">
                  <c:v>285168.85555183957</c:v>
                </c:pt>
                <c:pt idx="6">
                  <c:v>293723.92121839477</c:v>
                </c:pt>
                <c:pt idx="7">
                  <c:v>302535.63885494665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6-46AF-BB1B-9A39D1B43CCA}"/>
            </c:ext>
          </c:extLst>
        </c:ser>
        <c:ser>
          <c:idx val="1"/>
          <c:order val="1"/>
          <c:tx>
            <c:strRef>
              <c:f>SYNTHESE!$A$54</c:f>
              <c:strCache>
                <c:ptCount val="1"/>
                <c:pt idx="0">
                  <c:v>marge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SYNTHESE!$B$52:$I$52</c:f>
              <c:numCache>
                <c:formatCode>_-* #\ ##0\ _F_-;\-* #\ ##0\ _F_-;_-* "-"??\ _F_-;_-@_-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SYNTHESE!$B$54:$I$54</c:f>
              <c:numCache>
                <c:formatCode>_-* #\ ##0\ _F_-;\-* #\ ##0\ _F_-;_-* "-"??\ _F_-;_-@_-</c:formatCode>
                <c:ptCount val="8"/>
                <c:pt idx="0">
                  <c:v>142098.66220735785</c:v>
                </c:pt>
                <c:pt idx="1">
                  <c:v>144940.63545150499</c:v>
                </c:pt>
                <c:pt idx="2">
                  <c:v>147839.4481605351</c:v>
                </c:pt>
                <c:pt idx="3">
                  <c:v>152274.63160535117</c:v>
                </c:pt>
                <c:pt idx="4">
                  <c:v>156842.87055351172</c:v>
                </c:pt>
                <c:pt idx="5">
                  <c:v>161548.15667011711</c:v>
                </c:pt>
                <c:pt idx="6">
                  <c:v>166394.6013702206</c:v>
                </c:pt>
                <c:pt idx="7">
                  <c:v>171386.43941132727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26-46AF-BB1B-9A39D1B43CCA}"/>
            </c:ext>
          </c:extLst>
        </c:ser>
        <c:ser>
          <c:idx val="2"/>
          <c:order val="2"/>
          <c:tx>
            <c:strRef>
              <c:f>SYNTHESE!$A$55</c:f>
              <c:strCache>
                <c:ptCount val="1"/>
                <c:pt idx="0">
                  <c:v>frais 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SYNTHESE!$B$52:$I$52</c:f>
              <c:numCache>
                <c:formatCode>_-* #\ ##0\ _F_-;\-* #\ ##0\ _F_-;_-* "-"??\ _F_-;_-@_-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SYNTHESE!$B$55:$I$55</c:f>
              <c:numCache>
                <c:formatCode>_-* #\ ##0\ _F_-;\-* #\ ##0\ _F_-;_-* "-"??\ _F_-;_-@_-</c:formatCode>
                <c:ptCount val="8"/>
                <c:pt idx="0">
                  <c:v>96846.528513910496</c:v>
                </c:pt>
                <c:pt idx="1">
                  <c:v>99979.165472357126</c:v>
                </c:pt>
                <c:pt idx="2">
                  <c:v>103202.08113733948</c:v>
                </c:pt>
                <c:pt idx="3">
                  <c:v>106752.85396635727</c:v>
                </c:pt>
                <c:pt idx="4">
                  <c:v>110411.14388534003</c:v>
                </c:pt>
                <c:pt idx="5">
                  <c:v>114180.27263415292</c:v>
                </c:pt>
                <c:pt idx="6">
                  <c:v>118063.66624490396</c:v>
                </c:pt>
                <c:pt idx="7">
                  <c:v>109642.75299202959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26-46AF-BB1B-9A39D1B43CCA}"/>
            </c:ext>
          </c:extLst>
        </c:ser>
        <c:ser>
          <c:idx val="3"/>
          <c:order val="3"/>
          <c:tx>
            <c:strRef>
              <c:f>SYNTHESE!$A$56</c:f>
              <c:strCache>
                <c:ptCount val="1"/>
                <c:pt idx="0">
                  <c:v>ebe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SYNTHESE!$B$52:$I$52</c:f>
              <c:numCache>
                <c:formatCode>_-* #\ ##0\ _F_-;\-* #\ ##0\ _F_-;_-* "-"??\ _F_-;_-@_-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SYNTHESE!$B$56:$I$56</c:f>
              <c:numCache>
                <c:formatCode>_-* #\ ##0\ _F_-;\-* #\ ##0\ _F_-;_-* "-"??\ _F_-;_-@_-</c:formatCode>
                <c:ptCount val="8"/>
                <c:pt idx="0">
                  <c:v>51272.187531237447</c:v>
                </c:pt>
                <c:pt idx="1">
                  <c:v>51803.059043462184</c:v>
                </c:pt>
                <c:pt idx="2">
                  <c:v>52329.710818779437</c:v>
                </c:pt>
                <c:pt idx="3">
                  <c:v>54095.134919342818</c:v>
                </c:pt>
                <c:pt idx="4">
                  <c:v>55917.432398443125</c:v>
                </c:pt>
                <c:pt idx="5">
                  <c:v>57798.387670546857</c:v>
                </c:pt>
                <c:pt idx="6">
                  <c:v>59739.840246816631</c:v>
                </c:pt>
                <c:pt idx="7">
                  <c:v>61743.686419297679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26-46AF-BB1B-9A39D1B43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478776"/>
        <c:axId val="200497336"/>
      </c:barChart>
      <c:catAx>
        <c:axId val="200478776"/>
        <c:scaling>
          <c:orientation val="minMax"/>
        </c:scaling>
        <c:delete val="0"/>
        <c:axPos val="b"/>
        <c:numFmt formatCode="_-* #\ ##0\ _F_-;\-* #\ ##0\ _F_-;_-* &quot;-&quot;??\ _F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0497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497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-* #\ ##0\ _F_-;\-* #\ ##0\ _F_-;_-* &quot;-&quot;??\ _F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04787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79168731855995"/>
          <c:y val="0.26685393258426982"/>
          <c:w val="0.10092813141683779"/>
          <c:h val="0.317415730337079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rt'!$A$45</c:f>
              <c:strCache>
                <c:ptCount val="1"/>
                <c:pt idx="0">
                  <c:v>ca</c:v>
                </c:pt>
              </c:strCache>
            </c:strRef>
          </c:tx>
          <c:marker>
            <c:symbol val="none"/>
          </c:marker>
          <c:cat>
            <c:strRef>
              <c:f>'tab rt'!$B$44:$H$44</c:f>
              <c:strCache>
                <c:ptCount val="7"/>
                <c:pt idx="0">
                  <c:v>N</c:v>
                </c:pt>
                <c:pt idx="1">
                  <c:v>N+1</c:v>
                </c:pt>
                <c:pt idx="2">
                  <c:v>N+2</c:v>
                </c:pt>
                <c:pt idx="3">
                  <c:v>N+3</c:v>
                </c:pt>
                <c:pt idx="4">
                  <c:v>N+4</c:v>
                </c:pt>
                <c:pt idx="5">
                  <c:v>N+5</c:v>
                </c:pt>
                <c:pt idx="6">
                  <c:v>N+6</c:v>
                </c:pt>
              </c:strCache>
            </c:strRef>
          </c:cat>
          <c:val>
            <c:numRef>
              <c:f>'tab rt'!$B$45:$H$45</c:f>
              <c:numCache>
                <c:formatCode>_-* #\ ##0\ _F_-;\-* #\ ##0\ _F_-;_-* "-"??\ _F_-;_-@_-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8-47C1-ADBD-2158C63E2573}"/>
            </c:ext>
          </c:extLst>
        </c:ser>
        <c:ser>
          <c:idx val="1"/>
          <c:order val="1"/>
          <c:tx>
            <c:strRef>
              <c:f>'tab rt'!$A$46</c:f>
              <c:strCache>
                <c:ptCount val="1"/>
                <c:pt idx="0">
                  <c:v>marge</c:v>
                </c:pt>
              </c:strCache>
            </c:strRef>
          </c:tx>
          <c:marker>
            <c:symbol val="none"/>
          </c:marker>
          <c:cat>
            <c:strRef>
              <c:f>'tab rt'!$B$44:$H$44</c:f>
              <c:strCache>
                <c:ptCount val="7"/>
                <c:pt idx="0">
                  <c:v>N</c:v>
                </c:pt>
                <c:pt idx="1">
                  <c:v>N+1</c:v>
                </c:pt>
                <c:pt idx="2">
                  <c:v>N+2</c:v>
                </c:pt>
                <c:pt idx="3">
                  <c:v>N+3</c:v>
                </c:pt>
                <c:pt idx="4">
                  <c:v>N+4</c:v>
                </c:pt>
                <c:pt idx="5">
                  <c:v>N+5</c:v>
                </c:pt>
                <c:pt idx="6">
                  <c:v>N+6</c:v>
                </c:pt>
              </c:strCache>
            </c:strRef>
          </c:cat>
          <c:val>
            <c:numRef>
              <c:f>'tab rt'!$B$46:$H$46</c:f>
              <c:numCache>
                <c:formatCode>_-* #\ ##0\ _F_-;\-* #\ ##0\ _F_-;_-* "-"??\ _F_-;_-@_-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8-47C1-ADBD-2158C63E2573}"/>
            </c:ext>
          </c:extLst>
        </c:ser>
        <c:ser>
          <c:idx val="2"/>
          <c:order val="2"/>
          <c:tx>
            <c:strRef>
              <c:f>'tab rt'!$A$47</c:f>
              <c:strCache>
                <c:ptCount val="1"/>
                <c:pt idx="0">
                  <c:v>ebe</c:v>
                </c:pt>
              </c:strCache>
            </c:strRef>
          </c:tx>
          <c:marker>
            <c:symbol val="none"/>
          </c:marker>
          <c:cat>
            <c:strRef>
              <c:f>'tab rt'!$B$44:$H$44</c:f>
              <c:strCache>
                <c:ptCount val="7"/>
                <c:pt idx="0">
                  <c:v>N</c:v>
                </c:pt>
                <c:pt idx="1">
                  <c:v>N+1</c:v>
                </c:pt>
                <c:pt idx="2">
                  <c:v>N+2</c:v>
                </c:pt>
                <c:pt idx="3">
                  <c:v>N+3</c:v>
                </c:pt>
                <c:pt idx="4">
                  <c:v>N+4</c:v>
                </c:pt>
                <c:pt idx="5">
                  <c:v>N+5</c:v>
                </c:pt>
                <c:pt idx="6">
                  <c:v>N+6</c:v>
                </c:pt>
              </c:strCache>
            </c:strRef>
          </c:cat>
          <c:val>
            <c:numRef>
              <c:f>'tab rt'!$B$47:$H$47</c:f>
              <c:numCache>
                <c:formatCode>_-* #\ ##0\ _F_-;\-* #\ ##0\ _F_-;_-* "-"??\ _F_-;_-@_-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8-47C1-ADBD-2158C63E2573}"/>
            </c:ext>
          </c:extLst>
        </c:ser>
        <c:ser>
          <c:idx val="3"/>
          <c:order val="3"/>
          <c:tx>
            <c:strRef>
              <c:f>'tab rt'!$A$48</c:f>
              <c:strCache>
                <c:ptCount val="1"/>
                <c:pt idx="0">
                  <c:v>rt</c:v>
                </c:pt>
              </c:strCache>
            </c:strRef>
          </c:tx>
          <c:marker>
            <c:symbol val="none"/>
          </c:marker>
          <c:cat>
            <c:strRef>
              <c:f>'tab rt'!$B$44:$H$44</c:f>
              <c:strCache>
                <c:ptCount val="7"/>
                <c:pt idx="0">
                  <c:v>N</c:v>
                </c:pt>
                <c:pt idx="1">
                  <c:v>N+1</c:v>
                </c:pt>
                <c:pt idx="2">
                  <c:v>N+2</c:v>
                </c:pt>
                <c:pt idx="3">
                  <c:v>N+3</c:v>
                </c:pt>
                <c:pt idx="4">
                  <c:v>N+4</c:v>
                </c:pt>
                <c:pt idx="5">
                  <c:v>N+5</c:v>
                </c:pt>
                <c:pt idx="6">
                  <c:v>N+6</c:v>
                </c:pt>
              </c:strCache>
            </c:strRef>
          </c:cat>
          <c:val>
            <c:numRef>
              <c:f>'tab rt'!$B$48:$H$48</c:f>
              <c:numCache>
                <c:formatCode>_-* #\ ##0\ _F_-;\-* #\ ##0\ _F_-;_-* "-"??\ _F_-;_-@_-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28-47C1-ADBD-2158C63E2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851880"/>
        <c:axId val="201142488"/>
      </c:lineChart>
      <c:catAx>
        <c:axId val="201851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1142488"/>
        <c:crosses val="autoZero"/>
        <c:auto val="1"/>
        <c:lblAlgn val="ctr"/>
        <c:lblOffset val="100"/>
        <c:noMultiLvlLbl val="0"/>
      </c:catAx>
      <c:valAx>
        <c:axId val="201142488"/>
        <c:scaling>
          <c:orientation val="minMax"/>
        </c:scaling>
        <c:delete val="0"/>
        <c:axPos val="l"/>
        <c:majorGridlines/>
        <c:numFmt formatCode="_-* #\ ##0\ _F_-;\-* #\ ##0\ _F_-;_-* &quot;-&quot;??\ _F_-;_-@_-" sourceLinked="1"/>
        <c:majorTickMark val="out"/>
        <c:minorTickMark val="none"/>
        <c:tickLblPos val="nextTo"/>
        <c:crossAx val="201851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 marge in'!$A$27</c:f>
              <c:strCache>
                <c:ptCount val="1"/>
                <c:pt idx="0">
                  <c:v>caht</c:v>
                </c:pt>
              </c:strCache>
            </c:strRef>
          </c:tx>
          <c:marker>
            <c:symbol val="none"/>
          </c:marker>
          <c:cat>
            <c:strRef>
              <c:f>'ca marge in'!$B$26:$H$26</c:f>
              <c:strCache>
                <c:ptCount val="7"/>
                <c:pt idx="0">
                  <c:v>N</c:v>
                </c:pt>
                <c:pt idx="1">
                  <c:v>N+1</c:v>
                </c:pt>
                <c:pt idx="2">
                  <c:v>N+2</c:v>
                </c:pt>
                <c:pt idx="3">
                  <c:v>N+3</c:v>
                </c:pt>
                <c:pt idx="4">
                  <c:v>N+4</c:v>
                </c:pt>
                <c:pt idx="5">
                  <c:v>N+5</c:v>
                </c:pt>
                <c:pt idx="6">
                  <c:v>N+6</c:v>
                </c:pt>
              </c:strCache>
            </c:strRef>
          </c:cat>
          <c:val>
            <c:numRef>
              <c:f>'ca marge in'!$B$27:$H$27</c:f>
              <c:numCache>
                <c:formatCode>_-* #\ ##0\ _F_-;\-* #\ ##0\ _F_-;_-* "-"??\ _F_-;_-@_-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5-49F6-8C85-CB3AE6FFE561}"/>
            </c:ext>
          </c:extLst>
        </c:ser>
        <c:ser>
          <c:idx val="1"/>
          <c:order val="1"/>
          <c:tx>
            <c:strRef>
              <c:f>'ca marge in'!$A$28</c:f>
              <c:strCache>
                <c:ptCount val="1"/>
                <c:pt idx="0">
                  <c:v>marge</c:v>
                </c:pt>
              </c:strCache>
            </c:strRef>
          </c:tx>
          <c:marker>
            <c:symbol val="none"/>
          </c:marker>
          <c:cat>
            <c:strRef>
              <c:f>'ca marge in'!$B$26:$H$26</c:f>
              <c:strCache>
                <c:ptCount val="7"/>
                <c:pt idx="0">
                  <c:v>N</c:v>
                </c:pt>
                <c:pt idx="1">
                  <c:v>N+1</c:v>
                </c:pt>
                <c:pt idx="2">
                  <c:v>N+2</c:v>
                </c:pt>
                <c:pt idx="3">
                  <c:v>N+3</c:v>
                </c:pt>
                <c:pt idx="4">
                  <c:v>N+4</c:v>
                </c:pt>
                <c:pt idx="5">
                  <c:v>N+5</c:v>
                </c:pt>
                <c:pt idx="6">
                  <c:v>N+6</c:v>
                </c:pt>
              </c:strCache>
            </c:strRef>
          </c:cat>
          <c:val>
            <c:numRef>
              <c:f>'ca marge in'!$B$28:$H$28</c:f>
              <c:numCache>
                <c:formatCode>_-* #\ ##0\ _F_-;\-* #\ ##0\ _F_-;_-* "-"??\ _F_-;_-@_-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5-49F6-8C85-CB3AE6FFE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397688"/>
        <c:axId val="202305192"/>
      </c:lineChart>
      <c:catAx>
        <c:axId val="201397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2305192"/>
        <c:crosses val="autoZero"/>
        <c:auto val="1"/>
        <c:lblAlgn val="ctr"/>
        <c:lblOffset val="100"/>
        <c:noMultiLvlLbl val="0"/>
      </c:catAx>
      <c:valAx>
        <c:axId val="202305192"/>
        <c:scaling>
          <c:orientation val="minMax"/>
        </c:scaling>
        <c:delete val="0"/>
        <c:axPos val="l"/>
        <c:majorGridlines/>
        <c:numFmt formatCode="_-* #\ ##0\ _F_-;\-* #\ ##0\ _F_-;_-* &quot;-&quot;??\ _F_-;_-@_-" sourceLinked="1"/>
        <c:majorTickMark val="out"/>
        <c:minorTickMark val="none"/>
        <c:tickLblPos val="nextTo"/>
        <c:crossAx val="201397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 marge in'!$A$57</c:f>
              <c:strCache>
                <c:ptCount val="1"/>
                <c:pt idx="0">
                  <c:v>JANVIER</c:v>
                </c:pt>
              </c:strCache>
            </c:strRef>
          </c:tx>
          <c:invertIfNegative val="0"/>
          <c:cat>
            <c:strRef>
              <c:f>'ca marge in'!$B$56:$H$56</c:f>
              <c:strCache>
                <c:ptCount val="7"/>
                <c:pt idx="0">
                  <c:v>N</c:v>
                </c:pt>
                <c:pt idx="1">
                  <c:v>N+1</c:v>
                </c:pt>
                <c:pt idx="2">
                  <c:v>N+2</c:v>
                </c:pt>
                <c:pt idx="3">
                  <c:v>N+3</c:v>
                </c:pt>
                <c:pt idx="4">
                  <c:v>N+4</c:v>
                </c:pt>
                <c:pt idx="5">
                  <c:v>N+5</c:v>
                </c:pt>
                <c:pt idx="6">
                  <c:v>N+6</c:v>
                </c:pt>
              </c:strCache>
            </c:strRef>
          </c:cat>
          <c:val>
            <c:numRef>
              <c:f>'ca marge in'!$B$57:$H$57</c:f>
              <c:numCache>
                <c:formatCode>_-* #\ ##0\ _F_-;\-* #\ ##0\ _F_-;_-* "-"??\ _F_-;_-@_-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53-4AAC-806A-7BE3BF917BC5}"/>
            </c:ext>
          </c:extLst>
        </c:ser>
        <c:ser>
          <c:idx val="1"/>
          <c:order val="1"/>
          <c:tx>
            <c:strRef>
              <c:f>'ca marge in'!$A$58</c:f>
              <c:strCache>
                <c:ptCount val="1"/>
                <c:pt idx="0">
                  <c:v>FÉVRIER</c:v>
                </c:pt>
              </c:strCache>
            </c:strRef>
          </c:tx>
          <c:invertIfNegative val="0"/>
          <c:cat>
            <c:strRef>
              <c:f>'ca marge in'!$B$56:$H$56</c:f>
              <c:strCache>
                <c:ptCount val="7"/>
                <c:pt idx="0">
                  <c:v>N</c:v>
                </c:pt>
                <c:pt idx="1">
                  <c:v>N+1</c:v>
                </c:pt>
                <c:pt idx="2">
                  <c:v>N+2</c:v>
                </c:pt>
                <c:pt idx="3">
                  <c:v>N+3</c:v>
                </c:pt>
                <c:pt idx="4">
                  <c:v>N+4</c:v>
                </c:pt>
                <c:pt idx="5">
                  <c:v>N+5</c:v>
                </c:pt>
                <c:pt idx="6">
                  <c:v>N+6</c:v>
                </c:pt>
              </c:strCache>
            </c:strRef>
          </c:cat>
          <c:val>
            <c:numRef>
              <c:f>'ca marge in'!$B$58:$H$58</c:f>
              <c:numCache>
                <c:formatCode>_-* #\ ##0\ _F_-;\-* #\ ##0\ _F_-;_-* "-"??\ _F_-;_-@_-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53-4AAC-806A-7BE3BF917BC5}"/>
            </c:ext>
          </c:extLst>
        </c:ser>
        <c:ser>
          <c:idx val="2"/>
          <c:order val="2"/>
          <c:tx>
            <c:strRef>
              <c:f>'ca marge in'!$A$59</c:f>
              <c:strCache>
                <c:ptCount val="1"/>
                <c:pt idx="0">
                  <c:v>MARS</c:v>
                </c:pt>
              </c:strCache>
            </c:strRef>
          </c:tx>
          <c:invertIfNegative val="0"/>
          <c:cat>
            <c:strRef>
              <c:f>'ca marge in'!$B$56:$H$56</c:f>
              <c:strCache>
                <c:ptCount val="7"/>
                <c:pt idx="0">
                  <c:v>N</c:v>
                </c:pt>
                <c:pt idx="1">
                  <c:v>N+1</c:v>
                </c:pt>
                <c:pt idx="2">
                  <c:v>N+2</c:v>
                </c:pt>
                <c:pt idx="3">
                  <c:v>N+3</c:v>
                </c:pt>
                <c:pt idx="4">
                  <c:v>N+4</c:v>
                </c:pt>
                <c:pt idx="5">
                  <c:v>N+5</c:v>
                </c:pt>
                <c:pt idx="6">
                  <c:v>N+6</c:v>
                </c:pt>
              </c:strCache>
            </c:strRef>
          </c:cat>
          <c:val>
            <c:numRef>
              <c:f>'ca marge in'!$B$59:$H$59</c:f>
              <c:numCache>
                <c:formatCode>_-* #\ ##0\ _F_-;\-* #\ ##0\ _F_-;_-* "-"??\ _F_-;_-@_-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53-4AAC-806A-7BE3BF917BC5}"/>
            </c:ext>
          </c:extLst>
        </c:ser>
        <c:ser>
          <c:idx val="3"/>
          <c:order val="3"/>
          <c:tx>
            <c:strRef>
              <c:f>'ca marge in'!$A$60</c:f>
              <c:strCache>
                <c:ptCount val="1"/>
                <c:pt idx="0">
                  <c:v>AVRIL</c:v>
                </c:pt>
              </c:strCache>
            </c:strRef>
          </c:tx>
          <c:invertIfNegative val="0"/>
          <c:cat>
            <c:strRef>
              <c:f>'ca marge in'!$B$56:$H$56</c:f>
              <c:strCache>
                <c:ptCount val="7"/>
                <c:pt idx="0">
                  <c:v>N</c:v>
                </c:pt>
                <c:pt idx="1">
                  <c:v>N+1</c:v>
                </c:pt>
                <c:pt idx="2">
                  <c:v>N+2</c:v>
                </c:pt>
                <c:pt idx="3">
                  <c:v>N+3</c:v>
                </c:pt>
                <c:pt idx="4">
                  <c:v>N+4</c:v>
                </c:pt>
                <c:pt idx="5">
                  <c:v>N+5</c:v>
                </c:pt>
                <c:pt idx="6">
                  <c:v>N+6</c:v>
                </c:pt>
              </c:strCache>
            </c:strRef>
          </c:cat>
          <c:val>
            <c:numRef>
              <c:f>'ca marge in'!$B$60:$H$60</c:f>
              <c:numCache>
                <c:formatCode>_-* #\ ##0\ _F_-;\-* #\ ##0\ _F_-;_-* "-"??\ _F_-;_-@_-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53-4AAC-806A-7BE3BF917BC5}"/>
            </c:ext>
          </c:extLst>
        </c:ser>
        <c:ser>
          <c:idx val="4"/>
          <c:order val="4"/>
          <c:tx>
            <c:strRef>
              <c:f>'ca marge in'!$A$61</c:f>
              <c:strCache>
                <c:ptCount val="1"/>
                <c:pt idx="0">
                  <c:v>MAI</c:v>
                </c:pt>
              </c:strCache>
            </c:strRef>
          </c:tx>
          <c:invertIfNegative val="0"/>
          <c:cat>
            <c:strRef>
              <c:f>'ca marge in'!$B$56:$H$56</c:f>
              <c:strCache>
                <c:ptCount val="7"/>
                <c:pt idx="0">
                  <c:v>N</c:v>
                </c:pt>
                <c:pt idx="1">
                  <c:v>N+1</c:v>
                </c:pt>
                <c:pt idx="2">
                  <c:v>N+2</c:v>
                </c:pt>
                <c:pt idx="3">
                  <c:v>N+3</c:v>
                </c:pt>
                <c:pt idx="4">
                  <c:v>N+4</c:v>
                </c:pt>
                <c:pt idx="5">
                  <c:v>N+5</c:v>
                </c:pt>
                <c:pt idx="6">
                  <c:v>N+6</c:v>
                </c:pt>
              </c:strCache>
            </c:strRef>
          </c:cat>
          <c:val>
            <c:numRef>
              <c:f>'ca marge in'!$B$61:$H$61</c:f>
              <c:numCache>
                <c:formatCode>_-* #\ ##0\ _F_-;\-* #\ ##0\ _F_-;_-* "-"??\ _F_-;_-@_-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3-4AAC-806A-7BE3BF917BC5}"/>
            </c:ext>
          </c:extLst>
        </c:ser>
        <c:ser>
          <c:idx val="5"/>
          <c:order val="5"/>
          <c:tx>
            <c:strRef>
              <c:f>'ca marge in'!$A$62</c:f>
              <c:strCache>
                <c:ptCount val="1"/>
                <c:pt idx="0">
                  <c:v>JUIN</c:v>
                </c:pt>
              </c:strCache>
            </c:strRef>
          </c:tx>
          <c:invertIfNegative val="0"/>
          <c:cat>
            <c:strRef>
              <c:f>'ca marge in'!$B$56:$H$56</c:f>
              <c:strCache>
                <c:ptCount val="7"/>
                <c:pt idx="0">
                  <c:v>N</c:v>
                </c:pt>
                <c:pt idx="1">
                  <c:v>N+1</c:v>
                </c:pt>
                <c:pt idx="2">
                  <c:v>N+2</c:v>
                </c:pt>
                <c:pt idx="3">
                  <c:v>N+3</c:v>
                </c:pt>
                <c:pt idx="4">
                  <c:v>N+4</c:v>
                </c:pt>
                <c:pt idx="5">
                  <c:v>N+5</c:v>
                </c:pt>
                <c:pt idx="6">
                  <c:v>N+6</c:v>
                </c:pt>
              </c:strCache>
            </c:strRef>
          </c:cat>
          <c:val>
            <c:numRef>
              <c:f>'ca marge in'!$B$62:$H$62</c:f>
              <c:numCache>
                <c:formatCode>_-* #\ ##0\ _F_-;\-* #\ ##0\ _F_-;_-* "-"??\ _F_-;_-@_-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53-4AAC-806A-7BE3BF917BC5}"/>
            </c:ext>
          </c:extLst>
        </c:ser>
        <c:ser>
          <c:idx val="6"/>
          <c:order val="6"/>
          <c:tx>
            <c:strRef>
              <c:f>'ca marge in'!$A$63</c:f>
              <c:strCache>
                <c:ptCount val="1"/>
                <c:pt idx="0">
                  <c:v>JUILLET</c:v>
                </c:pt>
              </c:strCache>
            </c:strRef>
          </c:tx>
          <c:invertIfNegative val="0"/>
          <c:cat>
            <c:strRef>
              <c:f>'ca marge in'!$B$56:$H$56</c:f>
              <c:strCache>
                <c:ptCount val="7"/>
                <c:pt idx="0">
                  <c:v>N</c:v>
                </c:pt>
                <c:pt idx="1">
                  <c:v>N+1</c:v>
                </c:pt>
                <c:pt idx="2">
                  <c:v>N+2</c:v>
                </c:pt>
                <c:pt idx="3">
                  <c:v>N+3</c:v>
                </c:pt>
                <c:pt idx="4">
                  <c:v>N+4</c:v>
                </c:pt>
                <c:pt idx="5">
                  <c:v>N+5</c:v>
                </c:pt>
                <c:pt idx="6">
                  <c:v>N+6</c:v>
                </c:pt>
              </c:strCache>
            </c:strRef>
          </c:cat>
          <c:val>
            <c:numRef>
              <c:f>'ca marge in'!$B$63:$H$63</c:f>
              <c:numCache>
                <c:formatCode>_-* #\ ##0\ _F_-;\-* #\ ##0\ _F_-;_-* "-"??\ _F_-;_-@_-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53-4AAC-806A-7BE3BF917BC5}"/>
            </c:ext>
          </c:extLst>
        </c:ser>
        <c:ser>
          <c:idx val="7"/>
          <c:order val="7"/>
          <c:tx>
            <c:strRef>
              <c:f>'ca marge in'!$A$64</c:f>
              <c:strCache>
                <c:ptCount val="1"/>
                <c:pt idx="0">
                  <c:v>AOÛT</c:v>
                </c:pt>
              </c:strCache>
            </c:strRef>
          </c:tx>
          <c:invertIfNegative val="0"/>
          <c:cat>
            <c:strRef>
              <c:f>'ca marge in'!$B$56:$H$56</c:f>
              <c:strCache>
                <c:ptCount val="7"/>
                <c:pt idx="0">
                  <c:v>N</c:v>
                </c:pt>
                <c:pt idx="1">
                  <c:v>N+1</c:v>
                </c:pt>
                <c:pt idx="2">
                  <c:v>N+2</c:v>
                </c:pt>
                <c:pt idx="3">
                  <c:v>N+3</c:v>
                </c:pt>
                <c:pt idx="4">
                  <c:v>N+4</c:v>
                </c:pt>
                <c:pt idx="5">
                  <c:v>N+5</c:v>
                </c:pt>
                <c:pt idx="6">
                  <c:v>N+6</c:v>
                </c:pt>
              </c:strCache>
            </c:strRef>
          </c:cat>
          <c:val>
            <c:numRef>
              <c:f>'ca marge in'!$B$64:$H$64</c:f>
              <c:numCache>
                <c:formatCode>_-* #\ ##0\ _F_-;\-* #\ ##0\ _F_-;_-* "-"??\ _F_-;_-@_-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53-4AAC-806A-7BE3BF917BC5}"/>
            </c:ext>
          </c:extLst>
        </c:ser>
        <c:ser>
          <c:idx val="8"/>
          <c:order val="8"/>
          <c:tx>
            <c:strRef>
              <c:f>'ca marge in'!$A$65</c:f>
              <c:strCache>
                <c:ptCount val="1"/>
                <c:pt idx="0">
                  <c:v>SEPTEMBRE</c:v>
                </c:pt>
              </c:strCache>
            </c:strRef>
          </c:tx>
          <c:invertIfNegative val="0"/>
          <c:cat>
            <c:strRef>
              <c:f>'ca marge in'!$B$56:$H$56</c:f>
              <c:strCache>
                <c:ptCount val="7"/>
                <c:pt idx="0">
                  <c:v>N</c:v>
                </c:pt>
                <c:pt idx="1">
                  <c:v>N+1</c:v>
                </c:pt>
                <c:pt idx="2">
                  <c:v>N+2</c:v>
                </c:pt>
                <c:pt idx="3">
                  <c:v>N+3</c:v>
                </c:pt>
                <c:pt idx="4">
                  <c:v>N+4</c:v>
                </c:pt>
                <c:pt idx="5">
                  <c:v>N+5</c:v>
                </c:pt>
                <c:pt idx="6">
                  <c:v>N+6</c:v>
                </c:pt>
              </c:strCache>
            </c:strRef>
          </c:cat>
          <c:val>
            <c:numRef>
              <c:f>'ca marge in'!$B$65:$H$65</c:f>
              <c:numCache>
                <c:formatCode>_-* #\ ##0\ _F_-;\-* #\ ##0\ _F_-;_-* "-"??\ _F_-;_-@_-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53-4AAC-806A-7BE3BF917BC5}"/>
            </c:ext>
          </c:extLst>
        </c:ser>
        <c:ser>
          <c:idx val="9"/>
          <c:order val="9"/>
          <c:tx>
            <c:strRef>
              <c:f>'ca marge in'!$A$66</c:f>
              <c:strCache>
                <c:ptCount val="1"/>
                <c:pt idx="0">
                  <c:v>OCTOBRE</c:v>
                </c:pt>
              </c:strCache>
            </c:strRef>
          </c:tx>
          <c:invertIfNegative val="0"/>
          <c:cat>
            <c:strRef>
              <c:f>'ca marge in'!$B$56:$H$56</c:f>
              <c:strCache>
                <c:ptCount val="7"/>
                <c:pt idx="0">
                  <c:v>N</c:v>
                </c:pt>
                <c:pt idx="1">
                  <c:v>N+1</c:v>
                </c:pt>
                <c:pt idx="2">
                  <c:v>N+2</c:v>
                </c:pt>
                <c:pt idx="3">
                  <c:v>N+3</c:v>
                </c:pt>
                <c:pt idx="4">
                  <c:v>N+4</c:v>
                </c:pt>
                <c:pt idx="5">
                  <c:v>N+5</c:v>
                </c:pt>
                <c:pt idx="6">
                  <c:v>N+6</c:v>
                </c:pt>
              </c:strCache>
            </c:strRef>
          </c:cat>
          <c:val>
            <c:numRef>
              <c:f>'ca marge in'!$B$66:$H$66</c:f>
              <c:numCache>
                <c:formatCode>_-* #\ ##0\ _F_-;\-* #\ ##0\ _F_-;_-* "-"??\ _F_-;_-@_-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53-4AAC-806A-7BE3BF917BC5}"/>
            </c:ext>
          </c:extLst>
        </c:ser>
        <c:ser>
          <c:idx val="10"/>
          <c:order val="10"/>
          <c:tx>
            <c:strRef>
              <c:f>'ca marge in'!$A$67</c:f>
              <c:strCache>
                <c:ptCount val="1"/>
                <c:pt idx="0">
                  <c:v>NOVEMBRE</c:v>
                </c:pt>
              </c:strCache>
            </c:strRef>
          </c:tx>
          <c:invertIfNegative val="0"/>
          <c:cat>
            <c:strRef>
              <c:f>'ca marge in'!$B$56:$H$56</c:f>
              <c:strCache>
                <c:ptCount val="7"/>
                <c:pt idx="0">
                  <c:v>N</c:v>
                </c:pt>
                <c:pt idx="1">
                  <c:v>N+1</c:v>
                </c:pt>
                <c:pt idx="2">
                  <c:v>N+2</c:v>
                </c:pt>
                <c:pt idx="3">
                  <c:v>N+3</c:v>
                </c:pt>
                <c:pt idx="4">
                  <c:v>N+4</c:v>
                </c:pt>
                <c:pt idx="5">
                  <c:v>N+5</c:v>
                </c:pt>
                <c:pt idx="6">
                  <c:v>N+6</c:v>
                </c:pt>
              </c:strCache>
            </c:strRef>
          </c:cat>
          <c:val>
            <c:numRef>
              <c:f>'ca marge in'!$B$67:$H$67</c:f>
              <c:numCache>
                <c:formatCode>_-* #\ ##0\ _F_-;\-* #\ ##0\ _F_-;_-* "-"??\ _F_-;_-@_-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B53-4AAC-806A-7BE3BF917BC5}"/>
            </c:ext>
          </c:extLst>
        </c:ser>
        <c:ser>
          <c:idx val="11"/>
          <c:order val="11"/>
          <c:tx>
            <c:strRef>
              <c:f>'ca marge in'!$A$68</c:f>
              <c:strCache>
                <c:ptCount val="1"/>
                <c:pt idx="0">
                  <c:v>DÉCEMBRE</c:v>
                </c:pt>
              </c:strCache>
            </c:strRef>
          </c:tx>
          <c:invertIfNegative val="0"/>
          <c:cat>
            <c:strRef>
              <c:f>'ca marge in'!$B$56:$H$56</c:f>
              <c:strCache>
                <c:ptCount val="7"/>
                <c:pt idx="0">
                  <c:v>N</c:v>
                </c:pt>
                <c:pt idx="1">
                  <c:v>N+1</c:v>
                </c:pt>
                <c:pt idx="2">
                  <c:v>N+2</c:v>
                </c:pt>
                <c:pt idx="3">
                  <c:v>N+3</c:v>
                </c:pt>
                <c:pt idx="4">
                  <c:v>N+4</c:v>
                </c:pt>
                <c:pt idx="5">
                  <c:v>N+5</c:v>
                </c:pt>
                <c:pt idx="6">
                  <c:v>N+6</c:v>
                </c:pt>
              </c:strCache>
            </c:strRef>
          </c:cat>
          <c:val>
            <c:numRef>
              <c:f>'ca marge in'!$B$68:$H$68</c:f>
              <c:numCache>
                <c:formatCode>_-* #\ ##0\ _F_-;\-* #\ ##0\ _F_-;_-* "-"??\ _F_-;_-@_-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53-4AAC-806A-7BE3BF917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021040"/>
        <c:axId val="201846320"/>
      </c:barChart>
      <c:catAx>
        <c:axId val="202021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1846320"/>
        <c:crosses val="autoZero"/>
        <c:auto val="1"/>
        <c:lblAlgn val="ctr"/>
        <c:lblOffset val="100"/>
        <c:noMultiLvlLbl val="0"/>
      </c:catAx>
      <c:valAx>
        <c:axId val="201846320"/>
        <c:scaling>
          <c:orientation val="minMax"/>
        </c:scaling>
        <c:delete val="0"/>
        <c:axPos val="l"/>
        <c:majorGridlines/>
        <c:numFmt formatCode="_-* #\ ##0\ _F_-;\-* #\ ##0\ _F_-;_-* &quot;-&quot;??\ _F_-;_-@_-" sourceLinked="1"/>
        <c:majorTickMark val="out"/>
        <c:minorTickMark val="none"/>
        <c:tickLblPos val="nextTo"/>
        <c:crossAx val="202021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u="sng"/>
            </a:pPr>
            <a:r>
              <a:rPr lang="fr-FR" u="sng"/>
              <a:t>année N</a:t>
            </a:r>
          </a:p>
        </c:rich>
      </c:tx>
      <c:layout>
        <c:manualLayout>
          <c:xMode val="edge"/>
          <c:yMode val="edge"/>
          <c:x val="0.86305278174037059"/>
          <c:y val="2.7777777777777811E-2"/>
        </c:manualLayout>
      </c:layout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 marge mois'!$C$42</c:f>
              <c:strCache>
                <c:ptCount val="1"/>
                <c:pt idx="0">
                  <c:v>CAHT</c:v>
                </c:pt>
              </c:strCache>
            </c:strRef>
          </c:tx>
          <c:marker>
            <c:symbol val="none"/>
          </c:marker>
          <c:cat>
            <c:strRef>
              <c:f>'ca marge mois'!$B$43:$B$54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'ca marge mois'!$C$43:$C$54</c:f>
              <c:numCache>
                <c:formatCode>_-* #\ ##0\ _F_-;\-* #\ ##0\ _F_-;_-* "-"??\ _F_-;_-@_-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F-455D-8006-B3F0CC0911F9}"/>
            </c:ext>
          </c:extLst>
        </c:ser>
        <c:ser>
          <c:idx val="1"/>
          <c:order val="1"/>
          <c:tx>
            <c:strRef>
              <c:f>'ca marge mois'!$D$42</c:f>
              <c:strCache>
                <c:ptCount val="1"/>
                <c:pt idx="0">
                  <c:v>MARGE</c:v>
                </c:pt>
              </c:strCache>
            </c:strRef>
          </c:tx>
          <c:marker>
            <c:symbol val="none"/>
          </c:marker>
          <c:cat>
            <c:strRef>
              <c:f>'ca marge mois'!$B$43:$B$54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'ca marge mois'!$D$43:$D$54</c:f>
              <c:numCache>
                <c:formatCode>_-* #\ ##0\ _F_-;\-* #\ ##0\ _F_-;_-* "-"??\ _F_-;_-@_-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F-455D-8006-B3F0CC091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846704"/>
        <c:axId val="202102776"/>
      </c:lineChart>
      <c:catAx>
        <c:axId val="20184670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202102776"/>
        <c:crosses val="autoZero"/>
        <c:auto val="1"/>
        <c:lblAlgn val="ctr"/>
        <c:lblOffset val="100"/>
        <c:noMultiLvlLbl val="0"/>
      </c:catAx>
      <c:valAx>
        <c:axId val="202102776"/>
        <c:scaling>
          <c:orientation val="minMax"/>
        </c:scaling>
        <c:delete val="0"/>
        <c:axPos val="l"/>
        <c:majorGridlines/>
        <c:numFmt formatCode="_-* #\ ##0\ _F_-;\-* #\ ##0\ _F_-;_-* &quot;-&quot;??\ _F_-;_-@_-" sourceLinked="1"/>
        <c:majorTickMark val="out"/>
        <c:minorTickMark val="none"/>
        <c:tickLblPos val="nextTo"/>
        <c:crossAx val="201846704"/>
        <c:crosses val="autoZero"/>
        <c:crossBetween val="between"/>
        <c:dispUnits>
          <c:builtInUnit val="thousands"/>
          <c:dispUnitsLbl/>
        </c:dispUnits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'trésorerie N'!$H$66</c:f>
              <c:strCache>
                <c:ptCount val="1"/>
                <c:pt idx="0">
                  <c:v>total mois</c:v>
                </c:pt>
              </c:strCache>
            </c:strRef>
          </c:tx>
          <c:invertIfNegative val="0"/>
          <c:dLbls>
            <c:delete val="1"/>
          </c:dLbls>
          <c:cat>
            <c:strRef>
              <c:f>'trésorerie N'!$A$67:$A$78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'trésorerie N'!$H$67:$H$78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A-4574-B9DA-8A6CD4D78698}"/>
            </c:ext>
          </c:extLst>
        </c:ser>
        <c:ser>
          <c:idx val="1"/>
          <c:order val="1"/>
          <c:tx>
            <c:strRef>
              <c:f>'trésorerie N'!$I$66</c:f>
              <c:strCache>
                <c:ptCount val="1"/>
                <c:pt idx="0">
                  <c:v>cumul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'trésorerie N'!$A$67:$A$78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'trésorerie N'!$I$67:$I$78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BA-4574-B9DA-8A6CD4D786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9500664"/>
        <c:axId val="199501056"/>
      </c:barChart>
      <c:catAx>
        <c:axId val="199500664"/>
        <c:scaling>
          <c:orientation val="minMax"/>
        </c:scaling>
        <c:delete val="0"/>
        <c:axPos val="b"/>
        <c:majorGridlines/>
        <c:numFmt formatCode="General" sourceLinked="0"/>
        <c:majorTickMark val="cross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99501056"/>
        <c:crosses val="autoZero"/>
        <c:auto val="1"/>
        <c:lblAlgn val="ctr"/>
        <c:lblOffset val="100"/>
        <c:noMultiLvlLbl val="0"/>
      </c:catAx>
      <c:valAx>
        <c:axId val="19950105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99500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152400</xdr:rowOff>
    </xdr:from>
    <xdr:to>
      <xdr:col>6</xdr:col>
      <xdr:colOff>171450</xdr:colOff>
      <xdr:row>6</xdr:row>
      <xdr:rowOff>104775</xdr:rowOff>
    </xdr:to>
    <xdr:pic>
      <xdr:nvPicPr>
        <xdr:cNvPr id="2" name="Image 1" descr="signature-mai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152400"/>
          <a:ext cx="39814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50</xdr:row>
      <xdr:rowOff>152400</xdr:rowOff>
    </xdr:from>
    <xdr:to>
      <xdr:col>8</xdr:col>
      <xdr:colOff>581025</xdr:colOff>
      <xdr:row>71</xdr:row>
      <xdr:rowOff>142875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41</xdr:row>
      <xdr:rowOff>57150</xdr:rowOff>
    </xdr:from>
    <xdr:to>
      <xdr:col>8</xdr:col>
      <xdr:colOff>9524</xdr:colOff>
      <xdr:row>53</xdr:row>
      <xdr:rowOff>19050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24</xdr:row>
      <xdr:rowOff>66675</xdr:rowOff>
    </xdr:from>
    <xdr:to>
      <xdr:col>8</xdr:col>
      <xdr:colOff>19050</xdr:colOff>
      <xdr:row>41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152400</xdr:rowOff>
    </xdr:from>
    <xdr:to>
      <xdr:col>8</xdr:col>
      <xdr:colOff>28575</xdr:colOff>
      <xdr:row>71</xdr:row>
      <xdr:rowOff>142875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42</xdr:row>
      <xdr:rowOff>0</xdr:rowOff>
    </xdr:from>
    <xdr:to>
      <xdr:col>7</xdr:col>
      <xdr:colOff>819150</xdr:colOff>
      <xdr:row>58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79</xdr:row>
      <xdr:rowOff>66675</xdr:rowOff>
    </xdr:from>
    <xdr:to>
      <xdr:col>8</xdr:col>
      <xdr:colOff>609600</xdr:colOff>
      <xdr:row>96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mptabilit&#233;\1-GESTION\4-OUTILS\CALCUL%20Emprunt%20avec%20&#233;ch&#233;ancier%20-%20i001437.-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20"/>
      <sheetName val="EMP15"/>
      <sheetName val="EMP10"/>
      <sheetName val="EMP9"/>
      <sheetName val="EMP8"/>
      <sheetName val="EMP7"/>
      <sheetName val="Feuil1"/>
      <sheetName val="Emprunt  "/>
      <sheetName val="CALCUL Emprunt avec échéancier "/>
    </sheetNames>
    <definedNames>
      <definedName name="Annuité" refersTo="#REF!" sheetId="7"/>
      <definedName name="Nb_de_paiements_par_an" refersTo="='Emprunt  '!$C$6"/>
      <definedName name="Nbe_total_de_paiements" refersTo="#REF!" sheetId="7"/>
      <definedName name="Paiement_utilisé" refersTo="='Emprunt  '!$C$11" sheetId="7"/>
      <definedName name="Premier_paiement" refersTo="='Emprunt  '!$C$7"/>
      <definedName name="Tx_intérêt_par_an" refersTo="='Emprunt  '!$C$4" sheetId="7"/>
    </definedNames>
    <sheetDataSet>
      <sheetData sheetId="0">
        <row r="4">
          <cell r="C4" t="str">
            <v>aquisition appartement</v>
          </cell>
        </row>
        <row r="7">
          <cell r="C7">
            <v>0.08</v>
          </cell>
        </row>
      </sheetData>
      <sheetData sheetId="1">
        <row r="4">
          <cell r="C4" t="str">
            <v>aquisition appartement</v>
          </cell>
        </row>
        <row r="7">
          <cell r="C7">
            <v>0.09</v>
          </cell>
        </row>
      </sheetData>
      <sheetData sheetId="2">
        <row r="4">
          <cell r="C4" t="str">
            <v xml:space="preserve"> </v>
          </cell>
        </row>
        <row r="7">
          <cell r="C7">
            <v>7.0000000000000007E-2</v>
          </cell>
        </row>
      </sheetData>
      <sheetData sheetId="3">
        <row r="4">
          <cell r="C4" t="str">
            <v>aquisition appartement</v>
          </cell>
        </row>
        <row r="7">
          <cell r="C7">
            <v>8.0500000000000002E-2</v>
          </cell>
        </row>
      </sheetData>
      <sheetData sheetId="4">
        <row r="4">
          <cell r="C4" t="str">
            <v>Acquisitions de  matériels</v>
          </cell>
        </row>
        <row r="7">
          <cell r="C7">
            <v>8.5000000000000006E-2</v>
          </cell>
        </row>
      </sheetData>
      <sheetData sheetId="5">
        <row r="4">
          <cell r="C4" t="str">
            <v>Droits d'enregistrement</v>
          </cell>
        </row>
        <row r="7">
          <cell r="C7">
            <v>8.5000000000000006E-2</v>
          </cell>
        </row>
      </sheetData>
      <sheetData sheetId="6">
        <row r="6">
          <cell r="C6">
            <v>980000</v>
          </cell>
        </row>
        <row r="7">
          <cell r="C7" t="str">
            <v xml:space="preserve">CA </v>
          </cell>
        </row>
        <row r="11">
          <cell r="C11">
            <v>1337128</v>
          </cell>
        </row>
      </sheetData>
      <sheetData sheetId="7">
        <row r="4">
          <cell r="C4">
            <v>3.7999999999999999E-2</v>
          </cell>
        </row>
        <row r="6">
          <cell r="C6">
            <v>12</v>
          </cell>
        </row>
        <row r="7">
          <cell r="C7">
            <v>40909</v>
          </cell>
        </row>
        <row r="11">
          <cell r="C11">
            <v>898.79315003802765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9"/>
  <sheetViews>
    <sheetView workbookViewId="0">
      <selection sqref="A1:XFD1048576"/>
    </sheetView>
  </sheetViews>
  <sheetFormatPr baseColWidth="10" defaultColWidth="11.44140625" defaultRowHeight="13.2" x14ac:dyDescent="0.25"/>
  <cols>
    <col min="1" max="1" width="6.109375" style="1" customWidth="1"/>
    <col min="2" max="16384" width="11.44140625" style="1"/>
  </cols>
  <sheetData>
    <row r="2" spans="1:6" x14ac:dyDescent="0.25">
      <c r="A2" s="96"/>
    </row>
    <row r="3" spans="1:6" x14ac:dyDescent="0.25">
      <c r="A3" s="33"/>
    </row>
    <row r="4" spans="1:6" x14ac:dyDescent="0.25">
      <c r="A4" s="116"/>
    </row>
    <row r="5" spans="1:6" x14ac:dyDescent="0.25">
      <c r="A5" s="117"/>
      <c r="B5" s="87"/>
    </row>
    <row r="10" spans="1:6" ht="25.5" customHeight="1" x14ac:dyDescent="0.4">
      <c r="B10" s="384" t="s">
        <v>81</v>
      </c>
      <c r="C10" s="385"/>
      <c r="D10" s="385"/>
      <c r="E10" s="386"/>
    </row>
    <row r="12" spans="1:6" x14ac:dyDescent="0.25">
      <c r="B12" s="152" t="s">
        <v>245</v>
      </c>
    </row>
    <row r="14" spans="1:6" x14ac:dyDescent="0.25">
      <c r="E14" s="387" t="s">
        <v>239</v>
      </c>
      <c r="F14" s="387"/>
    </row>
    <row r="15" spans="1:6" x14ac:dyDescent="0.25">
      <c r="E15" s="387"/>
      <c r="F15" s="387"/>
    </row>
    <row r="16" spans="1:6" x14ac:dyDescent="0.25">
      <c r="E16" s="171" t="s">
        <v>255</v>
      </c>
    </row>
    <row r="18" spans="1:2" x14ac:dyDescent="0.25">
      <c r="A18" s="115" t="s">
        <v>150</v>
      </c>
      <c r="B18" s="1" t="s">
        <v>144</v>
      </c>
    </row>
    <row r="19" spans="1:2" x14ac:dyDescent="0.25">
      <c r="A19" s="115" t="s">
        <v>150</v>
      </c>
      <c r="B19" s="1" t="s">
        <v>155</v>
      </c>
    </row>
    <row r="20" spans="1:2" x14ac:dyDescent="0.25">
      <c r="A20" s="115" t="s">
        <v>150</v>
      </c>
      <c r="B20" s="1" t="s">
        <v>145</v>
      </c>
    </row>
    <row r="21" spans="1:2" x14ac:dyDescent="0.25">
      <c r="A21" s="115" t="s">
        <v>150</v>
      </c>
      <c r="B21" s="1" t="s">
        <v>146</v>
      </c>
    </row>
    <row r="22" spans="1:2" x14ac:dyDescent="0.25">
      <c r="A22" s="115" t="s">
        <v>150</v>
      </c>
      <c r="B22" s="1" t="s">
        <v>2</v>
      </c>
    </row>
    <row r="23" spans="1:2" x14ac:dyDescent="0.25">
      <c r="A23" s="115" t="s">
        <v>150</v>
      </c>
      <c r="B23" s="1" t="s">
        <v>147</v>
      </c>
    </row>
    <row r="24" spans="1:2" x14ac:dyDescent="0.25">
      <c r="A24" s="115" t="s">
        <v>150</v>
      </c>
      <c r="B24" s="1" t="s">
        <v>148</v>
      </c>
    </row>
    <row r="25" spans="1:2" x14ac:dyDescent="0.25">
      <c r="A25" s="115" t="s">
        <v>150</v>
      </c>
      <c r="B25" s="1" t="s">
        <v>149</v>
      </c>
    </row>
    <row r="26" spans="1:2" hidden="1" x14ac:dyDescent="0.25">
      <c r="A26" s="115" t="s">
        <v>150</v>
      </c>
      <c r="B26" s="1" t="s">
        <v>149</v>
      </c>
    </row>
    <row r="27" spans="1:2" hidden="1" x14ac:dyDescent="0.25">
      <c r="A27" s="115" t="s">
        <v>150</v>
      </c>
      <c r="B27" s="1" t="s">
        <v>149</v>
      </c>
    </row>
    <row r="28" spans="1:2" hidden="1" x14ac:dyDescent="0.25">
      <c r="A28" s="115" t="s">
        <v>150</v>
      </c>
      <c r="B28" s="1" t="s">
        <v>149</v>
      </c>
    </row>
    <row r="29" spans="1:2" x14ac:dyDescent="0.25">
      <c r="A29" s="115" t="s">
        <v>150</v>
      </c>
      <c r="B29" s="171" t="s">
        <v>70</v>
      </c>
    </row>
  </sheetData>
  <sheetProtection selectLockedCells="1"/>
  <mergeCells count="2">
    <mergeCell ref="B10:E10"/>
    <mergeCell ref="E14:F15"/>
  </mergeCells>
  <phoneticPr fontId="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16"/>
  <sheetViews>
    <sheetView workbookViewId="0">
      <selection sqref="A1:XFD1048576"/>
    </sheetView>
  </sheetViews>
  <sheetFormatPr baseColWidth="10" defaultColWidth="11.44140625" defaultRowHeight="13.2" x14ac:dyDescent="0.25"/>
  <cols>
    <col min="1" max="1" width="27.44140625" style="1" bestFit="1" customWidth="1"/>
    <col min="2" max="2" width="12" style="38" bestFit="1" customWidth="1"/>
    <col min="3" max="3" width="13.6640625" style="2" bestFit="1" customWidth="1"/>
    <col min="4" max="9" width="12" style="1" bestFit="1" customWidth="1"/>
    <col min="10" max="16384" width="11.44140625" style="1"/>
  </cols>
  <sheetData>
    <row r="1" spans="1:9" x14ac:dyDescent="0.25">
      <c r="A1" s="8" t="str">
        <f>+'ca et marge'!A1</f>
        <v>ANGERS</v>
      </c>
      <c r="C1" s="1"/>
    </row>
    <row r="2" spans="1:9" x14ac:dyDescent="0.25">
      <c r="C2" s="1"/>
    </row>
    <row r="3" spans="1:9" x14ac:dyDescent="0.25">
      <c r="C3" s="1"/>
    </row>
    <row r="4" spans="1:9" x14ac:dyDescent="0.25">
      <c r="A4" s="3" t="s">
        <v>26</v>
      </c>
      <c r="B4" s="92" t="s">
        <v>84</v>
      </c>
      <c r="C4" s="4" t="s">
        <v>124</v>
      </c>
    </row>
    <row r="5" spans="1:9" x14ac:dyDescent="0.25">
      <c r="A5" s="4" t="s">
        <v>17</v>
      </c>
      <c r="B5" s="65">
        <f>+SAISIE!D49</f>
        <v>12</v>
      </c>
      <c r="C5" s="12"/>
    </row>
    <row r="6" spans="1:9" x14ac:dyDescent="0.25">
      <c r="A6" s="4" t="s">
        <v>27</v>
      </c>
      <c r="B6" s="65">
        <f>+SAISIE!D50</f>
        <v>20463</v>
      </c>
      <c r="C6" s="12">
        <v>7</v>
      </c>
    </row>
    <row r="7" spans="1:9" x14ac:dyDescent="0.25">
      <c r="A7" s="4" t="s">
        <v>28</v>
      </c>
      <c r="B7" s="65">
        <f>+SAISIE!D51</f>
        <v>60000</v>
      </c>
      <c r="C7" s="12">
        <v>7</v>
      </c>
    </row>
    <row r="8" spans="1:9" x14ac:dyDescent="0.25">
      <c r="A8" s="4" t="s">
        <v>29</v>
      </c>
      <c r="B8" s="65">
        <f>+SAISIE!D52</f>
        <v>165000</v>
      </c>
      <c r="C8" s="12">
        <v>0</v>
      </c>
      <c r="F8" s="1" t="s">
        <v>80</v>
      </c>
    </row>
    <row r="9" spans="1:9" x14ac:dyDescent="0.25">
      <c r="A9" s="4" t="s">
        <v>30</v>
      </c>
      <c r="B9" s="65">
        <f>+SAISIE!D53</f>
        <v>3200</v>
      </c>
      <c r="C9" s="12">
        <v>7</v>
      </c>
    </row>
    <row r="10" spans="1:9" x14ac:dyDescent="0.25">
      <c r="C10" s="92" t="s">
        <v>85</v>
      </c>
      <c r="D10" s="92" t="s">
        <v>86</v>
      </c>
      <c r="E10" s="92" t="s">
        <v>87</v>
      </c>
      <c r="F10" s="92" t="s">
        <v>88</v>
      </c>
      <c r="G10" s="92" t="s">
        <v>89</v>
      </c>
      <c r="H10" s="92" t="s">
        <v>90</v>
      </c>
      <c r="I10" s="92" t="s">
        <v>91</v>
      </c>
    </row>
    <row r="11" spans="1:9" x14ac:dyDescent="0.25">
      <c r="A11" s="4" t="s">
        <v>118</v>
      </c>
      <c r="B11" s="67">
        <f>+SAISIE!D54</f>
        <v>0</v>
      </c>
      <c r="C11" s="67">
        <f>+SAISIE!E54</f>
        <v>0</v>
      </c>
      <c r="D11" s="67">
        <f>+SAISIE!F54</f>
        <v>0</v>
      </c>
      <c r="E11" s="67">
        <f>+SAISIE!G54</f>
        <v>0</v>
      </c>
      <c r="F11" s="67">
        <f>+SAISIE!H54</f>
        <v>0</v>
      </c>
      <c r="G11" s="67">
        <f>+SAISIE!I54</f>
        <v>0</v>
      </c>
      <c r="H11" s="67">
        <f>+SAISIE!J54</f>
        <v>0</v>
      </c>
      <c r="I11" s="67">
        <f>+SAISIE!K54</f>
        <v>0</v>
      </c>
    </row>
    <row r="12" spans="1:9" x14ac:dyDescent="0.25">
      <c r="A12" s="4" t="s">
        <v>119</v>
      </c>
      <c r="B12" s="67"/>
      <c r="C12" s="93">
        <v>7</v>
      </c>
      <c r="D12" s="19">
        <v>7</v>
      </c>
      <c r="E12" s="19">
        <v>7</v>
      </c>
      <c r="F12" s="19">
        <v>7</v>
      </c>
      <c r="G12" s="19">
        <v>7</v>
      </c>
      <c r="H12" s="19">
        <v>7</v>
      </c>
      <c r="I12" s="19">
        <v>7</v>
      </c>
    </row>
    <row r="14" spans="1:9" x14ac:dyDescent="0.25">
      <c r="A14" s="4"/>
      <c r="B14" s="39">
        <f>+'ca et marge'!B14</f>
        <v>2013</v>
      </c>
      <c r="C14" s="39">
        <f>+'ca et marge'!C14</f>
        <v>2014</v>
      </c>
      <c r="D14" s="39">
        <f>+'ca et marge'!D14</f>
        <v>2015</v>
      </c>
      <c r="E14" s="39">
        <f>+'ca et marge'!E14</f>
        <v>2016</v>
      </c>
      <c r="F14" s="39">
        <f>+'ca et marge'!F14</f>
        <v>2017</v>
      </c>
      <c r="G14" s="39">
        <f>+'ca et marge'!G14</f>
        <v>2018</v>
      </c>
      <c r="H14" s="39">
        <f>+'ca et marge'!H14</f>
        <v>2019</v>
      </c>
      <c r="I14" s="39">
        <f>+'ca et marge'!I14</f>
        <v>2020</v>
      </c>
    </row>
    <row r="15" spans="1:9" s="42" customFormat="1" x14ac:dyDescent="0.25">
      <c r="A15" s="40" t="s">
        <v>121</v>
      </c>
      <c r="B15" s="41">
        <f>+B6+B7+B9</f>
        <v>83663</v>
      </c>
      <c r="C15" s="41">
        <f>+B15</f>
        <v>83663</v>
      </c>
      <c r="D15" s="41">
        <f t="shared" ref="D15:I15" si="0">+C15</f>
        <v>83663</v>
      </c>
      <c r="E15" s="41">
        <f t="shared" si="0"/>
        <v>83663</v>
      </c>
      <c r="F15" s="41">
        <f t="shared" si="0"/>
        <v>83663</v>
      </c>
      <c r="G15" s="41">
        <f t="shared" si="0"/>
        <v>83663</v>
      </c>
      <c r="H15" s="41">
        <f t="shared" si="0"/>
        <v>83663</v>
      </c>
      <c r="I15" s="41">
        <f t="shared" si="0"/>
        <v>83663</v>
      </c>
    </row>
    <row r="16" spans="1:9" s="9" customFormat="1" x14ac:dyDescent="0.25">
      <c r="A16" s="47" t="s">
        <v>31</v>
      </c>
      <c r="B16" s="70">
        <f>+B6+B7+B9</f>
        <v>83663</v>
      </c>
      <c r="C16" s="70">
        <f>+B16</f>
        <v>83663</v>
      </c>
      <c r="D16" s="70">
        <f t="shared" ref="D16:I16" si="1">+C16</f>
        <v>83663</v>
      </c>
      <c r="E16" s="70">
        <f t="shared" si="1"/>
        <v>83663</v>
      </c>
      <c r="F16" s="70">
        <f t="shared" si="1"/>
        <v>83663</v>
      </c>
      <c r="G16" s="70">
        <f t="shared" si="1"/>
        <v>83663</v>
      </c>
      <c r="H16" s="70">
        <f t="shared" si="1"/>
        <v>83663</v>
      </c>
      <c r="I16" s="70">
        <f t="shared" si="1"/>
        <v>83663</v>
      </c>
    </row>
    <row r="17" spans="1:9" x14ac:dyDescent="0.25">
      <c r="A17" s="4" t="s">
        <v>16</v>
      </c>
      <c r="B17" s="41">
        <f>+B5</f>
        <v>12</v>
      </c>
      <c r="C17" s="4">
        <v>12</v>
      </c>
      <c r="D17" s="4">
        <f t="shared" ref="D17:H17" si="2">+C17</f>
        <v>12</v>
      </c>
      <c r="E17" s="4">
        <f t="shared" si="2"/>
        <v>12</v>
      </c>
      <c r="F17" s="4">
        <f t="shared" si="2"/>
        <v>12</v>
      </c>
      <c r="G17" s="4">
        <f t="shared" si="2"/>
        <v>12</v>
      </c>
      <c r="H17" s="4">
        <f t="shared" si="2"/>
        <v>12</v>
      </c>
      <c r="I17" s="4"/>
    </row>
    <row r="18" spans="1:9" s="42" customFormat="1" x14ac:dyDescent="0.25">
      <c r="A18" s="50" t="s">
        <v>120</v>
      </c>
      <c r="B18" s="51">
        <f t="shared" ref="B18:I18" si="3">+B16*B17/12/7</f>
        <v>11951.857142857143</v>
      </c>
      <c r="C18" s="51">
        <f t="shared" si="3"/>
        <v>11951.857142857143</v>
      </c>
      <c r="D18" s="51">
        <f t="shared" si="3"/>
        <v>11951.857142857143</v>
      </c>
      <c r="E18" s="51">
        <f t="shared" si="3"/>
        <v>11951.857142857143</v>
      </c>
      <c r="F18" s="51">
        <f t="shared" si="3"/>
        <v>11951.857142857143</v>
      </c>
      <c r="G18" s="51">
        <f t="shared" si="3"/>
        <v>11951.857142857143</v>
      </c>
      <c r="H18" s="51">
        <f t="shared" si="3"/>
        <v>11951.857142857143</v>
      </c>
      <c r="I18" s="51">
        <f t="shared" si="3"/>
        <v>0</v>
      </c>
    </row>
    <row r="19" spans="1:9" x14ac:dyDescent="0.25">
      <c r="A19" s="4"/>
      <c r="B19" s="53"/>
      <c r="C19" s="4"/>
      <c r="D19" s="4"/>
      <c r="E19" s="4"/>
      <c r="F19" s="4"/>
      <c r="G19" s="4"/>
      <c r="H19" s="4"/>
      <c r="I19" s="4"/>
    </row>
    <row r="20" spans="1:9" x14ac:dyDescent="0.25">
      <c r="A20" s="4" t="s">
        <v>122</v>
      </c>
      <c r="B20" s="53"/>
      <c r="C20" s="53">
        <f t="shared" ref="C20:I20" si="4">+C11</f>
        <v>0</v>
      </c>
      <c r="D20" s="53">
        <f t="shared" si="4"/>
        <v>0</v>
      </c>
      <c r="E20" s="53">
        <f t="shared" si="4"/>
        <v>0</v>
      </c>
      <c r="F20" s="53">
        <f t="shared" si="4"/>
        <v>0</v>
      </c>
      <c r="G20" s="53">
        <f t="shared" si="4"/>
        <v>0</v>
      </c>
      <c r="H20" s="53">
        <f t="shared" si="4"/>
        <v>0</v>
      </c>
      <c r="I20" s="53">
        <f t="shared" si="4"/>
        <v>0</v>
      </c>
    </row>
    <row r="21" spans="1:9" x14ac:dyDescent="0.25">
      <c r="A21" s="4" t="s">
        <v>123</v>
      </c>
      <c r="B21" s="53"/>
      <c r="C21" s="53">
        <f>+C12</f>
        <v>7</v>
      </c>
      <c r="D21" s="53">
        <f t="shared" ref="D21:I21" si="5">+D12</f>
        <v>7</v>
      </c>
      <c r="E21" s="53">
        <f t="shared" si="5"/>
        <v>7</v>
      </c>
      <c r="F21" s="53">
        <f t="shared" si="5"/>
        <v>7</v>
      </c>
      <c r="G21" s="53">
        <f t="shared" si="5"/>
        <v>7</v>
      </c>
      <c r="H21" s="53">
        <f t="shared" si="5"/>
        <v>7</v>
      </c>
      <c r="I21" s="53">
        <f t="shared" si="5"/>
        <v>7</v>
      </c>
    </row>
    <row r="22" spans="1:9" x14ac:dyDescent="0.25">
      <c r="A22" s="4" t="s">
        <v>125</v>
      </c>
      <c r="B22" s="94"/>
      <c r="C22" s="41">
        <f>+IF(C21=0,"",C20/C21)</f>
        <v>0</v>
      </c>
      <c r="D22" s="41">
        <f t="shared" ref="D22:I22" si="6">+C22</f>
        <v>0</v>
      </c>
      <c r="E22" s="41">
        <f t="shared" si="6"/>
        <v>0</v>
      </c>
      <c r="F22" s="41">
        <f t="shared" si="6"/>
        <v>0</v>
      </c>
      <c r="G22" s="41">
        <f t="shared" si="6"/>
        <v>0</v>
      </c>
      <c r="H22" s="41">
        <f t="shared" si="6"/>
        <v>0</v>
      </c>
      <c r="I22" s="41">
        <f t="shared" si="6"/>
        <v>0</v>
      </c>
    </row>
    <row r="23" spans="1:9" x14ac:dyDescent="0.25">
      <c r="A23" s="4" t="s">
        <v>126</v>
      </c>
      <c r="B23" s="94"/>
      <c r="C23" s="95"/>
      <c r="D23" s="41">
        <f>+IF(D21=0,"",D20/D21)</f>
        <v>0</v>
      </c>
      <c r="E23" s="41">
        <f>+D23</f>
        <v>0</v>
      </c>
      <c r="F23" s="41">
        <f>+E23</f>
        <v>0</v>
      </c>
      <c r="G23" s="41">
        <f>+F23</f>
        <v>0</v>
      </c>
      <c r="H23" s="41">
        <f>+G23</f>
        <v>0</v>
      </c>
      <c r="I23" s="41">
        <f>+H23</f>
        <v>0</v>
      </c>
    </row>
    <row r="24" spans="1:9" x14ac:dyDescent="0.25">
      <c r="A24" s="4" t="s">
        <v>127</v>
      </c>
      <c r="B24" s="94"/>
      <c r="C24" s="95"/>
      <c r="D24" s="95"/>
      <c r="E24" s="41">
        <f>+IF(E21=0,"",E20/E21)</f>
        <v>0</v>
      </c>
      <c r="F24" s="41">
        <f>+E24</f>
        <v>0</v>
      </c>
      <c r="G24" s="41">
        <f>+F24</f>
        <v>0</v>
      </c>
      <c r="H24" s="41">
        <f>+G24</f>
        <v>0</v>
      </c>
      <c r="I24" s="41">
        <f>+H24</f>
        <v>0</v>
      </c>
    </row>
    <row r="25" spans="1:9" x14ac:dyDescent="0.25">
      <c r="A25" s="4" t="s">
        <v>128</v>
      </c>
      <c r="B25" s="94"/>
      <c r="C25" s="95"/>
      <c r="D25" s="95"/>
      <c r="E25" s="95"/>
      <c r="F25" s="41">
        <f>+IF(F21=0,"",F20/F21)</f>
        <v>0</v>
      </c>
      <c r="G25" s="41">
        <f>+F25</f>
        <v>0</v>
      </c>
      <c r="H25" s="41">
        <f>+G25</f>
        <v>0</v>
      </c>
      <c r="I25" s="41">
        <f>+H25</f>
        <v>0</v>
      </c>
    </row>
    <row r="26" spans="1:9" x14ac:dyDescent="0.25">
      <c r="A26" s="4" t="s">
        <v>129</v>
      </c>
      <c r="B26" s="94"/>
      <c r="C26" s="95"/>
      <c r="D26" s="95"/>
      <c r="E26" s="95"/>
      <c r="F26" s="95"/>
      <c r="G26" s="41">
        <f>+IF(G21=0,"",G20/G21)</f>
        <v>0</v>
      </c>
      <c r="H26" s="41">
        <f>+G26</f>
        <v>0</v>
      </c>
      <c r="I26" s="41">
        <f>+H26</f>
        <v>0</v>
      </c>
    </row>
    <row r="27" spans="1:9" x14ac:dyDescent="0.25">
      <c r="A27" s="4" t="s">
        <v>130</v>
      </c>
      <c r="B27" s="94"/>
      <c r="C27" s="95"/>
      <c r="D27" s="95"/>
      <c r="E27" s="95"/>
      <c r="F27" s="95"/>
      <c r="G27" s="95"/>
      <c r="H27" s="41">
        <f>+IF(H21=0,"",H20/H21)</f>
        <v>0</v>
      </c>
      <c r="I27" s="41">
        <f>+H27</f>
        <v>0</v>
      </c>
    </row>
    <row r="28" spans="1:9" x14ac:dyDescent="0.25">
      <c r="A28" s="4" t="s">
        <v>131</v>
      </c>
      <c r="B28" s="94"/>
      <c r="C28" s="95"/>
      <c r="D28" s="95"/>
      <c r="E28" s="95"/>
      <c r="F28" s="95"/>
      <c r="G28" s="95"/>
      <c r="H28" s="95"/>
      <c r="I28" s="41">
        <f>+IF(I21=0,"",I20/I21)</f>
        <v>0</v>
      </c>
    </row>
    <row r="29" spans="1:9" s="96" customFormat="1" x14ac:dyDescent="0.25">
      <c r="A29" s="3" t="s">
        <v>132</v>
      </c>
      <c r="B29" s="51">
        <f>SUM(B22:B28)</f>
        <v>0</v>
      </c>
      <c r="C29" s="51">
        <f>SUM(C22:C28)</f>
        <v>0</v>
      </c>
      <c r="D29" s="51">
        <f t="shared" ref="D29:I29" si="7">SUM(D22:D28)</f>
        <v>0</v>
      </c>
      <c r="E29" s="51">
        <f t="shared" si="7"/>
        <v>0</v>
      </c>
      <c r="F29" s="51">
        <f t="shared" si="7"/>
        <v>0</v>
      </c>
      <c r="G29" s="51">
        <f t="shared" si="7"/>
        <v>0</v>
      </c>
      <c r="H29" s="51">
        <f t="shared" si="7"/>
        <v>0</v>
      </c>
      <c r="I29" s="51">
        <f t="shared" si="7"/>
        <v>0</v>
      </c>
    </row>
    <row r="30" spans="1:9" x14ac:dyDescent="0.25">
      <c r="A30" s="97"/>
      <c r="B30" s="98"/>
      <c r="C30" s="97"/>
      <c r="D30" s="97"/>
      <c r="E30" s="97"/>
      <c r="F30" s="97"/>
      <c r="G30" s="97"/>
      <c r="H30" s="97"/>
      <c r="I30" s="97"/>
    </row>
    <row r="31" spans="1:9" x14ac:dyDescent="0.25">
      <c r="A31" s="3" t="s">
        <v>133</v>
      </c>
      <c r="B31" s="99">
        <f>+B18+B29</f>
        <v>11951.857142857143</v>
      </c>
      <c r="C31" s="99">
        <f>+C18+C29</f>
        <v>11951.857142857143</v>
      </c>
      <c r="D31" s="99">
        <f t="shared" ref="D31:I31" si="8">+D18+D29</f>
        <v>11951.857142857143</v>
      </c>
      <c r="E31" s="99">
        <f t="shared" si="8"/>
        <v>11951.857142857143</v>
      </c>
      <c r="F31" s="99">
        <f t="shared" si="8"/>
        <v>11951.857142857143</v>
      </c>
      <c r="G31" s="99">
        <f t="shared" si="8"/>
        <v>11951.857142857143</v>
      </c>
      <c r="H31" s="99">
        <f t="shared" si="8"/>
        <v>11951.857142857143</v>
      </c>
      <c r="I31" s="99">
        <f t="shared" si="8"/>
        <v>0</v>
      </c>
    </row>
    <row r="32" spans="1:9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hidden="1" x14ac:dyDescent="0.25">
      <c r="C80" s="1"/>
    </row>
    <row r="81" spans="3:3" hidden="1" x14ac:dyDescent="0.25">
      <c r="C81" s="1"/>
    </row>
    <row r="82" spans="3:3" hidden="1" x14ac:dyDescent="0.25">
      <c r="C82" s="1"/>
    </row>
    <row r="83" spans="3:3" hidden="1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</sheetData>
  <sheetProtection selectLockedCells="1"/>
  <phoneticPr fontId="7" type="noConversion"/>
  <pageMargins left="0.78740157499999996" right="0.78740157499999996" top="0.984251969" bottom="0.984251969" header="0.4921259845" footer="0.22"/>
  <pageSetup paperSize="9" orientation="landscape" r:id="rId1"/>
  <headerFooter alignWithMargins="0">
    <oddHeader xml:space="preserve">&amp;L&amp;"Lucida Calligraphy,Gras italique"RESERVE NATURELLE&amp;R&amp;"Arial,Gras"&amp;18PREVISION </oddHeader>
    <oddFooter>&amp;L&amp;8Document non contractuel
Charges personnelles de l'exploitant non inclus
Les chiffres et les informations ci-dessus sont données à titre indicatifs et restent à être validés par un Expert Comptable
&amp;R&amp;P/&amp;N
&amp;"Arial,Gras"&amp;12&amp;A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L58"/>
  <sheetViews>
    <sheetView workbookViewId="0">
      <pane xSplit="2" ySplit="17" topLeftCell="C18" activePane="bottomRight" state="frozen"/>
      <selection activeCell="D14" sqref="D14"/>
      <selection pane="topRight" activeCell="D14" sqref="D14"/>
      <selection pane="bottomLeft" activeCell="D14" sqref="D14"/>
      <selection pane="bottomRight" activeCell="D14" sqref="D14"/>
    </sheetView>
  </sheetViews>
  <sheetFormatPr baseColWidth="10" defaultColWidth="11.44140625" defaultRowHeight="13.2" x14ac:dyDescent="0.25"/>
  <cols>
    <col min="1" max="1" width="20.44140625" style="128" customWidth="1"/>
    <col min="2" max="2" width="28" style="1" bestFit="1" customWidth="1"/>
    <col min="3" max="3" width="8.109375" style="9" bestFit="1" customWidth="1"/>
    <col min="4" max="4" width="13" style="6" bestFit="1" customWidth="1"/>
    <col min="5" max="11" width="10.6640625" style="7" customWidth="1"/>
    <col min="12" max="16384" width="11.44140625" style="7"/>
  </cols>
  <sheetData>
    <row r="1" spans="1:12" x14ac:dyDescent="0.25">
      <c r="A1" s="131" t="s">
        <v>193</v>
      </c>
      <c r="D1" s="33"/>
      <c r="E1" s="1"/>
      <c r="F1" s="1"/>
      <c r="G1" s="1"/>
      <c r="H1" s="1"/>
      <c r="I1" s="1"/>
      <c r="J1" s="1"/>
      <c r="K1" s="1"/>
      <c r="L1" s="1"/>
    </row>
    <row r="2" spans="1:12" x14ac:dyDescent="0.25">
      <c r="A2" s="130" t="s">
        <v>194</v>
      </c>
      <c r="D2" s="33"/>
      <c r="E2" s="1"/>
      <c r="F2" s="1"/>
      <c r="G2" s="1"/>
      <c r="H2" s="1"/>
      <c r="I2" s="1"/>
      <c r="J2" s="1"/>
      <c r="K2" s="1"/>
      <c r="L2" s="1"/>
    </row>
    <row r="3" spans="1:12" x14ac:dyDescent="0.25">
      <c r="A3" s="389" t="s">
        <v>160</v>
      </c>
      <c r="B3" s="4" t="s">
        <v>212</v>
      </c>
      <c r="C3" s="10" t="s">
        <v>195</v>
      </c>
      <c r="D3" s="22" t="s">
        <v>214</v>
      </c>
      <c r="E3" s="16" t="s">
        <v>213</v>
      </c>
      <c r="F3" s="125"/>
      <c r="G3" s="123"/>
      <c r="H3" s="123"/>
      <c r="I3" s="123"/>
      <c r="J3" s="123"/>
      <c r="K3" s="123"/>
      <c r="L3" s="1"/>
    </row>
    <row r="4" spans="1:12" x14ac:dyDescent="0.25">
      <c r="A4" s="390"/>
      <c r="B4" s="4" t="s">
        <v>161</v>
      </c>
      <c r="C4" s="11"/>
      <c r="D4" s="20" t="s">
        <v>239</v>
      </c>
      <c r="E4" s="123"/>
      <c r="F4" s="123"/>
      <c r="G4" s="123"/>
      <c r="H4" s="123"/>
      <c r="I4" s="123"/>
      <c r="J4" s="123"/>
      <c r="K4" s="123"/>
      <c r="L4" s="1"/>
    </row>
    <row r="5" spans="1:12" x14ac:dyDescent="0.25">
      <c r="A5" s="390"/>
      <c r="B5" s="4" t="s">
        <v>162</v>
      </c>
      <c r="C5" s="12"/>
      <c r="D5" s="388"/>
      <c r="E5" s="388"/>
      <c r="F5" s="388"/>
      <c r="G5" s="388"/>
      <c r="H5" s="388"/>
      <c r="I5" s="124"/>
      <c r="J5" s="124"/>
      <c r="K5" s="124"/>
    </row>
    <row r="6" spans="1:12" x14ac:dyDescent="0.25">
      <c r="A6" s="390"/>
      <c r="B6" s="4" t="s">
        <v>163</v>
      </c>
      <c r="C6" s="13"/>
      <c r="D6" s="21"/>
      <c r="E6" s="123"/>
      <c r="F6" s="123"/>
      <c r="G6" s="123"/>
      <c r="H6" s="123"/>
      <c r="I6" s="123"/>
      <c r="J6" s="123"/>
      <c r="K6" s="123"/>
      <c r="L6" s="1"/>
    </row>
    <row r="7" spans="1:12" x14ac:dyDescent="0.25">
      <c r="A7" s="390"/>
      <c r="B7" s="4" t="s">
        <v>164</v>
      </c>
      <c r="C7" s="12"/>
      <c r="D7" s="22"/>
      <c r="E7" s="123"/>
      <c r="F7" s="123"/>
      <c r="G7" s="123"/>
      <c r="H7" s="123"/>
      <c r="I7" s="123"/>
      <c r="J7" s="123"/>
      <c r="K7" s="123"/>
      <c r="L7" s="1"/>
    </row>
    <row r="8" spans="1:12" x14ac:dyDescent="0.25">
      <c r="A8" s="390"/>
      <c r="B8" s="4" t="s">
        <v>63</v>
      </c>
      <c r="C8" s="13" t="s">
        <v>197</v>
      </c>
      <c r="D8" s="21">
        <v>38</v>
      </c>
      <c r="E8" s="123"/>
      <c r="F8" s="123"/>
      <c r="G8" s="123"/>
      <c r="H8" s="123"/>
      <c r="I8" s="123"/>
      <c r="J8" s="123"/>
      <c r="K8" s="123"/>
      <c r="L8" s="1"/>
    </row>
    <row r="9" spans="1:12" x14ac:dyDescent="0.25">
      <c r="A9" s="390"/>
      <c r="B9" s="4" t="s">
        <v>64</v>
      </c>
      <c r="C9" s="13" t="s">
        <v>196</v>
      </c>
      <c r="D9" s="23">
        <v>41275</v>
      </c>
      <c r="E9" s="123"/>
      <c r="F9" s="123"/>
      <c r="G9" s="123"/>
      <c r="H9" s="123"/>
      <c r="I9" s="123"/>
      <c r="J9" s="123"/>
      <c r="K9" s="123"/>
      <c r="L9" s="1"/>
    </row>
    <row r="10" spans="1:12" x14ac:dyDescent="0.25">
      <c r="A10" s="390"/>
      <c r="B10" s="4" t="s">
        <v>65</v>
      </c>
      <c r="C10" s="13" t="s">
        <v>196</v>
      </c>
      <c r="D10" s="23">
        <v>41275</v>
      </c>
      <c r="E10" s="123"/>
      <c r="F10" s="123"/>
      <c r="G10" s="123"/>
      <c r="H10" s="123"/>
      <c r="I10" s="123"/>
      <c r="J10" s="123"/>
      <c r="K10" s="123"/>
      <c r="L10" s="1"/>
    </row>
    <row r="11" spans="1:12" x14ac:dyDescent="0.25">
      <c r="A11" s="390"/>
      <c r="B11" s="4" t="s">
        <v>66</v>
      </c>
      <c r="C11" s="13" t="s">
        <v>211</v>
      </c>
      <c r="D11" s="21">
        <v>12</v>
      </c>
      <c r="E11" s="35">
        <v>12</v>
      </c>
      <c r="F11" s="35">
        <v>12</v>
      </c>
      <c r="G11" s="35">
        <v>12</v>
      </c>
      <c r="H11" s="35">
        <v>12</v>
      </c>
      <c r="I11" s="35">
        <v>12</v>
      </c>
      <c r="J11" s="35">
        <v>12</v>
      </c>
      <c r="K11" s="35">
        <v>12</v>
      </c>
      <c r="L11" s="1"/>
    </row>
    <row r="12" spans="1:12" x14ac:dyDescent="0.25">
      <c r="A12" s="390"/>
      <c r="B12" s="4" t="s">
        <v>0</v>
      </c>
      <c r="C12" s="12" t="s">
        <v>201</v>
      </c>
      <c r="D12" s="24">
        <v>0</v>
      </c>
      <c r="E12" s="123"/>
      <c r="F12" s="123"/>
      <c r="G12" s="123"/>
      <c r="H12" s="123"/>
      <c r="I12" s="123"/>
      <c r="J12" s="123"/>
      <c r="K12" s="123"/>
      <c r="L12" s="1"/>
    </row>
    <row r="13" spans="1:12" x14ac:dyDescent="0.25">
      <c r="A13" s="390"/>
      <c r="B13" s="4" t="s">
        <v>71</v>
      </c>
      <c r="C13" s="12" t="s">
        <v>201</v>
      </c>
      <c r="D13" s="24">
        <v>30000</v>
      </c>
      <c r="E13" s="123"/>
      <c r="F13" s="123"/>
      <c r="G13" s="123"/>
      <c r="H13" s="123"/>
      <c r="I13" s="123"/>
      <c r="J13" s="123"/>
      <c r="K13" s="123"/>
      <c r="L13" s="1"/>
    </row>
    <row r="14" spans="1:12" x14ac:dyDescent="0.25">
      <c r="A14" s="390"/>
      <c r="B14" s="14" t="s">
        <v>1</v>
      </c>
      <c r="C14" s="13" t="s">
        <v>201</v>
      </c>
      <c r="D14" s="25">
        <v>190550</v>
      </c>
      <c r="E14" s="123"/>
      <c r="F14" s="123"/>
      <c r="G14" s="123"/>
      <c r="H14" s="123"/>
      <c r="I14" s="123"/>
      <c r="J14" s="123"/>
      <c r="K14" s="123"/>
      <c r="L14" s="1"/>
    </row>
    <row r="15" spans="1:12" x14ac:dyDescent="0.25">
      <c r="A15" s="390"/>
      <c r="B15" s="14" t="s">
        <v>206</v>
      </c>
      <c r="C15" s="13" t="s">
        <v>208</v>
      </c>
      <c r="D15" s="25">
        <v>7</v>
      </c>
      <c r="E15" s="123"/>
      <c r="F15" s="123"/>
      <c r="G15" s="123"/>
      <c r="H15" s="123"/>
      <c r="I15" s="123"/>
      <c r="J15" s="123"/>
      <c r="K15" s="123"/>
      <c r="L15" s="1"/>
    </row>
    <row r="16" spans="1:12" x14ac:dyDescent="0.25">
      <c r="A16" s="391"/>
      <c r="B16" s="14" t="s">
        <v>207</v>
      </c>
      <c r="C16" s="13" t="s">
        <v>202</v>
      </c>
      <c r="D16" s="118">
        <v>3.5000000000000003E-2</v>
      </c>
      <c r="E16" s="123"/>
      <c r="F16" s="123"/>
      <c r="G16" s="123"/>
      <c r="H16" s="123"/>
      <c r="I16" s="123"/>
      <c r="J16" s="123"/>
      <c r="K16" s="123"/>
      <c r="L16" s="1"/>
    </row>
    <row r="17" spans="1:12" s="6" customFormat="1" x14ac:dyDescent="0.25">
      <c r="A17" s="126"/>
      <c r="B17" s="15"/>
      <c r="C17" s="15"/>
      <c r="D17" s="129" t="s">
        <v>182</v>
      </c>
      <c r="E17" s="36" t="s">
        <v>183</v>
      </c>
      <c r="F17" s="36" t="s">
        <v>184</v>
      </c>
      <c r="G17" s="36" t="s">
        <v>185</v>
      </c>
      <c r="H17" s="36" t="s">
        <v>186</v>
      </c>
      <c r="I17" s="36" t="s">
        <v>187</v>
      </c>
      <c r="J17" s="36" t="s">
        <v>188</v>
      </c>
      <c r="K17" s="36" t="s">
        <v>189</v>
      </c>
      <c r="L17" s="33"/>
    </row>
    <row r="18" spans="1:12" x14ac:dyDescent="0.25">
      <c r="A18" s="389" t="s">
        <v>171</v>
      </c>
      <c r="B18" s="4" t="s">
        <v>165</v>
      </c>
      <c r="C18" s="12"/>
      <c r="D18" s="22">
        <v>2013</v>
      </c>
      <c r="E18" s="35">
        <f t="shared" ref="E18:K18" si="0">+D18+1</f>
        <v>2014</v>
      </c>
      <c r="F18" s="35">
        <f t="shared" si="0"/>
        <v>2015</v>
      </c>
      <c r="G18" s="35">
        <f t="shared" si="0"/>
        <v>2016</v>
      </c>
      <c r="H18" s="35">
        <f t="shared" si="0"/>
        <v>2017</v>
      </c>
      <c r="I18" s="35">
        <f t="shared" si="0"/>
        <v>2018</v>
      </c>
      <c r="J18" s="35">
        <f t="shared" si="0"/>
        <v>2019</v>
      </c>
      <c r="K18" s="35">
        <f t="shared" si="0"/>
        <v>2020</v>
      </c>
      <c r="L18" s="1"/>
    </row>
    <row r="19" spans="1:12" x14ac:dyDescent="0.25">
      <c r="A19" s="390"/>
      <c r="B19" s="4" t="s">
        <v>166</v>
      </c>
      <c r="C19" s="12"/>
      <c r="D19" s="22">
        <v>12</v>
      </c>
      <c r="E19" s="35">
        <v>12</v>
      </c>
      <c r="F19" s="35">
        <f t="shared" ref="F19:K19" si="1">+E19</f>
        <v>12</v>
      </c>
      <c r="G19" s="35">
        <f t="shared" si="1"/>
        <v>12</v>
      </c>
      <c r="H19" s="35">
        <f t="shared" si="1"/>
        <v>12</v>
      </c>
      <c r="I19" s="35">
        <f t="shared" si="1"/>
        <v>12</v>
      </c>
      <c r="J19" s="35">
        <f t="shared" si="1"/>
        <v>12</v>
      </c>
      <c r="K19" s="35">
        <f t="shared" si="1"/>
        <v>12</v>
      </c>
      <c r="L19" s="1"/>
    </row>
    <row r="20" spans="1:12" x14ac:dyDescent="0.25">
      <c r="A20" s="390"/>
      <c r="B20" s="4" t="s">
        <v>167</v>
      </c>
      <c r="C20" s="12" t="s">
        <v>196</v>
      </c>
      <c r="D20" s="26">
        <v>41275</v>
      </c>
      <c r="E20" s="133">
        <v>0.02</v>
      </c>
      <c r="F20" s="133">
        <v>0.02</v>
      </c>
      <c r="G20" s="133">
        <v>0.03</v>
      </c>
      <c r="H20" s="133">
        <v>0.03</v>
      </c>
      <c r="I20" s="133">
        <v>0.03</v>
      </c>
      <c r="J20" s="133">
        <v>0.03</v>
      </c>
      <c r="K20" s="133">
        <v>0.03</v>
      </c>
      <c r="L20" s="1"/>
    </row>
    <row r="21" spans="1:12" x14ac:dyDescent="0.25">
      <c r="A21" s="390"/>
      <c r="B21" s="3" t="s">
        <v>240</v>
      </c>
      <c r="C21" s="12" t="s">
        <v>201</v>
      </c>
      <c r="D21" s="24">
        <v>300000</v>
      </c>
      <c r="E21" s="24">
        <f>+D21*(1+E20)</f>
        <v>306000</v>
      </c>
      <c r="F21" s="24">
        <f t="shared" ref="F21:K21" si="2">+E21*(1+F20)</f>
        <v>312120</v>
      </c>
      <c r="G21" s="24">
        <f t="shared" si="2"/>
        <v>321483.60000000003</v>
      </c>
      <c r="H21" s="24">
        <f t="shared" si="2"/>
        <v>331128.10800000007</v>
      </c>
      <c r="I21" s="24">
        <f t="shared" si="2"/>
        <v>341061.95124000008</v>
      </c>
      <c r="J21" s="24">
        <f t="shared" si="2"/>
        <v>351293.80977720011</v>
      </c>
      <c r="K21" s="24">
        <f t="shared" si="2"/>
        <v>361832.62407051615</v>
      </c>
    </row>
    <row r="22" spans="1:12" x14ac:dyDescent="0.25">
      <c r="A22" s="390"/>
      <c r="B22" s="4" t="s">
        <v>168</v>
      </c>
      <c r="C22" s="12" t="s">
        <v>211</v>
      </c>
      <c r="D22" s="22">
        <v>10</v>
      </c>
      <c r="E22" s="97"/>
      <c r="F22" s="97"/>
      <c r="G22" s="97"/>
      <c r="H22" s="97"/>
      <c r="I22" s="97"/>
      <c r="J22" s="97"/>
      <c r="K22" s="97"/>
      <c r="L22" s="1"/>
    </row>
    <row r="23" spans="1:12" x14ac:dyDescent="0.25">
      <c r="A23" s="390"/>
      <c r="B23" s="4" t="s">
        <v>169</v>
      </c>
      <c r="C23" s="12" t="s">
        <v>211</v>
      </c>
      <c r="D23" s="22">
        <v>2.4</v>
      </c>
      <c r="E23" s="97"/>
      <c r="F23" s="97"/>
      <c r="G23" s="97"/>
      <c r="H23" s="97"/>
      <c r="I23" s="97"/>
      <c r="J23" s="97"/>
      <c r="K23" s="97"/>
      <c r="L23" s="1"/>
    </row>
    <row r="24" spans="1:12" x14ac:dyDescent="0.25">
      <c r="A24" s="390"/>
      <c r="B24" s="4" t="s">
        <v>170</v>
      </c>
      <c r="C24" s="12" t="s">
        <v>202</v>
      </c>
      <c r="D24" s="29">
        <v>0.19600000000000001</v>
      </c>
      <c r="E24" s="97"/>
      <c r="F24" s="97"/>
      <c r="G24" s="97"/>
      <c r="H24" s="97"/>
      <c r="I24" s="97"/>
      <c r="J24" s="97"/>
      <c r="K24" s="97"/>
      <c r="L24" s="1"/>
    </row>
    <row r="25" spans="1:12" x14ac:dyDescent="0.25">
      <c r="A25" s="390"/>
      <c r="B25" s="4" t="s">
        <v>36</v>
      </c>
      <c r="C25" s="12" t="s">
        <v>202</v>
      </c>
      <c r="D25" s="29">
        <v>0.56999999999999995</v>
      </c>
      <c r="E25" s="37">
        <f>+D25</f>
        <v>0.56999999999999995</v>
      </c>
      <c r="F25" s="37">
        <f t="shared" ref="F25:K25" si="3">+E25</f>
        <v>0.56999999999999995</v>
      </c>
      <c r="G25" s="37">
        <f t="shared" si="3"/>
        <v>0.56999999999999995</v>
      </c>
      <c r="H25" s="37">
        <f t="shared" si="3"/>
        <v>0.56999999999999995</v>
      </c>
      <c r="I25" s="37">
        <f t="shared" si="3"/>
        <v>0.56999999999999995</v>
      </c>
      <c r="J25" s="37">
        <f t="shared" si="3"/>
        <v>0.56999999999999995</v>
      </c>
      <c r="K25" s="37">
        <f t="shared" si="3"/>
        <v>0.56999999999999995</v>
      </c>
      <c r="L25" s="1"/>
    </row>
    <row r="26" spans="1:12" x14ac:dyDescent="0.25">
      <c r="A26" s="391"/>
      <c r="B26" s="4" t="s">
        <v>92</v>
      </c>
      <c r="C26" s="12" t="s">
        <v>202</v>
      </c>
      <c r="D26" s="29">
        <v>2.5000000000000001E-2</v>
      </c>
      <c r="E26" s="132">
        <f>+D26</f>
        <v>2.5000000000000001E-2</v>
      </c>
      <c r="F26" s="132">
        <f t="shared" ref="F26:K26" si="4">+E26</f>
        <v>2.5000000000000001E-2</v>
      </c>
      <c r="G26" s="132">
        <f t="shared" si="4"/>
        <v>2.5000000000000001E-2</v>
      </c>
      <c r="H26" s="132">
        <f t="shared" si="4"/>
        <v>2.5000000000000001E-2</v>
      </c>
      <c r="I26" s="132">
        <f t="shared" si="4"/>
        <v>2.5000000000000001E-2</v>
      </c>
      <c r="J26" s="132">
        <f t="shared" si="4"/>
        <v>2.5000000000000001E-2</v>
      </c>
      <c r="K26" s="132">
        <f t="shared" si="4"/>
        <v>2.5000000000000001E-2</v>
      </c>
      <c r="L26" s="1"/>
    </row>
    <row r="27" spans="1:12" x14ac:dyDescent="0.25">
      <c r="A27" s="127"/>
      <c r="B27" s="97"/>
      <c r="C27" s="119"/>
      <c r="D27" s="120"/>
      <c r="E27" s="97"/>
      <c r="F27" s="97"/>
      <c r="G27" s="97"/>
      <c r="H27" s="97"/>
      <c r="I27" s="97"/>
      <c r="J27" s="97"/>
      <c r="K27" s="97"/>
      <c r="L27" s="1"/>
    </row>
    <row r="28" spans="1:12" x14ac:dyDescent="0.25">
      <c r="A28" s="389" t="s">
        <v>48</v>
      </c>
      <c r="B28" s="4" t="s">
        <v>172</v>
      </c>
      <c r="C28" s="12" t="s">
        <v>211</v>
      </c>
      <c r="D28" s="22">
        <v>12</v>
      </c>
      <c r="E28" s="97"/>
      <c r="F28" s="97"/>
      <c r="G28" s="97"/>
      <c r="H28" s="97"/>
      <c r="I28" s="97"/>
      <c r="J28" s="97"/>
      <c r="K28" s="97"/>
      <c r="L28" s="1"/>
    </row>
    <row r="29" spans="1:12" x14ac:dyDescent="0.25">
      <c r="A29" s="390"/>
      <c r="B29" s="4" t="s">
        <v>173</v>
      </c>
      <c r="C29" s="17">
        <v>1</v>
      </c>
      <c r="D29" s="28">
        <v>1</v>
      </c>
      <c r="E29" s="28">
        <v>1</v>
      </c>
      <c r="F29" s="28">
        <v>1</v>
      </c>
      <c r="G29" s="28">
        <v>1</v>
      </c>
      <c r="H29" s="28">
        <v>1</v>
      </c>
      <c r="I29" s="28">
        <v>1</v>
      </c>
      <c r="J29" s="28">
        <v>1</v>
      </c>
      <c r="K29" s="28">
        <v>1</v>
      </c>
    </row>
    <row r="30" spans="1:12" x14ac:dyDescent="0.25">
      <c r="A30" s="390"/>
      <c r="B30" s="4" t="s">
        <v>174</v>
      </c>
      <c r="C30" s="17">
        <v>1</v>
      </c>
      <c r="D30" s="28">
        <v>1</v>
      </c>
      <c r="E30" s="28">
        <v>1</v>
      </c>
      <c r="F30" s="28">
        <v>1</v>
      </c>
      <c r="G30" s="28">
        <v>1</v>
      </c>
      <c r="H30" s="28">
        <v>1</v>
      </c>
      <c r="I30" s="28">
        <v>1</v>
      </c>
      <c r="J30" s="28">
        <v>1</v>
      </c>
      <c r="K30" s="28">
        <v>1</v>
      </c>
    </row>
    <row r="31" spans="1:12" x14ac:dyDescent="0.25">
      <c r="A31" s="390"/>
      <c r="B31" s="4" t="s">
        <v>175</v>
      </c>
      <c r="C31" s="12" t="s">
        <v>200</v>
      </c>
      <c r="D31" s="28">
        <f>1650/(151.67)</f>
        <v>10.878881782817961</v>
      </c>
      <c r="E31" s="97"/>
      <c r="F31" s="97"/>
      <c r="G31" s="97"/>
      <c r="H31" s="97"/>
      <c r="I31" s="97"/>
      <c r="J31" s="97"/>
      <c r="K31" s="97"/>
    </row>
    <row r="32" spans="1:12" x14ac:dyDescent="0.25">
      <c r="A32" s="390"/>
      <c r="B32" s="4" t="s">
        <v>176</v>
      </c>
      <c r="C32" s="12" t="s">
        <v>200</v>
      </c>
      <c r="D32" s="28">
        <v>9.4</v>
      </c>
      <c r="E32" s="97"/>
      <c r="F32" s="97"/>
      <c r="G32" s="97"/>
      <c r="H32" s="97"/>
      <c r="I32" s="97"/>
      <c r="J32" s="97"/>
      <c r="K32" s="97"/>
    </row>
    <row r="33" spans="1:11" x14ac:dyDescent="0.25">
      <c r="A33" s="390"/>
      <c r="B33" s="4" t="s">
        <v>177</v>
      </c>
      <c r="C33" s="12" t="s">
        <v>198</v>
      </c>
      <c r="D33" s="29">
        <v>0.34</v>
      </c>
      <c r="E33" s="97"/>
      <c r="F33" s="97"/>
      <c r="G33" s="97"/>
      <c r="H33" s="97"/>
      <c r="I33" s="97"/>
      <c r="J33" s="97"/>
      <c r="K33" s="97"/>
    </row>
    <row r="34" spans="1:11" x14ac:dyDescent="0.25">
      <c r="A34" s="390"/>
      <c r="B34" s="4" t="s">
        <v>178</v>
      </c>
      <c r="C34" s="12" t="s">
        <v>199</v>
      </c>
      <c r="D34" s="29">
        <v>0.34</v>
      </c>
      <c r="E34" s="97"/>
      <c r="F34" s="97"/>
      <c r="G34" s="97"/>
      <c r="H34" s="97"/>
      <c r="I34" s="97"/>
      <c r="J34" s="97"/>
      <c r="K34" s="97"/>
    </row>
    <row r="35" spans="1:11" x14ac:dyDescent="0.25">
      <c r="A35" s="390"/>
      <c r="B35" s="4" t="s">
        <v>179</v>
      </c>
      <c r="C35" s="12" t="s">
        <v>202</v>
      </c>
      <c r="D35" s="29">
        <v>0.03</v>
      </c>
      <c r="E35" s="30">
        <f>+D35</f>
        <v>0.03</v>
      </c>
      <c r="F35" s="30">
        <f t="shared" ref="F35:K35" si="5">+E35</f>
        <v>0.03</v>
      </c>
      <c r="G35" s="30">
        <f t="shared" si="5"/>
        <v>0.03</v>
      </c>
      <c r="H35" s="30">
        <f t="shared" si="5"/>
        <v>0.03</v>
      </c>
      <c r="I35" s="30">
        <f t="shared" si="5"/>
        <v>0.03</v>
      </c>
      <c r="J35" s="30">
        <f t="shared" si="5"/>
        <v>0.03</v>
      </c>
      <c r="K35" s="30">
        <f t="shared" si="5"/>
        <v>0.03</v>
      </c>
    </row>
    <row r="36" spans="1:11" x14ac:dyDescent="0.25">
      <c r="A36" s="391"/>
      <c r="B36" s="4" t="s">
        <v>180</v>
      </c>
      <c r="C36" s="18">
        <v>0</v>
      </c>
      <c r="D36" s="22">
        <v>151.66999999999999</v>
      </c>
      <c r="E36" s="97"/>
      <c r="F36" s="97"/>
      <c r="G36" s="97"/>
      <c r="H36" s="97"/>
      <c r="I36" s="97"/>
      <c r="J36" s="97"/>
      <c r="K36" s="97"/>
    </row>
    <row r="37" spans="1:11" x14ac:dyDescent="0.25">
      <c r="A37" s="127"/>
      <c r="B37" s="97"/>
      <c r="C37" s="119"/>
      <c r="D37" s="120"/>
      <c r="E37" s="97"/>
      <c r="F37" s="97"/>
      <c r="G37" s="97"/>
      <c r="H37" s="97"/>
      <c r="I37" s="97"/>
      <c r="J37" s="97"/>
      <c r="K37" s="97"/>
    </row>
    <row r="38" spans="1:11" x14ac:dyDescent="0.25">
      <c r="A38" s="389" t="s">
        <v>181</v>
      </c>
      <c r="B38" s="4" t="s">
        <v>172</v>
      </c>
      <c r="C38" s="12" t="s">
        <v>203</v>
      </c>
      <c r="D38" s="22">
        <v>12</v>
      </c>
      <c r="E38" s="97"/>
      <c r="F38" s="97"/>
      <c r="G38" s="97"/>
      <c r="H38" s="97"/>
      <c r="I38" s="97"/>
      <c r="J38" s="97"/>
      <c r="K38" s="97"/>
    </row>
    <row r="39" spans="1:11" x14ac:dyDescent="0.25">
      <c r="A39" s="390"/>
      <c r="B39" s="4" t="s">
        <v>18</v>
      </c>
      <c r="C39" s="12" t="s">
        <v>201</v>
      </c>
      <c r="D39" s="22">
        <v>1425</v>
      </c>
      <c r="E39" s="97"/>
      <c r="F39" s="97"/>
      <c r="G39" s="97"/>
      <c r="H39" s="97"/>
      <c r="I39" s="97"/>
      <c r="J39" s="97"/>
      <c r="K39" s="97"/>
    </row>
    <row r="40" spans="1:11" x14ac:dyDescent="0.25">
      <c r="A40" s="390"/>
      <c r="B40" s="4" t="s">
        <v>20</v>
      </c>
      <c r="C40" s="12" t="s">
        <v>202</v>
      </c>
      <c r="D40" s="29">
        <v>0.02</v>
      </c>
      <c r="E40" s="31">
        <v>0.02</v>
      </c>
      <c r="F40" s="31">
        <v>0.02</v>
      </c>
      <c r="G40" s="31">
        <v>0.02</v>
      </c>
      <c r="H40" s="31">
        <v>0.02</v>
      </c>
      <c r="I40" s="31">
        <v>0.02</v>
      </c>
      <c r="J40" s="31">
        <v>0.02</v>
      </c>
      <c r="K40" s="31">
        <v>0.02</v>
      </c>
    </row>
    <row r="41" spans="1:11" x14ac:dyDescent="0.25">
      <c r="A41" s="391"/>
      <c r="B41" s="4" t="s">
        <v>204</v>
      </c>
      <c r="C41" s="12" t="s">
        <v>201</v>
      </c>
      <c r="D41" s="148">
        <f>1694/12</f>
        <v>141.16666666666666</v>
      </c>
      <c r="E41" s="97"/>
      <c r="F41" s="97"/>
      <c r="G41" s="97"/>
      <c r="H41" s="97"/>
      <c r="I41" s="97"/>
      <c r="J41" s="97"/>
      <c r="K41" s="97"/>
    </row>
    <row r="42" spans="1:11" x14ac:dyDescent="0.25">
      <c r="A42" s="127"/>
      <c r="B42" s="97"/>
      <c r="C42" s="119"/>
      <c r="D42" s="120"/>
      <c r="E42" s="97"/>
      <c r="F42" s="97"/>
      <c r="G42" s="97"/>
      <c r="H42" s="97"/>
      <c r="I42" s="97"/>
      <c r="J42" s="97"/>
      <c r="K42" s="97"/>
    </row>
    <row r="43" spans="1:11" x14ac:dyDescent="0.25">
      <c r="A43" s="389" t="s">
        <v>190</v>
      </c>
      <c r="B43" s="4" t="s">
        <v>172</v>
      </c>
      <c r="C43" s="12" t="s">
        <v>203</v>
      </c>
      <c r="D43" s="22">
        <v>12</v>
      </c>
      <c r="E43" s="97"/>
      <c r="F43" s="97"/>
      <c r="G43" s="97"/>
      <c r="H43" s="97"/>
      <c r="I43" s="97"/>
      <c r="J43" s="97"/>
      <c r="K43" s="97"/>
    </row>
    <row r="44" spans="1:11" x14ac:dyDescent="0.25">
      <c r="A44" s="391"/>
      <c r="B44" s="4" t="s">
        <v>117</v>
      </c>
      <c r="C44" s="12" t="s">
        <v>202</v>
      </c>
      <c r="D44" s="29">
        <v>7.0000000000000007E-2</v>
      </c>
      <c r="E44" s="29">
        <v>7.0000000000000007E-2</v>
      </c>
      <c r="F44" s="29">
        <v>7.0000000000000007E-2</v>
      </c>
      <c r="G44" s="29">
        <v>7.0000000000000007E-2</v>
      </c>
      <c r="H44" s="29">
        <v>7.0000000000000007E-2</v>
      </c>
      <c r="I44" s="29">
        <v>7.0000000000000007E-2</v>
      </c>
      <c r="J44" s="29">
        <v>7.0000000000000007E-2</v>
      </c>
      <c r="K44" s="29">
        <v>7.0000000000000007E-2</v>
      </c>
    </row>
    <row r="45" spans="1:11" x14ac:dyDescent="0.25">
      <c r="A45" s="127"/>
      <c r="B45" s="97"/>
      <c r="C45" s="119"/>
      <c r="D45" s="120"/>
      <c r="E45" s="97"/>
      <c r="F45" s="97"/>
      <c r="G45" s="97"/>
      <c r="H45" s="97"/>
      <c r="I45" s="97"/>
      <c r="J45" s="97"/>
      <c r="K45" s="97"/>
    </row>
    <row r="46" spans="1:11" x14ac:dyDescent="0.25">
      <c r="A46" s="389" t="s">
        <v>191</v>
      </c>
      <c r="B46" s="4" t="s">
        <v>172</v>
      </c>
      <c r="C46" s="12" t="s">
        <v>203</v>
      </c>
      <c r="D46" s="24">
        <v>12</v>
      </c>
      <c r="E46" s="97"/>
      <c r="F46" s="97"/>
      <c r="G46" s="97"/>
      <c r="H46" s="97"/>
      <c r="I46" s="97"/>
      <c r="J46" s="97"/>
      <c r="K46" s="97"/>
    </row>
    <row r="47" spans="1:11" x14ac:dyDescent="0.25">
      <c r="A47" s="391"/>
      <c r="B47" s="4" t="s">
        <v>13</v>
      </c>
      <c r="C47" s="12" t="s">
        <v>202</v>
      </c>
      <c r="D47" s="29">
        <v>0.02</v>
      </c>
      <c r="E47" s="97"/>
      <c r="F47" s="97"/>
      <c r="G47" s="97"/>
      <c r="H47" s="97"/>
      <c r="I47" s="97"/>
      <c r="J47" s="97"/>
      <c r="K47" s="97"/>
    </row>
    <row r="48" spans="1:11" x14ac:dyDescent="0.25">
      <c r="A48" s="127"/>
      <c r="B48" s="97"/>
      <c r="C48" s="119"/>
      <c r="D48" s="121"/>
      <c r="E48" s="97"/>
      <c r="F48" s="97"/>
      <c r="G48" s="97"/>
      <c r="H48" s="97"/>
      <c r="I48" s="97"/>
      <c r="J48" s="97"/>
      <c r="K48" s="97"/>
    </row>
    <row r="49" spans="1:12" x14ac:dyDescent="0.25">
      <c r="A49" s="389" t="s">
        <v>192</v>
      </c>
      <c r="B49" s="4" t="s">
        <v>172</v>
      </c>
      <c r="C49" s="12" t="s">
        <v>211</v>
      </c>
      <c r="D49" s="24">
        <v>12</v>
      </c>
      <c r="E49" s="97"/>
      <c r="F49" s="97"/>
      <c r="G49" s="97"/>
      <c r="H49" s="97"/>
      <c r="I49" s="97"/>
      <c r="J49" s="97"/>
      <c r="K49" s="97"/>
    </row>
    <row r="50" spans="1:12" x14ac:dyDescent="0.25">
      <c r="A50" s="390"/>
      <c r="B50" s="4" t="s">
        <v>27</v>
      </c>
      <c r="C50" s="12" t="s">
        <v>201</v>
      </c>
      <c r="D50" s="24">
        <f>9860+10603</f>
        <v>20463</v>
      </c>
      <c r="E50" s="97"/>
      <c r="F50" s="97"/>
      <c r="G50" s="97"/>
      <c r="H50" s="97"/>
      <c r="I50" s="97"/>
      <c r="J50" s="97"/>
      <c r="K50" s="97"/>
    </row>
    <row r="51" spans="1:12" x14ac:dyDescent="0.25">
      <c r="A51" s="390"/>
      <c r="B51" s="4" t="s">
        <v>28</v>
      </c>
      <c r="C51" s="12" t="s">
        <v>201</v>
      </c>
      <c r="D51" s="24">
        <v>60000</v>
      </c>
      <c r="E51" s="97"/>
      <c r="F51" s="97"/>
      <c r="G51" s="97"/>
      <c r="H51" s="97"/>
      <c r="I51" s="97"/>
      <c r="J51" s="97"/>
      <c r="K51" s="97"/>
    </row>
    <row r="52" spans="1:12" x14ac:dyDescent="0.25">
      <c r="A52" s="390"/>
      <c r="B52" s="4" t="s">
        <v>29</v>
      </c>
      <c r="C52" s="12" t="s">
        <v>201</v>
      </c>
      <c r="D52" s="24">
        <v>165000</v>
      </c>
      <c r="E52" s="97"/>
      <c r="F52" s="97"/>
      <c r="G52" s="97"/>
      <c r="H52" s="97"/>
      <c r="I52" s="97"/>
      <c r="J52" s="97"/>
      <c r="K52" s="97"/>
    </row>
    <row r="53" spans="1:12" x14ac:dyDescent="0.25">
      <c r="A53" s="390"/>
      <c r="B53" s="160" t="s">
        <v>251</v>
      </c>
      <c r="C53" s="12" t="s">
        <v>201</v>
      </c>
      <c r="D53" s="24">
        <v>3200</v>
      </c>
      <c r="E53" s="97"/>
      <c r="F53" s="97"/>
      <c r="G53" s="97"/>
      <c r="H53" s="97"/>
      <c r="I53" s="97"/>
      <c r="J53" s="97"/>
      <c r="K53" s="97"/>
    </row>
    <row r="54" spans="1:12" x14ac:dyDescent="0.25">
      <c r="A54" s="390"/>
      <c r="B54" s="4" t="s">
        <v>118</v>
      </c>
      <c r="C54" s="12" t="s">
        <v>201</v>
      </c>
      <c r="D54" s="24"/>
      <c r="E54" s="27"/>
      <c r="F54" s="27"/>
      <c r="G54" s="27"/>
      <c r="H54" s="27"/>
      <c r="I54" s="27"/>
      <c r="J54" s="27"/>
      <c r="K54" s="27"/>
    </row>
    <row r="55" spans="1:12" x14ac:dyDescent="0.25">
      <c r="A55" s="391"/>
      <c r="B55" s="4" t="s">
        <v>119</v>
      </c>
      <c r="C55" s="12">
        <v>7</v>
      </c>
      <c r="D55" s="75">
        <v>7</v>
      </c>
      <c r="E55" s="19">
        <v>7</v>
      </c>
      <c r="F55" s="19">
        <v>7</v>
      </c>
      <c r="G55" s="19">
        <v>7</v>
      </c>
      <c r="H55" s="19">
        <v>7</v>
      </c>
      <c r="I55" s="19">
        <v>7</v>
      </c>
      <c r="J55" s="19">
        <v>7</v>
      </c>
      <c r="K55" s="19">
        <v>7</v>
      </c>
    </row>
    <row r="56" spans="1:12" x14ac:dyDescent="0.25">
      <c r="A56" s="127"/>
      <c r="B56" s="97"/>
      <c r="C56" s="119"/>
      <c r="D56" s="122"/>
      <c r="E56" s="97"/>
      <c r="F56" s="97"/>
      <c r="G56" s="97"/>
      <c r="H56" s="97"/>
      <c r="I56" s="97"/>
      <c r="J56" s="97"/>
      <c r="K56" s="97"/>
      <c r="L56" s="32"/>
    </row>
    <row r="57" spans="1:12" x14ac:dyDescent="0.25">
      <c r="A57" s="389" t="s">
        <v>215</v>
      </c>
      <c r="B57" s="4" t="s">
        <v>17</v>
      </c>
      <c r="C57" s="12" t="s">
        <v>211</v>
      </c>
      <c r="D57" s="24">
        <v>1</v>
      </c>
      <c r="E57" s="97"/>
      <c r="F57" s="97"/>
      <c r="G57" s="97"/>
      <c r="H57" s="97"/>
      <c r="I57" s="97"/>
      <c r="J57" s="97"/>
      <c r="K57" s="97"/>
    </row>
    <row r="58" spans="1:12" x14ac:dyDescent="0.25">
      <c r="A58" s="391"/>
      <c r="B58" s="4" t="s">
        <v>13</v>
      </c>
      <c r="C58" s="12" t="s">
        <v>202</v>
      </c>
      <c r="D58" s="29">
        <v>0</v>
      </c>
      <c r="E58" s="97"/>
      <c r="F58" s="97"/>
      <c r="G58" s="97"/>
      <c r="H58" s="97"/>
      <c r="I58" s="97"/>
      <c r="J58" s="97"/>
      <c r="K58" s="97"/>
    </row>
  </sheetData>
  <sheetProtection selectLockedCells="1"/>
  <mergeCells count="9">
    <mergeCell ref="D5:H5"/>
    <mergeCell ref="A3:A16"/>
    <mergeCell ref="A18:A26"/>
    <mergeCell ref="A28:A36"/>
    <mergeCell ref="A57:A58"/>
    <mergeCell ref="A38:A41"/>
    <mergeCell ref="A43:A44"/>
    <mergeCell ref="A46:A47"/>
    <mergeCell ref="A49:A55"/>
  </mergeCells>
  <phoneticPr fontId="7" type="noConversion"/>
  <pageMargins left="0.15748031496062992" right="0.15748031496062992" top="0.94488188976377963" bottom="0.43307086614173229" header="0.51181102362204722" footer="0.19685039370078741"/>
  <pageSetup paperSize="9" scale="65" orientation="portrait" r:id="rId1"/>
  <headerFooter alignWithMargins="0">
    <oddHeader>&amp;LSD&amp;C&amp;"Arial,Gras"&amp;20&amp;Umenu de saisie&amp;RUSD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117"/>
  <sheetViews>
    <sheetView workbookViewId="0">
      <selection activeCell="D14" sqref="D14"/>
    </sheetView>
  </sheetViews>
  <sheetFormatPr baseColWidth="10" defaultColWidth="11.44140625" defaultRowHeight="13.2" x14ac:dyDescent="0.25"/>
  <cols>
    <col min="1" max="1" width="25.5546875" style="1" bestFit="1" customWidth="1"/>
    <col min="2" max="2" width="10.44140625" style="38" bestFit="1" customWidth="1"/>
    <col min="3" max="3" width="10.44140625" style="2" bestFit="1" customWidth="1"/>
    <col min="4" max="9" width="10.44140625" style="1" bestFit="1" customWidth="1"/>
    <col min="10" max="16384" width="11.44140625" style="1"/>
  </cols>
  <sheetData>
    <row r="1" spans="1:9" x14ac:dyDescent="0.25">
      <c r="A1" s="8" t="str">
        <f>+'ca et marge'!A1</f>
        <v>ANGERS</v>
      </c>
      <c r="C1" s="1"/>
    </row>
    <row r="2" spans="1:9" x14ac:dyDescent="0.25">
      <c r="C2" s="1"/>
    </row>
    <row r="3" spans="1:9" x14ac:dyDescent="0.25">
      <c r="C3" s="1"/>
    </row>
    <row r="4" spans="1:9" x14ac:dyDescent="0.25">
      <c r="A4" s="100" t="s">
        <v>44</v>
      </c>
      <c r="C4" s="1"/>
    </row>
    <row r="5" spans="1:9" x14ac:dyDescent="0.25">
      <c r="A5" s="4" t="s">
        <v>17</v>
      </c>
      <c r="B5" s="65">
        <f>+SAISIE!D57</f>
        <v>1</v>
      </c>
      <c r="C5" s="1"/>
    </row>
    <row r="6" spans="1:9" x14ac:dyDescent="0.25">
      <c r="A6" s="4" t="s">
        <v>13</v>
      </c>
      <c r="B6" s="101">
        <f>+SAISIE!D58</f>
        <v>0</v>
      </c>
      <c r="C6" s="1"/>
    </row>
    <row r="7" spans="1:9" x14ac:dyDescent="0.25">
      <c r="B7" s="42"/>
      <c r="C7" s="1"/>
    </row>
    <row r="8" spans="1:9" x14ac:dyDescent="0.25">
      <c r="B8" s="90"/>
      <c r="C8" s="1"/>
      <c r="F8" s="1" t="s">
        <v>80</v>
      </c>
    </row>
    <row r="9" spans="1:9" x14ac:dyDescent="0.25">
      <c r="C9" s="1"/>
    </row>
    <row r="10" spans="1:9" x14ac:dyDescent="0.25">
      <c r="C10" s="1"/>
    </row>
    <row r="11" spans="1:9" x14ac:dyDescent="0.25">
      <c r="A11" s="4"/>
      <c r="B11" s="39">
        <f>+'ca et marge'!B14</f>
        <v>2013</v>
      </c>
      <c r="C11" s="39">
        <f>+'ca et marge'!C14</f>
        <v>2014</v>
      </c>
      <c r="D11" s="39">
        <f>+'ca et marge'!D14</f>
        <v>2015</v>
      </c>
      <c r="E11" s="39">
        <f>+'ca et marge'!E14</f>
        <v>2016</v>
      </c>
      <c r="F11" s="39">
        <f>+'ca et marge'!F14</f>
        <v>2017</v>
      </c>
      <c r="G11" s="39">
        <f>+'ca et marge'!G14</f>
        <v>2018</v>
      </c>
      <c r="H11" s="39">
        <f>+'ca et marge'!H14</f>
        <v>2019</v>
      </c>
      <c r="I11" s="39">
        <f>+'ca et marge'!I14</f>
        <v>2020</v>
      </c>
    </row>
    <row r="12" spans="1:9" s="42" customFormat="1" x14ac:dyDescent="0.25">
      <c r="A12" s="40" t="s">
        <v>24</v>
      </c>
      <c r="B12" s="41">
        <f>+'ca et marge'!B22</f>
        <v>250836.1204013378</v>
      </c>
      <c r="C12" s="41">
        <f>+'ca et marge'!C22</f>
        <v>255852.84280936455</v>
      </c>
      <c r="D12" s="41">
        <f>+'ca et marge'!D22</f>
        <v>260969.89966555184</v>
      </c>
      <c r="E12" s="41">
        <f>+'ca et marge'!E22</f>
        <v>268798.99665551842</v>
      </c>
      <c r="F12" s="41">
        <f>+'ca et marge'!F22</f>
        <v>276862.96655518399</v>
      </c>
      <c r="G12" s="41">
        <f>+'ca et marge'!G22</f>
        <v>285168.85555183957</v>
      </c>
      <c r="H12" s="41">
        <f>+'ca et marge'!H22</f>
        <v>293723.92121839477</v>
      </c>
      <c r="I12" s="41">
        <f>+'ca et marge'!I22</f>
        <v>302535.63885494665</v>
      </c>
    </row>
    <row r="13" spans="1:9" s="9" customFormat="1" x14ac:dyDescent="0.25">
      <c r="A13" s="47" t="s">
        <v>13</v>
      </c>
      <c r="B13" s="91">
        <f>+B6</f>
        <v>0</v>
      </c>
      <c r="C13" s="91">
        <f>+B13</f>
        <v>0</v>
      </c>
      <c r="D13" s="91">
        <f t="shared" ref="D13:I14" si="0">+C13</f>
        <v>0</v>
      </c>
      <c r="E13" s="91">
        <f t="shared" si="0"/>
        <v>0</v>
      </c>
      <c r="F13" s="91">
        <f t="shared" si="0"/>
        <v>0</v>
      </c>
      <c r="G13" s="91">
        <f t="shared" si="0"/>
        <v>0</v>
      </c>
      <c r="H13" s="91">
        <f t="shared" si="0"/>
        <v>0</v>
      </c>
      <c r="I13" s="91">
        <f t="shared" si="0"/>
        <v>0</v>
      </c>
    </row>
    <row r="14" spans="1:9" x14ac:dyDescent="0.25">
      <c r="A14" s="47" t="s">
        <v>16</v>
      </c>
      <c r="B14" s="53">
        <f>+B5</f>
        <v>1</v>
      </c>
      <c r="C14" s="4">
        <v>12</v>
      </c>
      <c r="D14" s="4">
        <f>+C14</f>
        <v>12</v>
      </c>
      <c r="E14" s="4">
        <f t="shared" si="0"/>
        <v>12</v>
      </c>
      <c r="F14" s="4">
        <f t="shared" si="0"/>
        <v>12</v>
      </c>
      <c r="G14" s="4">
        <f t="shared" si="0"/>
        <v>12</v>
      </c>
      <c r="H14" s="4">
        <f t="shared" si="0"/>
        <v>12</v>
      </c>
      <c r="I14" s="4">
        <f t="shared" si="0"/>
        <v>12</v>
      </c>
    </row>
    <row r="15" spans="1:9" x14ac:dyDescent="0.25">
      <c r="A15" s="4"/>
      <c r="B15" s="53"/>
      <c r="C15" s="4"/>
      <c r="D15" s="4"/>
      <c r="E15" s="4"/>
      <c r="F15" s="4"/>
      <c r="G15" s="4"/>
      <c r="H15" s="4"/>
      <c r="I15" s="4"/>
    </row>
    <row r="16" spans="1:9" s="42" customFormat="1" x14ac:dyDescent="0.25">
      <c r="A16" s="50" t="s">
        <v>25</v>
      </c>
      <c r="B16" s="51">
        <f>+B12*B13</f>
        <v>0</v>
      </c>
      <c r="C16" s="51">
        <f t="shared" ref="C16:I16" si="1">+C12*C13</f>
        <v>0</v>
      </c>
      <c r="D16" s="51">
        <f t="shared" si="1"/>
        <v>0</v>
      </c>
      <c r="E16" s="51">
        <f t="shared" si="1"/>
        <v>0</v>
      </c>
      <c r="F16" s="51">
        <f t="shared" si="1"/>
        <v>0</v>
      </c>
      <c r="G16" s="51">
        <f t="shared" si="1"/>
        <v>0</v>
      </c>
      <c r="H16" s="51">
        <f t="shared" si="1"/>
        <v>0</v>
      </c>
      <c r="I16" s="51">
        <f t="shared" si="1"/>
        <v>0</v>
      </c>
    </row>
    <row r="17" spans="1:9" x14ac:dyDescent="0.25">
      <c r="A17" s="4"/>
      <c r="B17" s="53"/>
      <c r="C17" s="4"/>
      <c r="D17" s="4"/>
      <c r="E17" s="4"/>
      <c r="F17" s="4"/>
      <c r="G17" s="4"/>
      <c r="H17" s="4"/>
      <c r="I17" s="4"/>
    </row>
    <row r="18" spans="1:9" x14ac:dyDescent="0.25">
      <c r="C18" s="1"/>
    </row>
    <row r="19" spans="1:9" x14ac:dyDescent="0.25">
      <c r="C19" s="1"/>
    </row>
    <row r="20" spans="1:9" x14ac:dyDescent="0.25">
      <c r="C20" s="1"/>
    </row>
    <row r="21" spans="1:9" x14ac:dyDescent="0.25">
      <c r="C21" s="1"/>
    </row>
    <row r="22" spans="1:9" x14ac:dyDescent="0.25">
      <c r="C22" s="1"/>
    </row>
    <row r="23" spans="1:9" x14ac:dyDescent="0.25">
      <c r="C23" s="1"/>
    </row>
    <row r="24" spans="1:9" x14ac:dyDescent="0.25">
      <c r="C24" s="1"/>
    </row>
    <row r="25" spans="1:9" x14ac:dyDescent="0.25">
      <c r="C25" s="1"/>
    </row>
    <row r="26" spans="1:9" x14ac:dyDescent="0.25">
      <c r="C26" s="1"/>
    </row>
    <row r="27" spans="1:9" x14ac:dyDescent="0.25">
      <c r="C27" s="1"/>
    </row>
    <row r="28" spans="1:9" x14ac:dyDescent="0.25">
      <c r="C28" s="1"/>
    </row>
    <row r="29" spans="1:9" x14ac:dyDescent="0.25">
      <c r="A29" s="72"/>
      <c r="C29" s="1"/>
    </row>
    <row r="30" spans="1:9" x14ac:dyDescent="0.25">
      <c r="C30" s="1"/>
    </row>
    <row r="31" spans="1:9" x14ac:dyDescent="0.25">
      <c r="C31" s="1"/>
    </row>
    <row r="32" spans="1:9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hidden="1" x14ac:dyDescent="0.25">
      <c r="C81" s="1"/>
    </row>
    <row r="82" spans="3:3" hidden="1" x14ac:dyDescent="0.25">
      <c r="C82" s="1"/>
    </row>
    <row r="83" spans="3:3" hidden="1" x14ac:dyDescent="0.25">
      <c r="C83" s="1"/>
    </row>
    <row r="84" spans="3:3" hidden="1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</sheetData>
  <sheetProtection selectLockedCells="1"/>
  <phoneticPr fontId="7" type="noConversion"/>
  <pageMargins left="0.78740157499999996" right="0.78740157499999996" top="0.984251969" bottom="0.984251969" header="0.4921259845" footer="0.22"/>
  <pageSetup paperSize="9" orientation="landscape" r:id="rId1"/>
  <headerFooter alignWithMargins="0">
    <oddHeader xml:space="preserve">&amp;R&amp;"Arial,Gras"&amp;18PREVISION </oddHeader>
    <oddFooter>&amp;L&amp;8Document non contractuel
Charges personnelles de l'exploitant non inclus
Les chiffres et les informations ci-dessus sont données à titre indicatifs et restent à être validés par un Expert Comptable
&amp;R&amp;P/&amp;N
&amp;"Arial,Gras"&amp;12&amp;A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37"/>
  <sheetViews>
    <sheetView zoomScale="85" workbookViewId="0">
      <selection activeCell="D14" sqref="D14"/>
    </sheetView>
  </sheetViews>
  <sheetFormatPr baseColWidth="10" defaultColWidth="11.44140625" defaultRowHeight="13.2" x14ac:dyDescent="0.25"/>
  <cols>
    <col min="1" max="1" width="11.44140625" style="1"/>
    <col min="2" max="2" width="19.6640625" style="1" bestFit="1" customWidth="1"/>
    <col min="3" max="3" width="23.6640625" style="9" customWidth="1"/>
    <col min="4" max="6" width="13.33203125" style="1" bestFit="1" customWidth="1"/>
    <col min="7" max="10" width="13.109375" style="1" bestFit="1" customWidth="1"/>
    <col min="11" max="16384" width="11.44140625" style="1"/>
  </cols>
  <sheetData>
    <row r="1" spans="1:6" x14ac:dyDescent="0.25">
      <c r="A1" s="8" t="str">
        <f>+SAISIE!D4</f>
        <v>ANGERS</v>
      </c>
    </row>
    <row r="3" spans="1:6" x14ac:dyDescent="0.25">
      <c r="A3" s="1" t="s">
        <v>78</v>
      </c>
    </row>
    <row r="5" spans="1:6" x14ac:dyDescent="0.25">
      <c r="B5" s="102" t="s">
        <v>61</v>
      </c>
      <c r="C5" s="103" t="s">
        <v>62</v>
      </c>
      <c r="D5" s="104"/>
    </row>
    <row r="6" spans="1:6" x14ac:dyDescent="0.25">
      <c r="B6" s="5" t="s">
        <v>205</v>
      </c>
      <c r="C6" s="105">
        <f>+SAISIE!D8</f>
        <v>38</v>
      </c>
      <c r="D6" s="106"/>
    </row>
    <row r="7" spans="1:6" x14ac:dyDescent="0.25">
      <c r="B7" s="5" t="s">
        <v>64</v>
      </c>
      <c r="C7" s="107">
        <f>+SAISIE!D9</f>
        <v>41275</v>
      </c>
      <c r="D7" s="106"/>
    </row>
    <row r="8" spans="1:6" x14ac:dyDescent="0.25">
      <c r="B8" s="5" t="s">
        <v>65</v>
      </c>
      <c r="C8" s="107">
        <f>+SAISIE!D10</f>
        <v>41275</v>
      </c>
      <c r="D8" s="106"/>
      <c r="F8" s="1" t="s">
        <v>80</v>
      </c>
    </row>
    <row r="9" spans="1:6" x14ac:dyDescent="0.25">
      <c r="B9" s="5" t="s">
        <v>66</v>
      </c>
      <c r="C9" s="105">
        <f>+SAISIE!D11</f>
        <v>12</v>
      </c>
      <c r="D9" s="106"/>
    </row>
    <row r="10" spans="1:6" x14ac:dyDescent="0.25">
      <c r="B10" s="5"/>
      <c r="C10" s="105"/>
      <c r="D10" s="106"/>
    </row>
    <row r="11" spans="1:6" x14ac:dyDescent="0.25">
      <c r="B11" s="139" t="s">
        <v>234</v>
      </c>
      <c r="C11" s="108">
        <v>10000</v>
      </c>
      <c r="D11" s="106"/>
    </row>
    <row r="12" spans="1:6" x14ac:dyDescent="0.25">
      <c r="B12" s="5" t="s">
        <v>141</v>
      </c>
      <c r="C12" s="108">
        <f>+amortissements!B8</f>
        <v>165000</v>
      </c>
      <c r="D12" s="106"/>
    </row>
    <row r="13" spans="1:6" x14ac:dyDescent="0.25">
      <c r="B13" s="5" t="s">
        <v>67</v>
      </c>
      <c r="C13" s="108">
        <f>+amortissements!B7</f>
        <v>60000</v>
      </c>
      <c r="D13" s="106"/>
    </row>
    <row r="14" spans="1:6" x14ac:dyDescent="0.25">
      <c r="B14" s="5" t="s">
        <v>68</v>
      </c>
      <c r="C14" s="108">
        <f>+amortissements!B6</f>
        <v>20463</v>
      </c>
      <c r="D14" s="106"/>
    </row>
    <row r="15" spans="1:6" x14ac:dyDescent="0.25">
      <c r="B15" s="139" t="s">
        <v>251</v>
      </c>
      <c r="C15" s="108">
        <f>+amortissements!B9</f>
        <v>3200</v>
      </c>
      <c r="D15" s="106"/>
    </row>
    <row r="16" spans="1:6" x14ac:dyDescent="0.25">
      <c r="B16" s="5" t="s">
        <v>0</v>
      </c>
      <c r="C16" s="108">
        <f>+SAISIE!D12</f>
        <v>0</v>
      </c>
      <c r="D16" s="106"/>
    </row>
    <row r="17" spans="2:12" x14ac:dyDescent="0.25">
      <c r="B17" s="5" t="s">
        <v>71</v>
      </c>
      <c r="C17" s="108">
        <f>+SAISIE!D13</f>
        <v>30000</v>
      </c>
      <c r="D17" s="106"/>
    </row>
    <row r="18" spans="2:12" x14ac:dyDescent="0.25">
      <c r="B18" s="161" t="s">
        <v>250</v>
      </c>
      <c r="C18" s="162">
        <f>SUM(C11:C17)</f>
        <v>288663</v>
      </c>
      <c r="D18" s="106"/>
    </row>
    <row r="19" spans="2:12" x14ac:dyDescent="0.25">
      <c r="B19" s="5"/>
      <c r="C19" s="109"/>
      <c r="D19" s="106"/>
    </row>
    <row r="20" spans="2:12" x14ac:dyDescent="0.25">
      <c r="B20" s="158" t="s">
        <v>69</v>
      </c>
      <c r="C20" s="155">
        <v>180000</v>
      </c>
      <c r="D20" s="200" t="s">
        <v>281</v>
      </c>
      <c r="E20" s="156">
        <f>+'calcul emprunt'!C4</f>
        <v>84</v>
      </c>
      <c r="F20" s="156" t="s">
        <v>142</v>
      </c>
      <c r="G20" s="157">
        <f>+'calcul emprunt'!C3</f>
        <v>3.5000000000000003E-2</v>
      </c>
    </row>
    <row r="21" spans="2:12" x14ac:dyDescent="0.25">
      <c r="B21" s="110" t="s">
        <v>82</v>
      </c>
      <c r="C21" s="111">
        <f>+C11+C12+C13+C14+C15+C16+C17-C20</f>
        <v>108663</v>
      </c>
      <c r="D21" s="112"/>
      <c r="E21" s="159" t="s">
        <v>249</v>
      </c>
      <c r="F21" s="199">
        <f>+'calcul emprunt'!C9</f>
        <v>-2419.1731135191517</v>
      </c>
    </row>
    <row r="23" spans="2:12" x14ac:dyDescent="0.25">
      <c r="C23" s="12"/>
      <c r="D23" s="113">
        <f>+'ca et marge'!B14</f>
        <v>2013</v>
      </c>
      <c r="E23" s="113">
        <f>+'ca et marge'!C14</f>
        <v>2014</v>
      </c>
      <c r="F23" s="113">
        <f>+'ca et marge'!D14</f>
        <v>2015</v>
      </c>
      <c r="G23" s="113">
        <f>+'ca et marge'!E14</f>
        <v>2016</v>
      </c>
      <c r="H23" s="113">
        <f>+'ca et marge'!F14</f>
        <v>2017</v>
      </c>
      <c r="I23" s="113">
        <f>+'ca et marge'!G14</f>
        <v>2018</v>
      </c>
      <c r="J23" s="113">
        <f>+'ca et marge'!H14</f>
        <v>2019</v>
      </c>
      <c r="K23" s="113">
        <f>+'ca et marge'!I14</f>
        <v>2020</v>
      </c>
    </row>
    <row r="24" spans="2:12" x14ac:dyDescent="0.25">
      <c r="C24" s="10" t="s">
        <v>59</v>
      </c>
      <c r="D24" s="51">
        <f>+SYNTHESE!B44</f>
        <v>51272.187531237447</v>
      </c>
      <c r="E24" s="51">
        <f>+SYNTHESE!C44</f>
        <v>51803.059043462184</v>
      </c>
      <c r="F24" s="51">
        <f>+SYNTHESE!D44</f>
        <v>52329.710818779437</v>
      </c>
      <c r="G24" s="51">
        <f>+SYNTHESE!E44</f>
        <v>54095.134919342818</v>
      </c>
      <c r="H24" s="51">
        <f>+SYNTHESE!F44</f>
        <v>55917.432398443125</v>
      </c>
      <c r="I24" s="51">
        <f>+SYNTHESE!G44</f>
        <v>57798.387670546857</v>
      </c>
      <c r="J24" s="51">
        <f>+SYNTHESE!H44</f>
        <v>59739.840246816631</v>
      </c>
      <c r="K24" s="51">
        <f>+SYNTHESE!I44</f>
        <v>61743.686419297679</v>
      </c>
    </row>
    <row r="25" spans="2:12" x14ac:dyDescent="0.25">
      <c r="C25" s="12" t="s">
        <v>70</v>
      </c>
      <c r="D25" s="114">
        <f>-C12-C13-C14-C15-C16</f>
        <v>-248663</v>
      </c>
      <c r="E25" s="4"/>
      <c r="F25" s="4"/>
      <c r="G25" s="4"/>
      <c r="H25" s="4"/>
      <c r="I25" s="4"/>
      <c r="J25" s="4"/>
      <c r="K25" s="4"/>
    </row>
    <row r="26" spans="2:12" x14ac:dyDescent="0.25">
      <c r="C26" s="12" t="s">
        <v>1</v>
      </c>
      <c r="D26" s="114">
        <f>+C20</f>
        <v>180000</v>
      </c>
      <c r="E26" s="4"/>
      <c r="F26" s="4"/>
      <c r="G26" s="4"/>
      <c r="H26" s="4"/>
      <c r="I26" s="4"/>
      <c r="J26" s="4"/>
      <c r="K26" s="4"/>
    </row>
    <row r="27" spans="2:12" x14ac:dyDescent="0.25">
      <c r="C27" s="12" t="s">
        <v>71</v>
      </c>
      <c r="D27" s="114">
        <f>-C17</f>
        <v>-30000</v>
      </c>
      <c r="E27" s="4"/>
      <c r="F27" s="4"/>
      <c r="G27" s="4"/>
      <c r="H27" s="4"/>
      <c r="I27" s="4"/>
      <c r="J27" s="4"/>
      <c r="K27" s="4"/>
    </row>
    <row r="28" spans="2:12" x14ac:dyDescent="0.25">
      <c r="B28" s="115"/>
      <c r="C28" s="12" t="s">
        <v>72</v>
      </c>
      <c r="D28" s="41">
        <f>+C21</f>
        <v>108663</v>
      </c>
      <c r="E28" s="4"/>
      <c r="F28" s="4"/>
      <c r="G28" s="4"/>
      <c r="H28" s="4"/>
      <c r="I28" s="4"/>
      <c r="J28" s="4"/>
      <c r="K28" s="4"/>
    </row>
    <row r="29" spans="2:12" x14ac:dyDescent="0.25">
      <c r="C29" s="163" t="s">
        <v>74</v>
      </c>
      <c r="D29" s="164">
        <f>+E29</f>
        <v>-29030.077362229822</v>
      </c>
      <c r="E29" s="164">
        <f>+F21*12</f>
        <v>-29030.077362229822</v>
      </c>
      <c r="F29" s="165">
        <f>+E29</f>
        <v>-29030.077362229822</v>
      </c>
      <c r="G29" s="165">
        <f>+F29</f>
        <v>-29030.077362229822</v>
      </c>
      <c r="H29" s="165">
        <f>+G29</f>
        <v>-29030.077362229822</v>
      </c>
      <c r="I29" s="165">
        <f>+H29</f>
        <v>-29030.077362229822</v>
      </c>
      <c r="J29" s="165">
        <f>+I29</f>
        <v>-29030.077362229822</v>
      </c>
      <c r="K29" s="114"/>
    </row>
    <row r="30" spans="2:12" x14ac:dyDescent="0.25">
      <c r="C30" s="166" t="s">
        <v>252</v>
      </c>
      <c r="D30" s="51">
        <f>+'calcul emprunt'!F27</f>
        <v>156901.72594283719</v>
      </c>
      <c r="E30" s="51">
        <f>+'calcul emprunt'!F39</f>
        <v>132981.91665915019</v>
      </c>
      <c r="F30" s="51">
        <f>+'calcul emprunt'!F51</f>
        <v>108211.3526441937</v>
      </c>
      <c r="G30" s="51">
        <f>+'calcul emprunt'!F63</f>
        <v>82559.775144472093</v>
      </c>
      <c r="H30" s="51">
        <f>+'calcul emprunt'!F75</f>
        <v>55995.849194827999</v>
      </c>
      <c r="I30" s="51">
        <f>+'calcul emprunt'!F87</f>
        <v>28487.125340872655</v>
      </c>
      <c r="J30" s="51">
        <f>+'calcul emprunt'!F99</f>
        <v>-2.1373125491663814E-11</v>
      </c>
      <c r="K30" s="114"/>
    </row>
    <row r="31" spans="2:12" hidden="1" x14ac:dyDescent="0.25">
      <c r="C31" s="166" t="s">
        <v>73</v>
      </c>
      <c r="D31" s="51">
        <f>+D24+D25+D26+D27+D28+D29</f>
        <v>32242.11016900761</v>
      </c>
      <c r="E31" s="51">
        <f>+E24-E29</f>
        <v>80833.136405691999</v>
      </c>
      <c r="F31" s="51">
        <f t="shared" ref="F31:K31" si="0">+F24-F29</f>
        <v>81359.788181009266</v>
      </c>
      <c r="G31" s="51">
        <f t="shared" si="0"/>
        <v>83125.212281572632</v>
      </c>
      <c r="H31" s="51">
        <f t="shared" si="0"/>
        <v>84947.509760672954</v>
      </c>
      <c r="I31" s="51">
        <f t="shared" si="0"/>
        <v>86828.465032776672</v>
      </c>
      <c r="J31" s="51">
        <f t="shared" si="0"/>
        <v>88769.917609046446</v>
      </c>
      <c r="K31" s="114">
        <f t="shared" si="0"/>
        <v>61743.686419297679</v>
      </c>
    </row>
    <row r="32" spans="2:12" hidden="1" x14ac:dyDescent="0.25">
      <c r="C32" s="166" t="s">
        <v>79</v>
      </c>
      <c r="D32" s="51">
        <f>+D24+D25+D26+D27+D28+D29</f>
        <v>32242.11016900761</v>
      </c>
      <c r="E32" s="51">
        <f>+D32+E31</f>
        <v>113075.24657469962</v>
      </c>
      <c r="F32" s="51">
        <f t="shared" ref="F32:K32" si="1">+E32+F31</f>
        <v>194435.03475570888</v>
      </c>
      <c r="G32" s="51">
        <f t="shared" si="1"/>
        <v>277560.24703728152</v>
      </c>
      <c r="H32" s="51">
        <f t="shared" si="1"/>
        <v>362507.75679795444</v>
      </c>
      <c r="I32" s="51">
        <f t="shared" si="1"/>
        <v>449336.22183073114</v>
      </c>
      <c r="J32" s="51">
        <f t="shared" si="1"/>
        <v>538106.13943977759</v>
      </c>
      <c r="K32" s="99">
        <f t="shared" si="1"/>
        <v>599849.8258590753</v>
      </c>
      <c r="L32" s="1" t="s">
        <v>76</v>
      </c>
    </row>
    <row r="33" spans="2:11" hidden="1" x14ac:dyDescent="0.25">
      <c r="C33" s="166"/>
      <c r="D33" s="51"/>
      <c r="E33" s="51"/>
      <c r="F33" s="51"/>
      <c r="G33" s="51"/>
      <c r="H33" s="51"/>
      <c r="I33" s="51"/>
      <c r="J33" s="51"/>
      <c r="K33" s="4"/>
    </row>
    <row r="34" spans="2:11" hidden="1" x14ac:dyDescent="0.25">
      <c r="C34" s="167"/>
      <c r="D34" s="168"/>
      <c r="E34" s="168"/>
      <c r="F34" s="168"/>
      <c r="G34" s="168"/>
      <c r="H34" s="168"/>
      <c r="I34" s="168"/>
      <c r="J34" s="168"/>
    </row>
    <row r="35" spans="2:11" hidden="1" x14ac:dyDescent="0.25">
      <c r="B35" s="115" t="s">
        <v>77</v>
      </c>
      <c r="C35" s="166" t="s">
        <v>75</v>
      </c>
      <c r="D35" s="51">
        <f>+K32</f>
        <v>599849.8258590753</v>
      </c>
      <c r="E35" s="168"/>
      <c r="F35" s="168"/>
      <c r="G35" s="168"/>
      <c r="H35" s="168"/>
      <c r="I35" s="168"/>
      <c r="J35" s="168"/>
    </row>
    <row r="36" spans="2:11" hidden="1" x14ac:dyDescent="0.25">
      <c r="C36" s="167"/>
      <c r="D36" s="168"/>
      <c r="E36" s="168"/>
      <c r="F36" s="168"/>
      <c r="G36" s="168"/>
      <c r="H36" s="168"/>
      <c r="I36" s="168"/>
      <c r="J36" s="168"/>
    </row>
    <row r="37" spans="2:11" x14ac:dyDescent="0.25">
      <c r="C37" s="166" t="s">
        <v>253</v>
      </c>
      <c r="D37" s="51">
        <f>+'calcul emprunt'!J16</f>
        <v>-5931.8033050670529</v>
      </c>
      <c r="E37" s="51">
        <f>+'calcul emprunt'!J28</f>
        <v>-5110.2680785428165</v>
      </c>
      <c r="F37" s="51">
        <f>+'calcul emprunt'!J40</f>
        <v>-4259.5133472733314</v>
      </c>
      <c r="G37" s="51">
        <f>+'calcul emprunt'!J52</f>
        <v>-3378.4998625082253</v>
      </c>
      <c r="H37" s="51">
        <f>+'calcul emprunt'!J64</f>
        <v>-2466.1514125857111</v>
      </c>
      <c r="I37" s="51">
        <f>+'calcul emprunt'!J76</f>
        <v>-1521.3535082744752</v>
      </c>
      <c r="J37" s="51">
        <f>+'calcul emprunt'!J88</f>
        <v>-542.95202135714908</v>
      </c>
      <c r="K37" s="4"/>
    </row>
  </sheetData>
  <sheetProtection selectLockedCells="1"/>
  <phoneticPr fontId="7" type="noConversion"/>
  <pageMargins left="0.78740157499999996" right="0.78740157499999996" top="0.984251969" bottom="0.984251969" header="0.4921259845" footer="0.22"/>
  <pageSetup paperSize="9" scale="83" orientation="landscape" r:id="rId1"/>
  <headerFooter alignWithMargins="0">
    <oddHeader xml:space="preserve">&amp;R&amp;"Arial,Gras"&amp;18PREVISION </oddHeader>
    <oddFooter>&amp;L&amp;8Document non contractuel
Charges personnelles de l'exploitant non inclus
Les chiffres et les informations ci-dessus sont données à titre indicatifs et restent à être validés par un Expert Comptable
&amp;R&amp;P/&amp;N
&amp;"Arial,Gras"&amp;12&amp;A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99"/>
  <sheetViews>
    <sheetView workbookViewId="0">
      <selection activeCell="D14" sqref="D14"/>
    </sheetView>
  </sheetViews>
  <sheetFormatPr baseColWidth="10" defaultRowHeight="13.2" x14ac:dyDescent="0.25"/>
  <cols>
    <col min="1" max="1" width="19.109375" style="185" customWidth="1"/>
    <col min="2" max="2" width="14.5546875" customWidth="1"/>
    <col min="3" max="3" width="12.44140625" style="174" customWidth="1"/>
    <col min="4" max="4" width="8.6640625" bestFit="1" customWidth="1"/>
    <col min="5" max="5" width="12.109375" bestFit="1" customWidth="1"/>
    <col min="6" max="6" width="11.44140625" style="174" bestFit="1" customWidth="1"/>
    <col min="7" max="7" width="11.109375" style="174" bestFit="1" customWidth="1"/>
    <col min="8" max="8" width="13.5546875" style="175" bestFit="1" customWidth="1"/>
    <col min="9" max="9" width="11.109375" style="175" bestFit="1" customWidth="1"/>
    <col min="10" max="10" width="10.109375" bestFit="1" customWidth="1"/>
    <col min="11" max="11" width="11.109375" bestFit="1" customWidth="1"/>
  </cols>
  <sheetData>
    <row r="1" spans="1:11" x14ac:dyDescent="0.25">
      <c r="A1" s="146" t="s">
        <v>257</v>
      </c>
      <c r="B1" s="174"/>
      <c r="C1"/>
      <c r="E1" s="174"/>
    </row>
    <row r="2" spans="1:11" x14ac:dyDescent="0.25">
      <c r="A2"/>
      <c r="B2" s="174"/>
      <c r="C2"/>
      <c r="E2" s="174"/>
    </row>
    <row r="3" spans="1:11" x14ac:dyDescent="0.25">
      <c r="A3" s="176" t="s">
        <v>233</v>
      </c>
      <c r="B3" s="177" t="s">
        <v>142</v>
      </c>
      <c r="C3" s="178">
        <f>+SAISIE!D16</f>
        <v>3.5000000000000003E-2</v>
      </c>
      <c r="E3" s="179" t="s">
        <v>258</v>
      </c>
      <c r="F3" s="180">
        <v>41334</v>
      </c>
    </row>
    <row r="4" spans="1:11" x14ac:dyDescent="0.25">
      <c r="A4" s="176" t="s">
        <v>259</v>
      </c>
      <c r="B4" s="177" t="s">
        <v>260</v>
      </c>
      <c r="C4" s="181">
        <f>7*12</f>
        <v>84</v>
      </c>
      <c r="E4" s="174"/>
    </row>
    <row r="5" spans="1:11" ht="14.4" x14ac:dyDescent="0.3">
      <c r="A5" s="176" t="s">
        <v>261</v>
      </c>
      <c r="B5" s="177" t="s">
        <v>262</v>
      </c>
      <c r="C5" s="181">
        <f>+INVESTISSEMENT!C20</f>
        <v>180000</v>
      </c>
      <c r="E5" s="395" t="s">
        <v>263</v>
      </c>
      <c r="F5" s="395"/>
    </row>
    <row r="6" spans="1:11" ht="12.75" hidden="1" customHeight="1" x14ac:dyDescent="0.25">
      <c r="A6" s="182"/>
      <c r="B6" s="177" t="s">
        <v>264</v>
      </c>
      <c r="C6" s="183"/>
      <c r="E6" s="174"/>
    </row>
    <row r="7" spans="1:11" ht="12.75" hidden="1" customHeight="1" x14ac:dyDescent="0.25">
      <c r="A7" s="182"/>
      <c r="B7" s="177" t="s">
        <v>212</v>
      </c>
      <c r="C7" s="183"/>
      <c r="E7" s="174"/>
    </row>
    <row r="8" spans="1:11" ht="12.75" hidden="1" customHeight="1" x14ac:dyDescent="0.25">
      <c r="A8" s="182"/>
      <c r="B8" s="177" t="s">
        <v>265</v>
      </c>
      <c r="C8" s="183">
        <v>3</v>
      </c>
      <c r="E8" s="174"/>
    </row>
    <row r="9" spans="1:11" x14ac:dyDescent="0.25">
      <c r="A9" s="176" t="s">
        <v>266</v>
      </c>
      <c r="B9" s="177" t="s">
        <v>267</v>
      </c>
      <c r="C9" s="184">
        <f>+PMT(C3/12,C4,C5)</f>
        <v>-2419.1731135191517</v>
      </c>
      <c r="E9" s="174"/>
    </row>
    <row r="10" spans="1:11" hidden="1" x14ac:dyDescent="0.25">
      <c r="C10" s="186" t="s">
        <v>268</v>
      </c>
      <c r="D10" s="187"/>
    </row>
    <row r="11" spans="1:11" hidden="1" x14ac:dyDescent="0.25">
      <c r="C11" s="186" t="s">
        <v>269</v>
      </c>
      <c r="D11">
        <v>1</v>
      </c>
    </row>
    <row r="12" spans="1:11" hidden="1" x14ac:dyDescent="0.25">
      <c r="C12" s="186" t="s">
        <v>270</v>
      </c>
      <c r="D12">
        <v>24</v>
      </c>
    </row>
    <row r="13" spans="1:11" x14ac:dyDescent="0.25">
      <c r="B13" s="188">
        <f>+F3-1</f>
        <v>41333</v>
      </c>
      <c r="I13" s="396" t="s">
        <v>271</v>
      </c>
      <c r="J13" s="396"/>
      <c r="K13" s="396"/>
    </row>
    <row r="14" spans="1:11" x14ac:dyDescent="0.25">
      <c r="C14" s="397" t="s">
        <v>267</v>
      </c>
      <c r="D14" s="398"/>
      <c r="E14" s="399"/>
      <c r="I14" s="189">
        <f>SUM(I16:I99)</f>
        <v>-179999.99999999994</v>
      </c>
      <c r="J14" s="189">
        <f t="shared" ref="J14:K14" si="0">SUM(J16:J99)</f>
        <v>-23210.541535608761</v>
      </c>
      <c r="K14" s="189">
        <f t="shared" si="0"/>
        <v>-203210.54153560873</v>
      </c>
    </row>
    <row r="15" spans="1:11" x14ac:dyDescent="0.25">
      <c r="A15" s="190" t="s">
        <v>272</v>
      </c>
      <c r="B15" s="176" t="s">
        <v>265</v>
      </c>
      <c r="C15" s="191" t="s">
        <v>273</v>
      </c>
      <c r="D15" s="191" t="s">
        <v>274</v>
      </c>
      <c r="E15" s="191" t="s">
        <v>275</v>
      </c>
      <c r="F15" s="191" t="s">
        <v>276</v>
      </c>
      <c r="G15" s="191" t="s">
        <v>217</v>
      </c>
      <c r="H15" s="192" t="s">
        <v>277</v>
      </c>
      <c r="I15" s="193" t="s">
        <v>278</v>
      </c>
      <c r="J15" s="194" t="s">
        <v>279</v>
      </c>
      <c r="K15" s="194" t="s">
        <v>280</v>
      </c>
    </row>
    <row r="16" spans="1:11" ht="14.4" x14ac:dyDescent="0.3">
      <c r="A16" s="195">
        <f t="shared" ref="A16:A79" si="1">+EOMONTH(B$13,B16)</f>
        <v>41364</v>
      </c>
      <c r="B16" s="196">
        <v>1</v>
      </c>
      <c r="C16" s="197">
        <f t="shared" ref="C16:C47" si="2">+IF(B16&gt;C$4,"",CUMPRINC(C$3/12,C$4,C$5,B16,B16,0))</f>
        <v>-1894.1731135191517</v>
      </c>
      <c r="D16" s="197">
        <f>+IF(C16="","",E16-C16)</f>
        <v>-525</v>
      </c>
      <c r="E16" s="197">
        <f t="shared" ref="E16:E47" si="3">+IF(B16&gt;C$4,"",C$9)</f>
        <v>-2419.1731135191517</v>
      </c>
      <c r="F16" s="197">
        <f>+IF(C16="","",C5+C16)</f>
        <v>178105.82688648085</v>
      </c>
      <c r="G16" s="197">
        <f>+D16</f>
        <v>-525</v>
      </c>
      <c r="H16" s="198">
        <f>+C16</f>
        <v>-1894.1731135191517</v>
      </c>
      <c r="I16" s="392">
        <f>SUM(C16:C27)</f>
        <v>-23098.274057162762</v>
      </c>
      <c r="J16" s="392">
        <f>SUM(D16:D27)</f>
        <v>-5931.8033050670529</v>
      </c>
      <c r="K16" s="392">
        <f>SUM(E16:E27)</f>
        <v>-29030.077362229818</v>
      </c>
    </row>
    <row r="17" spans="1:11" ht="14.4" x14ac:dyDescent="0.3">
      <c r="A17" s="195">
        <f t="shared" si="1"/>
        <v>41394</v>
      </c>
      <c r="B17" s="196">
        <f>+B16+1</f>
        <v>2</v>
      </c>
      <c r="C17" s="197">
        <f t="shared" si="2"/>
        <v>-1899.6977851002491</v>
      </c>
      <c r="D17" s="197">
        <f t="shared" ref="D17:D80" si="4">+IF(C17="","",E17-C17)</f>
        <v>-519.47532841890256</v>
      </c>
      <c r="E17" s="197">
        <f t="shared" si="3"/>
        <v>-2419.1731135191517</v>
      </c>
      <c r="F17" s="197">
        <f>+IF(C17="","",F16+C17)</f>
        <v>176206.12910138059</v>
      </c>
      <c r="G17" s="197">
        <f>+IF(D17="","",G16+D17)</f>
        <v>-1044.4753284189026</v>
      </c>
      <c r="H17" s="198">
        <f>+IF(C17="","",H16+C17)</f>
        <v>-3793.8708986194006</v>
      </c>
      <c r="I17" s="393"/>
      <c r="J17" s="393"/>
      <c r="K17" s="393"/>
    </row>
    <row r="18" spans="1:11" ht="14.4" x14ac:dyDescent="0.3">
      <c r="A18" s="195">
        <f t="shared" si="1"/>
        <v>41425</v>
      </c>
      <c r="B18" s="196">
        <f>+B17+1</f>
        <v>3</v>
      </c>
      <c r="C18" s="197">
        <f t="shared" si="2"/>
        <v>-1905.2385703067916</v>
      </c>
      <c r="D18" s="197">
        <f t="shared" si="4"/>
        <v>-513.93454321236004</v>
      </c>
      <c r="E18" s="197">
        <f t="shared" si="3"/>
        <v>-2419.1731135191517</v>
      </c>
      <c r="F18" s="197">
        <f t="shared" ref="F18:G33" si="5">+IF(C18="","",F17+C18)</f>
        <v>174300.89053107379</v>
      </c>
      <c r="G18" s="197">
        <f t="shared" si="5"/>
        <v>-1558.4098716312626</v>
      </c>
      <c r="H18" s="198">
        <f t="shared" ref="H18:H81" si="6">+IF(C18="","",H17+C18)</f>
        <v>-5699.1094689261918</v>
      </c>
      <c r="I18" s="393"/>
      <c r="J18" s="393"/>
      <c r="K18" s="393"/>
    </row>
    <row r="19" spans="1:11" ht="14.4" x14ac:dyDescent="0.3">
      <c r="A19" s="195">
        <f t="shared" si="1"/>
        <v>41455</v>
      </c>
      <c r="B19" s="196">
        <f t="shared" ref="B19:B82" si="7">+B18+1</f>
        <v>4</v>
      </c>
      <c r="C19" s="197">
        <f t="shared" si="2"/>
        <v>-1910.7955161368532</v>
      </c>
      <c r="D19" s="197">
        <f t="shared" si="4"/>
        <v>-508.37759738229852</v>
      </c>
      <c r="E19" s="197">
        <f t="shared" si="3"/>
        <v>-2419.1731135191517</v>
      </c>
      <c r="F19" s="197">
        <f t="shared" si="5"/>
        <v>172390.09501493693</v>
      </c>
      <c r="G19" s="197">
        <f t="shared" si="5"/>
        <v>-2066.7874690135613</v>
      </c>
      <c r="H19" s="198">
        <f t="shared" si="6"/>
        <v>-7609.9049850630454</v>
      </c>
      <c r="I19" s="393"/>
      <c r="J19" s="393"/>
      <c r="K19" s="393"/>
    </row>
    <row r="20" spans="1:11" ht="14.4" x14ac:dyDescent="0.3">
      <c r="A20" s="195">
        <f t="shared" si="1"/>
        <v>41486</v>
      </c>
      <c r="B20" s="196">
        <f t="shared" si="7"/>
        <v>5</v>
      </c>
      <c r="C20" s="197">
        <f t="shared" si="2"/>
        <v>-1916.368669725586</v>
      </c>
      <c r="D20" s="197">
        <f t="shared" si="4"/>
        <v>-502.80444379356572</v>
      </c>
      <c r="E20" s="197">
        <f t="shared" si="3"/>
        <v>-2419.1731135191517</v>
      </c>
      <c r="F20" s="197">
        <f t="shared" si="5"/>
        <v>170473.72634521135</v>
      </c>
      <c r="G20" s="197">
        <f t="shared" si="5"/>
        <v>-2569.5919128071273</v>
      </c>
      <c r="H20" s="198">
        <f t="shared" si="6"/>
        <v>-9526.2736547886307</v>
      </c>
      <c r="I20" s="393"/>
      <c r="J20" s="393"/>
      <c r="K20" s="393"/>
    </row>
    <row r="21" spans="1:11" ht="14.4" x14ac:dyDescent="0.3">
      <c r="A21" s="195">
        <f t="shared" si="1"/>
        <v>41517</v>
      </c>
      <c r="B21" s="196">
        <f t="shared" si="7"/>
        <v>6</v>
      </c>
      <c r="C21" s="197">
        <f t="shared" si="2"/>
        <v>-1921.9580783456188</v>
      </c>
      <c r="D21" s="197">
        <f t="shared" si="4"/>
        <v>-497.2150351735329</v>
      </c>
      <c r="E21" s="197">
        <f t="shared" si="3"/>
        <v>-2419.1731135191517</v>
      </c>
      <c r="F21" s="197">
        <f t="shared" si="5"/>
        <v>168551.76826686572</v>
      </c>
      <c r="G21" s="197">
        <f t="shared" si="5"/>
        <v>-3066.80694798066</v>
      </c>
      <c r="H21" s="198">
        <f t="shared" si="6"/>
        <v>-11448.231733134249</v>
      </c>
      <c r="I21" s="393"/>
      <c r="J21" s="393"/>
      <c r="K21" s="393"/>
    </row>
    <row r="22" spans="1:11" ht="14.4" x14ac:dyDescent="0.3">
      <c r="A22" s="195">
        <f t="shared" si="1"/>
        <v>41547</v>
      </c>
      <c r="B22" s="196">
        <f t="shared" si="7"/>
        <v>7</v>
      </c>
      <c r="C22" s="197">
        <f t="shared" si="2"/>
        <v>-1927.56378940746</v>
      </c>
      <c r="D22" s="197">
        <f t="shared" si="4"/>
        <v>-491.60932411169165</v>
      </c>
      <c r="E22" s="197">
        <f t="shared" si="3"/>
        <v>-2419.1731135191517</v>
      </c>
      <c r="F22" s="197">
        <f t="shared" si="5"/>
        <v>166624.20447745826</v>
      </c>
      <c r="G22" s="197">
        <f t="shared" si="5"/>
        <v>-3558.4162720923514</v>
      </c>
      <c r="H22" s="198">
        <f t="shared" si="6"/>
        <v>-13375.79552254171</v>
      </c>
      <c r="I22" s="393"/>
      <c r="J22" s="393"/>
      <c r="K22" s="393"/>
    </row>
    <row r="23" spans="1:11" ht="14.4" x14ac:dyDescent="0.3">
      <c r="A23" s="195">
        <f t="shared" si="1"/>
        <v>41578</v>
      </c>
      <c r="B23" s="196">
        <f t="shared" si="7"/>
        <v>8</v>
      </c>
      <c r="C23" s="197">
        <f t="shared" si="2"/>
        <v>-1933.1858504598986</v>
      </c>
      <c r="D23" s="197">
        <f t="shared" si="4"/>
        <v>-485.98726305925311</v>
      </c>
      <c r="E23" s="197">
        <f t="shared" si="3"/>
        <v>-2419.1731135191517</v>
      </c>
      <c r="F23" s="197">
        <f t="shared" si="5"/>
        <v>164691.01862699835</v>
      </c>
      <c r="G23" s="197">
        <f t="shared" si="5"/>
        <v>-4044.4035351516045</v>
      </c>
      <c r="H23" s="198">
        <f t="shared" si="6"/>
        <v>-15308.981373001609</v>
      </c>
      <c r="I23" s="393"/>
      <c r="J23" s="393"/>
      <c r="K23" s="393"/>
    </row>
    <row r="24" spans="1:11" ht="14.4" x14ac:dyDescent="0.3">
      <c r="A24" s="195">
        <f t="shared" si="1"/>
        <v>41608</v>
      </c>
      <c r="B24" s="196">
        <f t="shared" si="7"/>
        <v>9</v>
      </c>
      <c r="C24" s="197">
        <f t="shared" si="2"/>
        <v>-1938.8243091904067</v>
      </c>
      <c r="D24" s="197">
        <f t="shared" si="4"/>
        <v>-480.34880432874502</v>
      </c>
      <c r="E24" s="197">
        <f t="shared" si="3"/>
        <v>-2419.1731135191517</v>
      </c>
      <c r="F24" s="197">
        <f t="shared" si="5"/>
        <v>162752.19431780794</v>
      </c>
      <c r="G24" s="197">
        <f t="shared" si="5"/>
        <v>-4524.7523394803493</v>
      </c>
      <c r="H24" s="198">
        <f t="shared" si="6"/>
        <v>-17247.805682192015</v>
      </c>
      <c r="I24" s="393"/>
      <c r="J24" s="393"/>
      <c r="K24" s="393"/>
    </row>
    <row r="25" spans="1:11" ht="14.4" x14ac:dyDescent="0.3">
      <c r="A25" s="195">
        <f t="shared" si="1"/>
        <v>41639</v>
      </c>
      <c r="B25" s="196">
        <f t="shared" si="7"/>
        <v>10</v>
      </c>
      <c r="C25" s="197">
        <f t="shared" si="2"/>
        <v>-1944.4792134255454</v>
      </c>
      <c r="D25" s="197">
        <f t="shared" si="4"/>
        <v>-474.69390009360632</v>
      </c>
      <c r="E25" s="197">
        <f t="shared" si="3"/>
        <v>-2419.1731135191517</v>
      </c>
      <c r="F25" s="197">
        <f t="shared" si="5"/>
        <v>160807.7151043824</v>
      </c>
      <c r="G25" s="197">
        <f t="shared" si="5"/>
        <v>-4999.4462395739556</v>
      </c>
      <c r="H25" s="198">
        <f t="shared" si="6"/>
        <v>-19192.284895617559</v>
      </c>
      <c r="I25" s="393"/>
      <c r="J25" s="393"/>
      <c r="K25" s="393"/>
    </row>
    <row r="26" spans="1:11" ht="14.4" x14ac:dyDescent="0.3">
      <c r="A26" s="195">
        <f t="shared" si="1"/>
        <v>41670</v>
      </c>
      <c r="B26" s="196">
        <f t="shared" si="7"/>
        <v>11</v>
      </c>
      <c r="C26" s="197">
        <f t="shared" si="2"/>
        <v>-1950.1506111313699</v>
      </c>
      <c r="D26" s="197">
        <f t="shared" si="4"/>
        <v>-469.02250238778174</v>
      </c>
      <c r="E26" s="197">
        <f t="shared" si="3"/>
        <v>-2419.1731135191517</v>
      </c>
      <c r="F26" s="197">
        <f t="shared" si="5"/>
        <v>158857.56449325103</v>
      </c>
      <c r="G26" s="197">
        <f t="shared" si="5"/>
        <v>-5468.4687419617376</v>
      </c>
      <c r="H26" s="198">
        <f t="shared" si="6"/>
        <v>-21142.435506748927</v>
      </c>
      <c r="I26" s="393"/>
      <c r="J26" s="393"/>
      <c r="K26" s="393"/>
    </row>
    <row r="27" spans="1:11" ht="14.4" x14ac:dyDescent="0.3">
      <c r="A27" s="195">
        <f t="shared" si="1"/>
        <v>41698</v>
      </c>
      <c r="B27" s="196">
        <f t="shared" si="7"/>
        <v>12</v>
      </c>
      <c r="C27" s="197">
        <f t="shared" si="2"/>
        <v>-1955.8385504138359</v>
      </c>
      <c r="D27" s="197">
        <f t="shared" si="4"/>
        <v>-463.33456310531574</v>
      </c>
      <c r="E27" s="197">
        <f t="shared" si="3"/>
        <v>-2419.1731135191517</v>
      </c>
      <c r="F27" s="197">
        <f t="shared" si="5"/>
        <v>156901.72594283719</v>
      </c>
      <c r="G27" s="197">
        <f t="shared" si="5"/>
        <v>-5931.8033050670529</v>
      </c>
      <c r="H27" s="198">
        <f t="shared" si="6"/>
        <v>-23098.274057162762</v>
      </c>
      <c r="I27" s="394"/>
      <c r="J27" s="394"/>
      <c r="K27" s="394"/>
    </row>
    <row r="28" spans="1:11" ht="14.4" x14ac:dyDescent="0.3">
      <c r="A28" s="195">
        <f t="shared" si="1"/>
        <v>41729</v>
      </c>
      <c r="B28" s="196">
        <f t="shared" si="7"/>
        <v>13</v>
      </c>
      <c r="C28" s="197">
        <f t="shared" si="2"/>
        <v>-1961.5430795192099</v>
      </c>
      <c r="D28" s="197">
        <f t="shared" si="4"/>
        <v>-457.63003399994182</v>
      </c>
      <c r="E28" s="197">
        <f t="shared" si="3"/>
        <v>-2419.1731135191517</v>
      </c>
      <c r="F28" s="197">
        <f t="shared" si="5"/>
        <v>154940.18286331798</v>
      </c>
      <c r="G28" s="197">
        <f t="shared" si="5"/>
        <v>-6389.4333390669944</v>
      </c>
      <c r="H28" s="198">
        <f t="shared" si="6"/>
        <v>-25059.817136681973</v>
      </c>
      <c r="I28" s="392">
        <f>SUM(C28:C39)</f>
        <v>-23919.809283687002</v>
      </c>
      <c r="J28" s="392">
        <f>SUM(D28:D39)</f>
        <v>-5110.2680785428165</v>
      </c>
      <c r="K28" s="392">
        <f>SUM(E28:E39)</f>
        <v>-29030.077362229818</v>
      </c>
    </row>
    <row r="29" spans="1:11" ht="14.4" x14ac:dyDescent="0.3">
      <c r="A29" s="195">
        <f t="shared" si="1"/>
        <v>41759</v>
      </c>
      <c r="B29" s="196">
        <f t="shared" si="7"/>
        <v>14</v>
      </c>
      <c r="C29" s="197">
        <f t="shared" si="2"/>
        <v>-1967.2642468344741</v>
      </c>
      <c r="D29" s="197">
        <f t="shared" si="4"/>
        <v>-451.90886668467761</v>
      </c>
      <c r="E29" s="197">
        <f t="shared" si="3"/>
        <v>-2419.1731135191517</v>
      </c>
      <c r="F29" s="197">
        <f t="shared" si="5"/>
        <v>152972.91861648351</v>
      </c>
      <c r="G29" s="197">
        <f t="shared" si="5"/>
        <v>-6841.3422057516718</v>
      </c>
      <c r="H29" s="198">
        <f t="shared" si="6"/>
        <v>-27027.081383516448</v>
      </c>
      <c r="I29" s="393"/>
      <c r="J29" s="393"/>
      <c r="K29" s="393"/>
    </row>
    <row r="30" spans="1:11" ht="14.4" x14ac:dyDescent="0.3">
      <c r="A30" s="195">
        <f t="shared" si="1"/>
        <v>41790</v>
      </c>
      <c r="B30" s="196">
        <f t="shared" si="7"/>
        <v>15</v>
      </c>
      <c r="C30" s="197">
        <f t="shared" si="2"/>
        <v>-1973.0021008877411</v>
      </c>
      <c r="D30" s="197">
        <f t="shared" si="4"/>
        <v>-446.17101263141058</v>
      </c>
      <c r="E30" s="197">
        <f t="shared" si="3"/>
        <v>-2419.1731135191517</v>
      </c>
      <c r="F30" s="197">
        <f t="shared" si="5"/>
        <v>150999.91651559577</v>
      </c>
      <c r="G30" s="197">
        <f t="shared" si="5"/>
        <v>-7287.5132183830829</v>
      </c>
      <c r="H30" s="198">
        <f t="shared" si="6"/>
        <v>-29000.083484404189</v>
      </c>
      <c r="I30" s="393"/>
      <c r="J30" s="393"/>
      <c r="K30" s="393"/>
    </row>
    <row r="31" spans="1:11" ht="14.4" x14ac:dyDescent="0.3">
      <c r="A31" s="195">
        <f t="shared" si="1"/>
        <v>41820</v>
      </c>
      <c r="B31" s="196">
        <f t="shared" si="7"/>
        <v>16</v>
      </c>
      <c r="C31" s="197">
        <f t="shared" si="2"/>
        <v>-1978.7566903486636</v>
      </c>
      <c r="D31" s="197">
        <f t="shared" si="4"/>
        <v>-440.41642317048809</v>
      </c>
      <c r="E31" s="197">
        <f t="shared" si="3"/>
        <v>-2419.1731135191517</v>
      </c>
      <c r="F31" s="197">
        <f t="shared" si="5"/>
        <v>149021.1598252471</v>
      </c>
      <c r="G31" s="197">
        <f t="shared" si="5"/>
        <v>-7727.9296415535709</v>
      </c>
      <c r="H31" s="198">
        <f t="shared" si="6"/>
        <v>-30978.840174752851</v>
      </c>
      <c r="I31" s="393"/>
      <c r="J31" s="393"/>
      <c r="K31" s="393"/>
    </row>
    <row r="32" spans="1:11" ht="14.4" x14ac:dyDescent="0.3">
      <c r="A32" s="195">
        <f t="shared" si="1"/>
        <v>41851</v>
      </c>
      <c r="B32" s="196">
        <f t="shared" si="7"/>
        <v>17</v>
      </c>
      <c r="C32" s="197">
        <f t="shared" si="2"/>
        <v>-1984.5280640288474</v>
      </c>
      <c r="D32" s="197">
        <f t="shared" si="4"/>
        <v>-434.64504949030425</v>
      </c>
      <c r="E32" s="197">
        <f t="shared" si="3"/>
        <v>-2419.1731135191517</v>
      </c>
      <c r="F32" s="197">
        <f t="shared" si="5"/>
        <v>147036.63176121825</v>
      </c>
      <c r="G32" s="197">
        <f t="shared" si="5"/>
        <v>-8162.5746910438756</v>
      </c>
      <c r="H32" s="198">
        <f t="shared" si="6"/>
        <v>-32963.368238781695</v>
      </c>
      <c r="I32" s="393"/>
      <c r="J32" s="393"/>
      <c r="K32" s="393"/>
    </row>
    <row r="33" spans="1:11" ht="14.4" x14ac:dyDescent="0.3">
      <c r="A33" s="195">
        <f t="shared" si="1"/>
        <v>41882</v>
      </c>
      <c r="B33" s="196">
        <f t="shared" si="7"/>
        <v>18</v>
      </c>
      <c r="C33" s="197">
        <f t="shared" si="2"/>
        <v>-1990.3162708822651</v>
      </c>
      <c r="D33" s="197">
        <f t="shared" si="4"/>
        <v>-428.85684263688654</v>
      </c>
      <c r="E33" s="197">
        <f t="shared" si="3"/>
        <v>-2419.1731135191517</v>
      </c>
      <c r="F33" s="197">
        <f t="shared" si="5"/>
        <v>145046.31549033598</v>
      </c>
      <c r="G33" s="197">
        <f t="shared" si="5"/>
        <v>-8591.4315336807631</v>
      </c>
      <c r="H33" s="198">
        <f t="shared" si="6"/>
        <v>-34953.684509663959</v>
      </c>
      <c r="I33" s="393"/>
      <c r="J33" s="393"/>
      <c r="K33" s="393"/>
    </row>
    <row r="34" spans="1:11" ht="14.4" x14ac:dyDescent="0.3">
      <c r="A34" s="195">
        <f t="shared" si="1"/>
        <v>41912</v>
      </c>
      <c r="B34" s="196">
        <f t="shared" si="7"/>
        <v>19</v>
      </c>
      <c r="C34" s="197">
        <f t="shared" si="2"/>
        <v>-1996.1213600056717</v>
      </c>
      <c r="D34" s="197">
        <f t="shared" si="4"/>
        <v>-423.05175351347998</v>
      </c>
      <c r="E34" s="197">
        <f t="shared" si="3"/>
        <v>-2419.1731135191517</v>
      </c>
      <c r="F34" s="197">
        <f t="shared" ref="F34:G49" si="8">+IF(C34="","",F33+C34)</f>
        <v>143050.19413033032</v>
      </c>
      <c r="G34" s="197">
        <f t="shared" si="8"/>
        <v>-9014.4832871942435</v>
      </c>
      <c r="H34" s="198">
        <f t="shared" si="6"/>
        <v>-36949.805869669632</v>
      </c>
      <c r="I34" s="393"/>
      <c r="J34" s="393"/>
      <c r="K34" s="393"/>
    </row>
    <row r="35" spans="1:11" ht="14.4" x14ac:dyDescent="0.3">
      <c r="A35" s="195">
        <f t="shared" si="1"/>
        <v>41943</v>
      </c>
      <c r="B35" s="196">
        <f t="shared" si="7"/>
        <v>20</v>
      </c>
      <c r="C35" s="197">
        <f t="shared" si="2"/>
        <v>-2001.9433806390214</v>
      </c>
      <c r="D35" s="197">
        <f t="shared" si="4"/>
        <v>-417.22973288013031</v>
      </c>
      <c r="E35" s="197">
        <f t="shared" si="3"/>
        <v>-2419.1731135191517</v>
      </c>
      <c r="F35" s="197">
        <f t="shared" si="8"/>
        <v>141048.2507496913</v>
      </c>
      <c r="G35" s="197">
        <f t="shared" si="8"/>
        <v>-9431.7130200743741</v>
      </c>
      <c r="H35" s="198">
        <f t="shared" si="6"/>
        <v>-38951.749250308654</v>
      </c>
      <c r="I35" s="393"/>
      <c r="J35" s="393"/>
      <c r="K35" s="393"/>
    </row>
    <row r="36" spans="1:11" ht="14.4" x14ac:dyDescent="0.3">
      <c r="A36" s="195">
        <f t="shared" si="1"/>
        <v>41973</v>
      </c>
      <c r="B36" s="196">
        <f t="shared" si="7"/>
        <v>21</v>
      </c>
      <c r="C36" s="197">
        <f t="shared" si="2"/>
        <v>-2007.7823821658853</v>
      </c>
      <c r="D36" s="197">
        <f t="shared" si="4"/>
        <v>-411.39073135326635</v>
      </c>
      <c r="E36" s="197">
        <f t="shared" si="3"/>
        <v>-2419.1731135191517</v>
      </c>
      <c r="F36" s="197">
        <f t="shared" si="8"/>
        <v>139040.46836752541</v>
      </c>
      <c r="G36" s="197">
        <f t="shared" si="8"/>
        <v>-9843.1037514276395</v>
      </c>
      <c r="H36" s="198">
        <f t="shared" si="6"/>
        <v>-40959.531632474536</v>
      </c>
      <c r="I36" s="393"/>
      <c r="J36" s="393"/>
      <c r="K36" s="393"/>
    </row>
    <row r="37" spans="1:11" ht="14.4" x14ac:dyDescent="0.3">
      <c r="A37" s="195">
        <f t="shared" si="1"/>
        <v>42004</v>
      </c>
      <c r="B37" s="196">
        <f t="shared" si="7"/>
        <v>22</v>
      </c>
      <c r="C37" s="197">
        <f t="shared" si="2"/>
        <v>-2013.638414113869</v>
      </c>
      <c r="D37" s="197">
        <f t="shared" si="4"/>
        <v>-405.53469940528271</v>
      </c>
      <c r="E37" s="197">
        <f t="shared" si="3"/>
        <v>-2419.1731135191517</v>
      </c>
      <c r="F37" s="197">
        <f t="shared" si="8"/>
        <v>137026.82995341154</v>
      </c>
      <c r="G37" s="197">
        <f t="shared" si="8"/>
        <v>-10248.638450832923</v>
      </c>
      <c r="H37" s="198">
        <f t="shared" si="6"/>
        <v>-42973.170046588406</v>
      </c>
      <c r="I37" s="393"/>
      <c r="J37" s="393"/>
      <c r="K37" s="393"/>
    </row>
    <row r="38" spans="1:11" ht="14.4" x14ac:dyDescent="0.3">
      <c r="A38" s="195">
        <f t="shared" si="1"/>
        <v>42035</v>
      </c>
      <c r="B38" s="196">
        <f t="shared" si="7"/>
        <v>23</v>
      </c>
      <c r="C38" s="197">
        <f t="shared" si="2"/>
        <v>-2019.5115261550347</v>
      </c>
      <c r="D38" s="197">
        <f t="shared" si="4"/>
        <v>-399.66158736411694</v>
      </c>
      <c r="E38" s="197">
        <f t="shared" si="3"/>
        <v>-2419.1731135191517</v>
      </c>
      <c r="F38" s="197">
        <f t="shared" si="8"/>
        <v>135007.31842725651</v>
      </c>
      <c r="G38" s="197">
        <f t="shared" si="8"/>
        <v>-10648.30003819704</v>
      </c>
      <c r="H38" s="198">
        <f t="shared" si="6"/>
        <v>-44992.681572743444</v>
      </c>
      <c r="I38" s="393"/>
      <c r="J38" s="393"/>
      <c r="K38" s="393"/>
    </row>
    <row r="39" spans="1:11" ht="14.4" x14ac:dyDescent="0.3">
      <c r="A39" s="195">
        <f t="shared" si="1"/>
        <v>42063</v>
      </c>
      <c r="B39" s="196">
        <f t="shared" si="7"/>
        <v>24</v>
      </c>
      <c r="C39" s="197">
        <f t="shared" si="2"/>
        <v>-2025.4017681063201</v>
      </c>
      <c r="D39" s="197">
        <f t="shared" si="4"/>
        <v>-393.77134541283158</v>
      </c>
      <c r="E39" s="197">
        <f t="shared" si="3"/>
        <v>-2419.1731135191517</v>
      </c>
      <c r="F39" s="197">
        <f t="shared" si="8"/>
        <v>132981.91665915019</v>
      </c>
      <c r="G39" s="197">
        <f t="shared" si="8"/>
        <v>-11042.071383609871</v>
      </c>
      <c r="H39" s="198">
        <f t="shared" si="6"/>
        <v>-47018.083340849764</v>
      </c>
      <c r="I39" s="394"/>
      <c r="J39" s="394"/>
      <c r="K39" s="394"/>
    </row>
    <row r="40" spans="1:11" ht="14.4" x14ac:dyDescent="0.3">
      <c r="A40" s="195">
        <f t="shared" si="1"/>
        <v>42094</v>
      </c>
      <c r="B40" s="196">
        <f t="shared" si="7"/>
        <v>25</v>
      </c>
      <c r="C40" s="197">
        <f t="shared" si="2"/>
        <v>-2031.3091899299636</v>
      </c>
      <c r="D40" s="197">
        <f t="shared" si="4"/>
        <v>-387.86392358918806</v>
      </c>
      <c r="E40" s="197">
        <f t="shared" si="3"/>
        <v>-2419.1731135191517</v>
      </c>
      <c r="F40" s="197">
        <f t="shared" si="8"/>
        <v>130950.60746922022</v>
      </c>
      <c r="G40" s="197">
        <f t="shared" si="8"/>
        <v>-11429.935307199059</v>
      </c>
      <c r="H40" s="198">
        <f t="shared" si="6"/>
        <v>-49049.392530779725</v>
      </c>
      <c r="I40" s="392">
        <f>SUM(C40:C51)</f>
        <v>-24770.56401495649</v>
      </c>
      <c r="J40" s="392">
        <f>SUM(D40:D51)</f>
        <v>-4259.5133472733314</v>
      </c>
      <c r="K40" s="392">
        <f>SUM(E40:E51)</f>
        <v>-29030.077362229818</v>
      </c>
    </row>
    <row r="41" spans="1:11" ht="14.4" x14ac:dyDescent="0.3">
      <c r="A41" s="195">
        <f t="shared" si="1"/>
        <v>42124</v>
      </c>
      <c r="B41" s="196">
        <f t="shared" si="7"/>
        <v>26</v>
      </c>
      <c r="C41" s="197">
        <f t="shared" si="2"/>
        <v>-2037.2338417339261</v>
      </c>
      <c r="D41" s="197">
        <f t="shared" si="4"/>
        <v>-381.93927178522563</v>
      </c>
      <c r="E41" s="197">
        <f t="shared" si="3"/>
        <v>-2419.1731135191517</v>
      </c>
      <c r="F41" s="197">
        <f t="shared" si="8"/>
        <v>128913.3736274863</v>
      </c>
      <c r="G41" s="197">
        <f t="shared" si="8"/>
        <v>-11811.874578984285</v>
      </c>
      <c r="H41" s="198">
        <f t="shared" si="6"/>
        <v>-51086.626372513652</v>
      </c>
      <c r="I41" s="393"/>
      <c r="J41" s="393"/>
      <c r="K41" s="393"/>
    </row>
    <row r="42" spans="1:11" ht="14.4" x14ac:dyDescent="0.3">
      <c r="A42" s="195">
        <f t="shared" si="1"/>
        <v>42155</v>
      </c>
      <c r="B42" s="196">
        <f t="shared" si="7"/>
        <v>27</v>
      </c>
      <c r="C42" s="197">
        <f t="shared" si="2"/>
        <v>-2043.1757737723167</v>
      </c>
      <c r="D42" s="197">
        <f t="shared" si="4"/>
        <v>-375.997339746835</v>
      </c>
      <c r="E42" s="197">
        <f t="shared" si="3"/>
        <v>-2419.1731135191517</v>
      </c>
      <c r="F42" s="197">
        <f t="shared" si="8"/>
        <v>126870.19785371398</v>
      </c>
      <c r="G42" s="197">
        <f t="shared" si="8"/>
        <v>-12187.87191873112</v>
      </c>
      <c r="H42" s="198">
        <f t="shared" si="6"/>
        <v>-53129.802146285969</v>
      </c>
      <c r="I42" s="393"/>
      <c r="J42" s="393"/>
      <c r="K42" s="393"/>
    </row>
    <row r="43" spans="1:11" ht="14.4" x14ac:dyDescent="0.3">
      <c r="A43" s="195">
        <f t="shared" si="1"/>
        <v>42185</v>
      </c>
      <c r="B43" s="196">
        <f t="shared" si="7"/>
        <v>28</v>
      </c>
      <c r="C43" s="197">
        <f t="shared" si="2"/>
        <v>-2049.1350364458194</v>
      </c>
      <c r="D43" s="197">
        <f t="shared" si="4"/>
        <v>-370.03807707333226</v>
      </c>
      <c r="E43" s="197">
        <f t="shared" si="3"/>
        <v>-2419.1731135191517</v>
      </c>
      <c r="F43" s="197">
        <f t="shared" si="8"/>
        <v>124821.06281726816</v>
      </c>
      <c r="G43" s="197">
        <f t="shared" si="8"/>
        <v>-12557.909995804452</v>
      </c>
      <c r="H43" s="198">
        <f t="shared" si="6"/>
        <v>-55178.937182731788</v>
      </c>
      <c r="I43" s="393"/>
      <c r="J43" s="393"/>
      <c r="K43" s="393"/>
    </row>
    <row r="44" spans="1:11" ht="14.4" x14ac:dyDescent="0.3">
      <c r="A44" s="195">
        <f t="shared" si="1"/>
        <v>42216</v>
      </c>
      <c r="B44" s="196">
        <f t="shared" si="7"/>
        <v>29</v>
      </c>
      <c r="C44" s="197">
        <f t="shared" si="2"/>
        <v>-2055.1116803021191</v>
      </c>
      <c r="D44" s="197">
        <f t="shared" si="4"/>
        <v>-364.06143321703257</v>
      </c>
      <c r="E44" s="197">
        <f t="shared" si="3"/>
        <v>-2419.1731135191517</v>
      </c>
      <c r="F44" s="197">
        <f t="shared" si="8"/>
        <v>122765.95113696605</v>
      </c>
      <c r="G44" s="197">
        <f t="shared" si="8"/>
        <v>-12921.971429021483</v>
      </c>
      <c r="H44" s="198">
        <f t="shared" si="6"/>
        <v>-57234.04886303391</v>
      </c>
      <c r="I44" s="393"/>
      <c r="J44" s="393"/>
      <c r="K44" s="393"/>
    </row>
    <row r="45" spans="1:11" ht="14.4" x14ac:dyDescent="0.3">
      <c r="A45" s="195">
        <f t="shared" si="1"/>
        <v>42247</v>
      </c>
      <c r="B45" s="196">
        <f t="shared" si="7"/>
        <v>30</v>
      </c>
      <c r="C45" s="197">
        <f t="shared" si="2"/>
        <v>-2061.1057560363342</v>
      </c>
      <c r="D45" s="197">
        <f t="shared" si="4"/>
        <v>-358.06735748281744</v>
      </c>
      <c r="E45" s="197">
        <f t="shared" si="3"/>
        <v>-2419.1731135191517</v>
      </c>
      <c r="F45" s="197">
        <f t="shared" si="8"/>
        <v>120704.84538092971</v>
      </c>
      <c r="G45" s="197">
        <f t="shared" si="8"/>
        <v>-13280.038786504301</v>
      </c>
      <c r="H45" s="198">
        <f t="shared" si="6"/>
        <v>-59295.154619070243</v>
      </c>
      <c r="I45" s="393"/>
      <c r="J45" s="393"/>
      <c r="K45" s="393"/>
    </row>
    <row r="46" spans="1:11" ht="14.4" x14ac:dyDescent="0.3">
      <c r="A46" s="195">
        <f t="shared" si="1"/>
        <v>42277</v>
      </c>
      <c r="B46" s="196">
        <f t="shared" si="7"/>
        <v>31</v>
      </c>
      <c r="C46" s="197">
        <f t="shared" si="2"/>
        <v>-2067.1173144914401</v>
      </c>
      <c r="D46" s="197">
        <f t="shared" si="4"/>
        <v>-352.0557990277116</v>
      </c>
      <c r="E46" s="197">
        <f t="shared" si="3"/>
        <v>-2419.1731135191517</v>
      </c>
      <c r="F46" s="197">
        <f t="shared" si="8"/>
        <v>118637.72806643827</v>
      </c>
      <c r="G46" s="197">
        <f t="shared" si="8"/>
        <v>-13632.094585532013</v>
      </c>
      <c r="H46" s="198">
        <f t="shared" si="6"/>
        <v>-61362.271933561686</v>
      </c>
      <c r="I46" s="393"/>
      <c r="J46" s="393"/>
      <c r="K46" s="393"/>
    </row>
    <row r="47" spans="1:11" ht="14.4" x14ac:dyDescent="0.3">
      <c r="A47" s="195">
        <f t="shared" si="1"/>
        <v>42308</v>
      </c>
      <c r="B47" s="196">
        <f t="shared" si="7"/>
        <v>32</v>
      </c>
      <c r="C47" s="197">
        <f t="shared" si="2"/>
        <v>-2073.1464066587068</v>
      </c>
      <c r="D47" s="197">
        <f t="shared" si="4"/>
        <v>-346.02670686044485</v>
      </c>
      <c r="E47" s="197">
        <f t="shared" si="3"/>
        <v>-2419.1731135191517</v>
      </c>
      <c r="F47" s="197">
        <f t="shared" si="8"/>
        <v>116564.58165977956</v>
      </c>
      <c r="G47" s="197">
        <f t="shared" si="8"/>
        <v>-13978.121292392458</v>
      </c>
      <c r="H47" s="198">
        <f t="shared" si="6"/>
        <v>-63435.418340220393</v>
      </c>
      <c r="I47" s="393"/>
      <c r="J47" s="393"/>
      <c r="K47" s="393"/>
    </row>
    <row r="48" spans="1:11" ht="14.4" x14ac:dyDescent="0.3">
      <c r="A48" s="195">
        <f t="shared" si="1"/>
        <v>42338</v>
      </c>
      <c r="B48" s="196">
        <f t="shared" si="7"/>
        <v>33</v>
      </c>
      <c r="C48" s="197">
        <f t="shared" ref="C48:C79" si="9">+IF(B48&gt;C$4,"",CUMPRINC(C$3/12,C$4,C$5,B48,B48,0))</f>
        <v>-2079.193083678128</v>
      </c>
      <c r="D48" s="197">
        <f t="shared" si="4"/>
        <v>-339.98002984102368</v>
      </c>
      <c r="E48" s="197">
        <f t="shared" ref="E48:E79" si="10">+IF(B48&gt;C$4,"",C$9)</f>
        <v>-2419.1731135191517</v>
      </c>
      <c r="F48" s="197">
        <f t="shared" si="8"/>
        <v>114485.38857610144</v>
      </c>
      <c r="G48" s="197">
        <f t="shared" si="8"/>
        <v>-14318.10132223348</v>
      </c>
      <c r="H48" s="198">
        <f t="shared" si="6"/>
        <v>-65514.611423898517</v>
      </c>
      <c r="I48" s="393"/>
      <c r="J48" s="393"/>
      <c r="K48" s="393"/>
    </row>
    <row r="49" spans="1:11" ht="14.4" x14ac:dyDescent="0.3">
      <c r="A49" s="195">
        <f t="shared" si="1"/>
        <v>42369</v>
      </c>
      <c r="B49" s="196">
        <f t="shared" si="7"/>
        <v>34</v>
      </c>
      <c r="C49" s="197">
        <f t="shared" si="9"/>
        <v>-2085.257396838856</v>
      </c>
      <c r="D49" s="197">
        <f t="shared" si="4"/>
        <v>-333.91571668029565</v>
      </c>
      <c r="E49" s="197">
        <f t="shared" si="10"/>
        <v>-2419.1731135191517</v>
      </c>
      <c r="F49" s="197">
        <f t="shared" si="8"/>
        <v>112400.13117926258</v>
      </c>
      <c r="G49" s="197">
        <f t="shared" si="8"/>
        <v>-14652.017038913777</v>
      </c>
      <c r="H49" s="198">
        <f t="shared" si="6"/>
        <v>-67599.868820737378</v>
      </c>
      <c r="I49" s="393"/>
      <c r="J49" s="393"/>
      <c r="K49" s="393"/>
    </row>
    <row r="50" spans="1:11" ht="14.4" x14ac:dyDescent="0.3">
      <c r="A50" s="195">
        <f t="shared" si="1"/>
        <v>42400</v>
      </c>
      <c r="B50" s="196">
        <f t="shared" si="7"/>
        <v>35</v>
      </c>
      <c r="C50" s="197">
        <f t="shared" si="9"/>
        <v>-2091.3393975796357</v>
      </c>
      <c r="D50" s="197">
        <f t="shared" si="4"/>
        <v>-327.83371593951597</v>
      </c>
      <c r="E50" s="197">
        <f t="shared" si="10"/>
        <v>-2419.1731135191517</v>
      </c>
      <c r="F50" s="197">
        <f t="shared" ref="F50:G65" si="11">+IF(C50="","",F49+C50)</f>
        <v>110308.79178168294</v>
      </c>
      <c r="G50" s="197">
        <f t="shared" si="11"/>
        <v>-14979.850754853293</v>
      </c>
      <c r="H50" s="198">
        <f t="shared" si="6"/>
        <v>-69691.208218317013</v>
      </c>
      <c r="I50" s="393"/>
      <c r="J50" s="393"/>
      <c r="K50" s="393"/>
    </row>
    <row r="51" spans="1:11" ht="14.4" x14ac:dyDescent="0.3">
      <c r="A51" s="195">
        <f t="shared" si="1"/>
        <v>42429</v>
      </c>
      <c r="B51" s="196">
        <f t="shared" si="7"/>
        <v>36</v>
      </c>
      <c r="C51" s="197">
        <f t="shared" si="9"/>
        <v>-2097.439137489243</v>
      </c>
      <c r="D51" s="197">
        <f t="shared" si="4"/>
        <v>-321.73397602990872</v>
      </c>
      <c r="E51" s="197">
        <f t="shared" si="10"/>
        <v>-2419.1731135191517</v>
      </c>
      <c r="F51" s="197">
        <f t="shared" si="11"/>
        <v>108211.3526441937</v>
      </c>
      <c r="G51" s="197">
        <f t="shared" si="11"/>
        <v>-15301.584730883202</v>
      </c>
      <c r="H51" s="198">
        <f t="shared" si="6"/>
        <v>-71788.647355806257</v>
      </c>
      <c r="I51" s="394"/>
      <c r="J51" s="394"/>
      <c r="K51" s="394"/>
    </row>
    <row r="52" spans="1:11" ht="14.4" x14ac:dyDescent="0.3">
      <c r="A52" s="195">
        <f t="shared" si="1"/>
        <v>42460</v>
      </c>
      <c r="B52" s="196">
        <f t="shared" si="7"/>
        <v>37</v>
      </c>
      <c r="C52" s="197">
        <f t="shared" si="9"/>
        <v>-2103.5566683069201</v>
      </c>
      <c r="D52" s="197">
        <f t="shared" si="4"/>
        <v>-315.61644521223161</v>
      </c>
      <c r="E52" s="197">
        <f t="shared" si="10"/>
        <v>-2419.1731135191517</v>
      </c>
      <c r="F52" s="197">
        <f t="shared" si="11"/>
        <v>106107.79597588678</v>
      </c>
      <c r="G52" s="197">
        <f t="shared" si="11"/>
        <v>-15617.201176095434</v>
      </c>
      <c r="H52" s="198">
        <f t="shared" si="6"/>
        <v>-73892.204024113176</v>
      </c>
      <c r="I52" s="392">
        <f>SUM(C52:C63)</f>
        <v>-25651.577499721596</v>
      </c>
      <c r="J52" s="392">
        <f>SUM(D52:D63)</f>
        <v>-3378.4998625082253</v>
      </c>
      <c r="K52" s="392">
        <f>SUM(E52:E63)</f>
        <v>-29030.077362229818</v>
      </c>
    </row>
    <row r="53" spans="1:11" ht="14.4" x14ac:dyDescent="0.3">
      <c r="A53" s="195">
        <f t="shared" si="1"/>
        <v>42490</v>
      </c>
      <c r="B53" s="196">
        <f t="shared" si="7"/>
        <v>38</v>
      </c>
      <c r="C53" s="197">
        <f t="shared" si="9"/>
        <v>-2109.6920419228154</v>
      </c>
      <c r="D53" s="197">
        <f t="shared" si="4"/>
        <v>-309.48107159633628</v>
      </c>
      <c r="E53" s="197">
        <f t="shared" si="10"/>
        <v>-2419.1731135191517</v>
      </c>
      <c r="F53" s="197">
        <f t="shared" si="11"/>
        <v>103998.10393396397</v>
      </c>
      <c r="G53" s="197">
        <f t="shared" si="11"/>
        <v>-15926.68224769177</v>
      </c>
      <c r="H53" s="198">
        <f t="shared" si="6"/>
        <v>-76001.896066035988</v>
      </c>
      <c r="I53" s="393"/>
      <c r="J53" s="393"/>
      <c r="K53" s="393"/>
    </row>
    <row r="54" spans="1:11" ht="14.4" x14ac:dyDescent="0.3">
      <c r="A54" s="195">
        <f t="shared" si="1"/>
        <v>42521</v>
      </c>
      <c r="B54" s="196">
        <f t="shared" si="7"/>
        <v>39</v>
      </c>
      <c r="C54" s="197">
        <f t="shared" si="9"/>
        <v>-2115.8453103784236</v>
      </c>
      <c r="D54" s="197">
        <f t="shared" si="4"/>
        <v>-303.32780314072807</v>
      </c>
      <c r="E54" s="197">
        <f t="shared" si="10"/>
        <v>-2419.1731135191517</v>
      </c>
      <c r="F54" s="197">
        <f t="shared" si="11"/>
        <v>101882.25862358554</v>
      </c>
      <c r="G54" s="197">
        <f t="shared" si="11"/>
        <v>-16230.010050832498</v>
      </c>
      <c r="H54" s="198">
        <f t="shared" si="6"/>
        <v>-78117.741376414415</v>
      </c>
      <c r="I54" s="393"/>
      <c r="J54" s="393"/>
      <c r="K54" s="393"/>
    </row>
    <row r="55" spans="1:11" ht="14.4" x14ac:dyDescent="0.3">
      <c r="A55" s="195">
        <f t="shared" si="1"/>
        <v>42551</v>
      </c>
      <c r="B55" s="196">
        <f t="shared" si="7"/>
        <v>40</v>
      </c>
      <c r="C55" s="197">
        <f t="shared" si="9"/>
        <v>-2122.0165258670272</v>
      </c>
      <c r="D55" s="197">
        <f t="shared" si="4"/>
        <v>-297.15658765212447</v>
      </c>
      <c r="E55" s="197">
        <f t="shared" si="10"/>
        <v>-2419.1731135191517</v>
      </c>
      <c r="F55" s="197">
        <f t="shared" si="11"/>
        <v>99760.24209771851</v>
      </c>
      <c r="G55" s="197">
        <f t="shared" si="11"/>
        <v>-16527.166638484621</v>
      </c>
      <c r="H55" s="198">
        <f t="shared" si="6"/>
        <v>-80239.757902281446</v>
      </c>
      <c r="I55" s="393"/>
      <c r="J55" s="393"/>
      <c r="K55" s="393"/>
    </row>
    <row r="56" spans="1:11" ht="14.4" x14ac:dyDescent="0.3">
      <c r="A56" s="195">
        <f t="shared" si="1"/>
        <v>42582</v>
      </c>
      <c r="B56" s="196">
        <f t="shared" si="7"/>
        <v>41</v>
      </c>
      <c r="C56" s="197">
        <f t="shared" si="9"/>
        <v>-2128.205740734139</v>
      </c>
      <c r="D56" s="197">
        <f t="shared" si="4"/>
        <v>-290.96737278501269</v>
      </c>
      <c r="E56" s="197">
        <f t="shared" si="10"/>
        <v>-2419.1731135191517</v>
      </c>
      <c r="F56" s="197">
        <f t="shared" si="11"/>
        <v>97632.036356984376</v>
      </c>
      <c r="G56" s="197">
        <f t="shared" si="11"/>
        <v>-16818.134011269634</v>
      </c>
      <c r="H56" s="198">
        <f t="shared" si="6"/>
        <v>-82367.963643015581</v>
      </c>
      <c r="I56" s="393"/>
      <c r="J56" s="393"/>
      <c r="K56" s="393"/>
    </row>
    <row r="57" spans="1:11" ht="14.4" x14ac:dyDescent="0.3">
      <c r="A57" s="195">
        <f t="shared" si="1"/>
        <v>42613</v>
      </c>
      <c r="B57" s="196">
        <f t="shared" si="7"/>
        <v>42</v>
      </c>
      <c r="C57" s="197">
        <f t="shared" si="9"/>
        <v>-2134.4130074779468</v>
      </c>
      <c r="D57" s="197">
        <f t="shared" si="4"/>
        <v>-284.76010604120484</v>
      </c>
      <c r="E57" s="197">
        <f t="shared" si="10"/>
        <v>-2419.1731135191517</v>
      </c>
      <c r="F57" s="197">
        <f t="shared" si="11"/>
        <v>95497.623349506423</v>
      </c>
      <c r="G57" s="197">
        <f t="shared" si="11"/>
        <v>-17102.89411731084</v>
      </c>
      <c r="H57" s="198">
        <f t="shared" si="6"/>
        <v>-84502.376650493534</v>
      </c>
      <c r="I57" s="393"/>
      <c r="J57" s="393"/>
      <c r="K57" s="393"/>
    </row>
    <row r="58" spans="1:11" ht="14.4" x14ac:dyDescent="0.3">
      <c r="A58" s="195">
        <f t="shared" si="1"/>
        <v>42643</v>
      </c>
      <c r="B58" s="196">
        <f t="shared" si="7"/>
        <v>43</v>
      </c>
      <c r="C58" s="197">
        <f t="shared" si="9"/>
        <v>-2140.638378749758</v>
      </c>
      <c r="D58" s="197">
        <f t="shared" si="4"/>
        <v>-278.53473476939371</v>
      </c>
      <c r="E58" s="197">
        <f t="shared" si="10"/>
        <v>-2419.1731135191517</v>
      </c>
      <c r="F58" s="197">
        <f t="shared" si="11"/>
        <v>93356.984970756661</v>
      </c>
      <c r="G58" s="197">
        <f t="shared" si="11"/>
        <v>-17381.428852080233</v>
      </c>
      <c r="H58" s="198">
        <f t="shared" si="6"/>
        <v>-86643.015029243295</v>
      </c>
      <c r="I58" s="393"/>
      <c r="J58" s="393"/>
      <c r="K58" s="393"/>
    </row>
    <row r="59" spans="1:11" ht="14.4" x14ac:dyDescent="0.3">
      <c r="A59" s="195">
        <f t="shared" si="1"/>
        <v>42674</v>
      </c>
      <c r="B59" s="196">
        <f t="shared" si="7"/>
        <v>44</v>
      </c>
      <c r="C59" s="197">
        <f t="shared" si="9"/>
        <v>-2146.8819073544446</v>
      </c>
      <c r="D59" s="197">
        <f t="shared" si="4"/>
        <v>-272.29120616470709</v>
      </c>
      <c r="E59" s="197">
        <f t="shared" si="10"/>
        <v>-2419.1731135191517</v>
      </c>
      <c r="F59" s="197">
        <f t="shared" si="11"/>
        <v>91210.103063402217</v>
      </c>
      <c r="G59" s="197">
        <f t="shared" si="11"/>
        <v>-17653.72005824494</v>
      </c>
      <c r="H59" s="198">
        <f t="shared" si="6"/>
        <v>-88789.896936597739</v>
      </c>
      <c r="I59" s="393"/>
      <c r="J59" s="393"/>
      <c r="K59" s="393"/>
    </row>
    <row r="60" spans="1:11" ht="14.4" x14ac:dyDescent="0.3">
      <c r="A60" s="195">
        <f t="shared" si="1"/>
        <v>42704</v>
      </c>
      <c r="B60" s="196">
        <f t="shared" si="7"/>
        <v>45</v>
      </c>
      <c r="C60" s="197">
        <f t="shared" si="9"/>
        <v>-2153.143646250895</v>
      </c>
      <c r="D60" s="197">
        <f t="shared" si="4"/>
        <v>-266.02946726825667</v>
      </c>
      <c r="E60" s="197">
        <f t="shared" si="10"/>
        <v>-2419.1731135191517</v>
      </c>
      <c r="F60" s="197">
        <f t="shared" si="11"/>
        <v>89056.959417151316</v>
      </c>
      <c r="G60" s="197">
        <f t="shared" si="11"/>
        <v>-17919.749525513198</v>
      </c>
      <c r="H60" s="198">
        <f t="shared" si="6"/>
        <v>-90943.04058284864</v>
      </c>
      <c r="I60" s="393"/>
      <c r="J60" s="393"/>
      <c r="K60" s="393"/>
    </row>
    <row r="61" spans="1:11" ht="14.4" x14ac:dyDescent="0.3">
      <c r="A61" s="195">
        <f t="shared" si="1"/>
        <v>42735</v>
      </c>
      <c r="B61" s="196">
        <f t="shared" si="7"/>
        <v>46</v>
      </c>
      <c r="C61" s="197">
        <f t="shared" si="9"/>
        <v>-2159.4236485524602</v>
      </c>
      <c r="D61" s="197">
        <f t="shared" si="4"/>
        <v>-259.74946496669145</v>
      </c>
      <c r="E61" s="197">
        <f t="shared" si="10"/>
        <v>-2419.1731135191517</v>
      </c>
      <c r="F61" s="197">
        <f t="shared" si="11"/>
        <v>86897.535768598857</v>
      </c>
      <c r="G61" s="197">
        <f t="shared" si="11"/>
        <v>-18179.498990479889</v>
      </c>
      <c r="H61" s="198">
        <f t="shared" si="6"/>
        <v>-93102.4642314011</v>
      </c>
      <c r="I61" s="393"/>
      <c r="J61" s="393"/>
      <c r="K61" s="393"/>
    </row>
    <row r="62" spans="1:11" ht="14.4" x14ac:dyDescent="0.3">
      <c r="A62" s="195">
        <f t="shared" si="1"/>
        <v>42766</v>
      </c>
      <c r="B62" s="196">
        <f t="shared" si="7"/>
        <v>47</v>
      </c>
      <c r="C62" s="197">
        <f t="shared" si="9"/>
        <v>-2165.721967527405</v>
      </c>
      <c r="D62" s="197">
        <f t="shared" si="4"/>
        <v>-253.45114599174667</v>
      </c>
      <c r="E62" s="197">
        <f t="shared" si="10"/>
        <v>-2419.1731135191517</v>
      </c>
      <c r="F62" s="197">
        <f t="shared" si="11"/>
        <v>84731.813801071447</v>
      </c>
      <c r="G62" s="197">
        <f t="shared" si="11"/>
        <v>-18432.950136471634</v>
      </c>
      <c r="H62" s="198">
        <f t="shared" si="6"/>
        <v>-95268.18619892851</v>
      </c>
      <c r="I62" s="393"/>
      <c r="J62" s="393"/>
      <c r="K62" s="393"/>
    </row>
    <row r="63" spans="1:11" ht="14.4" x14ac:dyDescent="0.3">
      <c r="A63" s="195">
        <f t="shared" si="1"/>
        <v>42794</v>
      </c>
      <c r="B63" s="196">
        <f t="shared" si="7"/>
        <v>48</v>
      </c>
      <c r="C63" s="197">
        <f t="shared" si="9"/>
        <v>-2172.0386565993599</v>
      </c>
      <c r="D63" s="197">
        <f t="shared" si="4"/>
        <v>-247.13445691979177</v>
      </c>
      <c r="E63" s="197">
        <f t="shared" si="10"/>
        <v>-2419.1731135191517</v>
      </c>
      <c r="F63" s="197">
        <f t="shared" si="11"/>
        <v>82559.775144472093</v>
      </c>
      <c r="G63" s="197">
        <f t="shared" si="11"/>
        <v>-18680.084593391424</v>
      </c>
      <c r="H63" s="198">
        <f t="shared" si="6"/>
        <v>-97440.224855527864</v>
      </c>
      <c r="I63" s="394"/>
      <c r="J63" s="394"/>
      <c r="K63" s="394"/>
    </row>
    <row r="64" spans="1:11" ht="14.4" x14ac:dyDescent="0.3">
      <c r="A64" s="195">
        <f t="shared" si="1"/>
        <v>42825</v>
      </c>
      <c r="B64" s="196">
        <f t="shared" si="7"/>
        <v>49</v>
      </c>
      <c r="C64" s="197">
        <f t="shared" si="9"/>
        <v>-2178.3737693477747</v>
      </c>
      <c r="D64" s="197">
        <f t="shared" si="4"/>
        <v>-240.79934417137702</v>
      </c>
      <c r="E64" s="197">
        <f t="shared" si="10"/>
        <v>-2419.1731135191517</v>
      </c>
      <c r="F64" s="197">
        <f t="shared" si="11"/>
        <v>80381.401375124318</v>
      </c>
      <c r="G64" s="197">
        <f t="shared" si="11"/>
        <v>-18920.883937562801</v>
      </c>
      <c r="H64" s="198">
        <f t="shared" si="6"/>
        <v>-99618.598624875638</v>
      </c>
      <c r="I64" s="392">
        <f>SUM(C64:C75)</f>
        <v>-26563.925949644115</v>
      </c>
      <c r="J64" s="392">
        <f>SUM(D64:D75)</f>
        <v>-2466.1514125857111</v>
      </c>
      <c r="K64" s="392">
        <f>SUM(E64:E75)</f>
        <v>-29030.077362229818</v>
      </c>
    </row>
    <row r="65" spans="1:11" ht="14.4" x14ac:dyDescent="0.3">
      <c r="A65" s="195">
        <f t="shared" si="1"/>
        <v>42855</v>
      </c>
      <c r="B65" s="196">
        <f t="shared" si="7"/>
        <v>50</v>
      </c>
      <c r="C65" s="197">
        <f t="shared" si="9"/>
        <v>-2184.7273595083725</v>
      </c>
      <c r="D65" s="197">
        <f t="shared" si="4"/>
        <v>-234.44575401077918</v>
      </c>
      <c r="E65" s="197">
        <f t="shared" si="10"/>
        <v>-2419.1731135191517</v>
      </c>
      <c r="F65" s="197">
        <f t="shared" si="11"/>
        <v>78196.67401561595</v>
      </c>
      <c r="G65" s="197">
        <f t="shared" si="11"/>
        <v>-19155.329691573581</v>
      </c>
      <c r="H65" s="198">
        <f t="shared" si="6"/>
        <v>-101803.32598438401</v>
      </c>
      <c r="I65" s="393"/>
      <c r="J65" s="393"/>
      <c r="K65" s="393"/>
    </row>
    <row r="66" spans="1:11" ht="14.4" x14ac:dyDescent="0.3">
      <c r="A66" s="195">
        <f t="shared" si="1"/>
        <v>42886</v>
      </c>
      <c r="B66" s="196">
        <f t="shared" si="7"/>
        <v>51</v>
      </c>
      <c r="C66" s="197">
        <f t="shared" si="9"/>
        <v>-2191.0994809736053</v>
      </c>
      <c r="D66" s="197">
        <f t="shared" si="4"/>
        <v>-228.07363254554639</v>
      </c>
      <c r="E66" s="197">
        <f t="shared" si="10"/>
        <v>-2419.1731135191517</v>
      </c>
      <c r="F66" s="197">
        <f t="shared" ref="F66:G81" si="12">+IF(C66="","",F65+C66)</f>
        <v>76005.57453464235</v>
      </c>
      <c r="G66" s="197">
        <f t="shared" si="12"/>
        <v>-19383.403324119128</v>
      </c>
      <c r="H66" s="198">
        <f t="shared" si="6"/>
        <v>-103994.42546535761</v>
      </c>
      <c r="I66" s="393"/>
      <c r="J66" s="393"/>
      <c r="K66" s="393"/>
    </row>
    <row r="67" spans="1:11" ht="14.4" x14ac:dyDescent="0.3">
      <c r="A67" s="195">
        <f t="shared" si="1"/>
        <v>42916</v>
      </c>
      <c r="B67" s="196">
        <f t="shared" si="7"/>
        <v>52</v>
      </c>
      <c r="C67" s="197">
        <f t="shared" si="9"/>
        <v>-2197.4901877931115</v>
      </c>
      <c r="D67" s="197">
        <f t="shared" si="4"/>
        <v>-221.68292572604014</v>
      </c>
      <c r="E67" s="197">
        <f t="shared" si="10"/>
        <v>-2419.1731135191517</v>
      </c>
      <c r="F67" s="197">
        <f t="shared" si="12"/>
        <v>73808.084346849238</v>
      </c>
      <c r="G67" s="197">
        <f t="shared" si="12"/>
        <v>-19605.086249845168</v>
      </c>
      <c r="H67" s="198">
        <f t="shared" si="6"/>
        <v>-106191.91565315072</v>
      </c>
      <c r="I67" s="393"/>
      <c r="J67" s="393"/>
      <c r="K67" s="393"/>
    </row>
    <row r="68" spans="1:11" ht="14.4" x14ac:dyDescent="0.3">
      <c r="A68" s="195">
        <f t="shared" si="1"/>
        <v>42947</v>
      </c>
      <c r="B68" s="196">
        <f t="shared" si="7"/>
        <v>53</v>
      </c>
      <c r="C68" s="197">
        <f t="shared" si="9"/>
        <v>-2203.8995341741747</v>
      </c>
      <c r="D68" s="197">
        <f t="shared" si="4"/>
        <v>-215.27357934497695</v>
      </c>
      <c r="E68" s="197">
        <f t="shared" si="10"/>
        <v>-2419.1731135191517</v>
      </c>
      <c r="F68" s="197">
        <f t="shared" si="12"/>
        <v>71604.18481267507</v>
      </c>
      <c r="G68" s="197">
        <f t="shared" si="12"/>
        <v>-19820.359829190144</v>
      </c>
      <c r="H68" s="198">
        <f t="shared" si="6"/>
        <v>-108395.81518732489</v>
      </c>
      <c r="I68" s="393"/>
      <c r="J68" s="393"/>
      <c r="K68" s="393"/>
    </row>
    <row r="69" spans="1:11" ht="14.4" x14ac:dyDescent="0.3">
      <c r="A69" s="195">
        <f t="shared" si="1"/>
        <v>42978</v>
      </c>
      <c r="B69" s="196">
        <f t="shared" si="7"/>
        <v>54</v>
      </c>
      <c r="C69" s="197">
        <f t="shared" si="9"/>
        <v>-2210.3275744821826</v>
      </c>
      <c r="D69" s="197">
        <f t="shared" si="4"/>
        <v>-208.84553903696906</v>
      </c>
      <c r="E69" s="197">
        <f t="shared" si="10"/>
        <v>-2419.1731135191517</v>
      </c>
      <c r="F69" s="197">
        <f t="shared" si="12"/>
        <v>69393.857238192883</v>
      </c>
      <c r="G69" s="197">
        <f t="shared" si="12"/>
        <v>-20029.205368227114</v>
      </c>
      <c r="H69" s="198">
        <f t="shared" si="6"/>
        <v>-110606.14276180707</v>
      </c>
      <c r="I69" s="393"/>
      <c r="J69" s="393"/>
      <c r="K69" s="393"/>
    </row>
    <row r="70" spans="1:11" ht="14.4" x14ac:dyDescent="0.3">
      <c r="A70" s="195">
        <f t="shared" si="1"/>
        <v>43008</v>
      </c>
      <c r="B70" s="196">
        <f t="shared" si="7"/>
        <v>55</v>
      </c>
      <c r="C70" s="197">
        <f t="shared" si="9"/>
        <v>-2216.7743632410888</v>
      </c>
      <c r="D70" s="197">
        <f t="shared" si="4"/>
        <v>-202.39875027806283</v>
      </c>
      <c r="E70" s="197">
        <f t="shared" si="10"/>
        <v>-2419.1731135191517</v>
      </c>
      <c r="F70" s="197">
        <f t="shared" si="12"/>
        <v>67177.082874951797</v>
      </c>
      <c r="G70" s="197">
        <f t="shared" si="12"/>
        <v>-20231.604118505176</v>
      </c>
      <c r="H70" s="198">
        <f t="shared" si="6"/>
        <v>-112822.91712504816</v>
      </c>
      <c r="I70" s="393"/>
      <c r="J70" s="393"/>
      <c r="K70" s="393"/>
    </row>
    <row r="71" spans="1:11" ht="14.4" x14ac:dyDescent="0.3">
      <c r="A71" s="195">
        <f t="shared" si="1"/>
        <v>43039</v>
      </c>
      <c r="B71" s="196">
        <f t="shared" si="7"/>
        <v>56</v>
      </c>
      <c r="C71" s="197">
        <f t="shared" si="9"/>
        <v>-2223.2399551338758</v>
      </c>
      <c r="D71" s="197">
        <f t="shared" si="4"/>
        <v>-195.93315838527587</v>
      </c>
      <c r="E71" s="197">
        <f t="shared" si="10"/>
        <v>-2419.1731135191517</v>
      </c>
      <c r="F71" s="197">
        <f t="shared" si="12"/>
        <v>64953.842919817922</v>
      </c>
      <c r="G71" s="197">
        <f t="shared" si="12"/>
        <v>-20427.537276890453</v>
      </c>
      <c r="H71" s="198">
        <f t="shared" si="6"/>
        <v>-115046.15708018203</v>
      </c>
      <c r="I71" s="393"/>
      <c r="J71" s="393"/>
      <c r="K71" s="393"/>
    </row>
    <row r="72" spans="1:11" ht="14.4" x14ac:dyDescent="0.3">
      <c r="A72" s="195">
        <f t="shared" si="1"/>
        <v>43069</v>
      </c>
      <c r="B72" s="196">
        <f t="shared" si="7"/>
        <v>57</v>
      </c>
      <c r="C72" s="197">
        <f t="shared" si="9"/>
        <v>-2229.7244050030158</v>
      </c>
      <c r="D72" s="197">
        <f t="shared" si="4"/>
        <v>-189.44870851613587</v>
      </c>
      <c r="E72" s="197">
        <f t="shared" si="10"/>
        <v>-2419.1731135191517</v>
      </c>
      <c r="F72" s="197">
        <f t="shared" si="12"/>
        <v>62724.118514814909</v>
      </c>
      <c r="G72" s="197">
        <f t="shared" si="12"/>
        <v>-20616.985985406587</v>
      </c>
      <c r="H72" s="198">
        <f t="shared" si="6"/>
        <v>-117275.88148518505</v>
      </c>
      <c r="I72" s="393"/>
      <c r="J72" s="393"/>
      <c r="K72" s="393"/>
    </row>
    <row r="73" spans="1:11" ht="14.4" x14ac:dyDescent="0.3">
      <c r="A73" s="195">
        <f t="shared" si="1"/>
        <v>43100</v>
      </c>
      <c r="B73" s="196">
        <f t="shared" si="7"/>
        <v>58</v>
      </c>
      <c r="C73" s="197">
        <f t="shared" si="9"/>
        <v>-2236.2277678509417</v>
      </c>
      <c r="D73" s="197">
        <f t="shared" si="4"/>
        <v>-182.94534566820994</v>
      </c>
      <c r="E73" s="197">
        <f t="shared" si="10"/>
        <v>-2419.1731135191517</v>
      </c>
      <c r="F73" s="197">
        <f t="shared" si="12"/>
        <v>60487.890746963967</v>
      </c>
      <c r="G73" s="197">
        <f t="shared" si="12"/>
        <v>-20799.931331074797</v>
      </c>
      <c r="H73" s="198">
        <f t="shared" si="6"/>
        <v>-119512.10925303599</v>
      </c>
      <c r="I73" s="393"/>
      <c r="J73" s="393"/>
      <c r="K73" s="393"/>
    </row>
    <row r="74" spans="1:11" ht="14.4" x14ac:dyDescent="0.3">
      <c r="A74" s="195">
        <f t="shared" si="1"/>
        <v>43131</v>
      </c>
      <c r="B74" s="196">
        <f t="shared" si="7"/>
        <v>59</v>
      </c>
      <c r="C74" s="197">
        <f t="shared" si="9"/>
        <v>-2242.7500988405072</v>
      </c>
      <c r="D74" s="197">
        <f t="shared" si="4"/>
        <v>-176.42301467864445</v>
      </c>
      <c r="E74" s="197">
        <f t="shared" si="10"/>
        <v>-2419.1731135191517</v>
      </c>
      <c r="F74" s="197">
        <f t="shared" si="12"/>
        <v>58245.140648123459</v>
      </c>
      <c r="G74" s="197">
        <f t="shared" si="12"/>
        <v>-20976.35434575344</v>
      </c>
      <c r="H74" s="198">
        <f t="shared" si="6"/>
        <v>-121754.8593518765</v>
      </c>
      <c r="I74" s="393"/>
      <c r="J74" s="393"/>
      <c r="K74" s="393"/>
    </row>
    <row r="75" spans="1:11" ht="14.4" x14ac:dyDescent="0.3">
      <c r="A75" s="195">
        <f t="shared" si="1"/>
        <v>43159</v>
      </c>
      <c r="B75" s="196">
        <f t="shared" si="7"/>
        <v>60</v>
      </c>
      <c r="C75" s="197">
        <f t="shared" si="9"/>
        <v>-2249.2914532954583</v>
      </c>
      <c r="D75" s="197">
        <f t="shared" si="4"/>
        <v>-169.88166022369342</v>
      </c>
      <c r="E75" s="197">
        <f t="shared" si="10"/>
        <v>-2419.1731135191517</v>
      </c>
      <c r="F75" s="197">
        <f t="shared" si="12"/>
        <v>55995.849194827999</v>
      </c>
      <c r="G75" s="197">
        <f t="shared" si="12"/>
        <v>-21146.236005977134</v>
      </c>
      <c r="H75" s="198">
        <f t="shared" si="6"/>
        <v>-124004.15080517196</v>
      </c>
      <c r="I75" s="394"/>
      <c r="J75" s="394"/>
      <c r="K75" s="394"/>
    </row>
    <row r="76" spans="1:11" ht="14.4" x14ac:dyDescent="0.3">
      <c r="A76" s="195">
        <f t="shared" si="1"/>
        <v>43190</v>
      </c>
      <c r="B76" s="196">
        <f t="shared" si="7"/>
        <v>61</v>
      </c>
      <c r="C76" s="197">
        <f t="shared" si="9"/>
        <v>-2255.8518867009034</v>
      </c>
      <c r="D76" s="197">
        <f t="shared" si="4"/>
        <v>-163.32122681824831</v>
      </c>
      <c r="E76" s="197">
        <f t="shared" si="10"/>
        <v>-2419.1731135191517</v>
      </c>
      <c r="F76" s="197">
        <f t="shared" si="12"/>
        <v>53739.997308127095</v>
      </c>
      <c r="G76" s="197">
        <f t="shared" si="12"/>
        <v>-21309.557232795381</v>
      </c>
      <c r="H76" s="198">
        <f t="shared" si="6"/>
        <v>-126260.00269187285</v>
      </c>
      <c r="I76" s="392">
        <f>SUM(C76:C87)</f>
        <v>-27508.723853955344</v>
      </c>
      <c r="J76" s="392">
        <f>SUM(D76:D87)</f>
        <v>-1521.3535082744752</v>
      </c>
      <c r="K76" s="392">
        <f>SUM(E76:E87)</f>
        <v>-29030.077362229818</v>
      </c>
    </row>
    <row r="77" spans="1:11" ht="14.4" x14ac:dyDescent="0.3">
      <c r="A77" s="195">
        <f t="shared" si="1"/>
        <v>43220</v>
      </c>
      <c r="B77" s="196">
        <f t="shared" si="7"/>
        <v>62</v>
      </c>
      <c r="C77" s="197">
        <f t="shared" si="9"/>
        <v>-2262.4314547037811</v>
      </c>
      <c r="D77" s="197">
        <f t="shared" si="4"/>
        <v>-156.74165881537056</v>
      </c>
      <c r="E77" s="197">
        <f t="shared" si="10"/>
        <v>-2419.1731135191517</v>
      </c>
      <c r="F77" s="197">
        <f t="shared" si="12"/>
        <v>51477.565853423315</v>
      </c>
      <c r="G77" s="197">
        <f t="shared" si="12"/>
        <v>-21466.298891610753</v>
      </c>
      <c r="H77" s="198">
        <f t="shared" si="6"/>
        <v>-128522.43414657663</v>
      </c>
      <c r="I77" s="393"/>
      <c r="J77" s="393"/>
      <c r="K77" s="393"/>
    </row>
    <row r="78" spans="1:11" ht="14.4" x14ac:dyDescent="0.3">
      <c r="A78" s="195">
        <f t="shared" si="1"/>
        <v>43251</v>
      </c>
      <c r="B78" s="196">
        <f t="shared" si="7"/>
        <v>63</v>
      </c>
      <c r="C78" s="197">
        <f t="shared" si="9"/>
        <v>-2269.030213113334</v>
      </c>
      <c r="D78" s="197">
        <f t="shared" si="4"/>
        <v>-150.14290040581773</v>
      </c>
      <c r="E78" s="197">
        <f t="shared" si="10"/>
        <v>-2419.1731135191517</v>
      </c>
      <c r="F78" s="197">
        <f t="shared" si="12"/>
        <v>49208.535640309979</v>
      </c>
      <c r="G78" s="197">
        <f t="shared" si="12"/>
        <v>-21616.441792016572</v>
      </c>
      <c r="H78" s="198">
        <f t="shared" si="6"/>
        <v>-130791.46435968997</v>
      </c>
      <c r="I78" s="393"/>
      <c r="J78" s="393"/>
      <c r="K78" s="393"/>
    </row>
    <row r="79" spans="1:11" ht="14.4" x14ac:dyDescent="0.3">
      <c r="A79" s="195">
        <f t="shared" si="1"/>
        <v>43281</v>
      </c>
      <c r="B79" s="196">
        <f t="shared" si="7"/>
        <v>64</v>
      </c>
      <c r="C79" s="197">
        <f t="shared" si="9"/>
        <v>-2275.6482179015807</v>
      </c>
      <c r="D79" s="197">
        <f t="shared" si="4"/>
        <v>-143.52489561757102</v>
      </c>
      <c r="E79" s="197">
        <f t="shared" si="10"/>
        <v>-2419.1731135191517</v>
      </c>
      <c r="F79" s="197">
        <f t="shared" si="12"/>
        <v>46932.887422408399</v>
      </c>
      <c r="G79" s="197">
        <f t="shared" si="12"/>
        <v>-21759.966687634143</v>
      </c>
      <c r="H79" s="198">
        <f t="shared" si="6"/>
        <v>-133067.11257759156</v>
      </c>
      <c r="I79" s="393"/>
      <c r="J79" s="393"/>
      <c r="K79" s="393"/>
    </row>
    <row r="80" spans="1:11" ht="14.4" x14ac:dyDescent="0.3">
      <c r="A80" s="195">
        <f t="shared" ref="A80:A99" si="13">+EOMONTH(B$13,B80)</f>
        <v>43312</v>
      </c>
      <c r="B80" s="196">
        <f t="shared" si="7"/>
        <v>65</v>
      </c>
      <c r="C80" s="197">
        <f t="shared" ref="C80:C99" si="14">+IF(B80&gt;C$4,"",CUMPRINC(C$3/12,C$4,C$5,B80,B80,0))</f>
        <v>-2282.2855252037934</v>
      </c>
      <c r="D80" s="197">
        <f t="shared" si="4"/>
        <v>-136.88758831535824</v>
      </c>
      <c r="E80" s="197">
        <f t="shared" ref="E80:E99" si="15">+IF(B80&gt;C$4,"",C$9)</f>
        <v>-2419.1731135191517</v>
      </c>
      <c r="F80" s="197">
        <f t="shared" si="12"/>
        <v>44650.601897204608</v>
      </c>
      <c r="G80" s="197">
        <f t="shared" si="12"/>
        <v>-21896.854275949503</v>
      </c>
      <c r="H80" s="198">
        <f t="shared" si="6"/>
        <v>-135349.39810279536</v>
      </c>
      <c r="I80" s="393"/>
      <c r="J80" s="393"/>
      <c r="K80" s="393"/>
    </row>
    <row r="81" spans="1:11" ht="14.4" x14ac:dyDescent="0.3">
      <c r="A81" s="195">
        <f t="shared" si="13"/>
        <v>43343</v>
      </c>
      <c r="B81" s="196">
        <f t="shared" si="7"/>
        <v>66</v>
      </c>
      <c r="C81" s="197">
        <f t="shared" si="14"/>
        <v>-2288.9421913189717</v>
      </c>
      <c r="D81" s="197">
        <f t="shared" ref="D81:D99" si="16">+IF(C81="","",E81-C81)</f>
        <v>-130.23092220017998</v>
      </c>
      <c r="E81" s="197">
        <f t="shared" si="15"/>
        <v>-2419.1731135191517</v>
      </c>
      <c r="F81" s="197">
        <f t="shared" si="12"/>
        <v>42361.659705885635</v>
      </c>
      <c r="G81" s="197">
        <f t="shared" si="12"/>
        <v>-22027.085198149682</v>
      </c>
      <c r="H81" s="198">
        <f t="shared" si="6"/>
        <v>-137638.34029411431</v>
      </c>
      <c r="I81" s="393"/>
      <c r="J81" s="393"/>
      <c r="K81" s="393"/>
    </row>
    <row r="82" spans="1:11" ht="14.4" x14ac:dyDescent="0.3">
      <c r="A82" s="195">
        <f t="shared" si="13"/>
        <v>43373</v>
      </c>
      <c r="B82" s="196">
        <f t="shared" si="7"/>
        <v>67</v>
      </c>
      <c r="C82" s="197">
        <f t="shared" si="14"/>
        <v>-2295.6182727103187</v>
      </c>
      <c r="D82" s="197">
        <f t="shared" si="16"/>
        <v>-123.55484080883298</v>
      </c>
      <c r="E82" s="197">
        <f t="shared" si="15"/>
        <v>-2419.1731135191517</v>
      </c>
      <c r="F82" s="197">
        <f t="shared" ref="F82:G97" si="17">+IF(C82="","",F81+C82)</f>
        <v>40066.041433175313</v>
      </c>
      <c r="G82" s="197">
        <f t="shared" si="17"/>
        <v>-22150.640038958514</v>
      </c>
      <c r="H82" s="198">
        <f t="shared" ref="H82:H99" si="18">+IF(C82="","",H81+C82)</f>
        <v>-139933.95856682464</v>
      </c>
      <c r="I82" s="393"/>
      <c r="J82" s="393"/>
      <c r="K82" s="393"/>
    </row>
    <row r="83" spans="1:11" ht="14.4" x14ac:dyDescent="0.3">
      <c r="A83" s="195">
        <f t="shared" si="13"/>
        <v>43404</v>
      </c>
      <c r="B83" s="196">
        <f t="shared" ref="B83:B99" si="19">+B82+1</f>
        <v>68</v>
      </c>
      <c r="C83" s="197">
        <f t="shared" si="14"/>
        <v>-2302.313826005724</v>
      </c>
      <c r="D83" s="197">
        <f t="shared" si="16"/>
        <v>-116.85928751342772</v>
      </c>
      <c r="E83" s="197">
        <f t="shared" si="15"/>
        <v>-2419.1731135191517</v>
      </c>
      <c r="F83" s="197">
        <f t="shared" si="17"/>
        <v>37763.727607169589</v>
      </c>
      <c r="G83" s="197">
        <f t="shared" si="17"/>
        <v>-22267.499326471941</v>
      </c>
      <c r="H83" s="198">
        <f t="shared" si="18"/>
        <v>-142236.27239283037</v>
      </c>
      <c r="I83" s="393"/>
      <c r="J83" s="393"/>
      <c r="K83" s="393"/>
    </row>
    <row r="84" spans="1:11" ht="14.4" x14ac:dyDescent="0.3">
      <c r="A84" s="195">
        <f t="shared" si="13"/>
        <v>43434</v>
      </c>
      <c r="B84" s="196">
        <f t="shared" si="19"/>
        <v>69</v>
      </c>
      <c r="C84" s="197">
        <f t="shared" si="14"/>
        <v>-2309.0289079982404</v>
      </c>
      <c r="D84" s="197">
        <f t="shared" si="16"/>
        <v>-110.14420552091133</v>
      </c>
      <c r="E84" s="197">
        <f t="shared" si="15"/>
        <v>-2419.1731135191517</v>
      </c>
      <c r="F84" s="197">
        <f t="shared" si="17"/>
        <v>35454.698699171349</v>
      </c>
      <c r="G84" s="197">
        <f t="shared" si="17"/>
        <v>-22377.643531992853</v>
      </c>
      <c r="H84" s="198">
        <f t="shared" si="18"/>
        <v>-144545.30130082861</v>
      </c>
      <c r="I84" s="393"/>
      <c r="J84" s="393"/>
      <c r="K84" s="393"/>
    </row>
    <row r="85" spans="1:11" ht="14.4" x14ac:dyDescent="0.3">
      <c r="A85" s="195">
        <f t="shared" si="13"/>
        <v>43465</v>
      </c>
      <c r="B85" s="196">
        <f t="shared" si="19"/>
        <v>70</v>
      </c>
      <c r="C85" s="197">
        <f t="shared" si="14"/>
        <v>-2315.7635756465684</v>
      </c>
      <c r="D85" s="197">
        <f t="shared" si="16"/>
        <v>-103.40953787258331</v>
      </c>
      <c r="E85" s="197">
        <f t="shared" si="15"/>
        <v>-2419.1731135191517</v>
      </c>
      <c r="F85" s="197">
        <f t="shared" si="17"/>
        <v>33138.935123524781</v>
      </c>
      <c r="G85" s="197">
        <f t="shared" si="17"/>
        <v>-22481.053069865437</v>
      </c>
      <c r="H85" s="198">
        <f t="shared" si="18"/>
        <v>-146861.06487647517</v>
      </c>
      <c r="I85" s="393"/>
      <c r="J85" s="393"/>
      <c r="K85" s="393"/>
    </row>
    <row r="86" spans="1:11" ht="14.4" x14ac:dyDescent="0.3">
      <c r="A86" s="195">
        <f t="shared" si="13"/>
        <v>43496</v>
      </c>
      <c r="B86" s="196">
        <f t="shared" si="19"/>
        <v>71</v>
      </c>
      <c r="C86" s="197">
        <f t="shared" si="14"/>
        <v>-2322.5178860755382</v>
      </c>
      <c r="D86" s="197">
        <f t="shared" si="16"/>
        <v>-96.655227443613512</v>
      </c>
      <c r="E86" s="197">
        <f t="shared" si="15"/>
        <v>-2419.1731135191517</v>
      </c>
      <c r="F86" s="197">
        <f t="shared" si="17"/>
        <v>30816.417237449245</v>
      </c>
      <c r="G86" s="197">
        <f t="shared" si="17"/>
        <v>-22577.708297309051</v>
      </c>
      <c r="H86" s="198">
        <f t="shared" si="18"/>
        <v>-149183.58276255071</v>
      </c>
      <c r="I86" s="393"/>
      <c r="J86" s="393"/>
      <c r="K86" s="393"/>
    </row>
    <row r="87" spans="1:11" ht="14.4" x14ac:dyDescent="0.3">
      <c r="A87" s="195">
        <f t="shared" si="13"/>
        <v>43524</v>
      </c>
      <c r="B87" s="196">
        <f t="shared" si="19"/>
        <v>72</v>
      </c>
      <c r="C87" s="197">
        <f t="shared" si="14"/>
        <v>-2329.2918965765912</v>
      </c>
      <c r="D87" s="197">
        <f t="shared" si="16"/>
        <v>-89.881216942560513</v>
      </c>
      <c r="E87" s="197">
        <f t="shared" si="15"/>
        <v>-2419.1731135191517</v>
      </c>
      <c r="F87" s="197">
        <f t="shared" si="17"/>
        <v>28487.125340872655</v>
      </c>
      <c r="G87" s="197">
        <f t="shared" si="17"/>
        <v>-22667.589514251613</v>
      </c>
      <c r="H87" s="198">
        <f t="shared" si="18"/>
        <v>-151512.87465912729</v>
      </c>
      <c r="I87" s="394"/>
      <c r="J87" s="394"/>
      <c r="K87" s="394"/>
    </row>
    <row r="88" spans="1:11" ht="14.4" x14ac:dyDescent="0.3">
      <c r="A88" s="195">
        <f t="shared" si="13"/>
        <v>43555</v>
      </c>
      <c r="B88" s="196">
        <f t="shared" si="19"/>
        <v>73</v>
      </c>
      <c r="C88" s="197">
        <f t="shared" si="14"/>
        <v>-2336.0856646082734</v>
      </c>
      <c r="D88" s="197">
        <f t="shared" si="16"/>
        <v>-83.087448910878265</v>
      </c>
      <c r="E88" s="197">
        <f t="shared" si="15"/>
        <v>-2419.1731135191517</v>
      </c>
      <c r="F88" s="197">
        <f t="shared" si="17"/>
        <v>26151.039676264383</v>
      </c>
      <c r="G88" s="197">
        <f t="shared" si="17"/>
        <v>-22750.676963162492</v>
      </c>
      <c r="H88" s="198">
        <f t="shared" si="18"/>
        <v>-153848.96032373558</v>
      </c>
      <c r="I88" s="392">
        <f>SUM(C88:C99)</f>
        <v>-28487.125340872662</v>
      </c>
      <c r="J88" s="392">
        <f>SUM(D88:D99)</f>
        <v>-542.95202135714908</v>
      </c>
      <c r="K88" s="392">
        <f>SUM(E88:E99)</f>
        <v>-29030.077362229818</v>
      </c>
    </row>
    <row r="89" spans="1:11" ht="14.4" x14ac:dyDescent="0.3">
      <c r="A89" s="195">
        <f t="shared" si="13"/>
        <v>43585</v>
      </c>
      <c r="B89" s="196">
        <f t="shared" si="19"/>
        <v>74</v>
      </c>
      <c r="C89" s="197">
        <f t="shared" si="14"/>
        <v>-2342.899247796714</v>
      </c>
      <c r="D89" s="197">
        <f t="shared" si="16"/>
        <v>-76.273865722437677</v>
      </c>
      <c r="E89" s="197">
        <f t="shared" si="15"/>
        <v>-2419.1731135191517</v>
      </c>
      <c r="F89" s="197">
        <f t="shared" si="17"/>
        <v>23808.140428467668</v>
      </c>
      <c r="G89" s="197">
        <f t="shared" si="17"/>
        <v>-22826.950828884928</v>
      </c>
      <c r="H89" s="198">
        <f t="shared" si="18"/>
        <v>-156191.85957153229</v>
      </c>
      <c r="I89" s="393"/>
      <c r="J89" s="393"/>
      <c r="K89" s="393"/>
    </row>
    <row r="90" spans="1:11" ht="14.4" x14ac:dyDescent="0.3">
      <c r="A90" s="195">
        <f t="shared" si="13"/>
        <v>43616</v>
      </c>
      <c r="B90" s="196">
        <f t="shared" si="19"/>
        <v>75</v>
      </c>
      <c r="C90" s="197">
        <f t="shared" si="14"/>
        <v>-2349.7327039361212</v>
      </c>
      <c r="D90" s="197">
        <f t="shared" si="16"/>
        <v>-69.440409583030487</v>
      </c>
      <c r="E90" s="197">
        <f t="shared" si="15"/>
        <v>-2419.1731135191517</v>
      </c>
      <c r="F90" s="197">
        <f t="shared" si="17"/>
        <v>21458.407724531546</v>
      </c>
      <c r="G90" s="197">
        <f t="shared" si="17"/>
        <v>-22896.391238467957</v>
      </c>
      <c r="H90" s="198">
        <f t="shared" si="18"/>
        <v>-158541.5922754684</v>
      </c>
      <c r="I90" s="393"/>
      <c r="J90" s="393"/>
      <c r="K90" s="393"/>
    </row>
    <row r="91" spans="1:11" ht="14.4" x14ac:dyDescent="0.3">
      <c r="A91" s="195">
        <f t="shared" si="13"/>
        <v>43646</v>
      </c>
      <c r="B91" s="196">
        <f t="shared" si="19"/>
        <v>76</v>
      </c>
      <c r="C91" s="197">
        <f t="shared" si="14"/>
        <v>-2356.5860909892681</v>
      </c>
      <c r="D91" s="197">
        <f t="shared" si="16"/>
        <v>-62.587022529883598</v>
      </c>
      <c r="E91" s="197">
        <f t="shared" si="15"/>
        <v>-2419.1731135191517</v>
      </c>
      <c r="F91" s="197">
        <f t="shared" si="17"/>
        <v>19101.821633542277</v>
      </c>
      <c r="G91" s="197">
        <f t="shared" si="17"/>
        <v>-22958.978260997839</v>
      </c>
      <c r="H91" s="198">
        <f t="shared" si="18"/>
        <v>-160898.17836645767</v>
      </c>
      <c r="I91" s="393"/>
      <c r="J91" s="393"/>
      <c r="K91" s="393"/>
    </row>
    <row r="92" spans="1:11" ht="14.4" x14ac:dyDescent="0.3">
      <c r="A92" s="195">
        <f t="shared" si="13"/>
        <v>43677</v>
      </c>
      <c r="B92" s="196">
        <f t="shared" si="19"/>
        <v>77</v>
      </c>
      <c r="C92" s="197">
        <f t="shared" si="14"/>
        <v>-2363.4594670879869</v>
      </c>
      <c r="D92" s="197">
        <f t="shared" si="16"/>
        <v>-55.713646431164761</v>
      </c>
      <c r="E92" s="197">
        <f t="shared" si="15"/>
        <v>-2419.1731135191517</v>
      </c>
      <c r="F92" s="197">
        <f t="shared" si="17"/>
        <v>16738.362166454288</v>
      </c>
      <c r="G92" s="197">
        <f t="shared" si="17"/>
        <v>-23014.691907429005</v>
      </c>
      <c r="H92" s="198">
        <f t="shared" si="18"/>
        <v>-163261.63783354565</v>
      </c>
      <c r="I92" s="393"/>
      <c r="J92" s="393"/>
      <c r="K92" s="393"/>
    </row>
    <row r="93" spans="1:11" ht="14.4" x14ac:dyDescent="0.3">
      <c r="A93" s="195">
        <f t="shared" si="13"/>
        <v>43708</v>
      </c>
      <c r="B93" s="196">
        <f t="shared" si="19"/>
        <v>78</v>
      </c>
      <c r="C93" s="197">
        <f t="shared" si="14"/>
        <v>-2370.3528905336598</v>
      </c>
      <c r="D93" s="197">
        <f t="shared" si="16"/>
        <v>-48.82022298549191</v>
      </c>
      <c r="E93" s="197">
        <f t="shared" si="15"/>
        <v>-2419.1731135191517</v>
      </c>
      <c r="F93" s="197">
        <f t="shared" si="17"/>
        <v>14368.009275920627</v>
      </c>
      <c r="G93" s="197">
        <f t="shared" si="17"/>
        <v>-23063.512130414496</v>
      </c>
      <c r="H93" s="198">
        <f t="shared" si="18"/>
        <v>-165631.99072407931</v>
      </c>
      <c r="I93" s="393"/>
      <c r="J93" s="393"/>
      <c r="K93" s="393"/>
    </row>
    <row r="94" spans="1:11" ht="14.4" x14ac:dyDescent="0.3">
      <c r="A94" s="195">
        <f t="shared" si="13"/>
        <v>43738</v>
      </c>
      <c r="B94" s="196">
        <f t="shared" si="19"/>
        <v>79</v>
      </c>
      <c r="C94" s="197">
        <f t="shared" si="14"/>
        <v>-2377.2664197977165</v>
      </c>
      <c r="D94" s="197">
        <f t="shared" si="16"/>
        <v>-41.906693721435204</v>
      </c>
      <c r="E94" s="197">
        <f t="shared" si="15"/>
        <v>-2419.1731135191517</v>
      </c>
      <c r="F94" s="197">
        <f t="shared" si="17"/>
        <v>11990.74285612291</v>
      </c>
      <c r="G94" s="197">
        <f t="shared" si="17"/>
        <v>-23105.41882413593</v>
      </c>
      <c r="H94" s="198">
        <f t="shared" si="18"/>
        <v>-168009.25714387704</v>
      </c>
      <c r="I94" s="393"/>
      <c r="J94" s="393"/>
      <c r="K94" s="393"/>
    </row>
    <row r="95" spans="1:11" ht="14.4" x14ac:dyDescent="0.3">
      <c r="A95" s="195">
        <f t="shared" si="13"/>
        <v>43769</v>
      </c>
      <c r="B95" s="196">
        <f t="shared" si="19"/>
        <v>80</v>
      </c>
      <c r="C95" s="197">
        <f t="shared" si="14"/>
        <v>-2384.2001135221267</v>
      </c>
      <c r="D95" s="197">
        <f t="shared" si="16"/>
        <v>-34.972999997024999</v>
      </c>
      <c r="E95" s="197">
        <f t="shared" si="15"/>
        <v>-2419.1731135191517</v>
      </c>
      <c r="F95" s="197">
        <f t="shared" si="17"/>
        <v>9606.5427426007827</v>
      </c>
      <c r="G95" s="197">
        <f t="shared" si="17"/>
        <v>-23140.391824132956</v>
      </c>
      <c r="H95" s="198">
        <f t="shared" si="18"/>
        <v>-170393.45725739916</v>
      </c>
      <c r="I95" s="393"/>
      <c r="J95" s="393"/>
      <c r="K95" s="393"/>
    </row>
    <row r="96" spans="1:11" ht="14.4" x14ac:dyDescent="0.3">
      <c r="A96" s="195">
        <f t="shared" si="13"/>
        <v>43799</v>
      </c>
      <c r="B96" s="196">
        <f t="shared" si="19"/>
        <v>81</v>
      </c>
      <c r="C96" s="197">
        <f t="shared" si="14"/>
        <v>-2391.1540305198996</v>
      </c>
      <c r="D96" s="197">
        <f t="shared" si="16"/>
        <v>-28.019082999252078</v>
      </c>
      <c r="E96" s="197">
        <f t="shared" si="15"/>
        <v>-2419.1731135191517</v>
      </c>
      <c r="F96" s="197">
        <f t="shared" si="17"/>
        <v>7215.3887120808831</v>
      </c>
      <c r="G96" s="197">
        <f t="shared" si="17"/>
        <v>-23168.410907132209</v>
      </c>
      <c r="H96" s="198">
        <f t="shared" si="18"/>
        <v>-172784.61128791905</v>
      </c>
      <c r="I96" s="393"/>
      <c r="J96" s="393"/>
      <c r="K96" s="393"/>
    </row>
    <row r="97" spans="1:11" ht="14.4" x14ac:dyDescent="0.3">
      <c r="A97" s="195">
        <f t="shared" si="13"/>
        <v>43830</v>
      </c>
      <c r="B97" s="196">
        <f t="shared" si="19"/>
        <v>82</v>
      </c>
      <c r="C97" s="197">
        <f t="shared" si="14"/>
        <v>-2398.1282297755829</v>
      </c>
      <c r="D97" s="197">
        <f t="shared" si="16"/>
        <v>-21.044883743568789</v>
      </c>
      <c r="E97" s="197">
        <f t="shared" si="15"/>
        <v>-2419.1731135191517</v>
      </c>
      <c r="F97" s="197">
        <f t="shared" si="17"/>
        <v>4817.2604823053007</v>
      </c>
      <c r="G97" s="197">
        <f t="shared" si="17"/>
        <v>-23189.455790875778</v>
      </c>
      <c r="H97" s="198">
        <f t="shared" si="18"/>
        <v>-175182.73951769463</v>
      </c>
      <c r="I97" s="393"/>
      <c r="J97" s="393"/>
      <c r="K97" s="393"/>
    </row>
    <row r="98" spans="1:11" ht="14.4" x14ac:dyDescent="0.3">
      <c r="A98" s="195">
        <f t="shared" si="13"/>
        <v>43861</v>
      </c>
      <c r="B98" s="196">
        <f t="shared" si="19"/>
        <v>83</v>
      </c>
      <c r="C98" s="197">
        <f t="shared" si="14"/>
        <v>-2405.122770445761</v>
      </c>
      <c r="D98" s="197">
        <f t="shared" si="16"/>
        <v>-14.05034307339065</v>
      </c>
      <c r="E98" s="197">
        <f t="shared" si="15"/>
        <v>-2419.1731135191517</v>
      </c>
      <c r="F98" s="197">
        <f t="shared" ref="F98:G99" si="20">+IF(C98="","",F97+C98)</f>
        <v>2412.1377118595396</v>
      </c>
      <c r="G98" s="197">
        <f t="shared" si="20"/>
        <v>-23203.506133949169</v>
      </c>
      <c r="H98" s="198">
        <f t="shared" si="18"/>
        <v>-177587.8622881404</v>
      </c>
      <c r="I98" s="393"/>
      <c r="J98" s="393"/>
      <c r="K98" s="393"/>
    </row>
    <row r="99" spans="1:11" ht="14.4" x14ac:dyDescent="0.3">
      <c r="A99" s="195">
        <f t="shared" si="13"/>
        <v>43890</v>
      </c>
      <c r="B99" s="196">
        <f t="shared" si="19"/>
        <v>84</v>
      </c>
      <c r="C99" s="197">
        <f t="shared" si="14"/>
        <v>-2412.137711859561</v>
      </c>
      <c r="D99" s="197">
        <f t="shared" si="16"/>
        <v>-7.0354016595906614</v>
      </c>
      <c r="E99" s="197">
        <f t="shared" si="15"/>
        <v>-2419.1731135191517</v>
      </c>
      <c r="F99" s="197">
        <f t="shared" si="20"/>
        <v>-2.1373125491663814E-11</v>
      </c>
      <c r="G99" s="197">
        <f t="shared" si="20"/>
        <v>-23210.541535608761</v>
      </c>
      <c r="H99" s="198">
        <f t="shared" si="18"/>
        <v>-179999.99999999997</v>
      </c>
      <c r="I99" s="394"/>
      <c r="J99" s="394"/>
      <c r="K99" s="394"/>
    </row>
  </sheetData>
  <mergeCells count="24">
    <mergeCell ref="E5:F5"/>
    <mergeCell ref="I13:K13"/>
    <mergeCell ref="C14:E14"/>
    <mergeCell ref="I16:I27"/>
    <mergeCell ref="J16:J27"/>
    <mergeCell ref="K16:K27"/>
    <mergeCell ref="I28:I39"/>
    <mergeCell ref="J28:J39"/>
    <mergeCell ref="K28:K39"/>
    <mergeCell ref="I40:I51"/>
    <mergeCell ref="J40:J51"/>
    <mergeCell ref="K40:K51"/>
    <mergeCell ref="I52:I63"/>
    <mergeCell ref="J52:J63"/>
    <mergeCell ref="K52:K63"/>
    <mergeCell ref="I64:I75"/>
    <mergeCell ref="J64:J75"/>
    <mergeCell ref="K64:K75"/>
    <mergeCell ref="I76:I87"/>
    <mergeCell ref="J76:J87"/>
    <mergeCell ref="K76:K87"/>
    <mergeCell ref="I88:I99"/>
    <mergeCell ref="J88:J99"/>
    <mergeCell ref="K88:K9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4:H6"/>
  <sheetViews>
    <sheetView workbookViewId="0">
      <pane ySplit="7" topLeftCell="A8" activePane="bottomLeft" state="frozen"/>
      <selection activeCell="D14" sqref="D14"/>
      <selection pane="bottomLeft" activeCell="D14" sqref="D14"/>
    </sheetView>
  </sheetViews>
  <sheetFormatPr baseColWidth="10" defaultColWidth="11.44140625" defaultRowHeight="13.2" x14ac:dyDescent="0.25"/>
  <cols>
    <col min="1" max="16384" width="11.44140625" style="7"/>
  </cols>
  <sheetData>
    <row r="4" spans="1:8" ht="22.8" x14ac:dyDescent="0.4">
      <c r="A4" s="400" t="s">
        <v>159</v>
      </c>
      <c r="B4" s="400"/>
      <c r="C4" s="400"/>
      <c r="D4" s="400"/>
      <c r="E4" s="400"/>
      <c r="F4" s="400"/>
      <c r="G4" s="400"/>
      <c r="H4" s="400"/>
    </row>
    <row r="5" spans="1:8" ht="22.8" x14ac:dyDescent="0.4">
      <c r="A5" s="400" t="s">
        <v>209</v>
      </c>
      <c r="B5" s="400"/>
      <c r="C5" s="400"/>
      <c r="D5" s="400"/>
      <c r="E5" s="400"/>
      <c r="F5" s="400"/>
      <c r="G5" s="400"/>
      <c r="H5" s="400"/>
    </row>
    <row r="6" spans="1:8" ht="22.8" x14ac:dyDescent="0.4">
      <c r="A6" s="400" t="s">
        <v>210</v>
      </c>
      <c r="B6" s="400"/>
      <c r="C6" s="400"/>
      <c r="D6" s="400"/>
      <c r="E6" s="400"/>
      <c r="F6" s="400"/>
      <c r="G6" s="400"/>
      <c r="H6" s="400"/>
    </row>
  </sheetData>
  <mergeCells count="3">
    <mergeCell ref="A6:H6"/>
    <mergeCell ref="A5:H5"/>
    <mergeCell ref="A4:H4"/>
  </mergeCells>
  <phoneticPr fontId="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2:F32"/>
  <sheetViews>
    <sheetView workbookViewId="0">
      <selection activeCell="E31" sqref="E31"/>
    </sheetView>
  </sheetViews>
  <sheetFormatPr baseColWidth="10" defaultColWidth="11.44140625" defaultRowHeight="13.2" x14ac:dyDescent="0.25"/>
  <cols>
    <col min="1" max="1" width="6.109375" style="1" customWidth="1"/>
    <col min="2" max="4" width="11.44140625" style="1"/>
    <col min="5" max="5" width="22.21875" style="1" customWidth="1"/>
    <col min="6" max="16384" width="11.44140625" style="1"/>
  </cols>
  <sheetData>
    <row r="2" spans="1:6" x14ac:dyDescent="0.25">
      <c r="A2" s="96"/>
    </row>
    <row r="3" spans="1:6" x14ac:dyDescent="0.25">
      <c r="A3" s="33"/>
    </row>
    <row r="4" spans="1:6" x14ac:dyDescent="0.25">
      <c r="A4" s="116"/>
    </row>
    <row r="5" spans="1:6" x14ac:dyDescent="0.25">
      <c r="A5" s="117"/>
      <c r="B5" s="87"/>
    </row>
    <row r="10" spans="1:6" ht="25.5" customHeight="1" x14ac:dyDescent="0.4">
      <c r="B10" s="384" t="s">
        <v>620</v>
      </c>
      <c r="C10" s="385"/>
      <c r="D10" s="385"/>
      <c r="E10" s="386"/>
    </row>
    <row r="12" spans="1:6" x14ac:dyDescent="0.25">
      <c r="B12" s="152" t="s">
        <v>245</v>
      </c>
    </row>
    <row r="14" spans="1:6" x14ac:dyDescent="0.25">
      <c r="E14" s="387"/>
      <c r="F14" s="387"/>
    </row>
    <row r="15" spans="1:6" x14ac:dyDescent="0.25">
      <c r="E15" s="387"/>
      <c r="F15" s="387"/>
    </row>
    <row r="16" spans="1:6" x14ac:dyDescent="0.25">
      <c r="E16" s="326"/>
    </row>
    <row r="17" spans="1:5" ht="15" x14ac:dyDescent="0.25">
      <c r="B17" s="401" t="s">
        <v>621</v>
      </c>
      <c r="C17" s="401"/>
      <c r="D17" s="401"/>
      <c r="E17" s="401"/>
    </row>
    <row r="18" spans="1:5" x14ac:dyDescent="0.25">
      <c r="A18" s="115" t="s">
        <v>150</v>
      </c>
      <c r="B18" s="1" t="s">
        <v>144</v>
      </c>
    </row>
    <row r="19" spans="1:5" x14ac:dyDescent="0.25">
      <c r="A19" s="115" t="s">
        <v>150</v>
      </c>
      <c r="B19" s="1" t="s">
        <v>155</v>
      </c>
    </row>
    <row r="20" spans="1:5" x14ac:dyDescent="0.25">
      <c r="A20" s="115" t="s">
        <v>150</v>
      </c>
      <c r="B20" s="1" t="s">
        <v>145</v>
      </c>
    </row>
    <row r="21" spans="1:5" x14ac:dyDescent="0.25">
      <c r="A21" s="115" t="s">
        <v>150</v>
      </c>
      <c r="B21" s="1" t="s">
        <v>146</v>
      </c>
    </row>
    <row r="22" spans="1:5" x14ac:dyDescent="0.25">
      <c r="A22" s="115" t="s">
        <v>150</v>
      </c>
      <c r="B22" s="1" t="s">
        <v>2</v>
      </c>
    </row>
    <row r="23" spans="1:5" x14ac:dyDescent="0.25">
      <c r="A23" s="115" t="s">
        <v>150</v>
      </c>
      <c r="B23" s="1" t="s">
        <v>147</v>
      </c>
    </row>
    <row r="24" spans="1:5" x14ac:dyDescent="0.25">
      <c r="A24" s="115" t="s">
        <v>150</v>
      </c>
      <c r="B24" s="1" t="s">
        <v>148</v>
      </c>
    </row>
    <row r="25" spans="1:5" x14ac:dyDescent="0.25">
      <c r="A25" s="115" t="s">
        <v>150</v>
      </c>
      <c r="B25" s="326" t="s">
        <v>509</v>
      </c>
    </row>
    <row r="26" spans="1:5" x14ac:dyDescent="0.25">
      <c r="A26" s="115" t="s">
        <v>150</v>
      </c>
      <c r="B26" s="1" t="s">
        <v>149</v>
      </c>
    </row>
    <row r="27" spans="1:5" hidden="1" x14ac:dyDescent="0.25">
      <c r="A27" s="115" t="s">
        <v>150</v>
      </c>
      <c r="B27" s="1" t="s">
        <v>149</v>
      </c>
    </row>
    <row r="28" spans="1:5" hidden="1" x14ac:dyDescent="0.25">
      <c r="A28" s="115" t="s">
        <v>150</v>
      </c>
      <c r="B28" s="1" t="s">
        <v>149</v>
      </c>
    </row>
    <row r="29" spans="1:5" hidden="1" x14ac:dyDescent="0.25">
      <c r="A29" s="115" t="s">
        <v>150</v>
      </c>
      <c r="B29" s="1" t="s">
        <v>149</v>
      </c>
    </row>
    <row r="30" spans="1:5" x14ac:dyDescent="0.25">
      <c r="A30" s="115" t="s">
        <v>150</v>
      </c>
      <c r="B30" s="326" t="s">
        <v>510</v>
      </c>
    </row>
    <row r="31" spans="1:5" x14ac:dyDescent="0.25">
      <c r="A31" s="115" t="s">
        <v>150</v>
      </c>
      <c r="B31" s="171" t="s">
        <v>70</v>
      </c>
    </row>
    <row r="32" spans="1:5" x14ac:dyDescent="0.25">
      <c r="A32" s="115" t="s">
        <v>150</v>
      </c>
      <c r="B32" s="326" t="s">
        <v>1</v>
      </c>
    </row>
  </sheetData>
  <mergeCells count="3">
    <mergeCell ref="B10:E10"/>
    <mergeCell ref="E14:F15"/>
    <mergeCell ref="B17:E17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</sheetPr>
  <dimension ref="A1:Q147"/>
  <sheetViews>
    <sheetView tabSelected="1" view="pageBreakPreview" zoomScaleNormal="100" zoomScaleSheetLayoutView="100" workbookViewId="0">
      <pane xSplit="3" ySplit="9" topLeftCell="D139" activePane="bottomRight" state="frozen"/>
      <selection activeCell="E22" sqref="E22"/>
      <selection pane="topRight" activeCell="E22" sqref="E22"/>
      <selection pane="bottomLeft" activeCell="E22" sqref="E22"/>
      <selection pane="bottomRight" activeCell="E63" sqref="E63"/>
    </sheetView>
  </sheetViews>
  <sheetFormatPr baseColWidth="10" defaultRowHeight="13.2" x14ac:dyDescent="0.25"/>
  <cols>
    <col min="1" max="1" width="3.33203125" style="261" bestFit="1" customWidth="1"/>
    <col min="2" max="2" width="6.88671875" bestFit="1" customWidth="1"/>
    <col min="3" max="3" width="25.88671875" style="136" bestFit="1" customWidth="1"/>
    <col min="4" max="4" width="9.88671875" style="136" customWidth="1"/>
    <col min="5" max="5" width="6.44140625" style="136" bestFit="1" customWidth="1"/>
    <col min="6" max="6" width="9" style="136" bestFit="1" customWidth="1"/>
    <col min="7" max="7" width="9.6640625" style="136" customWidth="1"/>
    <col min="8" max="8" width="9" style="136" bestFit="1" customWidth="1"/>
    <col min="9" max="9" width="11.109375" style="136" customWidth="1"/>
    <col min="10" max="11" width="9" style="136" bestFit="1" customWidth="1"/>
    <col min="12" max="12" width="9" style="226" bestFit="1" customWidth="1"/>
  </cols>
  <sheetData>
    <row r="1" spans="1:17" ht="14.4" thickTop="1" thickBot="1" x14ac:dyDescent="0.3">
      <c r="B1" s="426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8"/>
    </row>
    <row r="2" spans="1:17" ht="30" customHeight="1" thickTop="1" x14ac:dyDescent="0.25">
      <c r="B2" s="417" t="s">
        <v>600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9"/>
    </row>
    <row r="3" spans="1:17" ht="30" customHeight="1" x14ac:dyDescent="0.25">
      <c r="B3" s="420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2"/>
    </row>
    <row r="4" spans="1:17" ht="30" customHeight="1" thickBot="1" x14ac:dyDescent="0.3">
      <c r="B4" s="423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5"/>
    </row>
    <row r="5" spans="1:17" ht="14.4" customHeight="1" thickTop="1" x14ac:dyDescent="0.25"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</row>
    <row r="6" spans="1:17" ht="15.6" x14ac:dyDescent="0.3">
      <c r="C6" s="201" t="s">
        <v>282</v>
      </c>
      <c r="D6" s="201"/>
      <c r="E6" s="201"/>
      <c r="F6" s="250" t="s">
        <v>412</v>
      </c>
      <c r="G6" s="275"/>
      <c r="H6" s="276"/>
    </row>
    <row r="7" spans="1:17" ht="16.5" customHeight="1" x14ac:dyDescent="0.25">
      <c r="F7" s="251" t="s">
        <v>578</v>
      </c>
      <c r="G7" s="275"/>
      <c r="H7" s="276"/>
    </row>
    <row r="8" spans="1:17" ht="13.8" thickBot="1" x14ac:dyDescent="0.3"/>
    <row r="9" spans="1:17" ht="13.8" thickBot="1" x14ac:dyDescent="0.3">
      <c r="B9" s="260" t="s">
        <v>212</v>
      </c>
      <c r="C9" s="202"/>
      <c r="D9" s="259" t="s">
        <v>429</v>
      </c>
      <c r="E9" s="259" t="s">
        <v>195</v>
      </c>
      <c r="F9" s="240" t="s">
        <v>283</v>
      </c>
      <c r="G9" s="240" t="s">
        <v>284</v>
      </c>
      <c r="H9" s="240" t="s">
        <v>285</v>
      </c>
      <c r="I9" s="240" t="s">
        <v>286</v>
      </c>
      <c r="J9" s="240" t="s">
        <v>287</v>
      </c>
      <c r="K9" s="240" t="s">
        <v>288</v>
      </c>
      <c r="L9" s="367" t="s">
        <v>289</v>
      </c>
      <c r="M9" s="452" t="s">
        <v>574</v>
      </c>
      <c r="N9" s="453"/>
      <c r="O9" s="453"/>
      <c r="P9" s="453"/>
      <c r="Q9" s="454"/>
    </row>
    <row r="10" spans="1:17" ht="13.8" thickBot="1" x14ac:dyDescent="0.3">
      <c r="A10" s="412" t="s">
        <v>312</v>
      </c>
      <c r="B10" s="252" t="s">
        <v>312</v>
      </c>
      <c r="C10" s="202" t="s">
        <v>5</v>
      </c>
      <c r="D10" s="202"/>
      <c r="E10" s="202"/>
      <c r="F10" s="362"/>
      <c r="G10" s="205">
        <f>+F10*(1+G12)</f>
        <v>0</v>
      </c>
      <c r="H10" s="205">
        <f t="shared" ref="H10:L10" si="0">+G10*(1+H12)</f>
        <v>0</v>
      </c>
      <c r="I10" s="205">
        <f t="shared" si="0"/>
        <v>0</v>
      </c>
      <c r="J10" s="205">
        <f t="shared" si="0"/>
        <v>0</v>
      </c>
      <c r="K10" s="205">
        <f t="shared" si="0"/>
        <v>0</v>
      </c>
      <c r="L10" s="368">
        <f t="shared" si="0"/>
        <v>0</v>
      </c>
      <c r="M10" s="440" t="s">
        <v>575</v>
      </c>
      <c r="N10" s="441"/>
      <c r="O10" s="441"/>
      <c r="P10" s="441"/>
      <c r="Q10" s="442"/>
    </row>
    <row r="11" spans="1:17" ht="13.2" customHeight="1" thickBot="1" x14ac:dyDescent="0.3">
      <c r="A11" s="412"/>
      <c r="B11" s="252" t="s">
        <v>312</v>
      </c>
      <c r="C11" s="202" t="s">
        <v>259</v>
      </c>
      <c r="D11" s="202"/>
      <c r="E11" s="202"/>
      <c r="F11" s="204">
        <v>12</v>
      </c>
      <c r="G11" s="204">
        <v>12</v>
      </c>
      <c r="H11" s="204">
        <v>12</v>
      </c>
      <c r="I11" s="204">
        <v>12</v>
      </c>
      <c r="J11" s="204">
        <v>12</v>
      </c>
      <c r="K11" s="204">
        <v>12</v>
      </c>
      <c r="L11" s="369">
        <v>12</v>
      </c>
      <c r="M11" s="443"/>
      <c r="N11" s="447"/>
      <c r="O11" s="447"/>
      <c r="P11" s="447"/>
      <c r="Q11" s="448"/>
    </row>
    <row r="12" spans="1:17" ht="13.8" thickBot="1" x14ac:dyDescent="0.3">
      <c r="A12" s="412"/>
      <c r="B12" s="252" t="s">
        <v>312</v>
      </c>
      <c r="C12" s="202" t="s">
        <v>302</v>
      </c>
      <c r="D12" s="202"/>
      <c r="E12" s="202"/>
      <c r="F12" s="202"/>
      <c r="G12" s="206">
        <v>0.02</v>
      </c>
      <c r="H12" s="206">
        <f>+G12</f>
        <v>0.02</v>
      </c>
      <c r="I12" s="206">
        <f t="shared" ref="I12:L12" si="1">+H12</f>
        <v>0.02</v>
      </c>
      <c r="J12" s="206">
        <f t="shared" si="1"/>
        <v>0.02</v>
      </c>
      <c r="K12" s="206">
        <f t="shared" si="1"/>
        <v>0.02</v>
      </c>
      <c r="L12" s="370">
        <f t="shared" si="1"/>
        <v>0.02</v>
      </c>
      <c r="M12" s="449" t="s">
        <v>577</v>
      </c>
      <c r="N12" s="450"/>
      <c r="O12" s="450"/>
      <c r="P12" s="450"/>
      <c r="Q12" s="451"/>
    </row>
    <row r="13" spans="1:17" ht="13.8" thickBot="1" x14ac:dyDescent="0.3">
      <c r="A13" s="412"/>
      <c r="B13" s="252" t="s">
        <v>312</v>
      </c>
      <c r="C13" s="265" t="s">
        <v>290</v>
      </c>
      <c r="D13" s="265"/>
      <c r="E13" s="265"/>
      <c r="F13" s="266">
        <v>1.2</v>
      </c>
      <c r="G13" s="266">
        <v>1.2</v>
      </c>
      <c r="H13" s="266">
        <v>1.2</v>
      </c>
      <c r="I13" s="266">
        <v>1.2</v>
      </c>
      <c r="J13" s="266">
        <v>1.2</v>
      </c>
      <c r="K13" s="266">
        <v>1.2</v>
      </c>
      <c r="L13" s="371">
        <v>1.2</v>
      </c>
      <c r="M13" s="443" t="s">
        <v>576</v>
      </c>
      <c r="N13" s="444"/>
      <c r="O13" s="444"/>
      <c r="P13" s="444"/>
      <c r="Q13" s="445"/>
    </row>
    <row r="14" spans="1:17" ht="13.8" thickBot="1" x14ac:dyDescent="0.3">
      <c r="A14" s="412"/>
      <c r="B14" s="252" t="s">
        <v>312</v>
      </c>
      <c r="C14" s="265" t="s">
        <v>291</v>
      </c>
      <c r="D14" s="265"/>
      <c r="E14" s="265"/>
      <c r="F14" s="266">
        <v>0.9</v>
      </c>
      <c r="G14" s="266">
        <v>0.9</v>
      </c>
      <c r="H14" s="266">
        <v>0.9</v>
      </c>
      <c r="I14" s="266">
        <v>0.9</v>
      </c>
      <c r="J14" s="266">
        <v>0.9</v>
      </c>
      <c r="K14" s="266">
        <v>0.9</v>
      </c>
      <c r="L14" s="371">
        <v>0.9</v>
      </c>
      <c r="M14" s="446"/>
      <c r="N14" s="444"/>
      <c r="O14" s="444"/>
      <c r="P14" s="444"/>
      <c r="Q14" s="445"/>
    </row>
    <row r="15" spans="1:17" ht="13.8" thickBot="1" x14ac:dyDescent="0.3">
      <c r="A15" s="412"/>
      <c r="B15" s="252" t="s">
        <v>312</v>
      </c>
      <c r="C15" s="265" t="s">
        <v>292</v>
      </c>
      <c r="D15" s="265"/>
      <c r="E15" s="265"/>
      <c r="F15" s="266">
        <v>1</v>
      </c>
      <c r="G15" s="266">
        <v>1</v>
      </c>
      <c r="H15" s="266">
        <v>1</v>
      </c>
      <c r="I15" s="266">
        <v>1</v>
      </c>
      <c r="J15" s="266">
        <v>1</v>
      </c>
      <c r="K15" s="266">
        <v>1</v>
      </c>
      <c r="L15" s="371">
        <v>1</v>
      </c>
      <c r="M15" s="446"/>
      <c r="N15" s="444"/>
      <c r="O15" s="444"/>
      <c r="P15" s="444"/>
      <c r="Q15" s="445"/>
    </row>
    <row r="16" spans="1:17" ht="13.8" thickBot="1" x14ac:dyDescent="0.3">
      <c r="A16" s="412"/>
      <c r="B16" s="252" t="s">
        <v>312</v>
      </c>
      <c r="C16" s="265" t="s">
        <v>293</v>
      </c>
      <c r="D16" s="265"/>
      <c r="E16" s="265"/>
      <c r="F16" s="266">
        <v>1</v>
      </c>
      <c r="G16" s="266">
        <v>1</v>
      </c>
      <c r="H16" s="266">
        <v>1</v>
      </c>
      <c r="I16" s="266">
        <v>1</v>
      </c>
      <c r="J16" s="266">
        <v>1</v>
      </c>
      <c r="K16" s="266">
        <v>1</v>
      </c>
      <c r="L16" s="371">
        <v>1</v>
      </c>
      <c r="M16" s="446"/>
      <c r="N16" s="444"/>
      <c r="O16" s="444"/>
      <c r="P16" s="444"/>
      <c r="Q16" s="445"/>
    </row>
    <row r="17" spans="1:17" ht="13.8" thickBot="1" x14ac:dyDescent="0.3">
      <c r="A17" s="412"/>
      <c r="B17" s="252" t="s">
        <v>312</v>
      </c>
      <c r="C17" s="265" t="s">
        <v>294</v>
      </c>
      <c r="D17" s="265"/>
      <c r="E17" s="265"/>
      <c r="F17" s="266">
        <v>1</v>
      </c>
      <c r="G17" s="266">
        <v>1</v>
      </c>
      <c r="H17" s="266">
        <v>1</v>
      </c>
      <c r="I17" s="266">
        <v>1</v>
      </c>
      <c r="J17" s="266">
        <v>1</v>
      </c>
      <c r="K17" s="266">
        <v>1</v>
      </c>
      <c r="L17" s="371">
        <v>1</v>
      </c>
      <c r="M17" s="446"/>
      <c r="N17" s="444"/>
      <c r="O17" s="444"/>
      <c r="P17" s="444"/>
      <c r="Q17" s="445"/>
    </row>
    <row r="18" spans="1:17" ht="13.8" thickBot="1" x14ac:dyDescent="0.3">
      <c r="A18" s="412"/>
      <c r="B18" s="252" t="s">
        <v>312</v>
      </c>
      <c r="C18" s="265" t="s">
        <v>295</v>
      </c>
      <c r="D18" s="265"/>
      <c r="E18" s="265"/>
      <c r="F18" s="266">
        <v>1</v>
      </c>
      <c r="G18" s="266">
        <v>1</v>
      </c>
      <c r="H18" s="266">
        <v>1</v>
      </c>
      <c r="I18" s="266">
        <v>1</v>
      </c>
      <c r="J18" s="266">
        <v>1</v>
      </c>
      <c r="K18" s="266">
        <v>1</v>
      </c>
      <c r="L18" s="371">
        <v>1</v>
      </c>
      <c r="M18" s="446"/>
      <c r="N18" s="444"/>
      <c r="O18" s="444"/>
      <c r="P18" s="444"/>
      <c r="Q18" s="445"/>
    </row>
    <row r="19" spans="1:17" ht="13.8" thickBot="1" x14ac:dyDescent="0.3">
      <c r="A19" s="412"/>
      <c r="B19" s="252" t="s">
        <v>312</v>
      </c>
      <c r="C19" s="265" t="s">
        <v>296</v>
      </c>
      <c r="D19" s="265"/>
      <c r="E19" s="265"/>
      <c r="F19" s="266">
        <v>1.2</v>
      </c>
      <c r="G19" s="266">
        <v>1.2</v>
      </c>
      <c r="H19" s="266">
        <v>1.2</v>
      </c>
      <c r="I19" s="266">
        <v>1.2</v>
      </c>
      <c r="J19" s="266">
        <v>1.2</v>
      </c>
      <c r="K19" s="266">
        <v>1.2</v>
      </c>
      <c r="L19" s="371">
        <v>1.2</v>
      </c>
      <c r="M19" s="446"/>
      <c r="N19" s="444"/>
      <c r="O19" s="444"/>
      <c r="P19" s="444"/>
      <c r="Q19" s="445"/>
    </row>
    <row r="20" spans="1:17" ht="13.8" thickBot="1" x14ac:dyDescent="0.3">
      <c r="A20" s="412"/>
      <c r="B20" s="252" t="s">
        <v>312</v>
      </c>
      <c r="C20" s="265" t="s">
        <v>297</v>
      </c>
      <c r="D20" s="265"/>
      <c r="E20" s="265"/>
      <c r="F20" s="266">
        <v>1</v>
      </c>
      <c r="G20" s="266">
        <v>1</v>
      </c>
      <c r="H20" s="266">
        <v>1</v>
      </c>
      <c r="I20" s="266">
        <v>1</v>
      </c>
      <c r="J20" s="266">
        <v>1</v>
      </c>
      <c r="K20" s="266">
        <v>1</v>
      </c>
      <c r="L20" s="371">
        <v>1</v>
      </c>
      <c r="M20" s="446"/>
      <c r="N20" s="444"/>
      <c r="O20" s="444"/>
      <c r="P20" s="444"/>
      <c r="Q20" s="445"/>
    </row>
    <row r="21" spans="1:17" ht="13.8" thickBot="1" x14ac:dyDescent="0.3">
      <c r="A21" s="412"/>
      <c r="B21" s="252" t="s">
        <v>312</v>
      </c>
      <c r="C21" s="265" t="s">
        <v>298</v>
      </c>
      <c r="D21" s="265"/>
      <c r="E21" s="265"/>
      <c r="F21" s="266">
        <v>1</v>
      </c>
      <c r="G21" s="266">
        <v>1</v>
      </c>
      <c r="H21" s="266">
        <v>1</v>
      </c>
      <c r="I21" s="266">
        <v>1</v>
      </c>
      <c r="J21" s="266">
        <v>1</v>
      </c>
      <c r="K21" s="266">
        <v>1</v>
      </c>
      <c r="L21" s="371">
        <v>1</v>
      </c>
      <c r="M21" s="446"/>
      <c r="N21" s="444"/>
      <c r="O21" s="444"/>
      <c r="P21" s="444"/>
      <c r="Q21" s="445"/>
    </row>
    <row r="22" spans="1:17" ht="13.8" thickBot="1" x14ac:dyDescent="0.3">
      <c r="A22" s="412"/>
      <c r="B22" s="252" t="s">
        <v>312</v>
      </c>
      <c r="C22" s="265" t="s">
        <v>299</v>
      </c>
      <c r="D22" s="265"/>
      <c r="E22" s="265"/>
      <c r="F22" s="266">
        <v>1</v>
      </c>
      <c r="G22" s="266">
        <v>1</v>
      </c>
      <c r="H22" s="266">
        <v>1</v>
      </c>
      <c r="I22" s="266">
        <v>1</v>
      </c>
      <c r="J22" s="266">
        <v>1</v>
      </c>
      <c r="K22" s="266">
        <v>1</v>
      </c>
      <c r="L22" s="371">
        <v>1</v>
      </c>
      <c r="M22" s="446"/>
      <c r="N22" s="444"/>
      <c r="O22" s="444"/>
      <c r="P22" s="444"/>
      <c r="Q22" s="445"/>
    </row>
    <row r="23" spans="1:17" ht="13.8" thickBot="1" x14ac:dyDescent="0.3">
      <c r="A23" s="412"/>
      <c r="B23" s="252" t="s">
        <v>312</v>
      </c>
      <c r="C23" s="265" t="s">
        <v>300</v>
      </c>
      <c r="D23" s="265"/>
      <c r="E23" s="265"/>
      <c r="F23" s="266">
        <v>1</v>
      </c>
      <c r="G23" s="266">
        <v>1</v>
      </c>
      <c r="H23" s="266">
        <v>1</v>
      </c>
      <c r="I23" s="266">
        <v>1</v>
      </c>
      <c r="J23" s="266">
        <v>1</v>
      </c>
      <c r="K23" s="266">
        <v>1</v>
      </c>
      <c r="L23" s="371">
        <v>1</v>
      </c>
      <c r="M23" s="446"/>
      <c r="N23" s="444"/>
      <c r="O23" s="444"/>
      <c r="P23" s="444"/>
      <c r="Q23" s="445"/>
    </row>
    <row r="24" spans="1:17" ht="13.8" thickBot="1" x14ac:dyDescent="0.3">
      <c r="A24" s="412"/>
      <c r="B24" s="252" t="s">
        <v>312</v>
      </c>
      <c r="C24" s="265" t="s">
        <v>301</v>
      </c>
      <c r="D24" s="265"/>
      <c r="E24" s="265"/>
      <c r="F24" s="266">
        <v>1.7</v>
      </c>
      <c r="G24" s="266">
        <v>1.7</v>
      </c>
      <c r="H24" s="266">
        <v>1.7</v>
      </c>
      <c r="I24" s="266">
        <v>1.7</v>
      </c>
      <c r="J24" s="266">
        <v>1.7</v>
      </c>
      <c r="K24" s="266">
        <v>1.7</v>
      </c>
      <c r="L24" s="371">
        <v>1.7</v>
      </c>
      <c r="M24" s="446"/>
      <c r="N24" s="444"/>
      <c r="O24" s="444"/>
      <c r="P24" s="444"/>
      <c r="Q24" s="445"/>
    </row>
    <row r="25" spans="1:17" x14ac:dyDescent="0.25">
      <c r="A25" s="262"/>
      <c r="B25" s="253"/>
      <c r="C25" s="220"/>
      <c r="D25" s="220"/>
      <c r="E25" s="220"/>
      <c r="F25" s="332">
        <f>SUM(F13:F24)</f>
        <v>13</v>
      </c>
      <c r="G25" s="332">
        <f t="shared" ref="G25:L25" si="2">SUM(G13:G24)</f>
        <v>13</v>
      </c>
      <c r="H25" s="332">
        <f t="shared" si="2"/>
        <v>13</v>
      </c>
      <c r="I25" s="332">
        <f t="shared" si="2"/>
        <v>13</v>
      </c>
      <c r="J25" s="332">
        <f t="shared" si="2"/>
        <v>13</v>
      </c>
      <c r="K25" s="332">
        <f t="shared" si="2"/>
        <v>13</v>
      </c>
      <c r="L25" s="373">
        <f t="shared" si="2"/>
        <v>13</v>
      </c>
      <c r="M25" s="455"/>
      <c r="N25" s="456"/>
      <c r="O25" s="456"/>
      <c r="P25" s="456"/>
      <c r="Q25" s="457"/>
    </row>
    <row r="26" spans="1:17" x14ac:dyDescent="0.25">
      <c r="A26" s="416" t="s">
        <v>404</v>
      </c>
      <c r="B26" s="254" t="s">
        <v>417</v>
      </c>
      <c r="C26" s="259" t="s">
        <v>400</v>
      </c>
      <c r="D26" s="241"/>
      <c r="E26" s="202"/>
      <c r="F26" s="207">
        <v>0.25</v>
      </c>
      <c r="G26" s="242">
        <f>+F26</f>
        <v>0.25</v>
      </c>
      <c r="H26" s="242">
        <f t="shared" ref="H26:L26" si="3">+G26</f>
        <v>0.25</v>
      </c>
      <c r="I26" s="242">
        <f t="shared" si="3"/>
        <v>0.25</v>
      </c>
      <c r="J26" s="242">
        <f t="shared" si="3"/>
        <v>0.25</v>
      </c>
      <c r="K26" s="242">
        <f t="shared" si="3"/>
        <v>0.25</v>
      </c>
      <c r="L26" s="374">
        <f t="shared" si="3"/>
        <v>0.25</v>
      </c>
      <c r="M26" s="458" t="s">
        <v>580</v>
      </c>
      <c r="N26" s="421"/>
      <c r="O26" s="421"/>
      <c r="P26" s="421"/>
      <c r="Q26" s="459"/>
    </row>
    <row r="27" spans="1:17" x14ac:dyDescent="0.25">
      <c r="A27" s="416"/>
      <c r="B27" s="254" t="s">
        <v>417</v>
      </c>
      <c r="C27" s="259" t="s">
        <v>401</v>
      </c>
      <c r="D27" s="241"/>
      <c r="E27" s="202"/>
      <c r="F27" s="207">
        <v>0.74</v>
      </c>
      <c r="G27" s="242">
        <f t="shared" ref="G27:L28" si="4">+F27</f>
        <v>0.74</v>
      </c>
      <c r="H27" s="242">
        <f t="shared" si="4"/>
        <v>0.74</v>
      </c>
      <c r="I27" s="242">
        <f t="shared" si="4"/>
        <v>0.74</v>
      </c>
      <c r="J27" s="242">
        <f t="shared" si="4"/>
        <v>0.74</v>
      </c>
      <c r="K27" s="242">
        <f t="shared" si="4"/>
        <v>0.74</v>
      </c>
      <c r="L27" s="374">
        <f t="shared" si="4"/>
        <v>0.74</v>
      </c>
      <c r="M27" s="460"/>
      <c r="N27" s="421"/>
      <c r="O27" s="421"/>
      <c r="P27" s="421"/>
      <c r="Q27" s="459"/>
    </row>
    <row r="28" spans="1:17" x14ac:dyDescent="0.25">
      <c r="A28" s="416"/>
      <c r="B28" s="254" t="s">
        <v>417</v>
      </c>
      <c r="C28" s="259" t="s">
        <v>402</v>
      </c>
      <c r="D28" s="241"/>
      <c r="E28" s="202"/>
      <c r="F28" s="207">
        <v>0.01</v>
      </c>
      <c r="G28" s="242">
        <f t="shared" si="4"/>
        <v>0.01</v>
      </c>
      <c r="H28" s="242">
        <f t="shared" si="4"/>
        <v>0.01</v>
      </c>
      <c r="I28" s="242">
        <f t="shared" si="4"/>
        <v>0.01</v>
      </c>
      <c r="J28" s="242">
        <f t="shared" si="4"/>
        <v>0.01</v>
      </c>
      <c r="K28" s="242">
        <f t="shared" si="4"/>
        <v>0.01</v>
      </c>
      <c r="L28" s="374">
        <f t="shared" si="4"/>
        <v>0.01</v>
      </c>
      <c r="M28" s="460"/>
      <c r="N28" s="421"/>
      <c r="O28" s="421"/>
      <c r="P28" s="421"/>
      <c r="Q28" s="459"/>
    </row>
    <row r="29" spans="1:17" ht="13.8" thickBot="1" x14ac:dyDescent="0.3">
      <c r="A29" s="262"/>
      <c r="B29" s="253"/>
      <c r="C29" s="220"/>
      <c r="D29" s="220"/>
      <c r="E29" s="220"/>
      <c r="F29" s="248">
        <f>+F26+F27+F28</f>
        <v>1</v>
      </c>
      <c r="G29" s="248"/>
      <c r="H29" s="248"/>
      <c r="I29" s="248"/>
      <c r="J29" s="248"/>
      <c r="K29" s="248"/>
      <c r="L29" s="375"/>
      <c r="M29" s="461"/>
      <c r="N29" s="462"/>
      <c r="O29" s="462"/>
      <c r="P29" s="462"/>
      <c r="Q29" s="463"/>
    </row>
    <row r="30" spans="1:17" x14ac:dyDescent="0.25">
      <c r="A30" s="412" t="s">
        <v>139</v>
      </c>
      <c r="B30" s="252" t="s">
        <v>418</v>
      </c>
      <c r="C30" s="202" t="s">
        <v>303</v>
      </c>
      <c r="D30" s="202"/>
      <c r="E30" s="202"/>
      <c r="F30" s="364"/>
      <c r="G30" s="208">
        <f>+F30</f>
        <v>0</v>
      </c>
      <c r="H30" s="208">
        <f t="shared" ref="H30:L30" si="5">+G30</f>
        <v>0</v>
      </c>
      <c r="I30" s="208">
        <f t="shared" si="5"/>
        <v>0</v>
      </c>
      <c r="J30" s="208">
        <f t="shared" si="5"/>
        <v>0</v>
      </c>
      <c r="K30" s="208">
        <f t="shared" si="5"/>
        <v>0</v>
      </c>
      <c r="L30" s="376">
        <f t="shared" si="5"/>
        <v>0</v>
      </c>
      <c r="M30" s="429" t="s">
        <v>581</v>
      </c>
      <c r="N30" s="430"/>
      <c r="O30" s="430"/>
      <c r="P30" s="430"/>
      <c r="Q30" s="431"/>
    </row>
    <row r="31" spans="1:17" x14ac:dyDescent="0.25">
      <c r="A31" s="412"/>
      <c r="B31" s="252" t="s">
        <v>418</v>
      </c>
      <c r="C31" s="202" t="s">
        <v>304</v>
      </c>
      <c r="D31" s="202"/>
      <c r="E31" s="202"/>
      <c r="F31" s="209">
        <v>0.02</v>
      </c>
      <c r="G31" s="210">
        <f>+F31</f>
        <v>0.02</v>
      </c>
      <c r="H31" s="210">
        <f t="shared" ref="H31:L31" si="6">+G31</f>
        <v>0.02</v>
      </c>
      <c r="I31" s="210">
        <f t="shared" si="6"/>
        <v>0.02</v>
      </c>
      <c r="J31" s="210">
        <f t="shared" si="6"/>
        <v>0.02</v>
      </c>
      <c r="K31" s="210">
        <f t="shared" si="6"/>
        <v>0.02</v>
      </c>
      <c r="L31" s="377">
        <f t="shared" si="6"/>
        <v>0.02</v>
      </c>
      <c r="M31" s="432"/>
      <c r="N31" s="421"/>
      <c r="O31" s="421"/>
      <c r="P31" s="421"/>
      <c r="Q31" s="433"/>
    </row>
    <row r="32" spans="1:17" x14ac:dyDescent="0.25">
      <c r="A32" s="412"/>
      <c r="B32" s="252" t="s">
        <v>418</v>
      </c>
      <c r="C32" s="202" t="s">
        <v>306</v>
      </c>
      <c r="D32" s="202"/>
      <c r="E32" s="202"/>
      <c r="F32" s="206">
        <v>0</v>
      </c>
      <c r="G32" s="206">
        <v>0</v>
      </c>
      <c r="H32" s="206">
        <v>0</v>
      </c>
      <c r="I32" s="206">
        <v>0</v>
      </c>
      <c r="J32" s="206">
        <v>0</v>
      </c>
      <c r="K32" s="206">
        <v>0</v>
      </c>
      <c r="L32" s="370">
        <v>0</v>
      </c>
      <c r="M32" s="432"/>
      <c r="N32" s="421"/>
      <c r="O32" s="421"/>
      <c r="P32" s="421"/>
      <c r="Q32" s="433"/>
    </row>
    <row r="33" spans="1:17" x14ac:dyDescent="0.25">
      <c r="A33" s="412"/>
      <c r="B33" s="252" t="s">
        <v>418</v>
      </c>
      <c r="C33" s="202" t="s">
        <v>307</v>
      </c>
      <c r="D33" s="202"/>
      <c r="E33" s="202"/>
      <c r="F33" s="211">
        <f>+F31+F32</f>
        <v>0.02</v>
      </c>
      <c r="G33" s="211">
        <f t="shared" ref="G33:L33" si="7">+G31+G32</f>
        <v>0.02</v>
      </c>
      <c r="H33" s="211">
        <f t="shared" si="7"/>
        <v>0.02</v>
      </c>
      <c r="I33" s="211">
        <f t="shared" si="7"/>
        <v>0.02</v>
      </c>
      <c r="J33" s="211">
        <f t="shared" si="7"/>
        <v>0.02</v>
      </c>
      <c r="K33" s="211">
        <f t="shared" si="7"/>
        <v>0.02</v>
      </c>
      <c r="L33" s="378">
        <f t="shared" si="7"/>
        <v>0.02</v>
      </c>
      <c r="M33" s="432"/>
      <c r="N33" s="421"/>
      <c r="O33" s="421"/>
      <c r="P33" s="421"/>
      <c r="Q33" s="433"/>
    </row>
    <row r="34" spans="1:17" x14ac:dyDescent="0.25">
      <c r="A34" s="412"/>
      <c r="B34" s="252" t="s">
        <v>418</v>
      </c>
      <c r="C34" s="202"/>
      <c r="D34" s="202"/>
      <c r="E34" s="202"/>
      <c r="F34" s="202"/>
      <c r="G34" s="202"/>
      <c r="H34" s="202"/>
      <c r="I34" s="202"/>
      <c r="J34" s="202"/>
      <c r="K34" s="202"/>
      <c r="L34" s="379"/>
      <c r="M34" s="432"/>
      <c r="N34" s="421"/>
      <c r="O34" s="421"/>
      <c r="P34" s="421"/>
      <c r="Q34" s="433"/>
    </row>
    <row r="35" spans="1:17" x14ac:dyDescent="0.25">
      <c r="A35" s="412"/>
      <c r="B35" s="252" t="s">
        <v>418</v>
      </c>
      <c r="C35" s="202" t="s">
        <v>4</v>
      </c>
      <c r="D35" s="202"/>
      <c r="E35" s="202"/>
      <c r="F35" s="205">
        <f>+F10/1.2*F30</f>
        <v>0</v>
      </c>
      <c r="G35" s="205">
        <f>+G10/1.2*G30</f>
        <v>0</v>
      </c>
      <c r="H35" s="205">
        <f>+H10/1.2*H30</f>
        <v>0</v>
      </c>
      <c r="I35" s="205">
        <f>+I10/1.2*I30</f>
        <v>0</v>
      </c>
      <c r="J35" s="205">
        <f>+J10/1.2*J30</f>
        <v>0</v>
      </c>
      <c r="K35" s="205">
        <f>+K10/1.2*K30</f>
        <v>0</v>
      </c>
      <c r="L35" s="368">
        <f>+L10/1.2*L30</f>
        <v>0</v>
      </c>
      <c r="M35" s="432"/>
      <c r="N35" s="421"/>
      <c r="O35" s="421"/>
      <c r="P35" s="421"/>
      <c r="Q35" s="433"/>
    </row>
    <row r="36" spans="1:17" x14ac:dyDescent="0.25">
      <c r="A36" s="412"/>
      <c r="B36" s="252" t="s">
        <v>418</v>
      </c>
      <c r="C36" s="202" t="s">
        <v>45</v>
      </c>
      <c r="D36" s="202"/>
      <c r="E36" s="202"/>
      <c r="F36" s="205">
        <f>+((F10/1.2)*F30)-(F10/1.2*F33)</f>
        <v>0</v>
      </c>
      <c r="G36" s="205">
        <f>+((G10/1.2)*G30)-(G10/1.2*G33)</f>
        <v>0</v>
      </c>
      <c r="H36" s="205">
        <f>+((H10/1.2)*H30)-(H10/1.2*H33)</f>
        <v>0</v>
      </c>
      <c r="I36" s="205">
        <f>+((I10/1.2)*I30)-(I10/1.2*I33)</f>
        <v>0</v>
      </c>
      <c r="J36" s="205">
        <f>+((J10/1.2)*J30)-(J10/1.2*J33)</f>
        <v>0</v>
      </c>
      <c r="K36" s="205">
        <f>+((K10/1.2)*K30)-(K10/1.2*K33)</f>
        <v>0</v>
      </c>
      <c r="L36" s="368">
        <f>+((L10/1.2)*L30)-(L10/1.2*L33)</f>
        <v>0</v>
      </c>
      <c r="M36" s="432"/>
      <c r="N36" s="421"/>
      <c r="O36" s="421"/>
      <c r="P36" s="421"/>
      <c r="Q36" s="433"/>
    </row>
    <row r="37" spans="1:17" ht="13.8" thickBot="1" x14ac:dyDescent="0.3">
      <c r="A37" s="412"/>
      <c r="B37" s="252" t="s">
        <v>418</v>
      </c>
      <c r="C37" s="202" t="s">
        <v>305</v>
      </c>
      <c r="D37" s="202"/>
      <c r="E37" s="202"/>
      <c r="F37" s="212" t="e">
        <f>+F36/(F10/1.2)</f>
        <v>#DIV/0!</v>
      </c>
      <c r="G37" s="212" t="e">
        <f>+G36/(G10/1.2)</f>
        <v>#DIV/0!</v>
      </c>
      <c r="H37" s="212" t="e">
        <f>+H36/(H10/1.2)</f>
        <v>#DIV/0!</v>
      </c>
      <c r="I37" s="212" t="e">
        <f>+I36/(I10/1.2)</f>
        <v>#DIV/0!</v>
      </c>
      <c r="J37" s="212" t="e">
        <f>+J36/(J10/1.2)</f>
        <v>#DIV/0!</v>
      </c>
      <c r="K37" s="212" t="e">
        <f>+K36/(K10/1.2)</f>
        <v>#DIV/0!</v>
      </c>
      <c r="L37" s="380" t="e">
        <f>+L36/(L10/1.2)</f>
        <v>#DIV/0!</v>
      </c>
      <c r="M37" s="434"/>
      <c r="N37" s="435"/>
      <c r="O37" s="435"/>
      <c r="P37" s="435"/>
      <c r="Q37" s="436"/>
    </row>
    <row r="38" spans="1:17" x14ac:dyDescent="0.25">
      <c r="A38" s="262"/>
      <c r="B38" s="253"/>
      <c r="C38" s="220"/>
      <c r="D38" s="220"/>
      <c r="E38" s="220"/>
      <c r="F38" s="221"/>
      <c r="G38" s="221"/>
      <c r="H38" s="221"/>
      <c r="I38" s="221"/>
      <c r="J38" s="221"/>
      <c r="K38" s="221"/>
      <c r="L38" s="221"/>
      <c r="M38" s="381"/>
      <c r="N38" s="381"/>
      <c r="O38" s="381"/>
      <c r="P38" s="381"/>
      <c r="Q38" s="381"/>
    </row>
    <row r="39" spans="1:17" x14ac:dyDescent="0.25">
      <c r="A39" s="412" t="s">
        <v>420</v>
      </c>
      <c r="B39" s="255" t="s">
        <v>419</v>
      </c>
      <c r="C39" s="202" t="s">
        <v>308</v>
      </c>
      <c r="D39" s="202"/>
      <c r="E39" s="202"/>
      <c r="F39" s="365"/>
      <c r="G39" s="213">
        <f>+F39*(1+G40)</f>
        <v>0</v>
      </c>
      <c r="H39" s="213">
        <f t="shared" ref="H39:L39" si="8">+G39*(1+H40)</f>
        <v>0</v>
      </c>
      <c r="I39" s="213">
        <f t="shared" si="8"/>
        <v>0</v>
      </c>
      <c r="J39" s="213">
        <f t="shared" si="8"/>
        <v>0</v>
      </c>
      <c r="K39" s="213">
        <f t="shared" si="8"/>
        <v>0</v>
      </c>
      <c r="L39" s="213">
        <f t="shared" si="8"/>
        <v>0</v>
      </c>
      <c r="M39" s="437" t="s">
        <v>582</v>
      </c>
      <c r="N39" s="438"/>
      <c r="O39" s="438"/>
      <c r="P39" s="438"/>
      <c r="Q39" s="438"/>
    </row>
    <row r="40" spans="1:17" x14ac:dyDescent="0.25">
      <c r="A40" s="412"/>
      <c r="B40" s="255" t="s">
        <v>419</v>
      </c>
      <c r="C40" s="202" t="s">
        <v>309</v>
      </c>
      <c r="D40" s="202"/>
      <c r="E40" s="202"/>
      <c r="F40" s="202"/>
      <c r="G40" s="207">
        <v>0.01</v>
      </c>
      <c r="H40" s="207">
        <v>0.01</v>
      </c>
      <c r="I40" s="207">
        <v>0.01</v>
      </c>
      <c r="J40" s="207">
        <v>0.01</v>
      </c>
      <c r="K40" s="207">
        <v>0.01</v>
      </c>
      <c r="L40" s="207">
        <v>0.01</v>
      </c>
      <c r="M40" s="439"/>
      <c r="N40" s="438"/>
      <c r="O40" s="438"/>
      <c r="P40" s="438"/>
      <c r="Q40" s="438"/>
    </row>
    <row r="41" spans="1:17" x14ac:dyDescent="0.25">
      <c r="A41" s="412"/>
      <c r="B41" s="255" t="s">
        <v>419</v>
      </c>
      <c r="C41" s="202" t="s">
        <v>310</v>
      </c>
      <c r="D41" s="202"/>
      <c r="E41" s="202"/>
      <c r="F41" s="205" t="e">
        <f t="shared" ref="F41:L41" si="9">+F10/F39</f>
        <v>#DIV/0!</v>
      </c>
      <c r="G41" s="205" t="e">
        <f t="shared" si="9"/>
        <v>#DIV/0!</v>
      </c>
      <c r="H41" s="205" t="e">
        <f t="shared" si="9"/>
        <v>#DIV/0!</v>
      </c>
      <c r="I41" s="205" t="e">
        <f t="shared" si="9"/>
        <v>#DIV/0!</v>
      </c>
      <c r="J41" s="205" t="e">
        <f t="shared" si="9"/>
        <v>#DIV/0!</v>
      </c>
      <c r="K41" s="205" t="e">
        <f t="shared" si="9"/>
        <v>#DIV/0!</v>
      </c>
      <c r="L41" s="205" t="e">
        <f t="shared" si="9"/>
        <v>#DIV/0!</v>
      </c>
      <c r="M41" s="439"/>
      <c r="N41" s="438"/>
      <c r="O41" s="438"/>
      <c r="P41" s="438"/>
      <c r="Q41" s="438"/>
    </row>
    <row r="42" spans="1:17" x14ac:dyDescent="0.25">
      <c r="A42" s="412"/>
      <c r="B42" s="255" t="s">
        <v>419</v>
      </c>
      <c r="C42" s="202" t="s">
        <v>311</v>
      </c>
      <c r="D42" s="202"/>
      <c r="E42" s="202"/>
      <c r="F42" s="214">
        <v>2.4</v>
      </c>
      <c r="G42" s="213">
        <f>+F42*(1+G43)</f>
        <v>2.448</v>
      </c>
      <c r="H42" s="213">
        <f t="shared" ref="H42:L42" si="10">+G42*(1+H43)</f>
        <v>2.4969600000000001</v>
      </c>
      <c r="I42" s="213">
        <f t="shared" si="10"/>
        <v>2.5468991999999999</v>
      </c>
      <c r="J42" s="213">
        <f t="shared" si="10"/>
        <v>2.5978371839999999</v>
      </c>
      <c r="K42" s="213">
        <f t="shared" si="10"/>
        <v>2.6497939276799998</v>
      </c>
      <c r="L42" s="213">
        <f t="shared" si="10"/>
        <v>2.7027898062336</v>
      </c>
      <c r="M42" s="439"/>
      <c r="N42" s="438"/>
      <c r="O42" s="438"/>
      <c r="P42" s="438"/>
      <c r="Q42" s="438"/>
    </row>
    <row r="43" spans="1:17" x14ac:dyDescent="0.25">
      <c r="A43" s="412"/>
      <c r="B43" s="255" t="s">
        <v>419</v>
      </c>
      <c r="C43" s="202" t="s">
        <v>313</v>
      </c>
      <c r="D43" s="202"/>
      <c r="E43" s="202"/>
      <c r="F43" s="217"/>
      <c r="G43" s="207">
        <v>0.02</v>
      </c>
      <c r="H43" s="207">
        <v>0.02</v>
      </c>
      <c r="I43" s="207">
        <v>0.02</v>
      </c>
      <c r="J43" s="207">
        <v>0.02</v>
      </c>
      <c r="K43" s="207">
        <v>0.02</v>
      </c>
      <c r="L43" s="207">
        <v>0.02</v>
      </c>
      <c r="M43" s="439"/>
      <c r="N43" s="438"/>
      <c r="O43" s="438"/>
      <c r="P43" s="438"/>
      <c r="Q43" s="438"/>
    </row>
    <row r="44" spans="1:17" x14ac:dyDescent="0.25">
      <c r="A44" s="412"/>
      <c r="B44" s="255" t="s">
        <v>419</v>
      </c>
      <c r="C44" s="202" t="s">
        <v>314</v>
      </c>
      <c r="D44" s="202"/>
      <c r="E44" s="202"/>
      <c r="F44" s="215" t="e">
        <f>+F41*F42</f>
        <v>#DIV/0!</v>
      </c>
      <c r="G44" s="215" t="e">
        <f t="shared" ref="G44:L44" si="11">+G41*G42</f>
        <v>#DIV/0!</v>
      </c>
      <c r="H44" s="215" t="e">
        <f t="shared" si="11"/>
        <v>#DIV/0!</v>
      </c>
      <c r="I44" s="215" t="e">
        <f t="shared" si="11"/>
        <v>#DIV/0!</v>
      </c>
      <c r="J44" s="215" t="e">
        <f t="shared" si="11"/>
        <v>#DIV/0!</v>
      </c>
      <c r="K44" s="215" t="e">
        <f t="shared" si="11"/>
        <v>#DIV/0!</v>
      </c>
      <c r="L44" s="215" t="e">
        <f t="shared" si="11"/>
        <v>#DIV/0!</v>
      </c>
      <c r="M44" s="439"/>
      <c r="N44" s="438"/>
      <c r="O44" s="438"/>
      <c r="P44" s="438"/>
      <c r="Q44" s="438"/>
    </row>
    <row r="45" spans="1:17" x14ac:dyDescent="0.25">
      <c r="A45" s="412"/>
      <c r="B45" s="255" t="s">
        <v>419</v>
      </c>
      <c r="C45" s="202" t="s">
        <v>315</v>
      </c>
      <c r="D45" s="202"/>
      <c r="E45" s="202"/>
      <c r="F45" s="213" t="e">
        <f t="shared" ref="F45:L45" si="12">+F10/F44</f>
        <v>#DIV/0!</v>
      </c>
      <c r="G45" s="213" t="e">
        <f t="shared" si="12"/>
        <v>#DIV/0!</v>
      </c>
      <c r="H45" s="213" t="e">
        <f t="shared" si="12"/>
        <v>#DIV/0!</v>
      </c>
      <c r="I45" s="213" t="e">
        <f t="shared" si="12"/>
        <v>#DIV/0!</v>
      </c>
      <c r="J45" s="213" t="e">
        <f t="shared" si="12"/>
        <v>#DIV/0!</v>
      </c>
      <c r="K45" s="213" t="e">
        <f t="shared" si="12"/>
        <v>#DIV/0!</v>
      </c>
      <c r="L45" s="213" t="e">
        <f t="shared" si="12"/>
        <v>#DIV/0!</v>
      </c>
      <c r="M45" s="439"/>
      <c r="N45" s="438"/>
      <c r="O45" s="438"/>
      <c r="P45" s="438"/>
      <c r="Q45" s="438"/>
    </row>
    <row r="46" spans="1:17" x14ac:dyDescent="0.25">
      <c r="A46" s="263"/>
      <c r="B46" s="256"/>
      <c r="C46" s="220"/>
      <c r="D46" s="220"/>
      <c r="E46" s="220"/>
      <c r="F46" s="222"/>
      <c r="G46" s="222"/>
      <c r="H46" s="222"/>
      <c r="I46" s="222"/>
      <c r="J46" s="222"/>
      <c r="K46" s="222"/>
      <c r="L46" s="222"/>
      <c r="M46" s="381"/>
      <c r="N46" s="381"/>
      <c r="O46" s="381"/>
      <c r="P46" s="381"/>
      <c r="Q46" s="381"/>
    </row>
    <row r="47" spans="1:17" x14ac:dyDescent="0.25">
      <c r="A47" s="412" t="s">
        <v>181</v>
      </c>
      <c r="B47" s="252" t="s">
        <v>421</v>
      </c>
      <c r="C47" s="202" t="s">
        <v>317</v>
      </c>
      <c r="D47" s="202"/>
      <c r="E47" s="202"/>
      <c r="F47" s="362"/>
      <c r="G47" s="205">
        <f>F47*1.03</f>
        <v>0</v>
      </c>
      <c r="H47" s="205">
        <f t="shared" ref="H47:L47" si="13">G47*1.03</f>
        <v>0</v>
      </c>
      <c r="I47" s="205">
        <f t="shared" si="13"/>
        <v>0</v>
      </c>
      <c r="J47" s="205">
        <f t="shared" si="13"/>
        <v>0</v>
      </c>
      <c r="K47" s="205">
        <f t="shared" si="13"/>
        <v>0</v>
      </c>
      <c r="L47" s="205">
        <f t="shared" si="13"/>
        <v>0</v>
      </c>
      <c r="M47" s="402" t="s">
        <v>584</v>
      </c>
      <c r="N47" s="403"/>
      <c r="O47" s="403"/>
      <c r="P47" s="403"/>
      <c r="Q47" s="403"/>
    </row>
    <row r="48" spans="1:17" x14ac:dyDescent="0.25">
      <c r="A48" s="412"/>
      <c r="B48" s="252" t="s">
        <v>421</v>
      </c>
      <c r="C48" s="202" t="s">
        <v>316</v>
      </c>
      <c r="D48" s="202"/>
      <c r="E48" s="202"/>
      <c r="F48" s="202"/>
      <c r="G48" s="363"/>
      <c r="H48" s="208">
        <f>+G48</f>
        <v>0</v>
      </c>
      <c r="I48" s="208">
        <f t="shared" ref="I48:L48" si="14">+H48</f>
        <v>0</v>
      </c>
      <c r="J48" s="208">
        <f t="shared" si="14"/>
        <v>0</v>
      </c>
      <c r="K48" s="208">
        <f t="shared" si="14"/>
        <v>0</v>
      </c>
      <c r="L48" s="208">
        <f t="shared" si="14"/>
        <v>0</v>
      </c>
      <c r="M48" s="402" t="s">
        <v>583</v>
      </c>
      <c r="N48" s="403"/>
      <c r="O48" s="403"/>
      <c r="P48" s="403"/>
      <c r="Q48" s="403"/>
    </row>
    <row r="49" spans="1:17" x14ac:dyDescent="0.25">
      <c r="A49" s="412"/>
      <c r="B49" s="252" t="s">
        <v>421</v>
      </c>
      <c r="C49" s="202" t="s">
        <v>318</v>
      </c>
      <c r="D49" s="202"/>
      <c r="E49" s="202"/>
      <c r="F49" s="205"/>
      <c r="G49" s="205">
        <f t="shared" ref="G49:L49" si="15">+G47/12</f>
        <v>0</v>
      </c>
      <c r="H49" s="205">
        <f t="shared" si="15"/>
        <v>0</v>
      </c>
      <c r="I49" s="205">
        <f t="shared" si="15"/>
        <v>0</v>
      </c>
      <c r="J49" s="205">
        <f t="shared" si="15"/>
        <v>0</v>
      </c>
      <c r="K49" s="205">
        <f t="shared" si="15"/>
        <v>0</v>
      </c>
      <c r="L49" s="205">
        <f t="shared" si="15"/>
        <v>0</v>
      </c>
      <c r="M49" s="405"/>
      <c r="N49" s="403"/>
      <c r="O49" s="403"/>
      <c r="P49" s="403"/>
      <c r="Q49" s="403"/>
    </row>
    <row r="50" spans="1:17" x14ac:dyDescent="0.25">
      <c r="A50" s="412"/>
      <c r="B50" s="252" t="s">
        <v>421</v>
      </c>
      <c r="C50" s="202" t="s">
        <v>319</v>
      </c>
      <c r="D50" s="202"/>
      <c r="E50" s="202"/>
      <c r="F50" s="362"/>
      <c r="G50" s="205">
        <f>+F50*(1+G$48)</f>
        <v>0</v>
      </c>
      <c r="H50" s="205">
        <f t="shared" ref="H50:L50" si="16">+G50*(1+H$48)</f>
        <v>0</v>
      </c>
      <c r="I50" s="205">
        <f t="shared" si="16"/>
        <v>0</v>
      </c>
      <c r="J50" s="205">
        <f t="shared" si="16"/>
        <v>0</v>
      </c>
      <c r="K50" s="205">
        <f t="shared" si="16"/>
        <v>0</v>
      </c>
      <c r="L50" s="205">
        <f t="shared" si="16"/>
        <v>0</v>
      </c>
      <c r="M50" s="402" t="s">
        <v>585</v>
      </c>
      <c r="N50" s="403"/>
      <c r="O50" s="403"/>
      <c r="P50" s="403"/>
      <c r="Q50" s="403"/>
    </row>
    <row r="51" spans="1:17" x14ac:dyDescent="0.25">
      <c r="A51" s="412"/>
      <c r="B51" s="252" t="s">
        <v>421</v>
      </c>
      <c r="C51" s="202" t="s">
        <v>320</v>
      </c>
      <c r="D51" s="202"/>
      <c r="E51" s="202"/>
      <c r="F51" s="362">
        <v>0</v>
      </c>
      <c r="G51" s="205">
        <f t="shared" ref="G51:L52" si="17">+F51*(1+G$48)</f>
        <v>0</v>
      </c>
      <c r="H51" s="205">
        <f t="shared" si="17"/>
        <v>0</v>
      </c>
      <c r="I51" s="205">
        <f t="shared" si="17"/>
        <v>0</v>
      </c>
      <c r="J51" s="205">
        <f t="shared" si="17"/>
        <v>0</v>
      </c>
      <c r="K51" s="205">
        <f t="shared" si="17"/>
        <v>0</v>
      </c>
      <c r="L51" s="205">
        <f t="shared" si="17"/>
        <v>0</v>
      </c>
      <c r="M51" s="402" t="s">
        <v>586</v>
      </c>
      <c r="N51" s="403"/>
      <c r="O51" s="403"/>
      <c r="P51" s="403"/>
      <c r="Q51" s="403"/>
    </row>
    <row r="52" spans="1:17" x14ac:dyDescent="0.25">
      <c r="A52" s="412"/>
      <c r="B52" s="252" t="s">
        <v>421</v>
      </c>
      <c r="C52" s="202" t="s">
        <v>321</v>
      </c>
      <c r="D52" s="202"/>
      <c r="E52" s="202"/>
      <c r="F52" s="362">
        <v>0</v>
      </c>
      <c r="G52" s="205">
        <f t="shared" si="17"/>
        <v>0</v>
      </c>
      <c r="H52" s="205">
        <f t="shared" si="17"/>
        <v>0</v>
      </c>
      <c r="I52" s="205">
        <f t="shared" si="17"/>
        <v>0</v>
      </c>
      <c r="J52" s="205">
        <f t="shared" si="17"/>
        <v>0</v>
      </c>
      <c r="K52" s="205">
        <f t="shared" si="17"/>
        <v>0</v>
      </c>
      <c r="L52" s="205">
        <f t="shared" si="17"/>
        <v>0</v>
      </c>
      <c r="M52" s="402" t="s">
        <v>585</v>
      </c>
      <c r="N52" s="403"/>
      <c r="O52" s="403"/>
      <c r="P52" s="403"/>
      <c r="Q52" s="403"/>
    </row>
    <row r="53" spans="1:17" x14ac:dyDescent="0.25">
      <c r="A53" s="412"/>
      <c r="B53" s="252" t="s">
        <v>421</v>
      </c>
      <c r="C53" s="202" t="s">
        <v>322</v>
      </c>
      <c r="D53" s="202"/>
      <c r="E53" s="202"/>
      <c r="F53" s="216">
        <f>+F47+F50+F51+F52</f>
        <v>0</v>
      </c>
      <c r="G53" s="216">
        <f t="shared" ref="G53:L53" si="18">+G47+G50+G51+G52</f>
        <v>0</v>
      </c>
      <c r="H53" s="216">
        <f t="shared" si="18"/>
        <v>0</v>
      </c>
      <c r="I53" s="216">
        <f t="shared" si="18"/>
        <v>0</v>
      </c>
      <c r="J53" s="216">
        <f t="shared" si="18"/>
        <v>0</v>
      </c>
      <c r="K53" s="216">
        <f t="shared" si="18"/>
        <v>0</v>
      </c>
      <c r="L53" s="216">
        <f t="shared" si="18"/>
        <v>0</v>
      </c>
      <c r="M53" s="405"/>
      <c r="N53" s="403"/>
      <c r="O53" s="403"/>
      <c r="P53" s="403"/>
      <c r="Q53" s="403"/>
    </row>
    <row r="54" spans="1:17" x14ac:dyDescent="0.25">
      <c r="A54" s="412"/>
      <c r="B54" s="252" t="s">
        <v>421</v>
      </c>
      <c r="C54" s="202" t="s">
        <v>323</v>
      </c>
      <c r="D54" s="202"/>
      <c r="E54" s="202"/>
      <c r="F54" s="365"/>
      <c r="G54" s="202">
        <f>+F54</f>
        <v>0</v>
      </c>
      <c r="H54" s="202">
        <f t="shared" ref="H54:L55" si="19">+G54</f>
        <v>0</v>
      </c>
      <c r="I54" s="202">
        <f t="shared" si="19"/>
        <v>0</v>
      </c>
      <c r="J54" s="202">
        <f t="shared" si="19"/>
        <v>0</v>
      </c>
      <c r="K54" s="202">
        <f t="shared" si="19"/>
        <v>0</v>
      </c>
      <c r="L54" s="202">
        <f t="shared" si="19"/>
        <v>0</v>
      </c>
      <c r="M54" s="402" t="s">
        <v>579</v>
      </c>
      <c r="N54" s="403"/>
      <c r="O54" s="403"/>
      <c r="P54" s="403"/>
      <c r="Q54" s="403"/>
    </row>
    <row r="55" spans="1:17" x14ac:dyDescent="0.25">
      <c r="A55" s="412"/>
      <c r="B55" s="252" t="s">
        <v>421</v>
      </c>
      <c r="C55" s="202" t="s">
        <v>466</v>
      </c>
      <c r="D55" s="202"/>
      <c r="E55" s="202"/>
      <c r="F55" s="207">
        <v>0</v>
      </c>
      <c r="G55" s="208">
        <f>+F55</f>
        <v>0</v>
      </c>
      <c r="H55" s="208">
        <f t="shared" si="19"/>
        <v>0</v>
      </c>
      <c r="I55" s="208">
        <f t="shared" si="19"/>
        <v>0</v>
      </c>
      <c r="J55" s="208">
        <f t="shared" si="19"/>
        <v>0</v>
      </c>
      <c r="K55" s="208">
        <f t="shared" si="19"/>
        <v>0</v>
      </c>
      <c r="L55" s="208">
        <f t="shared" si="19"/>
        <v>0</v>
      </c>
      <c r="M55" s="402" t="s">
        <v>587</v>
      </c>
      <c r="N55" s="403"/>
      <c r="O55" s="403"/>
      <c r="P55" s="403"/>
      <c r="Q55" s="403"/>
    </row>
    <row r="56" spans="1:17" x14ac:dyDescent="0.25">
      <c r="A56" s="412"/>
      <c r="B56" s="252" t="s">
        <v>421</v>
      </c>
      <c r="C56" s="202" t="s">
        <v>324</v>
      </c>
      <c r="D56" s="202"/>
      <c r="E56" s="202"/>
      <c r="F56" s="205" t="e">
        <f t="shared" ref="F56:L56" si="20">+F10/F54</f>
        <v>#DIV/0!</v>
      </c>
      <c r="G56" s="205" t="e">
        <f t="shared" si="20"/>
        <v>#DIV/0!</v>
      </c>
      <c r="H56" s="205" t="e">
        <f t="shared" si="20"/>
        <v>#DIV/0!</v>
      </c>
      <c r="I56" s="205" t="e">
        <f t="shared" si="20"/>
        <v>#DIV/0!</v>
      </c>
      <c r="J56" s="205" t="e">
        <f t="shared" si="20"/>
        <v>#DIV/0!</v>
      </c>
      <c r="K56" s="205" t="e">
        <f t="shared" si="20"/>
        <v>#DIV/0!</v>
      </c>
      <c r="L56" s="205" t="e">
        <f t="shared" si="20"/>
        <v>#DIV/0!</v>
      </c>
      <c r="M56" s="405"/>
      <c r="N56" s="403"/>
      <c r="O56" s="403"/>
      <c r="P56" s="403"/>
      <c r="Q56" s="403"/>
    </row>
    <row r="57" spans="1:17" x14ac:dyDescent="0.25">
      <c r="A57" s="262"/>
      <c r="B57" s="253"/>
      <c r="C57" s="220"/>
      <c r="D57" s="220"/>
      <c r="E57" s="220"/>
      <c r="F57" s="257"/>
      <c r="G57" s="257"/>
      <c r="H57" s="257"/>
      <c r="I57" s="257"/>
      <c r="J57" s="257"/>
      <c r="K57" s="257"/>
      <c r="L57" s="257"/>
      <c r="M57" s="381"/>
      <c r="N57" s="381"/>
      <c r="O57" s="381"/>
      <c r="P57" s="381"/>
      <c r="Q57" s="381"/>
    </row>
    <row r="58" spans="1:17" s="229" customFormat="1" x14ac:dyDescent="0.25">
      <c r="A58" s="413" t="s">
        <v>346</v>
      </c>
      <c r="B58" s="252" t="s">
        <v>422</v>
      </c>
      <c r="C58" s="219" t="s">
        <v>591</v>
      </c>
      <c r="D58" s="219" t="s">
        <v>571</v>
      </c>
      <c r="E58" s="219"/>
      <c r="F58" s="366"/>
      <c r="G58" s="224"/>
      <c r="H58" s="224"/>
      <c r="I58" s="224"/>
      <c r="J58" s="224"/>
      <c r="K58" s="224"/>
      <c r="L58" s="224"/>
      <c r="M58" s="406" t="s">
        <v>588</v>
      </c>
      <c r="N58" s="407"/>
      <c r="O58" s="407"/>
      <c r="P58" s="407"/>
      <c r="Q58" s="407"/>
    </row>
    <row r="59" spans="1:17" s="229" customFormat="1" x14ac:dyDescent="0.25">
      <c r="A59" s="414"/>
      <c r="B59" s="252" t="s">
        <v>422</v>
      </c>
      <c r="C59" s="219" t="s">
        <v>592</v>
      </c>
      <c r="D59" s="219" t="s">
        <v>572</v>
      </c>
      <c r="E59" s="219"/>
      <c r="F59" s="366"/>
      <c r="G59" s="224"/>
      <c r="H59" s="224"/>
      <c r="I59" s="224"/>
      <c r="J59" s="224"/>
      <c r="K59" s="224"/>
      <c r="L59" s="224"/>
      <c r="M59" s="406" t="s">
        <v>589</v>
      </c>
      <c r="N59" s="407"/>
      <c r="O59" s="407"/>
      <c r="P59" s="407"/>
      <c r="Q59" s="407"/>
    </row>
    <row r="60" spans="1:17" s="229" customFormat="1" x14ac:dyDescent="0.25">
      <c r="A60" s="414"/>
      <c r="B60" s="252" t="s">
        <v>422</v>
      </c>
      <c r="C60" s="219" t="s">
        <v>593</v>
      </c>
      <c r="D60" s="219" t="s">
        <v>573</v>
      </c>
      <c r="E60" s="219"/>
      <c r="F60" s="366"/>
      <c r="G60" s="224"/>
      <c r="H60" s="224"/>
      <c r="I60" s="224"/>
      <c r="J60" s="224"/>
      <c r="K60" s="224"/>
      <c r="L60" s="224"/>
      <c r="M60" s="406" t="s">
        <v>590</v>
      </c>
      <c r="N60" s="407"/>
      <c r="O60" s="407"/>
      <c r="P60" s="407"/>
      <c r="Q60" s="407"/>
    </row>
    <row r="61" spans="1:17" ht="12.75" customHeight="1" x14ac:dyDescent="0.25">
      <c r="A61" s="414"/>
      <c r="B61" s="252" t="s">
        <v>422</v>
      </c>
      <c r="C61" s="202" t="s">
        <v>328</v>
      </c>
      <c r="D61" s="202"/>
      <c r="E61" s="202"/>
      <c r="F61" s="214"/>
      <c r="G61" s="203" t="s">
        <v>331</v>
      </c>
      <c r="H61" s="234">
        <v>0.37</v>
      </c>
      <c r="I61" s="203" t="s">
        <v>334</v>
      </c>
      <c r="J61" s="320">
        <v>151.66999999999999</v>
      </c>
      <c r="K61" s="235" t="s">
        <v>337</v>
      </c>
      <c r="L61" s="234">
        <v>0.02</v>
      </c>
      <c r="M61" s="402" t="s">
        <v>594</v>
      </c>
      <c r="N61" s="408"/>
      <c r="O61" s="408"/>
      <c r="P61" s="408"/>
      <c r="Q61" s="408"/>
    </row>
    <row r="62" spans="1:17" x14ac:dyDescent="0.25">
      <c r="A62" s="414"/>
      <c r="B62" s="252" t="s">
        <v>422</v>
      </c>
      <c r="C62" s="202" t="s">
        <v>329</v>
      </c>
      <c r="D62" s="202"/>
      <c r="E62" s="202"/>
      <c r="F62" s="214"/>
      <c r="G62" s="203" t="s">
        <v>332</v>
      </c>
      <c r="H62" s="234">
        <v>0.35</v>
      </c>
      <c r="I62" s="203" t="s">
        <v>335</v>
      </c>
      <c r="J62" s="320">
        <f>151.67*20/35</f>
        <v>86.668571428571411</v>
      </c>
      <c r="K62" s="235" t="s">
        <v>338</v>
      </c>
      <c r="L62" s="234">
        <v>0.02</v>
      </c>
      <c r="M62" s="402" t="s">
        <v>594</v>
      </c>
      <c r="N62" s="408"/>
      <c r="O62" s="408"/>
      <c r="P62" s="408"/>
      <c r="Q62" s="408"/>
    </row>
    <row r="63" spans="1:17" x14ac:dyDescent="0.25">
      <c r="A63" s="414"/>
      <c r="B63" s="252" t="s">
        <v>422</v>
      </c>
      <c r="C63" s="202" t="s">
        <v>330</v>
      </c>
      <c r="D63" s="202"/>
      <c r="E63" s="202"/>
      <c r="F63" s="214"/>
      <c r="G63" s="203" t="s">
        <v>333</v>
      </c>
      <c r="H63" s="234">
        <v>0.33</v>
      </c>
      <c r="I63" s="203" t="s">
        <v>336</v>
      </c>
      <c r="J63" s="320">
        <f>151.67*15/35</f>
        <v>65.001428571428562</v>
      </c>
      <c r="K63" s="235" t="s">
        <v>339</v>
      </c>
      <c r="L63" s="234">
        <v>0.02</v>
      </c>
      <c r="M63" s="402" t="s">
        <v>594</v>
      </c>
      <c r="N63" s="408"/>
      <c r="O63" s="408"/>
      <c r="P63" s="408"/>
      <c r="Q63" s="408"/>
    </row>
    <row r="64" spans="1:17" x14ac:dyDescent="0.25">
      <c r="A64" s="414"/>
      <c r="B64" s="252" t="s">
        <v>422</v>
      </c>
      <c r="C64" s="202" t="s">
        <v>325</v>
      </c>
      <c r="D64" s="202"/>
      <c r="E64" s="202"/>
      <c r="F64" s="205">
        <f>+F$61*J61*$F$58</f>
        <v>0</v>
      </c>
      <c r="G64" s="205">
        <f>+F64*(1+$L$61)</f>
        <v>0</v>
      </c>
      <c r="H64" s="205">
        <f t="shared" ref="H64:L64" si="21">+G64*(1+$L$61)</f>
        <v>0</v>
      </c>
      <c r="I64" s="205">
        <f t="shared" si="21"/>
        <v>0</v>
      </c>
      <c r="J64" s="205">
        <f t="shared" si="21"/>
        <v>0</v>
      </c>
      <c r="K64" s="205">
        <f t="shared" si="21"/>
        <v>0</v>
      </c>
      <c r="L64" s="205">
        <f t="shared" si="21"/>
        <v>0</v>
      </c>
      <c r="M64" s="405"/>
      <c r="N64" s="403"/>
      <c r="O64" s="403"/>
      <c r="P64" s="403"/>
      <c r="Q64" s="403"/>
    </row>
    <row r="65" spans="1:17" x14ac:dyDescent="0.25">
      <c r="A65" s="414"/>
      <c r="B65" s="252" t="s">
        <v>422</v>
      </c>
      <c r="C65" s="202" t="s">
        <v>326</v>
      </c>
      <c r="D65" s="202"/>
      <c r="E65" s="202"/>
      <c r="F65" s="205">
        <f>+F62*J62*$F$59</f>
        <v>0</v>
      </c>
      <c r="G65" s="205">
        <f>+F65*(1+$L$62)</f>
        <v>0</v>
      </c>
      <c r="H65" s="205">
        <f t="shared" ref="H65:L65" si="22">+G65*(1+$L$62)</f>
        <v>0</v>
      </c>
      <c r="I65" s="205">
        <f t="shared" si="22"/>
        <v>0</v>
      </c>
      <c r="J65" s="205">
        <f t="shared" si="22"/>
        <v>0</v>
      </c>
      <c r="K65" s="205">
        <f t="shared" si="22"/>
        <v>0</v>
      </c>
      <c r="L65" s="205">
        <f t="shared" si="22"/>
        <v>0</v>
      </c>
      <c r="M65" s="405"/>
      <c r="N65" s="403"/>
      <c r="O65" s="403"/>
      <c r="P65" s="403"/>
      <c r="Q65" s="403"/>
    </row>
    <row r="66" spans="1:17" x14ac:dyDescent="0.25">
      <c r="A66" s="414"/>
      <c r="B66" s="252" t="s">
        <v>422</v>
      </c>
      <c r="C66" s="202" t="s">
        <v>327</v>
      </c>
      <c r="D66" s="202"/>
      <c r="E66" s="202"/>
      <c r="F66" s="205">
        <f>+F63*J63*$F$60</f>
        <v>0</v>
      </c>
      <c r="G66" s="205">
        <f>+F66*(1+$L$63)</f>
        <v>0</v>
      </c>
      <c r="H66" s="205">
        <f t="shared" ref="H66:L66" si="23">+G66*(1+$L$63)</f>
        <v>0</v>
      </c>
      <c r="I66" s="205">
        <f t="shared" si="23"/>
        <v>0</v>
      </c>
      <c r="J66" s="205">
        <f t="shared" si="23"/>
        <v>0</v>
      </c>
      <c r="K66" s="205">
        <f t="shared" si="23"/>
        <v>0</v>
      </c>
      <c r="L66" s="205">
        <f t="shared" si="23"/>
        <v>0</v>
      </c>
      <c r="M66" s="405"/>
      <c r="N66" s="403"/>
      <c r="O66" s="403"/>
      <c r="P66" s="403"/>
      <c r="Q66" s="403"/>
    </row>
    <row r="67" spans="1:17" x14ac:dyDescent="0.25">
      <c r="A67" s="414"/>
      <c r="B67" s="252" t="s">
        <v>422</v>
      </c>
      <c r="C67" s="202" t="s">
        <v>340</v>
      </c>
      <c r="D67" s="202"/>
      <c r="E67" s="202"/>
      <c r="F67" s="205">
        <f>+F64*$H$61</f>
        <v>0</v>
      </c>
      <c r="G67" s="205">
        <f t="shared" ref="G67:L67" si="24">+G64*$H$61</f>
        <v>0</v>
      </c>
      <c r="H67" s="205">
        <f t="shared" si="24"/>
        <v>0</v>
      </c>
      <c r="I67" s="205">
        <f t="shared" si="24"/>
        <v>0</v>
      </c>
      <c r="J67" s="205">
        <f t="shared" si="24"/>
        <v>0</v>
      </c>
      <c r="K67" s="205">
        <f t="shared" si="24"/>
        <v>0</v>
      </c>
      <c r="L67" s="205">
        <f t="shared" si="24"/>
        <v>0</v>
      </c>
      <c r="M67" s="405"/>
      <c r="N67" s="403"/>
      <c r="O67" s="403"/>
      <c r="P67" s="403"/>
      <c r="Q67" s="403"/>
    </row>
    <row r="68" spans="1:17" x14ac:dyDescent="0.25">
      <c r="A68" s="414"/>
      <c r="B68" s="252" t="s">
        <v>422</v>
      </c>
      <c r="C68" s="202" t="s">
        <v>341</v>
      </c>
      <c r="D68" s="202"/>
      <c r="E68" s="202"/>
      <c r="F68" s="205">
        <f>+F65*$H$62</f>
        <v>0</v>
      </c>
      <c r="G68" s="205">
        <f t="shared" ref="G68:L68" si="25">+G65*$H$62</f>
        <v>0</v>
      </c>
      <c r="H68" s="205">
        <f t="shared" si="25"/>
        <v>0</v>
      </c>
      <c r="I68" s="205">
        <f t="shared" si="25"/>
        <v>0</v>
      </c>
      <c r="J68" s="205">
        <f t="shared" si="25"/>
        <v>0</v>
      </c>
      <c r="K68" s="205">
        <f t="shared" si="25"/>
        <v>0</v>
      </c>
      <c r="L68" s="205">
        <f t="shared" si="25"/>
        <v>0</v>
      </c>
      <c r="M68" s="405"/>
      <c r="N68" s="403"/>
      <c r="O68" s="403"/>
      <c r="P68" s="403"/>
      <c r="Q68" s="403"/>
    </row>
    <row r="69" spans="1:17" x14ac:dyDescent="0.25">
      <c r="A69" s="414"/>
      <c r="B69" s="252" t="s">
        <v>422</v>
      </c>
      <c r="C69" s="202" t="s">
        <v>342</v>
      </c>
      <c r="D69" s="202"/>
      <c r="E69" s="202"/>
      <c r="F69" s="205">
        <f>+F66*$H$63</f>
        <v>0</v>
      </c>
      <c r="G69" s="205">
        <f t="shared" ref="G69:L69" si="26">+G66*$H$63</f>
        <v>0</v>
      </c>
      <c r="H69" s="205">
        <f t="shared" si="26"/>
        <v>0</v>
      </c>
      <c r="I69" s="205">
        <f t="shared" si="26"/>
        <v>0</v>
      </c>
      <c r="J69" s="205">
        <f t="shared" si="26"/>
        <v>0</v>
      </c>
      <c r="K69" s="205">
        <f t="shared" si="26"/>
        <v>0</v>
      </c>
      <c r="L69" s="205">
        <f t="shared" si="26"/>
        <v>0</v>
      </c>
      <c r="M69" s="405"/>
      <c r="N69" s="403"/>
      <c r="O69" s="403"/>
      <c r="P69" s="403"/>
      <c r="Q69" s="403"/>
    </row>
    <row r="70" spans="1:17" x14ac:dyDescent="0.25">
      <c r="A70" s="414"/>
      <c r="B70" s="252" t="s">
        <v>422</v>
      </c>
      <c r="C70" s="202" t="s">
        <v>343</v>
      </c>
      <c r="D70" s="202"/>
      <c r="E70" s="202"/>
      <c r="F70" s="205">
        <f>+(F64+F67)*12</f>
        <v>0</v>
      </c>
      <c r="G70" s="205">
        <f t="shared" ref="G70:L70" si="27">+(G64+G67)*12</f>
        <v>0</v>
      </c>
      <c r="H70" s="205">
        <f t="shared" si="27"/>
        <v>0</v>
      </c>
      <c r="I70" s="205">
        <f t="shared" si="27"/>
        <v>0</v>
      </c>
      <c r="J70" s="205">
        <f t="shared" si="27"/>
        <v>0</v>
      </c>
      <c r="K70" s="205">
        <f t="shared" si="27"/>
        <v>0</v>
      </c>
      <c r="L70" s="205">
        <f t="shared" si="27"/>
        <v>0</v>
      </c>
      <c r="M70" s="405"/>
      <c r="N70" s="403"/>
      <c r="O70" s="403"/>
      <c r="P70" s="403"/>
      <c r="Q70" s="403"/>
    </row>
    <row r="71" spans="1:17" x14ac:dyDescent="0.25">
      <c r="A71" s="414"/>
      <c r="B71" s="252" t="s">
        <v>422</v>
      </c>
      <c r="C71" s="202" t="s">
        <v>344</v>
      </c>
      <c r="D71" s="202"/>
      <c r="E71" s="202"/>
      <c r="F71" s="205">
        <f t="shared" ref="F71:L72" si="28">+(F65+F68)*12</f>
        <v>0</v>
      </c>
      <c r="G71" s="205">
        <f t="shared" si="28"/>
        <v>0</v>
      </c>
      <c r="H71" s="205">
        <f t="shared" si="28"/>
        <v>0</v>
      </c>
      <c r="I71" s="205">
        <f t="shared" si="28"/>
        <v>0</v>
      </c>
      <c r="J71" s="205">
        <f t="shared" si="28"/>
        <v>0</v>
      </c>
      <c r="K71" s="205">
        <f t="shared" si="28"/>
        <v>0</v>
      </c>
      <c r="L71" s="205">
        <f t="shared" si="28"/>
        <v>0</v>
      </c>
      <c r="M71" s="405"/>
      <c r="N71" s="403"/>
      <c r="O71" s="403"/>
      <c r="P71" s="403"/>
      <c r="Q71" s="403"/>
    </row>
    <row r="72" spans="1:17" x14ac:dyDescent="0.25">
      <c r="A72" s="414"/>
      <c r="B72" s="252" t="s">
        <v>422</v>
      </c>
      <c r="C72" s="202" t="s">
        <v>345</v>
      </c>
      <c r="D72" s="202"/>
      <c r="E72" s="202"/>
      <c r="F72" s="205">
        <f t="shared" si="28"/>
        <v>0</v>
      </c>
      <c r="G72" s="205">
        <f t="shared" si="28"/>
        <v>0</v>
      </c>
      <c r="H72" s="205">
        <f t="shared" si="28"/>
        <v>0</v>
      </c>
      <c r="I72" s="205">
        <f t="shared" si="28"/>
        <v>0</v>
      </c>
      <c r="J72" s="205">
        <f t="shared" si="28"/>
        <v>0</v>
      </c>
      <c r="K72" s="205">
        <f t="shared" si="28"/>
        <v>0</v>
      </c>
      <c r="L72" s="205">
        <f t="shared" si="28"/>
        <v>0</v>
      </c>
      <c r="M72" s="405"/>
      <c r="N72" s="403"/>
      <c r="O72" s="403"/>
      <c r="P72" s="403"/>
      <c r="Q72" s="403"/>
    </row>
    <row r="73" spans="1:17" x14ac:dyDescent="0.25">
      <c r="A73" s="415"/>
      <c r="B73" s="252" t="s">
        <v>422</v>
      </c>
      <c r="C73" s="202" t="s">
        <v>384</v>
      </c>
      <c r="D73" s="202"/>
      <c r="E73" s="202"/>
      <c r="F73" s="216">
        <f>+F70+F71+F72</f>
        <v>0</v>
      </c>
      <c r="G73" s="216">
        <f t="shared" ref="G73:L73" si="29">+G70+G71+G72</f>
        <v>0</v>
      </c>
      <c r="H73" s="216">
        <f t="shared" si="29"/>
        <v>0</v>
      </c>
      <c r="I73" s="216">
        <f t="shared" si="29"/>
        <v>0</v>
      </c>
      <c r="J73" s="216">
        <f t="shared" si="29"/>
        <v>0</v>
      </c>
      <c r="K73" s="216">
        <f t="shared" si="29"/>
        <v>0</v>
      </c>
      <c r="L73" s="216">
        <f t="shared" si="29"/>
        <v>0</v>
      </c>
      <c r="M73" s="405"/>
      <c r="N73" s="403"/>
      <c r="O73" s="403"/>
      <c r="P73" s="403"/>
      <c r="Q73" s="403"/>
    </row>
    <row r="74" spans="1:17" x14ac:dyDescent="0.25">
      <c r="A74" s="264"/>
      <c r="B74" s="223"/>
      <c r="C74" s="220"/>
      <c r="D74" s="220"/>
      <c r="E74" s="220"/>
      <c r="F74" s="220"/>
      <c r="G74" s="220"/>
      <c r="H74" s="220"/>
      <c r="I74" s="220"/>
      <c r="J74" s="220"/>
      <c r="K74" s="220"/>
      <c r="L74" s="228"/>
      <c r="M74" s="409"/>
      <c r="N74" s="410"/>
      <c r="O74" s="410"/>
      <c r="P74" s="410"/>
      <c r="Q74" s="410"/>
    </row>
    <row r="75" spans="1:17" ht="12.75" customHeight="1" x14ac:dyDescent="0.25">
      <c r="A75" s="412" t="s">
        <v>423</v>
      </c>
      <c r="B75" s="252" t="s">
        <v>424</v>
      </c>
      <c r="C75" s="202" t="s">
        <v>347</v>
      </c>
      <c r="D75" s="202"/>
      <c r="E75" s="202"/>
      <c r="F75" s="362">
        <v>0</v>
      </c>
      <c r="G75" s="224"/>
      <c r="H75" s="224"/>
      <c r="I75" s="224"/>
      <c r="J75" s="224"/>
      <c r="K75" s="224"/>
      <c r="L75" s="224"/>
      <c r="M75" s="402" t="s">
        <v>595</v>
      </c>
      <c r="N75" s="411"/>
      <c r="O75" s="411"/>
      <c r="P75" s="411"/>
      <c r="Q75" s="411"/>
    </row>
    <row r="76" spans="1:17" x14ac:dyDescent="0.25">
      <c r="A76" s="412"/>
      <c r="B76" s="252" t="s">
        <v>424</v>
      </c>
      <c r="C76" s="202" t="s">
        <v>568</v>
      </c>
      <c r="D76" s="202"/>
      <c r="E76" s="202"/>
      <c r="F76" s="362"/>
      <c r="G76" s="224"/>
      <c r="H76" s="224"/>
      <c r="I76" s="224"/>
      <c r="J76" s="224"/>
      <c r="K76" s="224"/>
      <c r="L76" s="224"/>
      <c r="M76" s="402" t="s">
        <v>599</v>
      </c>
      <c r="N76" s="403"/>
      <c r="O76" s="403"/>
      <c r="P76" s="403"/>
      <c r="Q76" s="403"/>
    </row>
    <row r="77" spans="1:17" x14ac:dyDescent="0.25">
      <c r="A77" s="412"/>
      <c r="B77" s="252" t="s">
        <v>424</v>
      </c>
      <c r="C77" s="202" t="s">
        <v>349</v>
      </c>
      <c r="D77" s="202"/>
      <c r="E77" s="202"/>
      <c r="F77" s="362">
        <v>0</v>
      </c>
      <c r="G77" s="224"/>
      <c r="H77" s="224"/>
      <c r="I77" s="224"/>
      <c r="J77" s="224"/>
      <c r="K77" s="224"/>
      <c r="L77" s="224"/>
      <c r="M77" s="402" t="s">
        <v>598</v>
      </c>
      <c r="N77" s="403"/>
      <c r="O77" s="403"/>
      <c r="P77" s="403"/>
      <c r="Q77" s="403"/>
    </row>
    <row r="78" spans="1:17" x14ac:dyDescent="0.25">
      <c r="A78" s="412"/>
      <c r="B78" s="252" t="s">
        <v>424</v>
      </c>
      <c r="C78" s="202" t="s">
        <v>596</v>
      </c>
      <c r="D78" s="202"/>
      <c r="E78" s="202"/>
      <c r="F78" s="362"/>
      <c r="G78" s="224"/>
      <c r="H78" s="224"/>
      <c r="I78" s="224"/>
      <c r="J78" s="224"/>
      <c r="K78" s="224"/>
      <c r="L78" s="224"/>
      <c r="M78" s="402" t="s">
        <v>597</v>
      </c>
      <c r="N78" s="403"/>
      <c r="O78" s="403"/>
      <c r="P78" s="403"/>
      <c r="Q78" s="403"/>
    </row>
    <row r="79" spans="1:17" x14ac:dyDescent="0.25">
      <c r="A79" s="412"/>
      <c r="B79" s="252" t="s">
        <v>424</v>
      </c>
      <c r="C79" s="202" t="s">
        <v>564</v>
      </c>
      <c r="D79" s="202"/>
      <c r="E79" s="202"/>
      <c r="F79" s="362"/>
      <c r="G79" s="247"/>
      <c r="H79" s="247"/>
      <c r="I79" s="247"/>
      <c r="J79" s="247"/>
      <c r="K79" s="247"/>
      <c r="L79" s="247"/>
      <c r="M79" s="402" t="s">
        <v>601</v>
      </c>
      <c r="N79" s="403"/>
      <c r="O79" s="403"/>
      <c r="P79" s="403"/>
      <c r="Q79" s="403"/>
    </row>
    <row r="80" spans="1:17" x14ac:dyDescent="0.25">
      <c r="A80" s="412"/>
      <c r="B80" s="252" t="s">
        <v>424</v>
      </c>
      <c r="C80" s="202" t="s">
        <v>566</v>
      </c>
      <c r="D80" s="202"/>
      <c r="E80" s="202"/>
      <c r="F80" s="362"/>
      <c r="G80" s="247"/>
      <c r="H80" s="247"/>
      <c r="I80" s="247"/>
      <c r="J80" s="247"/>
      <c r="K80" s="247"/>
      <c r="L80" s="247"/>
      <c r="M80" s="402" t="s">
        <v>602</v>
      </c>
      <c r="N80" s="403"/>
      <c r="O80" s="403"/>
      <c r="P80" s="403"/>
      <c r="Q80" s="403"/>
    </row>
    <row r="81" spans="1:17" x14ac:dyDescent="0.25">
      <c r="A81" s="412"/>
      <c r="B81" s="252" t="s">
        <v>424</v>
      </c>
      <c r="C81" s="202" t="s">
        <v>234</v>
      </c>
      <c r="D81" s="202"/>
      <c r="E81" s="202"/>
      <c r="F81" s="362"/>
      <c r="G81" s="224"/>
      <c r="H81" s="224"/>
      <c r="I81" s="224"/>
      <c r="J81" s="224"/>
      <c r="K81" s="224"/>
      <c r="L81" s="224"/>
      <c r="M81" s="402" t="s">
        <v>603</v>
      </c>
      <c r="N81" s="403"/>
      <c r="O81" s="403"/>
      <c r="P81" s="403"/>
      <c r="Q81" s="403"/>
    </row>
    <row r="82" spans="1:17" x14ac:dyDescent="0.25">
      <c r="A82" s="412"/>
      <c r="B82" s="252" t="s">
        <v>424</v>
      </c>
      <c r="C82" s="202" t="s">
        <v>351</v>
      </c>
      <c r="D82" s="202"/>
      <c r="E82" s="202"/>
      <c r="F82" s="362"/>
      <c r="G82" s="224"/>
      <c r="H82" s="224"/>
      <c r="I82" s="224"/>
      <c r="J82" s="224"/>
      <c r="K82" s="224"/>
      <c r="L82" s="224"/>
      <c r="M82" s="402" t="s">
        <v>604</v>
      </c>
      <c r="N82" s="403"/>
      <c r="O82" s="403"/>
      <c r="P82" s="403"/>
      <c r="Q82" s="403"/>
    </row>
    <row r="83" spans="1:17" x14ac:dyDescent="0.25">
      <c r="A83" s="412"/>
      <c r="B83" s="252" t="s">
        <v>424</v>
      </c>
      <c r="C83" s="202" t="s">
        <v>352</v>
      </c>
      <c r="D83" s="202"/>
      <c r="E83" s="202"/>
      <c r="F83" s="362"/>
      <c r="G83" s="224"/>
      <c r="H83" s="224"/>
      <c r="I83" s="224"/>
      <c r="J83" s="224"/>
      <c r="K83" s="224"/>
      <c r="L83" s="224"/>
      <c r="M83" s="402" t="s">
        <v>605</v>
      </c>
      <c r="N83" s="403"/>
      <c r="O83" s="403"/>
      <c r="P83" s="403"/>
      <c r="Q83" s="403"/>
    </row>
    <row r="84" spans="1:17" x14ac:dyDescent="0.25">
      <c r="A84" s="412"/>
      <c r="B84" s="252" t="s">
        <v>424</v>
      </c>
      <c r="C84" s="202" t="s">
        <v>353</v>
      </c>
      <c r="D84" s="202"/>
      <c r="E84" s="202"/>
      <c r="F84" s="362"/>
      <c r="G84" s="224"/>
      <c r="H84" s="224"/>
      <c r="I84" s="224"/>
      <c r="J84" s="224"/>
      <c r="K84" s="224"/>
      <c r="L84" s="224"/>
      <c r="M84" s="402" t="s">
        <v>606</v>
      </c>
      <c r="N84" s="403"/>
      <c r="O84" s="403"/>
      <c r="P84" s="403"/>
      <c r="Q84" s="403"/>
    </row>
    <row r="85" spans="1:17" x14ac:dyDescent="0.25">
      <c r="A85" s="412"/>
      <c r="B85" s="252" t="s">
        <v>424</v>
      </c>
      <c r="C85" s="202" t="s">
        <v>359</v>
      </c>
      <c r="D85" s="202"/>
      <c r="E85" s="202"/>
      <c r="F85" s="205"/>
      <c r="G85" s="224"/>
      <c r="H85" s="224"/>
      <c r="I85" s="224"/>
      <c r="J85" s="224"/>
      <c r="K85" s="224"/>
      <c r="L85" s="224"/>
      <c r="M85" s="405"/>
      <c r="N85" s="403"/>
      <c r="O85" s="403"/>
      <c r="P85" s="403"/>
      <c r="Q85" s="403"/>
    </row>
    <row r="86" spans="1:17" x14ac:dyDescent="0.25">
      <c r="A86" s="412"/>
      <c r="B86" s="252" t="s">
        <v>424</v>
      </c>
      <c r="C86" s="202" t="s">
        <v>360</v>
      </c>
      <c r="D86" s="202"/>
      <c r="E86" s="202"/>
      <c r="F86" s="225">
        <f>+F84-F85</f>
        <v>0</v>
      </c>
      <c r="G86" s="224"/>
      <c r="H86" s="224"/>
      <c r="I86" s="224"/>
      <c r="J86" s="224"/>
      <c r="K86" s="224"/>
      <c r="L86" s="224"/>
      <c r="M86" s="405"/>
      <c r="N86" s="403"/>
      <c r="O86" s="403"/>
      <c r="P86" s="403"/>
      <c r="Q86" s="403"/>
    </row>
    <row r="87" spans="1:17" x14ac:dyDescent="0.25">
      <c r="A87" s="412"/>
      <c r="B87" s="252" t="s">
        <v>424</v>
      </c>
      <c r="C87" s="202" t="s">
        <v>354</v>
      </c>
      <c r="D87" s="202"/>
      <c r="E87" s="202"/>
      <c r="F87" s="362">
        <v>0</v>
      </c>
      <c r="G87" s="224"/>
      <c r="H87" s="224"/>
      <c r="I87" s="224"/>
      <c r="J87" s="224"/>
      <c r="K87" s="224"/>
      <c r="L87" s="224"/>
      <c r="M87" s="402" t="s">
        <v>607</v>
      </c>
      <c r="N87" s="403"/>
      <c r="O87" s="403"/>
      <c r="P87" s="403"/>
      <c r="Q87" s="403"/>
    </row>
    <row r="88" spans="1:17" x14ac:dyDescent="0.25">
      <c r="A88" s="412"/>
      <c r="B88" s="252" t="s">
        <v>424</v>
      </c>
      <c r="C88" s="202" t="s">
        <v>355</v>
      </c>
      <c r="D88" s="202"/>
      <c r="E88" s="202"/>
      <c r="F88" s="362"/>
      <c r="G88" s="224"/>
      <c r="H88" s="224"/>
      <c r="I88" s="224"/>
      <c r="J88" s="224"/>
      <c r="K88" s="224"/>
      <c r="L88" s="224"/>
      <c r="M88" s="402" t="s">
        <v>608</v>
      </c>
      <c r="N88" s="403"/>
      <c r="O88" s="403"/>
      <c r="P88" s="403"/>
      <c r="Q88" s="403"/>
    </row>
    <row r="89" spans="1:17" x14ac:dyDescent="0.25">
      <c r="A89" s="412"/>
      <c r="B89" s="252" t="s">
        <v>424</v>
      </c>
      <c r="C89" s="202" t="s">
        <v>356</v>
      </c>
      <c r="D89" s="202"/>
      <c r="E89" s="202"/>
      <c r="F89" s="382"/>
      <c r="G89" s="224"/>
      <c r="H89" s="224"/>
      <c r="I89" s="224"/>
      <c r="J89" s="224"/>
      <c r="K89" s="224"/>
      <c r="L89" s="224"/>
      <c r="M89" s="402" t="s">
        <v>609</v>
      </c>
      <c r="N89" s="403"/>
      <c r="O89" s="403"/>
      <c r="P89" s="403"/>
      <c r="Q89" s="403"/>
    </row>
    <row r="90" spans="1:17" x14ac:dyDescent="0.25">
      <c r="A90" s="412"/>
      <c r="B90" s="252" t="s">
        <v>424</v>
      </c>
      <c r="C90" s="202" t="s">
        <v>357</v>
      </c>
      <c r="D90" s="202"/>
      <c r="E90" s="202"/>
      <c r="F90" s="366"/>
      <c r="G90" s="224"/>
      <c r="H90" s="224"/>
      <c r="I90" s="224"/>
      <c r="J90" s="224"/>
      <c r="K90" s="224"/>
      <c r="L90" s="224"/>
      <c r="M90" s="402" t="s">
        <v>610</v>
      </c>
      <c r="N90" s="403"/>
      <c r="O90" s="403"/>
      <c r="P90" s="403"/>
      <c r="Q90" s="403"/>
    </row>
    <row r="91" spans="1:17" x14ac:dyDescent="0.25">
      <c r="A91" s="412"/>
      <c r="B91" s="252" t="s">
        <v>424</v>
      </c>
      <c r="C91" s="202" t="s">
        <v>358</v>
      </c>
      <c r="D91" s="202"/>
      <c r="E91" s="202"/>
      <c r="F91" s="383"/>
      <c r="G91" s="224"/>
      <c r="H91" s="224"/>
      <c r="I91" s="224"/>
      <c r="J91" s="224"/>
      <c r="K91" s="224"/>
      <c r="L91" s="224"/>
      <c r="M91" s="402" t="s">
        <v>611</v>
      </c>
      <c r="N91" s="403"/>
      <c r="O91" s="403"/>
      <c r="P91" s="403"/>
      <c r="Q91" s="403"/>
    </row>
    <row r="92" spans="1:17" x14ac:dyDescent="0.25">
      <c r="A92" s="412"/>
      <c r="B92" s="252" t="s">
        <v>424</v>
      </c>
      <c r="C92" s="202" t="s">
        <v>361</v>
      </c>
      <c r="D92" s="202"/>
      <c r="E92" s="202"/>
      <c r="F92" s="205" t="e">
        <f>+emp!C9</f>
        <v>#NUM!</v>
      </c>
      <c r="G92" s="205" t="e">
        <f>+F92</f>
        <v>#NUM!</v>
      </c>
      <c r="H92" s="205" t="e">
        <f t="shared" ref="H92:L92" si="30">+G92</f>
        <v>#NUM!</v>
      </c>
      <c r="I92" s="205" t="e">
        <f t="shared" si="30"/>
        <v>#NUM!</v>
      </c>
      <c r="J92" s="205" t="e">
        <f t="shared" si="30"/>
        <v>#NUM!</v>
      </c>
      <c r="K92" s="205" t="e">
        <f t="shared" si="30"/>
        <v>#NUM!</v>
      </c>
      <c r="L92" s="205" t="e">
        <f t="shared" si="30"/>
        <v>#NUM!</v>
      </c>
      <c r="M92" s="405"/>
      <c r="N92" s="408"/>
      <c r="O92" s="408"/>
      <c r="P92" s="408"/>
      <c r="Q92" s="408"/>
    </row>
    <row r="93" spans="1:17" x14ac:dyDescent="0.25">
      <c r="A93" s="412"/>
      <c r="B93" s="252" t="s">
        <v>424</v>
      </c>
      <c r="C93" s="202" t="s">
        <v>362</v>
      </c>
      <c r="D93" s="202"/>
      <c r="E93" s="202"/>
      <c r="F93" s="205" t="e">
        <f>+F92*12</f>
        <v>#NUM!</v>
      </c>
      <c r="G93" s="205" t="e">
        <f t="shared" ref="G93:L93" si="31">+G92*12</f>
        <v>#NUM!</v>
      </c>
      <c r="H93" s="205" t="e">
        <f t="shared" si="31"/>
        <v>#NUM!</v>
      </c>
      <c r="I93" s="205" t="e">
        <f t="shared" si="31"/>
        <v>#NUM!</v>
      </c>
      <c r="J93" s="205" t="e">
        <f t="shared" si="31"/>
        <v>#NUM!</v>
      </c>
      <c r="K93" s="205" t="e">
        <f t="shared" si="31"/>
        <v>#NUM!</v>
      </c>
      <c r="L93" s="205" t="e">
        <f t="shared" si="31"/>
        <v>#NUM!</v>
      </c>
      <c r="M93" s="405"/>
      <c r="N93" s="408"/>
      <c r="O93" s="408"/>
      <c r="P93" s="408"/>
      <c r="Q93" s="408"/>
    </row>
    <row r="94" spans="1:17" x14ac:dyDescent="0.25">
      <c r="A94" s="412"/>
      <c r="B94" s="252" t="s">
        <v>424</v>
      </c>
      <c r="C94" s="202" t="s">
        <v>363</v>
      </c>
      <c r="D94" s="202"/>
      <c r="E94" s="202"/>
      <c r="F94" s="205">
        <f>+emp!I16</f>
        <v>0</v>
      </c>
      <c r="G94" s="205">
        <f>+emp!I28</f>
        <v>0</v>
      </c>
      <c r="H94" s="205">
        <f>+emp!I40</f>
        <v>0</v>
      </c>
      <c r="I94" s="205">
        <f>+emp!I52</f>
        <v>0</v>
      </c>
      <c r="J94" s="205">
        <f>+emp!I64</f>
        <v>0</v>
      </c>
      <c r="K94" s="205">
        <f>+emp!I76</f>
        <v>0</v>
      </c>
      <c r="L94" s="205">
        <f>+emp!I88</f>
        <v>0</v>
      </c>
      <c r="M94" s="405"/>
      <c r="N94" s="408"/>
      <c r="O94" s="408"/>
      <c r="P94" s="408"/>
      <c r="Q94" s="408"/>
    </row>
    <row r="95" spans="1:17" x14ac:dyDescent="0.25">
      <c r="A95" s="412"/>
      <c r="B95" s="252" t="s">
        <v>424</v>
      </c>
      <c r="C95" s="202" t="s">
        <v>364</v>
      </c>
      <c r="D95" s="202"/>
      <c r="E95" s="202"/>
      <c r="F95" s="205">
        <f>+emp!J16</f>
        <v>0</v>
      </c>
      <c r="G95" s="205">
        <f>+emp!J28</f>
        <v>0</v>
      </c>
      <c r="H95" s="205">
        <f>+emp!J40</f>
        <v>0</v>
      </c>
      <c r="I95" s="205">
        <f>+emp!J52</f>
        <v>0</v>
      </c>
      <c r="J95" s="205">
        <f>+emp!J64</f>
        <v>0</v>
      </c>
      <c r="K95" s="205">
        <f>+emp!J76</f>
        <v>0</v>
      </c>
      <c r="L95" s="205">
        <f>+emp!J88</f>
        <v>0</v>
      </c>
      <c r="M95" s="405"/>
      <c r="N95" s="408"/>
      <c r="O95" s="408"/>
      <c r="P95" s="408"/>
      <c r="Q95" s="408"/>
    </row>
    <row r="96" spans="1:17" x14ac:dyDescent="0.25">
      <c r="A96" s="412"/>
      <c r="B96" s="252" t="s">
        <v>424</v>
      </c>
      <c r="C96" s="202" t="s">
        <v>407</v>
      </c>
      <c r="D96" s="202"/>
      <c r="E96" s="202"/>
      <c r="F96" s="205">
        <f>+F75+F76+F77+F78+F79</f>
        <v>0</v>
      </c>
      <c r="G96" s="205">
        <f t="shared" ref="G96:L96" si="32">+G75+G76+G77+G78+G79</f>
        <v>0</v>
      </c>
      <c r="H96" s="205">
        <f t="shared" si="32"/>
        <v>0</v>
      </c>
      <c r="I96" s="205">
        <f t="shared" si="32"/>
        <v>0</v>
      </c>
      <c r="J96" s="205">
        <f t="shared" si="32"/>
        <v>0</v>
      </c>
      <c r="K96" s="205">
        <f t="shared" si="32"/>
        <v>0</v>
      </c>
      <c r="L96" s="205">
        <f t="shared" si="32"/>
        <v>0</v>
      </c>
      <c r="M96" s="405"/>
      <c r="N96" s="408"/>
      <c r="O96" s="408"/>
      <c r="P96" s="408"/>
      <c r="Q96" s="408"/>
    </row>
    <row r="97" spans="1:17" x14ac:dyDescent="0.25">
      <c r="A97" s="412"/>
      <c r="B97" s="252" t="s">
        <v>424</v>
      </c>
      <c r="C97" s="202" t="s">
        <v>408</v>
      </c>
      <c r="D97" s="202"/>
      <c r="E97" s="202"/>
      <c r="F97" s="205">
        <f>+F80+F82</f>
        <v>0</v>
      </c>
      <c r="G97" s="205">
        <f t="shared" ref="G97:L97" si="33">+G80+G82</f>
        <v>0</v>
      </c>
      <c r="H97" s="205">
        <f t="shared" si="33"/>
        <v>0</v>
      </c>
      <c r="I97" s="205">
        <f t="shared" si="33"/>
        <v>0</v>
      </c>
      <c r="J97" s="205">
        <f t="shared" si="33"/>
        <v>0</v>
      </c>
      <c r="K97" s="205">
        <f t="shared" si="33"/>
        <v>0</v>
      </c>
      <c r="L97" s="205">
        <f t="shared" si="33"/>
        <v>0</v>
      </c>
      <c r="M97" s="405"/>
      <c r="N97" s="408"/>
      <c r="O97" s="408"/>
      <c r="P97" s="408"/>
      <c r="Q97" s="408"/>
    </row>
    <row r="98" spans="1:17" x14ac:dyDescent="0.25">
      <c r="A98" s="412"/>
      <c r="B98" s="252" t="s">
        <v>424</v>
      </c>
      <c r="C98" s="202" t="s">
        <v>409</v>
      </c>
      <c r="D98" s="202"/>
      <c r="E98" s="202"/>
      <c r="F98" s="362">
        <v>7</v>
      </c>
      <c r="G98" s="205">
        <f>+F98</f>
        <v>7</v>
      </c>
      <c r="H98" s="205">
        <f t="shared" ref="H98:L98" si="34">+G98</f>
        <v>7</v>
      </c>
      <c r="I98" s="205">
        <f t="shared" si="34"/>
        <v>7</v>
      </c>
      <c r="J98" s="205">
        <f t="shared" si="34"/>
        <v>7</v>
      </c>
      <c r="K98" s="205">
        <f t="shared" si="34"/>
        <v>7</v>
      </c>
      <c r="L98" s="205">
        <f t="shared" si="34"/>
        <v>7</v>
      </c>
      <c r="M98" s="402" t="s">
        <v>612</v>
      </c>
      <c r="N98" s="403"/>
      <c r="O98" s="403"/>
      <c r="P98" s="403"/>
      <c r="Q98" s="403"/>
    </row>
    <row r="99" spans="1:17" x14ac:dyDescent="0.25">
      <c r="A99" s="412"/>
      <c r="B99" s="252" t="s">
        <v>424</v>
      </c>
      <c r="C99" s="202" t="s">
        <v>410</v>
      </c>
      <c r="D99" s="202"/>
      <c r="E99" s="202"/>
      <c r="F99" s="362"/>
      <c r="G99" s="205">
        <f>+F99+(G97/G98)</f>
        <v>0</v>
      </c>
      <c r="H99" s="205">
        <f t="shared" ref="H99:L99" si="35">+G99+(H97/H98)</f>
        <v>0</v>
      </c>
      <c r="I99" s="205">
        <f t="shared" si="35"/>
        <v>0</v>
      </c>
      <c r="J99" s="205">
        <f t="shared" si="35"/>
        <v>0</v>
      </c>
      <c r="K99" s="205">
        <f t="shared" si="35"/>
        <v>0</v>
      </c>
      <c r="L99" s="205">
        <f t="shared" si="35"/>
        <v>0</v>
      </c>
      <c r="M99" s="402" t="s">
        <v>613</v>
      </c>
      <c r="N99" s="403"/>
      <c r="O99" s="403"/>
      <c r="P99" s="403"/>
      <c r="Q99" s="403"/>
    </row>
    <row r="100" spans="1:17" x14ac:dyDescent="0.25">
      <c r="A100" s="264"/>
      <c r="B100" s="223"/>
      <c r="C100" s="220"/>
      <c r="D100" s="220"/>
      <c r="E100" s="220"/>
      <c r="F100" s="220"/>
      <c r="G100" s="220"/>
      <c r="H100" s="220"/>
      <c r="I100" s="220"/>
      <c r="J100" s="220"/>
      <c r="K100" s="220"/>
      <c r="L100" s="228"/>
      <c r="M100" s="409"/>
      <c r="N100" s="410"/>
      <c r="O100" s="410"/>
      <c r="P100" s="410"/>
      <c r="Q100" s="410"/>
    </row>
    <row r="101" spans="1:17" s="229" customFormat="1" x14ac:dyDescent="0.25">
      <c r="A101" s="412" t="s">
        <v>190</v>
      </c>
      <c r="B101" s="252" t="s">
        <v>425</v>
      </c>
      <c r="C101" s="219" t="s">
        <v>381</v>
      </c>
      <c r="D101" s="219"/>
      <c r="E101" s="219"/>
      <c r="F101" s="205"/>
      <c r="G101" s="207">
        <v>0.03</v>
      </c>
      <c r="H101" s="207">
        <v>0.03</v>
      </c>
      <c r="I101" s="207">
        <v>0.03</v>
      </c>
      <c r="J101" s="207">
        <v>0.03</v>
      </c>
      <c r="K101" s="207">
        <v>0.03</v>
      </c>
      <c r="L101" s="207">
        <v>0.03</v>
      </c>
      <c r="M101" s="406" t="s">
        <v>614</v>
      </c>
      <c r="N101" s="407"/>
      <c r="O101" s="407"/>
      <c r="P101" s="407"/>
      <c r="Q101" s="407"/>
    </row>
    <row r="102" spans="1:17" ht="12.75" customHeight="1" x14ac:dyDescent="0.25">
      <c r="A102" s="412"/>
      <c r="B102" s="252" t="s">
        <v>425</v>
      </c>
      <c r="C102" s="202" t="s">
        <v>366</v>
      </c>
      <c r="D102" s="202"/>
      <c r="E102" s="202"/>
      <c r="F102" s="362"/>
      <c r="G102" s="205">
        <f>+F102*(1+G$101)</f>
        <v>0</v>
      </c>
      <c r="H102" s="205">
        <f t="shared" ref="H102:L102" si="36">+G102*(1+H$101)</f>
        <v>0</v>
      </c>
      <c r="I102" s="205">
        <f t="shared" si="36"/>
        <v>0</v>
      </c>
      <c r="J102" s="205">
        <f t="shared" si="36"/>
        <v>0</v>
      </c>
      <c r="K102" s="205">
        <f t="shared" si="36"/>
        <v>0</v>
      </c>
      <c r="L102" s="205">
        <f t="shared" si="36"/>
        <v>0</v>
      </c>
      <c r="M102" s="402" t="s">
        <v>615</v>
      </c>
      <c r="N102" s="403"/>
      <c r="O102" s="403"/>
      <c r="P102" s="403"/>
      <c r="Q102" s="403"/>
    </row>
    <row r="103" spans="1:17" x14ac:dyDescent="0.25">
      <c r="A103" s="412"/>
      <c r="B103" s="252" t="s">
        <v>425</v>
      </c>
      <c r="C103" s="202" t="s">
        <v>367</v>
      </c>
      <c r="D103" s="202"/>
      <c r="E103" s="202"/>
      <c r="F103" s="362"/>
      <c r="G103" s="205">
        <f t="shared" ref="G103:L115" si="37">+F103*(1+G$101)</f>
        <v>0</v>
      </c>
      <c r="H103" s="205">
        <f t="shared" si="37"/>
        <v>0</v>
      </c>
      <c r="I103" s="205">
        <f t="shared" si="37"/>
        <v>0</v>
      </c>
      <c r="J103" s="205">
        <f t="shared" si="37"/>
        <v>0</v>
      </c>
      <c r="K103" s="205">
        <f t="shared" si="37"/>
        <v>0</v>
      </c>
      <c r="L103" s="205">
        <f t="shared" si="37"/>
        <v>0</v>
      </c>
      <c r="M103" s="402" t="s">
        <v>615</v>
      </c>
      <c r="N103" s="403"/>
      <c r="O103" s="403"/>
      <c r="P103" s="403"/>
      <c r="Q103" s="403"/>
    </row>
    <row r="104" spans="1:17" x14ac:dyDescent="0.25">
      <c r="A104" s="412"/>
      <c r="B104" s="252" t="s">
        <v>425</v>
      </c>
      <c r="C104" s="202" t="s">
        <v>368</v>
      </c>
      <c r="D104" s="202"/>
      <c r="E104" s="202"/>
      <c r="F104" s="362"/>
      <c r="G104" s="205">
        <f t="shared" si="37"/>
        <v>0</v>
      </c>
      <c r="H104" s="205">
        <f t="shared" si="37"/>
        <v>0</v>
      </c>
      <c r="I104" s="205">
        <f t="shared" si="37"/>
        <v>0</v>
      </c>
      <c r="J104" s="205">
        <f t="shared" si="37"/>
        <v>0</v>
      </c>
      <c r="K104" s="205">
        <f t="shared" si="37"/>
        <v>0</v>
      </c>
      <c r="L104" s="205">
        <f t="shared" si="37"/>
        <v>0</v>
      </c>
      <c r="M104" s="402" t="s">
        <v>615</v>
      </c>
      <c r="N104" s="403"/>
      <c r="O104" s="403"/>
      <c r="P104" s="403"/>
      <c r="Q104" s="403"/>
    </row>
    <row r="105" spans="1:17" x14ac:dyDescent="0.25">
      <c r="A105" s="412"/>
      <c r="B105" s="252" t="s">
        <v>425</v>
      </c>
      <c r="C105" s="202" t="s">
        <v>369</v>
      </c>
      <c r="D105" s="202"/>
      <c r="E105" s="202"/>
      <c r="F105" s="362"/>
      <c r="G105" s="205">
        <f t="shared" si="37"/>
        <v>0</v>
      </c>
      <c r="H105" s="205">
        <f t="shared" si="37"/>
        <v>0</v>
      </c>
      <c r="I105" s="205">
        <f t="shared" si="37"/>
        <v>0</v>
      </c>
      <c r="J105" s="205">
        <f t="shared" si="37"/>
        <v>0</v>
      </c>
      <c r="K105" s="205">
        <f t="shared" si="37"/>
        <v>0</v>
      </c>
      <c r="L105" s="205">
        <f t="shared" si="37"/>
        <v>0</v>
      </c>
      <c r="M105" s="402" t="s">
        <v>615</v>
      </c>
      <c r="N105" s="403"/>
      <c r="O105" s="403"/>
      <c r="P105" s="403"/>
      <c r="Q105" s="403"/>
    </row>
    <row r="106" spans="1:17" x14ac:dyDescent="0.25">
      <c r="A106" s="412"/>
      <c r="B106" s="252" t="s">
        <v>425</v>
      </c>
      <c r="C106" s="202" t="s">
        <v>370</v>
      </c>
      <c r="D106" s="202"/>
      <c r="E106" s="218">
        <v>0.03</v>
      </c>
      <c r="F106" s="230" t="e">
        <f>+$E$106*F41</f>
        <v>#DIV/0!</v>
      </c>
      <c r="G106" s="230" t="e">
        <f t="shared" ref="G106:L106" si="38">+$E$106*G41</f>
        <v>#DIV/0!</v>
      </c>
      <c r="H106" s="230" t="e">
        <f t="shared" si="38"/>
        <v>#DIV/0!</v>
      </c>
      <c r="I106" s="230" t="e">
        <f t="shared" si="38"/>
        <v>#DIV/0!</v>
      </c>
      <c r="J106" s="230" t="e">
        <f t="shared" si="38"/>
        <v>#DIV/0!</v>
      </c>
      <c r="K106" s="230" t="e">
        <f t="shared" si="38"/>
        <v>#DIV/0!</v>
      </c>
      <c r="L106" s="230" t="e">
        <f t="shared" si="38"/>
        <v>#DIV/0!</v>
      </c>
      <c r="M106" s="405"/>
      <c r="N106" s="408"/>
      <c r="O106" s="408"/>
      <c r="P106" s="408"/>
      <c r="Q106" s="408"/>
    </row>
    <row r="107" spans="1:17" x14ac:dyDescent="0.25">
      <c r="A107" s="412"/>
      <c r="B107" s="252" t="s">
        <v>425</v>
      </c>
      <c r="C107" s="202" t="s">
        <v>371</v>
      </c>
      <c r="D107" s="202"/>
      <c r="E107" s="202"/>
      <c r="F107" s="362"/>
      <c r="G107" s="205">
        <f t="shared" si="37"/>
        <v>0</v>
      </c>
      <c r="H107" s="205">
        <f t="shared" si="37"/>
        <v>0</v>
      </c>
      <c r="I107" s="205">
        <f t="shared" si="37"/>
        <v>0</v>
      </c>
      <c r="J107" s="205">
        <f t="shared" si="37"/>
        <v>0</v>
      </c>
      <c r="K107" s="205">
        <f t="shared" si="37"/>
        <v>0</v>
      </c>
      <c r="L107" s="205">
        <f t="shared" si="37"/>
        <v>0</v>
      </c>
      <c r="M107" s="402" t="s">
        <v>615</v>
      </c>
      <c r="N107" s="403"/>
      <c r="O107" s="403"/>
      <c r="P107" s="403"/>
      <c r="Q107" s="403"/>
    </row>
    <row r="108" spans="1:17" x14ac:dyDescent="0.25">
      <c r="A108" s="412"/>
      <c r="B108" s="252" t="s">
        <v>425</v>
      </c>
      <c r="C108" s="202" t="s">
        <v>372</v>
      </c>
      <c r="D108" s="202"/>
      <c r="E108" s="202"/>
      <c r="F108" s="362"/>
      <c r="G108" s="205">
        <f t="shared" si="37"/>
        <v>0</v>
      </c>
      <c r="H108" s="205">
        <f t="shared" si="37"/>
        <v>0</v>
      </c>
      <c r="I108" s="205">
        <f t="shared" si="37"/>
        <v>0</v>
      </c>
      <c r="J108" s="205">
        <f t="shared" si="37"/>
        <v>0</v>
      </c>
      <c r="K108" s="205">
        <f t="shared" si="37"/>
        <v>0</v>
      </c>
      <c r="L108" s="205">
        <f t="shared" si="37"/>
        <v>0</v>
      </c>
      <c r="M108" s="402" t="s">
        <v>615</v>
      </c>
      <c r="N108" s="403"/>
      <c r="O108" s="403"/>
      <c r="P108" s="403"/>
      <c r="Q108" s="403"/>
    </row>
    <row r="109" spans="1:17" x14ac:dyDescent="0.25">
      <c r="A109" s="412"/>
      <c r="B109" s="252" t="s">
        <v>425</v>
      </c>
      <c r="C109" s="202" t="s">
        <v>378</v>
      </c>
      <c r="D109" s="202"/>
      <c r="E109" s="202"/>
      <c r="F109" s="362"/>
      <c r="G109" s="205">
        <f t="shared" si="37"/>
        <v>0</v>
      </c>
      <c r="H109" s="205">
        <f t="shared" si="37"/>
        <v>0</v>
      </c>
      <c r="I109" s="205">
        <f t="shared" si="37"/>
        <v>0</v>
      </c>
      <c r="J109" s="205">
        <f t="shared" si="37"/>
        <v>0</v>
      </c>
      <c r="K109" s="205">
        <f t="shared" si="37"/>
        <v>0</v>
      </c>
      <c r="L109" s="205">
        <f t="shared" si="37"/>
        <v>0</v>
      </c>
      <c r="M109" s="402" t="s">
        <v>615</v>
      </c>
      <c r="N109" s="403"/>
      <c r="O109" s="403"/>
      <c r="P109" s="403"/>
      <c r="Q109" s="403"/>
    </row>
    <row r="110" spans="1:17" x14ac:dyDescent="0.25">
      <c r="A110" s="412"/>
      <c r="B110" s="252" t="s">
        <v>425</v>
      </c>
      <c r="C110" s="202" t="s">
        <v>376</v>
      </c>
      <c r="D110" s="202"/>
      <c r="E110" s="202"/>
      <c r="F110" s="362"/>
      <c r="G110" s="205">
        <f t="shared" si="37"/>
        <v>0</v>
      </c>
      <c r="H110" s="205">
        <f t="shared" si="37"/>
        <v>0</v>
      </c>
      <c r="I110" s="205">
        <f t="shared" si="37"/>
        <v>0</v>
      </c>
      <c r="J110" s="205">
        <f t="shared" si="37"/>
        <v>0</v>
      </c>
      <c r="K110" s="205">
        <f t="shared" si="37"/>
        <v>0</v>
      </c>
      <c r="L110" s="205">
        <f t="shared" si="37"/>
        <v>0</v>
      </c>
      <c r="M110" s="402" t="s">
        <v>615</v>
      </c>
      <c r="N110" s="403"/>
      <c r="O110" s="403"/>
      <c r="P110" s="403"/>
      <c r="Q110" s="403"/>
    </row>
    <row r="111" spans="1:17" x14ac:dyDescent="0.25">
      <c r="A111" s="412"/>
      <c r="B111" s="252" t="s">
        <v>425</v>
      </c>
      <c r="C111" s="202" t="s">
        <v>373</v>
      </c>
      <c r="D111" s="202"/>
      <c r="E111" s="202"/>
      <c r="F111" s="362"/>
      <c r="G111" s="205">
        <f t="shared" si="37"/>
        <v>0</v>
      </c>
      <c r="H111" s="205">
        <f t="shared" si="37"/>
        <v>0</v>
      </c>
      <c r="I111" s="205">
        <f t="shared" si="37"/>
        <v>0</v>
      </c>
      <c r="J111" s="205">
        <f t="shared" si="37"/>
        <v>0</v>
      </c>
      <c r="K111" s="205">
        <f t="shared" si="37"/>
        <v>0</v>
      </c>
      <c r="L111" s="205">
        <f t="shared" si="37"/>
        <v>0</v>
      </c>
      <c r="M111" s="402" t="s">
        <v>615</v>
      </c>
      <c r="N111" s="403"/>
      <c r="O111" s="403"/>
      <c r="P111" s="403"/>
      <c r="Q111" s="403"/>
    </row>
    <row r="112" spans="1:17" x14ac:dyDescent="0.25">
      <c r="A112" s="412"/>
      <c r="B112" s="252" t="s">
        <v>425</v>
      </c>
      <c r="C112" s="202" t="s">
        <v>374</v>
      </c>
      <c r="D112" s="202"/>
      <c r="E112" s="202"/>
      <c r="F112" s="362"/>
      <c r="G112" s="205">
        <f t="shared" si="37"/>
        <v>0</v>
      </c>
      <c r="H112" s="205">
        <f t="shared" si="37"/>
        <v>0</v>
      </c>
      <c r="I112" s="205">
        <f t="shared" si="37"/>
        <v>0</v>
      </c>
      <c r="J112" s="205">
        <f t="shared" si="37"/>
        <v>0</v>
      </c>
      <c r="K112" s="205">
        <f t="shared" si="37"/>
        <v>0</v>
      </c>
      <c r="L112" s="205">
        <f t="shared" si="37"/>
        <v>0</v>
      </c>
      <c r="M112" s="402" t="s">
        <v>615</v>
      </c>
      <c r="N112" s="403"/>
      <c r="O112" s="403"/>
      <c r="P112" s="403"/>
      <c r="Q112" s="403"/>
    </row>
    <row r="113" spans="1:17" x14ac:dyDescent="0.25">
      <c r="A113" s="412"/>
      <c r="B113" s="252" t="s">
        <v>425</v>
      </c>
      <c r="C113" s="202" t="s">
        <v>375</v>
      </c>
      <c r="D113" s="202"/>
      <c r="E113" s="202"/>
      <c r="F113" s="362"/>
      <c r="G113" s="205">
        <f t="shared" si="37"/>
        <v>0</v>
      </c>
      <c r="H113" s="205">
        <f t="shared" si="37"/>
        <v>0</v>
      </c>
      <c r="I113" s="205">
        <f t="shared" si="37"/>
        <v>0</v>
      </c>
      <c r="J113" s="205">
        <f t="shared" si="37"/>
        <v>0</v>
      </c>
      <c r="K113" s="205">
        <f t="shared" si="37"/>
        <v>0</v>
      </c>
      <c r="L113" s="205">
        <f t="shared" si="37"/>
        <v>0</v>
      </c>
      <c r="M113" s="402" t="s">
        <v>615</v>
      </c>
      <c r="N113" s="403"/>
      <c r="O113" s="403"/>
      <c r="P113" s="403"/>
      <c r="Q113" s="403"/>
    </row>
    <row r="114" spans="1:17" x14ac:dyDescent="0.25">
      <c r="A114" s="412"/>
      <c r="B114" s="252" t="s">
        <v>425</v>
      </c>
      <c r="C114" s="202" t="s">
        <v>377</v>
      </c>
      <c r="D114" s="202"/>
      <c r="E114" s="202"/>
      <c r="F114" s="362"/>
      <c r="G114" s="205">
        <f t="shared" si="37"/>
        <v>0</v>
      </c>
      <c r="H114" s="205">
        <f t="shared" si="37"/>
        <v>0</v>
      </c>
      <c r="I114" s="205">
        <f t="shared" si="37"/>
        <v>0</v>
      </c>
      <c r="J114" s="205">
        <f t="shared" si="37"/>
        <v>0</v>
      </c>
      <c r="K114" s="205">
        <f t="shared" si="37"/>
        <v>0</v>
      </c>
      <c r="L114" s="205">
        <f t="shared" si="37"/>
        <v>0</v>
      </c>
      <c r="M114" s="402" t="s">
        <v>615</v>
      </c>
      <c r="N114" s="403"/>
      <c r="O114" s="403"/>
      <c r="P114" s="403"/>
      <c r="Q114" s="403"/>
    </row>
    <row r="115" spans="1:17" x14ac:dyDescent="0.25">
      <c r="A115" s="412"/>
      <c r="B115" s="252" t="s">
        <v>425</v>
      </c>
      <c r="C115" s="202" t="s">
        <v>379</v>
      </c>
      <c r="D115" s="202"/>
      <c r="E115" s="202"/>
      <c r="F115" s="362"/>
      <c r="G115" s="205">
        <f t="shared" si="37"/>
        <v>0</v>
      </c>
      <c r="H115" s="205">
        <f t="shared" si="37"/>
        <v>0</v>
      </c>
      <c r="I115" s="205">
        <f t="shared" si="37"/>
        <v>0</v>
      </c>
      <c r="J115" s="205">
        <f t="shared" si="37"/>
        <v>0</v>
      </c>
      <c r="K115" s="205">
        <f t="shared" si="37"/>
        <v>0</v>
      </c>
      <c r="L115" s="205">
        <f t="shared" si="37"/>
        <v>0</v>
      </c>
      <c r="M115" s="402" t="s">
        <v>615</v>
      </c>
      <c r="N115" s="403"/>
      <c r="O115" s="403"/>
      <c r="P115" s="403"/>
      <c r="Q115" s="403"/>
    </row>
    <row r="116" spans="1:17" x14ac:dyDescent="0.25">
      <c r="A116" s="412"/>
      <c r="B116" s="252" t="s">
        <v>425</v>
      </c>
      <c r="C116" s="202" t="s">
        <v>380</v>
      </c>
      <c r="D116" s="202"/>
      <c r="E116" s="202"/>
      <c r="F116" s="232">
        <v>0.03</v>
      </c>
      <c r="G116" s="233">
        <f>+F116</f>
        <v>0.03</v>
      </c>
      <c r="H116" s="233">
        <f t="shared" ref="H116:L116" si="39">+G116</f>
        <v>0.03</v>
      </c>
      <c r="I116" s="233">
        <f t="shared" si="39"/>
        <v>0.03</v>
      </c>
      <c r="J116" s="233">
        <f t="shared" si="39"/>
        <v>0.03</v>
      </c>
      <c r="K116" s="233">
        <f t="shared" si="39"/>
        <v>0.03</v>
      </c>
      <c r="L116" s="233">
        <f t="shared" si="39"/>
        <v>0.03</v>
      </c>
      <c r="M116" s="405"/>
      <c r="N116" s="403"/>
      <c r="O116" s="403"/>
      <c r="P116" s="403"/>
      <c r="Q116" s="403"/>
    </row>
    <row r="117" spans="1:17" x14ac:dyDescent="0.25">
      <c r="A117" s="412"/>
      <c r="B117" s="252" t="s">
        <v>425</v>
      </c>
      <c r="C117" s="202" t="s">
        <v>382</v>
      </c>
      <c r="D117" s="202"/>
      <c r="E117" s="202"/>
      <c r="F117" s="230">
        <f t="shared" ref="F117:L117" si="40">+F116*F10/1.196</f>
        <v>0</v>
      </c>
      <c r="G117" s="230">
        <f t="shared" si="40"/>
        <v>0</v>
      </c>
      <c r="H117" s="230">
        <f t="shared" si="40"/>
        <v>0</v>
      </c>
      <c r="I117" s="230">
        <f t="shared" si="40"/>
        <v>0</v>
      </c>
      <c r="J117" s="230">
        <f t="shared" si="40"/>
        <v>0</v>
      </c>
      <c r="K117" s="230">
        <f t="shared" si="40"/>
        <v>0</v>
      </c>
      <c r="L117" s="230">
        <f t="shared" si="40"/>
        <v>0</v>
      </c>
      <c r="M117" s="405"/>
      <c r="N117" s="403"/>
      <c r="O117" s="403"/>
      <c r="P117" s="403"/>
      <c r="Q117" s="403"/>
    </row>
    <row r="118" spans="1:17" x14ac:dyDescent="0.25">
      <c r="A118" s="412"/>
      <c r="B118" s="252" t="s">
        <v>425</v>
      </c>
      <c r="C118" s="202" t="s">
        <v>406</v>
      </c>
      <c r="D118" s="202"/>
      <c r="E118" s="202"/>
      <c r="F118" s="218">
        <v>0</v>
      </c>
      <c r="G118" s="246">
        <f>+F118</f>
        <v>0</v>
      </c>
      <c r="H118" s="246">
        <f t="shared" ref="H118:L118" si="41">+G118</f>
        <v>0</v>
      </c>
      <c r="I118" s="246">
        <f t="shared" si="41"/>
        <v>0</v>
      </c>
      <c r="J118" s="246">
        <f t="shared" si="41"/>
        <v>0</v>
      </c>
      <c r="K118" s="246">
        <f t="shared" si="41"/>
        <v>0</v>
      </c>
      <c r="L118" s="246">
        <f t="shared" si="41"/>
        <v>0</v>
      </c>
      <c r="M118" s="402" t="s">
        <v>615</v>
      </c>
      <c r="N118" s="403"/>
      <c r="O118" s="403"/>
      <c r="P118" s="403"/>
      <c r="Q118" s="403"/>
    </row>
    <row r="119" spans="1:17" x14ac:dyDescent="0.25">
      <c r="A119" s="412"/>
      <c r="B119" s="252" t="s">
        <v>425</v>
      </c>
      <c r="C119" s="202" t="s">
        <v>399</v>
      </c>
      <c r="D119" s="202"/>
      <c r="E119" s="245">
        <v>6.4999999999999997E-3</v>
      </c>
      <c r="F119" s="230" t="e">
        <f t="shared" ref="F119:L119" si="42">+(F10/1.196*F26*$E$119)+(F118*F41*F26)</f>
        <v>#DIV/0!</v>
      </c>
      <c r="G119" s="230" t="e">
        <f t="shared" si="42"/>
        <v>#DIV/0!</v>
      </c>
      <c r="H119" s="230" t="e">
        <f t="shared" si="42"/>
        <v>#DIV/0!</v>
      </c>
      <c r="I119" s="230" t="e">
        <f t="shared" si="42"/>
        <v>#DIV/0!</v>
      </c>
      <c r="J119" s="230" t="e">
        <f t="shared" si="42"/>
        <v>#DIV/0!</v>
      </c>
      <c r="K119" s="230" t="e">
        <f t="shared" si="42"/>
        <v>#DIV/0!</v>
      </c>
      <c r="L119" s="230" t="e">
        <f t="shared" si="42"/>
        <v>#DIV/0!</v>
      </c>
      <c r="M119" s="405"/>
      <c r="N119" s="403"/>
      <c r="O119" s="403"/>
      <c r="P119" s="403"/>
      <c r="Q119" s="403"/>
    </row>
    <row r="120" spans="1:17" x14ac:dyDescent="0.25">
      <c r="A120" s="412"/>
      <c r="B120" s="252" t="s">
        <v>425</v>
      </c>
      <c r="C120" s="202" t="s">
        <v>391</v>
      </c>
      <c r="D120" s="202"/>
      <c r="E120" s="202"/>
      <c r="F120" s="230"/>
      <c r="G120" s="230"/>
      <c r="H120" s="230"/>
      <c r="I120" s="230"/>
      <c r="J120" s="230"/>
      <c r="K120" s="230"/>
      <c r="L120" s="230"/>
      <c r="M120" s="405"/>
      <c r="N120" s="403"/>
      <c r="O120" s="403"/>
      <c r="P120" s="403"/>
      <c r="Q120" s="403"/>
    </row>
    <row r="121" spans="1:17" x14ac:dyDescent="0.25">
      <c r="A121" s="412"/>
      <c r="B121" s="252" t="s">
        <v>425</v>
      </c>
      <c r="C121" s="202" t="s">
        <v>385</v>
      </c>
      <c r="D121" s="202"/>
      <c r="E121" s="202"/>
      <c r="F121" s="204"/>
      <c r="G121" s="204"/>
      <c r="H121" s="204"/>
      <c r="I121" s="204"/>
      <c r="J121" s="204"/>
      <c r="K121" s="204"/>
      <c r="L121" s="204"/>
      <c r="M121" s="402" t="s">
        <v>615</v>
      </c>
      <c r="N121" s="403"/>
      <c r="O121" s="403"/>
      <c r="P121" s="403"/>
      <c r="Q121" s="403"/>
    </row>
    <row r="122" spans="1:17" x14ac:dyDescent="0.25">
      <c r="A122" s="412"/>
      <c r="B122" s="252" t="s">
        <v>425</v>
      </c>
      <c r="C122" s="202" t="s">
        <v>386</v>
      </c>
      <c r="D122" s="202"/>
      <c r="E122" s="202"/>
      <c r="F122" s="204"/>
      <c r="G122" s="204"/>
      <c r="H122" s="204"/>
      <c r="I122" s="204"/>
      <c r="J122" s="204"/>
      <c r="K122" s="204"/>
      <c r="L122" s="204"/>
      <c r="M122" s="402" t="s">
        <v>615</v>
      </c>
      <c r="N122" s="403"/>
      <c r="O122" s="403"/>
      <c r="P122" s="403"/>
      <c r="Q122" s="403"/>
    </row>
    <row r="123" spans="1:17" x14ac:dyDescent="0.25">
      <c r="A123" s="412"/>
      <c r="B123" s="252" t="s">
        <v>425</v>
      </c>
      <c r="C123" s="202"/>
      <c r="D123" s="202"/>
      <c r="E123" s="202"/>
      <c r="F123" s="231"/>
      <c r="G123" s="231"/>
      <c r="H123" s="231"/>
      <c r="I123" s="231"/>
      <c r="J123" s="231"/>
      <c r="K123" s="231"/>
      <c r="L123" s="231"/>
      <c r="M123" s="405"/>
      <c r="N123" s="403"/>
      <c r="O123" s="403"/>
      <c r="P123" s="403"/>
      <c r="Q123" s="403"/>
    </row>
    <row r="124" spans="1:17" x14ac:dyDescent="0.25">
      <c r="A124" s="412"/>
      <c r="B124" s="252" t="s">
        <v>425</v>
      </c>
      <c r="C124" s="202" t="s">
        <v>383</v>
      </c>
      <c r="D124" s="202"/>
      <c r="E124" s="202"/>
      <c r="F124" s="230" t="e">
        <f>+F102+F103+F104+F105+F106+F107+F109+F108+F110+F111+F112+F113+F114+F115+F117+F121+F122+F119+F120</f>
        <v>#DIV/0!</v>
      </c>
      <c r="G124" s="230" t="e">
        <f t="shared" ref="G124:L124" si="43">+G102+G103+G104+G105+G106+G107+G109+G108+G110+G111+G112+G113+G114+G115+G117+G121+G122+G119+G120</f>
        <v>#DIV/0!</v>
      </c>
      <c r="H124" s="230" t="e">
        <f t="shared" si="43"/>
        <v>#DIV/0!</v>
      </c>
      <c r="I124" s="230" t="e">
        <f t="shared" si="43"/>
        <v>#DIV/0!</v>
      </c>
      <c r="J124" s="230" t="e">
        <f t="shared" si="43"/>
        <v>#DIV/0!</v>
      </c>
      <c r="K124" s="230" t="e">
        <f t="shared" si="43"/>
        <v>#DIV/0!</v>
      </c>
      <c r="L124" s="230" t="e">
        <f t="shared" si="43"/>
        <v>#DIV/0!</v>
      </c>
      <c r="M124" s="405"/>
      <c r="N124" s="403"/>
      <c r="O124" s="403"/>
      <c r="P124" s="403"/>
      <c r="Q124" s="403"/>
    </row>
    <row r="125" spans="1:17" x14ac:dyDescent="0.25">
      <c r="A125" s="264"/>
      <c r="B125" s="223"/>
      <c r="C125" s="220"/>
      <c r="D125" s="220"/>
      <c r="E125" s="220"/>
      <c r="F125" s="220"/>
      <c r="G125" s="220"/>
      <c r="H125" s="220"/>
      <c r="I125" s="220"/>
      <c r="J125" s="220"/>
      <c r="K125" s="220"/>
      <c r="L125" s="228"/>
      <c r="M125" s="409"/>
      <c r="N125" s="410"/>
      <c r="O125" s="410"/>
      <c r="P125" s="410"/>
      <c r="Q125" s="410"/>
    </row>
    <row r="126" spans="1:17" x14ac:dyDescent="0.25">
      <c r="A126" s="412" t="s">
        <v>191</v>
      </c>
      <c r="B126" s="252" t="s">
        <v>426</v>
      </c>
      <c r="C126" s="202" t="s">
        <v>393</v>
      </c>
      <c r="D126" s="202"/>
      <c r="E126" s="202"/>
      <c r="F126" s="362"/>
      <c r="G126" s="205">
        <f>+F126*(1+G$130)</f>
        <v>0</v>
      </c>
      <c r="H126" s="205">
        <f t="shared" ref="H126:L126" si="44">+G126*(1+H$130)</f>
        <v>0</v>
      </c>
      <c r="I126" s="205">
        <f t="shared" si="44"/>
        <v>0</v>
      </c>
      <c r="J126" s="205">
        <f t="shared" si="44"/>
        <v>0</v>
      </c>
      <c r="K126" s="205">
        <f t="shared" si="44"/>
        <v>0</v>
      </c>
      <c r="L126" s="205">
        <f t="shared" si="44"/>
        <v>0</v>
      </c>
      <c r="M126" s="402" t="s">
        <v>616</v>
      </c>
      <c r="N126" s="403"/>
      <c r="O126" s="403"/>
      <c r="P126" s="403"/>
      <c r="Q126" s="403"/>
    </row>
    <row r="127" spans="1:17" x14ac:dyDescent="0.25">
      <c r="A127" s="412"/>
      <c r="B127" s="252" t="s">
        <v>426</v>
      </c>
      <c r="C127" s="202" t="s">
        <v>394</v>
      </c>
      <c r="D127" s="202"/>
      <c r="E127" s="202"/>
      <c r="F127" s="362"/>
      <c r="G127" s="205">
        <f t="shared" ref="G127:L128" si="45">+F127*(1+G$130)</f>
        <v>0</v>
      </c>
      <c r="H127" s="205">
        <f t="shared" si="45"/>
        <v>0</v>
      </c>
      <c r="I127" s="205">
        <f t="shared" si="45"/>
        <v>0</v>
      </c>
      <c r="J127" s="205">
        <f t="shared" si="45"/>
        <v>0</v>
      </c>
      <c r="K127" s="205">
        <f t="shared" si="45"/>
        <v>0</v>
      </c>
      <c r="L127" s="205">
        <f t="shared" si="45"/>
        <v>0</v>
      </c>
      <c r="M127" s="402" t="s">
        <v>616</v>
      </c>
      <c r="N127" s="403"/>
      <c r="O127" s="403"/>
      <c r="P127" s="403"/>
      <c r="Q127" s="403"/>
    </row>
    <row r="128" spans="1:17" x14ac:dyDescent="0.25">
      <c r="A128" s="412"/>
      <c r="B128" s="252" t="s">
        <v>426</v>
      </c>
      <c r="C128" s="202" t="s">
        <v>395</v>
      </c>
      <c r="D128" s="202"/>
      <c r="E128" s="202"/>
      <c r="F128" s="362"/>
      <c r="G128" s="205">
        <f t="shared" si="45"/>
        <v>0</v>
      </c>
      <c r="H128" s="205">
        <f t="shared" si="45"/>
        <v>0</v>
      </c>
      <c r="I128" s="205">
        <f t="shared" si="45"/>
        <v>0</v>
      </c>
      <c r="J128" s="205">
        <f t="shared" si="45"/>
        <v>0</v>
      </c>
      <c r="K128" s="205">
        <f t="shared" si="45"/>
        <v>0</v>
      </c>
      <c r="L128" s="205">
        <f t="shared" si="45"/>
        <v>0</v>
      </c>
      <c r="M128" s="402" t="s">
        <v>616</v>
      </c>
      <c r="N128" s="403"/>
      <c r="O128" s="403"/>
      <c r="P128" s="403"/>
      <c r="Q128" s="403"/>
    </row>
    <row r="129" spans="1:17" x14ac:dyDescent="0.25">
      <c r="A129" s="412"/>
      <c r="B129" s="252" t="s">
        <v>426</v>
      </c>
      <c r="C129" s="202" t="s">
        <v>405</v>
      </c>
      <c r="D129" s="202"/>
      <c r="E129" s="202"/>
      <c r="F129" s="258">
        <v>0.33333299999999999</v>
      </c>
      <c r="G129" s="244">
        <f>+F129</f>
        <v>0.33333299999999999</v>
      </c>
      <c r="H129" s="244">
        <f t="shared" ref="H129:L129" si="46">+G129</f>
        <v>0.33333299999999999</v>
      </c>
      <c r="I129" s="244">
        <f t="shared" si="46"/>
        <v>0.33333299999999999</v>
      </c>
      <c r="J129" s="244">
        <f t="shared" si="46"/>
        <v>0.33333299999999999</v>
      </c>
      <c r="K129" s="244">
        <f t="shared" si="46"/>
        <v>0.33333299999999999</v>
      </c>
      <c r="L129" s="244">
        <f t="shared" si="46"/>
        <v>0.33333299999999999</v>
      </c>
      <c r="M129" s="402" t="s">
        <v>617</v>
      </c>
      <c r="N129" s="403"/>
      <c r="O129" s="403"/>
      <c r="P129" s="403"/>
      <c r="Q129" s="403"/>
    </row>
    <row r="130" spans="1:17" x14ac:dyDescent="0.25">
      <c r="A130" s="412"/>
      <c r="B130" s="252" t="s">
        <v>426</v>
      </c>
      <c r="C130" s="202" t="s">
        <v>403</v>
      </c>
      <c r="D130" s="202"/>
      <c r="E130" s="202"/>
      <c r="F130" s="202"/>
      <c r="G130" s="243">
        <v>0.02</v>
      </c>
      <c r="H130" s="233">
        <f>+G130</f>
        <v>0.02</v>
      </c>
      <c r="I130" s="233">
        <f t="shared" ref="I130:L130" si="47">+H130</f>
        <v>0.02</v>
      </c>
      <c r="J130" s="233">
        <f t="shared" si="47"/>
        <v>0.02</v>
      </c>
      <c r="K130" s="233">
        <f t="shared" si="47"/>
        <v>0.02</v>
      </c>
      <c r="L130" s="233">
        <f t="shared" si="47"/>
        <v>0.02</v>
      </c>
      <c r="M130" s="402" t="s">
        <v>618</v>
      </c>
      <c r="N130" s="403"/>
      <c r="O130" s="403"/>
      <c r="P130" s="403"/>
      <c r="Q130" s="403"/>
    </row>
    <row r="131" spans="1:17" x14ac:dyDescent="0.25">
      <c r="A131" s="412"/>
      <c r="B131" s="252" t="s">
        <v>426</v>
      </c>
      <c r="C131" s="202" t="s">
        <v>360</v>
      </c>
      <c r="D131" s="202"/>
      <c r="E131" s="202"/>
      <c r="F131" s="205">
        <f>+F133-F126-F127-F128</f>
        <v>0</v>
      </c>
      <c r="G131" s="205">
        <f t="shared" ref="G131:L131" si="48">+G133-G126-G127-G128</f>
        <v>0</v>
      </c>
      <c r="H131" s="205">
        <f t="shared" si="48"/>
        <v>0</v>
      </c>
      <c r="I131" s="205">
        <f t="shared" si="48"/>
        <v>0</v>
      </c>
      <c r="J131" s="205">
        <f t="shared" si="48"/>
        <v>0</v>
      </c>
      <c r="K131" s="205">
        <f t="shared" si="48"/>
        <v>0</v>
      </c>
      <c r="L131" s="205">
        <f t="shared" si="48"/>
        <v>0</v>
      </c>
      <c r="M131" s="405"/>
      <c r="N131" s="403"/>
      <c r="O131" s="403"/>
      <c r="P131" s="403"/>
      <c r="Q131" s="403"/>
    </row>
    <row r="132" spans="1:17" x14ac:dyDescent="0.25">
      <c r="A132" s="412"/>
      <c r="B132" s="252" t="s">
        <v>426</v>
      </c>
      <c r="C132" s="202" t="s">
        <v>396</v>
      </c>
      <c r="D132" s="202"/>
      <c r="E132" s="202"/>
      <c r="F132" s="232">
        <v>0.02</v>
      </c>
      <c r="G132" s="233">
        <f>+F132</f>
        <v>0.02</v>
      </c>
      <c r="H132" s="233">
        <f t="shared" ref="H132:L132" si="49">+G132</f>
        <v>0.02</v>
      </c>
      <c r="I132" s="233">
        <f t="shared" si="49"/>
        <v>0.02</v>
      </c>
      <c r="J132" s="233">
        <f t="shared" si="49"/>
        <v>0.02</v>
      </c>
      <c r="K132" s="233">
        <f t="shared" si="49"/>
        <v>0.02</v>
      </c>
      <c r="L132" s="233">
        <f t="shared" si="49"/>
        <v>0.02</v>
      </c>
      <c r="M132" s="402" t="s">
        <v>618</v>
      </c>
      <c r="N132" s="403"/>
      <c r="O132" s="403"/>
      <c r="P132" s="403"/>
      <c r="Q132" s="403"/>
    </row>
    <row r="133" spans="1:17" x14ac:dyDescent="0.25">
      <c r="A133" s="412"/>
      <c r="B133" s="252" t="s">
        <v>426</v>
      </c>
      <c r="C133" s="202" t="s">
        <v>397</v>
      </c>
      <c r="D133" s="202"/>
      <c r="E133" s="202"/>
      <c r="F133" s="205">
        <f t="shared" ref="F133:L133" si="50">+F132*(F10/1.196)</f>
        <v>0</v>
      </c>
      <c r="G133" s="205">
        <f t="shared" si="50"/>
        <v>0</v>
      </c>
      <c r="H133" s="205">
        <f t="shared" si="50"/>
        <v>0</v>
      </c>
      <c r="I133" s="205">
        <f t="shared" si="50"/>
        <v>0</v>
      </c>
      <c r="J133" s="205">
        <f t="shared" si="50"/>
        <v>0</v>
      </c>
      <c r="K133" s="205">
        <f t="shared" si="50"/>
        <v>0</v>
      </c>
      <c r="L133" s="205">
        <f t="shared" si="50"/>
        <v>0</v>
      </c>
      <c r="M133" s="405"/>
      <c r="N133" s="403"/>
      <c r="O133" s="403"/>
      <c r="P133" s="403"/>
      <c r="Q133" s="403"/>
    </row>
    <row r="134" spans="1:17" x14ac:dyDescent="0.25">
      <c r="A134" s="264"/>
      <c r="B134" s="223"/>
      <c r="C134" s="220"/>
      <c r="D134" s="220"/>
      <c r="E134" s="220"/>
      <c r="F134" s="220"/>
      <c r="G134" s="220"/>
      <c r="H134" s="220"/>
      <c r="I134" s="220"/>
      <c r="J134" s="220"/>
      <c r="K134" s="220"/>
      <c r="L134" s="228"/>
      <c r="M134" s="409"/>
      <c r="N134" s="410"/>
      <c r="O134" s="410"/>
      <c r="P134" s="410"/>
      <c r="Q134" s="410"/>
    </row>
    <row r="135" spans="1:17" x14ac:dyDescent="0.25">
      <c r="A135" s="412" t="s">
        <v>430</v>
      </c>
      <c r="B135" s="252" t="s">
        <v>427</v>
      </c>
      <c r="C135" s="202" t="s">
        <v>392</v>
      </c>
      <c r="D135" s="202"/>
      <c r="E135" s="203" t="s">
        <v>398</v>
      </c>
      <c r="F135" s="204"/>
      <c r="G135" s="205">
        <f>+F135</f>
        <v>0</v>
      </c>
      <c r="H135" s="205">
        <f t="shared" ref="H135:L135" si="51">+G135</f>
        <v>0</v>
      </c>
      <c r="I135" s="205">
        <f t="shared" si="51"/>
        <v>0</v>
      </c>
      <c r="J135" s="205">
        <f t="shared" si="51"/>
        <v>0</v>
      </c>
      <c r="K135" s="205">
        <f t="shared" si="51"/>
        <v>0</v>
      </c>
      <c r="L135" s="205">
        <f t="shared" si="51"/>
        <v>0</v>
      </c>
      <c r="M135" s="402" t="s">
        <v>619</v>
      </c>
      <c r="N135" s="403"/>
      <c r="O135" s="403"/>
      <c r="P135" s="403"/>
      <c r="Q135" s="403"/>
    </row>
    <row r="136" spans="1:17" x14ac:dyDescent="0.25">
      <c r="A136" s="412"/>
      <c r="B136" s="252" t="s">
        <v>427</v>
      </c>
      <c r="C136" s="202" t="s">
        <v>387</v>
      </c>
      <c r="D136" s="202"/>
      <c r="E136" s="203" t="s">
        <v>398</v>
      </c>
      <c r="F136" s="204"/>
      <c r="G136" s="205">
        <f t="shared" ref="G136:L137" si="52">+F136</f>
        <v>0</v>
      </c>
      <c r="H136" s="205">
        <f t="shared" si="52"/>
        <v>0</v>
      </c>
      <c r="I136" s="205">
        <f t="shared" si="52"/>
        <v>0</v>
      </c>
      <c r="J136" s="205">
        <f t="shared" si="52"/>
        <v>0</v>
      </c>
      <c r="K136" s="205">
        <f t="shared" si="52"/>
        <v>0</v>
      </c>
      <c r="L136" s="205">
        <f t="shared" si="52"/>
        <v>0</v>
      </c>
      <c r="M136" s="402" t="s">
        <v>619</v>
      </c>
      <c r="N136" s="403"/>
      <c r="O136" s="403"/>
      <c r="P136" s="403"/>
      <c r="Q136" s="403"/>
    </row>
    <row r="137" spans="1:17" x14ac:dyDescent="0.25">
      <c r="A137" s="412"/>
      <c r="B137" s="252" t="s">
        <v>427</v>
      </c>
      <c r="C137" s="202" t="s">
        <v>388</v>
      </c>
      <c r="D137" s="202"/>
      <c r="E137" s="203" t="s">
        <v>398</v>
      </c>
      <c r="F137" s="204"/>
      <c r="G137" s="205">
        <f t="shared" si="52"/>
        <v>0</v>
      </c>
      <c r="H137" s="205">
        <f t="shared" ref="H137:L137" si="53">+G137</f>
        <v>0</v>
      </c>
      <c r="I137" s="205">
        <f t="shared" si="53"/>
        <v>0</v>
      </c>
      <c r="J137" s="205">
        <f t="shared" si="53"/>
        <v>0</v>
      </c>
      <c r="K137" s="205">
        <f t="shared" si="53"/>
        <v>0</v>
      </c>
      <c r="L137" s="205">
        <f t="shared" si="53"/>
        <v>0</v>
      </c>
      <c r="M137" s="405"/>
      <c r="N137" s="403"/>
      <c r="O137" s="403"/>
      <c r="P137" s="403"/>
      <c r="Q137" s="403"/>
    </row>
    <row r="138" spans="1:17" x14ac:dyDescent="0.25">
      <c r="A138" s="412"/>
      <c r="B138" s="252" t="s">
        <v>427</v>
      </c>
      <c r="C138" s="202" t="s">
        <v>389</v>
      </c>
      <c r="D138" s="202"/>
      <c r="E138" s="203" t="s">
        <v>398</v>
      </c>
      <c r="F138" s="204"/>
      <c r="G138" s="205">
        <f t="shared" ref="G138:L138" si="54">+F138</f>
        <v>0</v>
      </c>
      <c r="H138" s="205">
        <f t="shared" si="54"/>
        <v>0</v>
      </c>
      <c r="I138" s="205">
        <f t="shared" si="54"/>
        <v>0</v>
      </c>
      <c r="J138" s="205">
        <f t="shared" si="54"/>
        <v>0</v>
      </c>
      <c r="K138" s="205">
        <f t="shared" si="54"/>
        <v>0</v>
      </c>
      <c r="L138" s="205">
        <f t="shared" si="54"/>
        <v>0</v>
      </c>
      <c r="M138" s="402" t="s">
        <v>619</v>
      </c>
      <c r="N138" s="404"/>
      <c r="O138" s="404"/>
      <c r="P138" s="404"/>
      <c r="Q138" s="404"/>
    </row>
    <row r="139" spans="1:17" x14ac:dyDescent="0.25">
      <c r="A139" s="412"/>
      <c r="B139" s="252" t="s">
        <v>427</v>
      </c>
      <c r="C139" s="202" t="s">
        <v>390</v>
      </c>
      <c r="D139" s="202"/>
      <c r="E139" s="203" t="s">
        <v>398</v>
      </c>
      <c r="F139" s="204"/>
      <c r="G139" s="205">
        <f t="shared" ref="G139:L139" si="55">+F139</f>
        <v>0</v>
      </c>
      <c r="H139" s="205">
        <f t="shared" si="55"/>
        <v>0</v>
      </c>
      <c r="I139" s="205">
        <f t="shared" si="55"/>
        <v>0</v>
      </c>
      <c r="J139" s="205">
        <f t="shared" si="55"/>
        <v>0</v>
      </c>
      <c r="K139" s="205">
        <f t="shared" si="55"/>
        <v>0</v>
      </c>
      <c r="L139" s="205">
        <f t="shared" si="55"/>
        <v>0</v>
      </c>
      <c r="M139" s="402" t="s">
        <v>619</v>
      </c>
      <c r="N139" s="403"/>
      <c r="O139" s="403"/>
      <c r="P139" s="403"/>
      <c r="Q139" s="403"/>
    </row>
    <row r="140" spans="1:17" x14ac:dyDescent="0.25">
      <c r="A140" s="264"/>
      <c r="B140" s="223"/>
      <c r="C140" s="220"/>
      <c r="D140" s="220"/>
      <c r="E140" s="220"/>
      <c r="F140" s="220"/>
      <c r="G140" s="220"/>
      <c r="H140" s="220"/>
      <c r="I140" s="220"/>
      <c r="J140" s="220"/>
      <c r="K140" s="220"/>
      <c r="L140" s="228"/>
      <c r="M140" s="409"/>
      <c r="N140" s="410"/>
      <c r="O140" s="410"/>
      <c r="P140" s="410"/>
      <c r="Q140" s="410"/>
    </row>
    <row r="141" spans="1:17" x14ac:dyDescent="0.25">
      <c r="A141" s="412" t="s">
        <v>428</v>
      </c>
      <c r="B141" s="176" t="s">
        <v>428</v>
      </c>
      <c r="C141" s="202" t="s">
        <v>413</v>
      </c>
      <c r="D141" s="202"/>
      <c r="E141" s="202"/>
      <c r="F141" s="362"/>
      <c r="G141" s="224"/>
      <c r="H141" s="224"/>
      <c r="I141" s="224"/>
      <c r="J141" s="224"/>
      <c r="K141" s="224"/>
      <c r="L141" s="224"/>
      <c r="M141" s="402" t="s">
        <v>619</v>
      </c>
      <c r="N141" s="403"/>
      <c r="O141" s="403"/>
      <c r="P141" s="403"/>
      <c r="Q141" s="403"/>
    </row>
    <row r="142" spans="1:17" x14ac:dyDescent="0.25">
      <c r="A142" s="412"/>
      <c r="B142" s="176" t="s">
        <v>428</v>
      </c>
      <c r="C142" s="202" t="s">
        <v>506</v>
      </c>
      <c r="D142" s="202"/>
      <c r="E142" s="202"/>
      <c r="F142" s="362"/>
      <c r="G142" s="362"/>
      <c r="H142" s="362"/>
      <c r="I142" s="362"/>
      <c r="J142" s="362"/>
      <c r="K142" s="362"/>
      <c r="L142" s="362"/>
      <c r="M142" s="402" t="s">
        <v>619</v>
      </c>
      <c r="N142" s="403"/>
      <c r="O142" s="403"/>
      <c r="P142" s="403"/>
      <c r="Q142" s="403"/>
    </row>
    <row r="143" spans="1:17" x14ac:dyDescent="0.25">
      <c r="A143" s="412"/>
      <c r="B143" s="176" t="s">
        <v>428</v>
      </c>
      <c r="C143" s="202" t="s">
        <v>507</v>
      </c>
      <c r="D143" s="202"/>
      <c r="E143" s="202"/>
      <c r="F143" s="204">
        <f>+F141+F142</f>
        <v>0</v>
      </c>
      <c r="G143" s="204">
        <f t="shared" ref="G143:L143" si="56">+G141+G142</f>
        <v>0</v>
      </c>
      <c r="H143" s="204">
        <f t="shared" si="56"/>
        <v>0</v>
      </c>
      <c r="I143" s="204">
        <f t="shared" si="56"/>
        <v>0</v>
      </c>
      <c r="J143" s="204">
        <f t="shared" si="56"/>
        <v>0</v>
      </c>
      <c r="K143" s="204">
        <f t="shared" si="56"/>
        <v>0</v>
      </c>
      <c r="L143" s="204">
        <f t="shared" si="56"/>
        <v>0</v>
      </c>
      <c r="M143" s="402"/>
      <c r="N143" s="403"/>
      <c r="O143" s="403"/>
      <c r="P143" s="403"/>
      <c r="Q143" s="403"/>
    </row>
    <row r="144" spans="1:17" x14ac:dyDescent="0.25">
      <c r="A144" s="412"/>
      <c r="B144" s="176" t="s">
        <v>428</v>
      </c>
      <c r="C144" s="202" t="s">
        <v>508</v>
      </c>
      <c r="D144" s="202"/>
      <c r="E144" s="202"/>
      <c r="F144" s="204"/>
      <c r="G144" s="224"/>
      <c r="H144" s="224"/>
      <c r="I144" s="224"/>
      <c r="J144" s="224"/>
      <c r="K144" s="224"/>
      <c r="L144" s="224"/>
      <c r="M144" s="405"/>
      <c r="N144" s="403"/>
      <c r="O144" s="403"/>
      <c r="P144" s="403"/>
      <c r="Q144" s="403"/>
    </row>
    <row r="145" spans="1:17" x14ac:dyDescent="0.25">
      <c r="A145" s="412"/>
      <c r="B145" s="176" t="s">
        <v>428</v>
      </c>
      <c r="C145" s="202" t="s">
        <v>414</v>
      </c>
      <c r="D145" s="202"/>
      <c r="E145" s="202"/>
      <c r="F145" s="204"/>
      <c r="G145" s="224"/>
      <c r="H145" s="224"/>
      <c r="I145" s="224"/>
      <c r="J145" s="224"/>
      <c r="K145" s="224"/>
      <c r="L145" s="224"/>
      <c r="M145" s="405"/>
      <c r="N145" s="403"/>
      <c r="O145" s="403"/>
      <c r="P145" s="403"/>
      <c r="Q145" s="403"/>
    </row>
    <row r="146" spans="1:17" x14ac:dyDescent="0.25">
      <c r="A146" s="412"/>
      <c r="B146" s="176" t="s">
        <v>428</v>
      </c>
      <c r="C146" s="202" t="s">
        <v>431</v>
      </c>
      <c r="D146" s="202"/>
      <c r="E146" s="202"/>
      <c r="F146" s="205" t="s">
        <v>388</v>
      </c>
      <c r="G146" s="204"/>
      <c r="H146" s="205" t="s">
        <v>415</v>
      </c>
      <c r="I146" s="204"/>
      <c r="J146" s="205" t="s">
        <v>416</v>
      </c>
      <c r="K146" s="204"/>
      <c r="L146" s="205"/>
      <c r="M146" s="405"/>
      <c r="N146" s="403"/>
      <c r="O146" s="403"/>
      <c r="P146" s="403"/>
      <c r="Q146" s="403"/>
    </row>
    <row r="147" spans="1:17" x14ac:dyDescent="0.25">
      <c r="A147" s="264"/>
      <c r="B147" s="223"/>
      <c r="C147" s="220"/>
      <c r="D147" s="220"/>
      <c r="E147" s="220"/>
      <c r="F147" s="220"/>
      <c r="G147" s="220"/>
      <c r="H147" s="220"/>
      <c r="I147" s="220"/>
      <c r="J147" s="220"/>
      <c r="K147" s="220"/>
      <c r="L147" s="228"/>
      <c r="M147" s="409"/>
      <c r="N147" s="410"/>
      <c r="O147" s="410"/>
      <c r="P147" s="410"/>
      <c r="Q147" s="410"/>
    </row>
  </sheetData>
  <autoFilter ref="B9:E157" xr:uid="{00000000-0009-0000-0000-00001E000000}"/>
  <mergeCells count="109">
    <mergeCell ref="B2:Q4"/>
    <mergeCell ref="B1:Q1"/>
    <mergeCell ref="M30:Q37"/>
    <mergeCell ref="M39:Q45"/>
    <mergeCell ref="M10:Q10"/>
    <mergeCell ref="M13:Q24"/>
    <mergeCell ref="M11:Q11"/>
    <mergeCell ref="M12:Q12"/>
    <mergeCell ref="M9:Q9"/>
    <mergeCell ref="M25:Q25"/>
    <mergeCell ref="M26:Q28"/>
    <mergeCell ref="M29:Q29"/>
    <mergeCell ref="A126:A133"/>
    <mergeCell ref="A135:A139"/>
    <mergeCell ref="A26:A28"/>
    <mergeCell ref="A141:A146"/>
    <mergeCell ref="A75:A99"/>
    <mergeCell ref="A101:A124"/>
    <mergeCell ref="M50:Q50"/>
    <mergeCell ref="M51:Q51"/>
    <mergeCell ref="M52:Q52"/>
    <mergeCell ref="M53:Q53"/>
    <mergeCell ref="M56:Q56"/>
    <mergeCell ref="M49:Q49"/>
    <mergeCell ref="M58:Q58"/>
    <mergeCell ref="M59:Q59"/>
    <mergeCell ref="M60:Q60"/>
    <mergeCell ref="M47:Q47"/>
    <mergeCell ref="M48:Q48"/>
    <mergeCell ref="M54:Q54"/>
    <mergeCell ref="M61:Q61"/>
    <mergeCell ref="M62:Q62"/>
    <mergeCell ref="M63:Q63"/>
    <mergeCell ref="M64:Q73"/>
    <mergeCell ref="M74:Q74"/>
    <mergeCell ref="A10:A24"/>
    <mergeCell ref="A30:A37"/>
    <mergeCell ref="A39:A45"/>
    <mergeCell ref="A47:A56"/>
    <mergeCell ref="A58:A73"/>
    <mergeCell ref="M55:Q55"/>
    <mergeCell ref="M147:Q147"/>
    <mergeCell ref="M89:Q89"/>
    <mergeCell ref="M99:Q99"/>
    <mergeCell ref="M98:Q98"/>
    <mergeCell ref="M91:Q91"/>
    <mergeCell ref="M90:Q90"/>
    <mergeCell ref="M92:Q97"/>
    <mergeCell ref="M75:Q75"/>
    <mergeCell ref="M76:Q76"/>
    <mergeCell ref="M77:Q77"/>
    <mergeCell ref="M78:Q78"/>
    <mergeCell ref="M100:Q100"/>
    <mergeCell ref="M88:Q88"/>
    <mergeCell ref="M80:Q80"/>
    <mergeCell ref="M81:Q81"/>
    <mergeCell ref="M82:Q82"/>
    <mergeCell ref="M83:Q83"/>
    <mergeCell ref="M84:Q84"/>
    <mergeCell ref="M85:Q85"/>
    <mergeCell ref="M86:Q86"/>
    <mergeCell ref="M87:Q87"/>
    <mergeCell ref="M79:Q79"/>
    <mergeCell ref="M101:Q101"/>
    <mergeCell ref="M102:Q102"/>
    <mergeCell ref="M103:Q103"/>
    <mergeCell ref="M104:Q104"/>
    <mergeCell ref="M105:Q105"/>
    <mergeCell ref="M106:Q106"/>
    <mergeCell ref="M125:Q125"/>
    <mergeCell ref="M134:Q134"/>
    <mergeCell ref="M140:Q140"/>
    <mergeCell ref="M146:Q146"/>
    <mergeCell ref="M145:Q145"/>
    <mergeCell ref="M144:Q144"/>
    <mergeCell ref="M143:Q143"/>
    <mergeCell ref="M142:Q142"/>
    <mergeCell ref="M107:Q107"/>
    <mergeCell ref="M108:Q108"/>
    <mergeCell ref="M124:Q124"/>
    <mergeCell ref="M123:Q123"/>
    <mergeCell ref="M122:Q122"/>
    <mergeCell ref="M121:Q121"/>
    <mergeCell ref="M120:Q120"/>
    <mergeCell ref="M119:Q119"/>
    <mergeCell ref="M118:Q118"/>
    <mergeCell ref="M117:Q117"/>
    <mergeCell ref="M116:Q116"/>
    <mergeCell ref="M115:Q115"/>
    <mergeCell ref="M114:Q114"/>
    <mergeCell ref="M113:Q113"/>
    <mergeCell ref="M112:Q112"/>
    <mergeCell ref="M111:Q111"/>
    <mergeCell ref="M135:Q135"/>
    <mergeCell ref="M141:Q141"/>
    <mergeCell ref="M139:Q139"/>
    <mergeCell ref="M138:Q138"/>
    <mergeCell ref="M137:Q137"/>
    <mergeCell ref="M136:Q136"/>
    <mergeCell ref="M110:Q110"/>
    <mergeCell ref="M109:Q109"/>
    <mergeCell ref="M126:Q126"/>
    <mergeCell ref="M133:Q133"/>
    <mergeCell ref="M132:Q132"/>
    <mergeCell ref="M131:Q131"/>
    <mergeCell ref="M130:Q130"/>
    <mergeCell ref="M129:Q129"/>
    <mergeCell ref="M128:Q128"/>
    <mergeCell ref="M127:Q127"/>
  </mergeCells>
  <pageMargins left="0.19685039370078741" right="3.937007874015748E-2" top="0.31496062992125984" bottom="0.43307086614173229" header="0.15748031496062992" footer="0.15748031496062992"/>
  <pageSetup paperSize="9" scale="75" orientation="portrait" r:id="rId1"/>
  <rowBreaks count="1" manualBreakCount="1">
    <brk id="74" max="16383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H56"/>
  <sheetViews>
    <sheetView workbookViewId="0">
      <selection activeCell="H8" sqref="H8"/>
    </sheetView>
  </sheetViews>
  <sheetFormatPr baseColWidth="10" defaultRowHeight="13.2" x14ac:dyDescent="0.25"/>
  <cols>
    <col min="1" max="1" width="23.33203125" customWidth="1"/>
    <col min="2" max="8" width="12" bestFit="1" customWidth="1"/>
    <col min="9" max="9" width="11.88671875" customWidth="1"/>
  </cols>
  <sheetData>
    <row r="1" spans="1:8" x14ac:dyDescent="0.25">
      <c r="A1" s="146" t="s">
        <v>55</v>
      </c>
    </row>
    <row r="3" spans="1:8" x14ac:dyDescent="0.25">
      <c r="A3" s="270" t="s">
        <v>412</v>
      </c>
      <c r="B3" s="182">
        <f>+'A SAISIR'!G6</f>
        <v>0</v>
      </c>
    </row>
    <row r="4" spans="1:8" x14ac:dyDescent="0.25">
      <c r="A4">
        <f>+'A SAISIR'!G7</f>
        <v>0</v>
      </c>
    </row>
    <row r="5" spans="1:8" x14ac:dyDescent="0.25">
      <c r="B5" s="249"/>
    </row>
    <row r="6" spans="1:8" x14ac:dyDescent="0.25">
      <c r="A6" s="223"/>
      <c r="B6" s="269" t="s">
        <v>283</v>
      </c>
      <c r="C6" s="269" t="s">
        <v>284</v>
      </c>
      <c r="D6" s="269" t="s">
        <v>285</v>
      </c>
      <c r="E6" s="269" t="s">
        <v>286</v>
      </c>
      <c r="F6" s="269" t="s">
        <v>287</v>
      </c>
      <c r="G6" s="269" t="s">
        <v>288</v>
      </c>
      <c r="H6" s="269" t="s">
        <v>289</v>
      </c>
    </row>
    <row r="7" spans="1:8" x14ac:dyDescent="0.25">
      <c r="A7" s="260" t="s">
        <v>436</v>
      </c>
      <c r="B7" s="198">
        <f>+'A SAISIR'!F10</f>
        <v>0</v>
      </c>
      <c r="C7" s="198">
        <f>+'A SAISIR'!G10</f>
        <v>0</v>
      </c>
      <c r="D7" s="198">
        <f>+'A SAISIR'!H10</f>
        <v>0</v>
      </c>
      <c r="E7" s="198">
        <f>+'A SAISIR'!I10</f>
        <v>0</v>
      </c>
      <c r="F7" s="198">
        <f>+'A SAISIR'!J10</f>
        <v>0</v>
      </c>
      <c r="G7" s="198">
        <f>+'A SAISIR'!K10</f>
        <v>0</v>
      </c>
      <c r="H7" s="198">
        <f>+'A SAISIR'!L10</f>
        <v>0</v>
      </c>
    </row>
    <row r="8" spans="1:8" x14ac:dyDescent="0.25">
      <c r="A8" s="277" t="s">
        <v>137</v>
      </c>
      <c r="B8" s="181">
        <f>+B7/1.2</f>
        <v>0</v>
      </c>
      <c r="C8" s="181">
        <f t="shared" ref="C8:H8" si="0">+C7/1.2</f>
        <v>0</v>
      </c>
      <c r="D8" s="181">
        <f t="shared" si="0"/>
        <v>0</v>
      </c>
      <c r="E8" s="181">
        <f t="shared" si="0"/>
        <v>0</v>
      </c>
      <c r="F8" s="181">
        <f t="shared" si="0"/>
        <v>0</v>
      </c>
      <c r="G8" s="181">
        <f t="shared" si="0"/>
        <v>0</v>
      </c>
      <c r="H8" s="181">
        <f t="shared" si="0"/>
        <v>0</v>
      </c>
    </row>
    <row r="9" spans="1:8" x14ac:dyDescent="0.25">
      <c r="A9" s="260" t="s">
        <v>388</v>
      </c>
      <c r="B9" s="198" t="e">
        <f>+'A SAISIR'!F41</f>
        <v>#DIV/0!</v>
      </c>
      <c r="C9" s="198" t="e">
        <f>+'A SAISIR'!G41</f>
        <v>#DIV/0!</v>
      </c>
      <c r="D9" s="198" t="e">
        <f>+'A SAISIR'!H41</f>
        <v>#DIV/0!</v>
      </c>
      <c r="E9" s="198" t="e">
        <f>+'A SAISIR'!I41</f>
        <v>#DIV/0!</v>
      </c>
      <c r="F9" s="198" t="e">
        <f>+'A SAISIR'!J41</f>
        <v>#DIV/0!</v>
      </c>
      <c r="G9" s="198" t="e">
        <f>+'A SAISIR'!K41</f>
        <v>#DIV/0!</v>
      </c>
      <c r="H9" s="198" t="e">
        <f>+'A SAISIR'!L41</f>
        <v>#DIV/0!</v>
      </c>
    </row>
    <row r="10" spans="1:8" x14ac:dyDescent="0.25">
      <c r="A10" s="280" t="s">
        <v>435</v>
      </c>
      <c r="B10" s="281"/>
      <c r="C10" s="282" t="e">
        <f>+(C9-B9)/B9</f>
        <v>#DIV/0!</v>
      </c>
      <c r="D10" s="282" t="e">
        <f t="shared" ref="D10:H10" si="1">+(D9-C9)/C9</f>
        <v>#DIV/0!</v>
      </c>
      <c r="E10" s="282" t="e">
        <f t="shared" si="1"/>
        <v>#DIV/0!</v>
      </c>
      <c r="F10" s="282" t="e">
        <f t="shared" si="1"/>
        <v>#DIV/0!</v>
      </c>
      <c r="G10" s="282" t="e">
        <f t="shared" si="1"/>
        <v>#DIV/0!</v>
      </c>
      <c r="H10" s="282" t="e">
        <f t="shared" si="1"/>
        <v>#DIV/0!</v>
      </c>
    </row>
    <row r="11" spans="1:8" x14ac:dyDescent="0.25">
      <c r="A11" s="260" t="s">
        <v>433</v>
      </c>
      <c r="B11" s="198" t="e">
        <f>+B7/B9</f>
        <v>#DIV/0!</v>
      </c>
      <c r="C11" s="198" t="e">
        <f t="shared" ref="C11:H11" si="2">+C7/C9</f>
        <v>#DIV/0!</v>
      </c>
      <c r="D11" s="198" t="e">
        <f t="shared" si="2"/>
        <v>#DIV/0!</v>
      </c>
      <c r="E11" s="198" t="e">
        <f t="shared" si="2"/>
        <v>#DIV/0!</v>
      </c>
      <c r="F11" s="198" t="e">
        <f t="shared" si="2"/>
        <v>#DIV/0!</v>
      </c>
      <c r="G11" s="198" t="e">
        <f t="shared" si="2"/>
        <v>#DIV/0!</v>
      </c>
      <c r="H11" s="198" t="e">
        <f t="shared" si="2"/>
        <v>#DIV/0!</v>
      </c>
    </row>
    <row r="12" spans="1:8" x14ac:dyDescent="0.25">
      <c r="A12" s="260" t="s">
        <v>434</v>
      </c>
      <c r="B12" s="273">
        <f>+'A SAISIR'!F42</f>
        <v>2.4</v>
      </c>
      <c r="C12" s="273">
        <f>+'A SAISIR'!G42</f>
        <v>2.448</v>
      </c>
      <c r="D12" s="273">
        <f>+'A SAISIR'!H42</f>
        <v>2.4969600000000001</v>
      </c>
      <c r="E12" s="273">
        <f>+'A SAISIR'!I42</f>
        <v>2.5468991999999999</v>
      </c>
      <c r="F12" s="273">
        <f>+'A SAISIR'!J42</f>
        <v>2.5978371839999999</v>
      </c>
      <c r="G12" s="273">
        <f>+'A SAISIR'!K42</f>
        <v>2.6497939276799998</v>
      </c>
      <c r="H12" s="273">
        <f>+'A SAISIR'!L42</f>
        <v>2.7027898062336</v>
      </c>
    </row>
    <row r="13" spans="1:8" x14ac:dyDescent="0.25">
      <c r="A13" s="260" t="s">
        <v>442</v>
      </c>
      <c r="B13" s="198" t="e">
        <f>+'A SAISIR'!F44</f>
        <v>#DIV/0!</v>
      </c>
      <c r="C13" s="198" t="e">
        <f>+'A SAISIR'!G44</f>
        <v>#DIV/0!</v>
      </c>
      <c r="D13" s="198" t="e">
        <f>+'A SAISIR'!H44</f>
        <v>#DIV/0!</v>
      </c>
      <c r="E13" s="198" t="e">
        <f>+'A SAISIR'!I44</f>
        <v>#DIV/0!</v>
      </c>
      <c r="F13" s="198" t="e">
        <f>+'A SAISIR'!J44</f>
        <v>#DIV/0!</v>
      </c>
      <c r="G13" s="198" t="e">
        <f>+'A SAISIR'!K44</f>
        <v>#DIV/0!</v>
      </c>
      <c r="H13" s="198" t="e">
        <f>+'A SAISIR'!L44</f>
        <v>#DIV/0!</v>
      </c>
    </row>
    <row r="14" spans="1:8" x14ac:dyDescent="0.25">
      <c r="A14" s="260" t="s">
        <v>443</v>
      </c>
      <c r="B14" s="274" t="e">
        <f>+'A SAISIR'!F45</f>
        <v>#DIV/0!</v>
      </c>
      <c r="C14" s="274" t="e">
        <f>+'A SAISIR'!G45</f>
        <v>#DIV/0!</v>
      </c>
      <c r="D14" s="274" t="e">
        <f>+'A SAISIR'!H45</f>
        <v>#DIV/0!</v>
      </c>
      <c r="E14" s="274" t="e">
        <f>+'A SAISIR'!I45</f>
        <v>#DIV/0!</v>
      </c>
      <c r="F14" s="274" t="e">
        <f>+'A SAISIR'!J45</f>
        <v>#DIV/0!</v>
      </c>
      <c r="G14" s="274" t="e">
        <f>+'A SAISIR'!K45</f>
        <v>#DIV/0!</v>
      </c>
      <c r="H14" s="274" t="e">
        <f>+'A SAISIR'!L45</f>
        <v>#DIV/0!</v>
      </c>
    </row>
    <row r="15" spans="1:8" x14ac:dyDescent="0.25">
      <c r="A15" s="260"/>
      <c r="B15" s="182"/>
      <c r="C15" s="182"/>
      <c r="D15" s="182"/>
      <c r="E15" s="182"/>
      <c r="F15" s="182"/>
      <c r="G15" s="182"/>
      <c r="H15" s="182"/>
    </row>
    <row r="16" spans="1:8" x14ac:dyDescent="0.25">
      <c r="A16" s="260" t="s">
        <v>139</v>
      </c>
      <c r="B16" s="198">
        <f>+'ca marge in'!B16</f>
        <v>0</v>
      </c>
      <c r="C16" s="198">
        <f>+'ca marge in'!C16</f>
        <v>0</v>
      </c>
      <c r="D16" s="198">
        <f>+'ca marge in'!D16</f>
        <v>0</v>
      </c>
      <c r="E16" s="198">
        <f>+'ca marge in'!E16</f>
        <v>0</v>
      </c>
      <c r="F16" s="198">
        <f>+'ca marge in'!F16</f>
        <v>0</v>
      </c>
      <c r="G16" s="198">
        <f>+'ca marge in'!G16</f>
        <v>0</v>
      </c>
      <c r="H16" s="198">
        <f>+'ca marge in'!H16</f>
        <v>0</v>
      </c>
    </row>
    <row r="17" spans="1:8" x14ac:dyDescent="0.25">
      <c r="A17" s="260" t="s">
        <v>438</v>
      </c>
      <c r="B17" s="272">
        <f>+'A SAISIR'!F31</f>
        <v>0.02</v>
      </c>
      <c r="C17" s="272">
        <f>+'A SAISIR'!G31</f>
        <v>0.02</v>
      </c>
      <c r="D17" s="272">
        <f>+'A SAISIR'!H31</f>
        <v>0.02</v>
      </c>
      <c r="E17" s="272">
        <f>+'A SAISIR'!I31</f>
        <v>0.02</v>
      </c>
      <c r="F17" s="272">
        <f>+'A SAISIR'!J31</f>
        <v>0.02</v>
      </c>
      <c r="G17" s="272">
        <f>+'A SAISIR'!K31</f>
        <v>0.02</v>
      </c>
      <c r="H17" s="272">
        <f>+'A SAISIR'!L31</f>
        <v>0.02</v>
      </c>
    </row>
    <row r="18" spans="1:8" x14ac:dyDescent="0.25">
      <c r="A18" s="260" t="s">
        <v>439</v>
      </c>
      <c r="B18" s="272">
        <f>+'A SAISIR'!F32</f>
        <v>0</v>
      </c>
      <c r="C18" s="272">
        <f>+'A SAISIR'!G32</f>
        <v>0</v>
      </c>
      <c r="D18" s="272">
        <f>+'A SAISIR'!H32</f>
        <v>0</v>
      </c>
      <c r="E18" s="272">
        <f>+'A SAISIR'!I32</f>
        <v>0</v>
      </c>
      <c r="F18" s="272">
        <f>+'A SAISIR'!J32</f>
        <v>0</v>
      </c>
      <c r="G18" s="272">
        <f>+'A SAISIR'!K32</f>
        <v>0</v>
      </c>
      <c r="H18" s="272">
        <f>+'A SAISIR'!L32</f>
        <v>0</v>
      </c>
    </row>
    <row r="19" spans="1:8" x14ac:dyDescent="0.25">
      <c r="A19" s="260" t="s">
        <v>542</v>
      </c>
      <c r="B19" s="271">
        <f>+(B17+B18)*B8</f>
        <v>0</v>
      </c>
      <c r="C19" s="271">
        <f t="shared" ref="C19:H19" si="3">+(C17+C18)*C8</f>
        <v>0</v>
      </c>
      <c r="D19" s="271">
        <f t="shared" si="3"/>
        <v>0</v>
      </c>
      <c r="E19" s="271">
        <f t="shared" si="3"/>
        <v>0</v>
      </c>
      <c r="F19" s="271">
        <f t="shared" si="3"/>
        <v>0</v>
      </c>
      <c r="G19" s="271">
        <f t="shared" si="3"/>
        <v>0</v>
      </c>
      <c r="H19" s="271">
        <f t="shared" si="3"/>
        <v>0</v>
      </c>
    </row>
    <row r="20" spans="1:8" x14ac:dyDescent="0.25">
      <c r="A20" s="277" t="s">
        <v>437</v>
      </c>
      <c r="B20" s="278">
        <f>+B16-B19</f>
        <v>0</v>
      </c>
      <c r="C20" s="278">
        <f t="shared" ref="C20:H20" si="4">+C16-C19</f>
        <v>0</v>
      </c>
      <c r="D20" s="278">
        <f t="shared" si="4"/>
        <v>0</v>
      </c>
      <c r="E20" s="278">
        <f>+E16-E19</f>
        <v>0</v>
      </c>
      <c r="F20" s="278">
        <f t="shared" si="4"/>
        <v>0</v>
      </c>
      <c r="G20" s="278">
        <f t="shared" si="4"/>
        <v>0</v>
      </c>
      <c r="H20" s="278">
        <f t="shared" si="4"/>
        <v>0</v>
      </c>
    </row>
    <row r="21" spans="1:8" x14ac:dyDescent="0.25">
      <c r="A21" s="277" t="s">
        <v>441</v>
      </c>
      <c r="B21" s="279" t="e">
        <f>+B20/B8</f>
        <v>#DIV/0!</v>
      </c>
      <c r="C21" s="279" t="e">
        <f t="shared" ref="C21:H21" si="5">+C20/C8</f>
        <v>#DIV/0!</v>
      </c>
      <c r="D21" s="279" t="e">
        <f t="shared" si="5"/>
        <v>#DIV/0!</v>
      </c>
      <c r="E21" s="279" t="e">
        <f t="shared" si="5"/>
        <v>#DIV/0!</v>
      </c>
      <c r="F21" s="279" t="e">
        <f t="shared" si="5"/>
        <v>#DIV/0!</v>
      </c>
      <c r="G21" s="279" t="e">
        <f t="shared" si="5"/>
        <v>#DIV/0!</v>
      </c>
      <c r="H21" s="279" t="e">
        <f t="shared" si="5"/>
        <v>#DIV/0!</v>
      </c>
    </row>
    <row r="22" spans="1:8" x14ac:dyDescent="0.25">
      <c r="A22" s="260" t="s">
        <v>452</v>
      </c>
      <c r="B22" s="198">
        <f>+'A SAISIR'!F53</f>
        <v>0</v>
      </c>
      <c r="C22" s="198">
        <f>+'A SAISIR'!G53</f>
        <v>0</v>
      </c>
      <c r="D22" s="198">
        <f>+'A SAISIR'!H53</f>
        <v>0</v>
      </c>
      <c r="E22" s="198">
        <f>+'A SAISIR'!I53</f>
        <v>0</v>
      </c>
      <c r="F22" s="198">
        <f>+'A SAISIR'!J53</f>
        <v>0</v>
      </c>
      <c r="G22" s="198">
        <f>+'A SAISIR'!K53</f>
        <v>0</v>
      </c>
      <c r="H22" s="198">
        <f>+'A SAISIR'!L53</f>
        <v>0</v>
      </c>
    </row>
    <row r="23" spans="1:8" x14ac:dyDescent="0.25">
      <c r="A23" s="260" t="s">
        <v>346</v>
      </c>
      <c r="B23" s="198">
        <f>+'A SAISIR'!F73</f>
        <v>0</v>
      </c>
      <c r="C23" s="198">
        <f>+'A SAISIR'!G73</f>
        <v>0</v>
      </c>
      <c r="D23" s="198">
        <f>+'A SAISIR'!H73</f>
        <v>0</v>
      </c>
      <c r="E23" s="198">
        <f>+'A SAISIR'!I73</f>
        <v>0</v>
      </c>
      <c r="F23" s="198">
        <f>+'A SAISIR'!J73</f>
        <v>0</v>
      </c>
      <c r="G23" s="198">
        <f>+'A SAISIR'!K73</f>
        <v>0</v>
      </c>
      <c r="H23" s="198">
        <f>+'A SAISIR'!L73</f>
        <v>0</v>
      </c>
    </row>
    <row r="24" spans="1:8" x14ac:dyDescent="0.25">
      <c r="A24" s="260" t="s">
        <v>390</v>
      </c>
      <c r="B24" s="198">
        <f>+'A SAISIR'!F133</f>
        <v>0</v>
      </c>
      <c r="C24" s="198">
        <f>+'A SAISIR'!G133</f>
        <v>0</v>
      </c>
      <c r="D24" s="198">
        <f>+'A SAISIR'!H133</f>
        <v>0</v>
      </c>
      <c r="E24" s="198">
        <f>+'A SAISIR'!I133</f>
        <v>0</v>
      </c>
      <c r="F24" s="198">
        <f>+'A SAISIR'!J133</f>
        <v>0</v>
      </c>
      <c r="G24" s="198">
        <f>+'A SAISIR'!K133</f>
        <v>0</v>
      </c>
      <c r="H24" s="198">
        <f>+'A SAISIR'!L133</f>
        <v>0</v>
      </c>
    </row>
    <row r="25" spans="1:8" x14ac:dyDescent="0.25">
      <c r="A25" s="294" t="s">
        <v>190</v>
      </c>
      <c r="B25" s="198" t="e">
        <f>+'A SAISIR'!F124</f>
        <v>#DIV/0!</v>
      </c>
      <c r="C25" s="198" t="e">
        <f>+'A SAISIR'!G124</f>
        <v>#DIV/0!</v>
      </c>
      <c r="D25" s="198" t="e">
        <f>+'A SAISIR'!H124</f>
        <v>#DIV/0!</v>
      </c>
      <c r="E25" s="198" t="e">
        <f>+'A SAISIR'!I124</f>
        <v>#DIV/0!</v>
      </c>
      <c r="F25" s="198" t="e">
        <f>+'A SAISIR'!J124</f>
        <v>#DIV/0!</v>
      </c>
      <c r="G25" s="198" t="e">
        <f>+'A SAISIR'!K124</f>
        <v>#DIV/0!</v>
      </c>
      <c r="H25" s="198" t="e">
        <f>+'A SAISIR'!L124</f>
        <v>#DIV/0!</v>
      </c>
    </row>
    <row r="26" spans="1:8" x14ac:dyDescent="0.25">
      <c r="A26" s="294" t="s">
        <v>451</v>
      </c>
      <c r="B26" s="198">
        <f>+autres!B38</f>
        <v>0</v>
      </c>
      <c r="C26" s="198">
        <f>+autres!C38</f>
        <v>0</v>
      </c>
      <c r="D26" s="198">
        <f>+autres!D38</f>
        <v>0</v>
      </c>
      <c r="E26" s="198">
        <f>+autres!E38</f>
        <v>0</v>
      </c>
      <c r="F26" s="198">
        <f>+autres!F38</f>
        <v>0</v>
      </c>
      <c r="G26" s="198">
        <f>+autres!G38</f>
        <v>0</v>
      </c>
      <c r="H26" s="198">
        <f>+autres!H38</f>
        <v>0</v>
      </c>
    </row>
    <row r="27" spans="1:8" x14ac:dyDescent="0.25">
      <c r="A27" s="277" t="s">
        <v>453</v>
      </c>
      <c r="B27" s="181" t="e">
        <f>SUM(B22:B26)</f>
        <v>#DIV/0!</v>
      </c>
      <c r="C27" s="181" t="e">
        <f t="shared" ref="C27:H27" si="6">SUM(C22:C26)</f>
        <v>#DIV/0!</v>
      </c>
      <c r="D27" s="181" t="e">
        <f t="shared" si="6"/>
        <v>#DIV/0!</v>
      </c>
      <c r="E27" s="181" t="e">
        <f t="shared" si="6"/>
        <v>#DIV/0!</v>
      </c>
      <c r="F27" s="181" t="e">
        <f t="shared" si="6"/>
        <v>#DIV/0!</v>
      </c>
      <c r="G27" s="181" t="e">
        <f t="shared" si="6"/>
        <v>#DIV/0!</v>
      </c>
      <c r="H27" s="181" t="e">
        <f t="shared" si="6"/>
        <v>#DIV/0!</v>
      </c>
    </row>
    <row r="28" spans="1:8" x14ac:dyDescent="0.25">
      <c r="A28" s="295" t="s">
        <v>138</v>
      </c>
      <c r="B28" s="296" t="e">
        <f>+B20-B27</f>
        <v>#DIV/0!</v>
      </c>
      <c r="C28" s="296" t="e">
        <f t="shared" ref="C28:H28" si="7">+C20-C27</f>
        <v>#DIV/0!</v>
      </c>
      <c r="D28" s="296" t="e">
        <f t="shared" si="7"/>
        <v>#DIV/0!</v>
      </c>
      <c r="E28" s="296" t="e">
        <f t="shared" si="7"/>
        <v>#DIV/0!</v>
      </c>
      <c r="F28" s="296" t="e">
        <f t="shared" si="7"/>
        <v>#DIV/0!</v>
      </c>
      <c r="G28" s="296" t="e">
        <f t="shared" si="7"/>
        <v>#DIV/0!</v>
      </c>
      <c r="H28" s="296" t="e">
        <f t="shared" si="7"/>
        <v>#DIV/0!</v>
      </c>
    </row>
    <row r="29" spans="1:8" x14ac:dyDescent="0.25">
      <c r="A29" s="295" t="s">
        <v>459</v>
      </c>
      <c r="B29" s="300" t="e">
        <f>+B28/B8</f>
        <v>#DIV/0!</v>
      </c>
      <c r="C29" s="300" t="e">
        <f t="shared" ref="C29:H29" si="8">+C28/C8</f>
        <v>#DIV/0!</v>
      </c>
      <c r="D29" s="300" t="e">
        <f t="shared" si="8"/>
        <v>#DIV/0!</v>
      </c>
      <c r="E29" s="300" t="e">
        <f t="shared" si="8"/>
        <v>#DIV/0!</v>
      </c>
      <c r="F29" s="300" t="e">
        <f t="shared" si="8"/>
        <v>#DIV/0!</v>
      </c>
      <c r="G29" s="300" t="e">
        <f t="shared" si="8"/>
        <v>#DIV/0!</v>
      </c>
      <c r="H29" s="300" t="e">
        <f t="shared" si="8"/>
        <v>#DIV/0!</v>
      </c>
    </row>
    <row r="30" spans="1:8" x14ac:dyDescent="0.25">
      <c r="A30" s="260" t="s">
        <v>454</v>
      </c>
      <c r="B30" s="198">
        <f>+dap!B38</f>
        <v>0</v>
      </c>
      <c r="C30" s="198">
        <f>+dap!C38</f>
        <v>0</v>
      </c>
      <c r="D30" s="198">
        <f>+dap!D38</f>
        <v>0</v>
      </c>
      <c r="E30" s="198">
        <f>+dap!E38</f>
        <v>0</v>
      </c>
      <c r="F30" s="198">
        <f>+dap!F38</f>
        <v>0</v>
      </c>
      <c r="G30" s="198">
        <f>+dap!G38</f>
        <v>0</v>
      </c>
      <c r="H30" s="198">
        <f>+dap!H38</f>
        <v>0</v>
      </c>
    </row>
    <row r="31" spans="1:8" x14ac:dyDescent="0.25">
      <c r="A31" s="260" t="s">
        <v>455</v>
      </c>
      <c r="B31" s="198">
        <f>+'frais fi'!B38</f>
        <v>0</v>
      </c>
      <c r="C31" s="198">
        <f>+'frais fi'!C38</f>
        <v>0</v>
      </c>
      <c r="D31" s="198">
        <f>+'frais fi'!D38</f>
        <v>0</v>
      </c>
      <c r="E31" s="198">
        <f>+'frais fi'!E38</f>
        <v>0</v>
      </c>
      <c r="F31" s="198">
        <f>+'frais fi'!F38</f>
        <v>0</v>
      </c>
      <c r="G31" s="198">
        <f>+'frais fi'!G38</f>
        <v>0</v>
      </c>
      <c r="H31" s="198">
        <f>+'frais fi'!H38</f>
        <v>0</v>
      </c>
    </row>
    <row r="32" spans="1:8" hidden="1" x14ac:dyDescent="0.25">
      <c r="A32" s="260" t="s">
        <v>456</v>
      </c>
      <c r="B32" s="182"/>
      <c r="C32" s="182"/>
      <c r="D32" s="182"/>
      <c r="E32" s="182"/>
      <c r="F32" s="182"/>
      <c r="G32" s="182"/>
      <c r="H32" s="182"/>
    </row>
    <row r="33" spans="1:8" x14ac:dyDescent="0.25">
      <c r="A33" s="260" t="s">
        <v>428</v>
      </c>
      <c r="B33" s="198">
        <f>+'A SAISIR'!F143</f>
        <v>0</v>
      </c>
      <c r="C33" s="198">
        <f>+'A SAISIR'!G143</f>
        <v>0</v>
      </c>
      <c r="D33" s="198">
        <f>+'A SAISIR'!H143</f>
        <v>0</v>
      </c>
      <c r="E33" s="198">
        <f>+'A SAISIR'!I143</f>
        <v>0</v>
      </c>
      <c r="F33" s="198">
        <f>+'A SAISIR'!J143</f>
        <v>0</v>
      </c>
      <c r="G33" s="198">
        <f>+'A SAISIR'!K143</f>
        <v>0</v>
      </c>
      <c r="H33" s="198">
        <f>+'A SAISIR'!L143</f>
        <v>0</v>
      </c>
    </row>
    <row r="34" spans="1:8" x14ac:dyDescent="0.25">
      <c r="A34" s="295" t="s">
        <v>458</v>
      </c>
      <c r="B34" s="296" t="e">
        <f>+B28-B30-B31-B32-B33</f>
        <v>#DIV/0!</v>
      </c>
      <c r="C34" s="296" t="e">
        <f t="shared" ref="C34:H34" si="9">+C28-C30-C31-C32-C33</f>
        <v>#DIV/0!</v>
      </c>
      <c r="D34" s="296" t="e">
        <f t="shared" si="9"/>
        <v>#DIV/0!</v>
      </c>
      <c r="E34" s="296" t="e">
        <f t="shared" si="9"/>
        <v>#DIV/0!</v>
      </c>
      <c r="F34" s="296" t="e">
        <f t="shared" si="9"/>
        <v>#DIV/0!</v>
      </c>
      <c r="G34" s="296" t="e">
        <f t="shared" si="9"/>
        <v>#DIV/0!</v>
      </c>
      <c r="H34" s="296" t="e">
        <f t="shared" si="9"/>
        <v>#DIV/0!</v>
      </c>
    </row>
    <row r="35" spans="1:8" x14ac:dyDescent="0.25">
      <c r="A35" s="295" t="s">
        <v>459</v>
      </c>
      <c r="B35" s="300" t="e">
        <f>+B34/B8</f>
        <v>#DIV/0!</v>
      </c>
      <c r="C35" s="300" t="e">
        <f t="shared" ref="C35:H35" si="10">+C34/C8</f>
        <v>#DIV/0!</v>
      </c>
      <c r="D35" s="300" t="e">
        <f t="shared" si="10"/>
        <v>#DIV/0!</v>
      </c>
      <c r="E35" s="300" t="e">
        <f t="shared" si="10"/>
        <v>#DIV/0!</v>
      </c>
      <c r="F35" s="300" t="e">
        <f t="shared" si="10"/>
        <v>#DIV/0!</v>
      </c>
      <c r="G35" s="300" t="e">
        <f t="shared" si="10"/>
        <v>#DIV/0!</v>
      </c>
      <c r="H35" s="300" t="e">
        <f t="shared" si="10"/>
        <v>#DIV/0!</v>
      </c>
    </row>
    <row r="36" spans="1:8" x14ac:dyDescent="0.25">
      <c r="A36" s="182"/>
      <c r="B36" s="182"/>
      <c r="C36" s="182"/>
      <c r="D36" s="182"/>
      <c r="E36" s="182"/>
      <c r="F36" s="182"/>
      <c r="G36" s="182"/>
      <c r="H36" s="182"/>
    </row>
    <row r="37" spans="1:8" x14ac:dyDescent="0.25">
      <c r="A37" s="182"/>
      <c r="B37" s="182"/>
      <c r="C37" s="182"/>
      <c r="D37" s="182"/>
      <c r="E37" s="182"/>
      <c r="F37" s="182"/>
      <c r="G37" s="182"/>
      <c r="H37" s="182"/>
    </row>
    <row r="38" spans="1:8" x14ac:dyDescent="0.25">
      <c r="A38" s="182"/>
      <c r="B38" s="182"/>
      <c r="C38" s="182"/>
      <c r="D38" s="182"/>
      <c r="E38" s="182"/>
      <c r="F38" s="182"/>
      <c r="G38" s="182"/>
      <c r="H38" s="182"/>
    </row>
    <row r="39" spans="1:8" x14ac:dyDescent="0.25">
      <c r="A39" s="182"/>
      <c r="B39" s="182"/>
      <c r="C39" s="182"/>
      <c r="D39" s="182"/>
      <c r="E39" s="182"/>
      <c r="F39" s="182"/>
      <c r="G39" s="182"/>
      <c r="H39" s="182"/>
    </row>
    <row r="40" spans="1:8" x14ac:dyDescent="0.25">
      <c r="A40" s="182"/>
      <c r="B40" s="182"/>
      <c r="C40" s="182"/>
      <c r="D40" s="182"/>
      <c r="E40" s="182"/>
      <c r="F40" s="182"/>
      <c r="G40" s="182"/>
      <c r="H40" s="182"/>
    </row>
    <row r="41" spans="1:8" x14ac:dyDescent="0.25">
      <c r="A41" s="182"/>
      <c r="B41" s="182"/>
      <c r="C41" s="182"/>
      <c r="D41" s="182"/>
      <c r="E41" s="182"/>
      <c r="F41" s="182"/>
      <c r="G41" s="182"/>
      <c r="H41" s="182"/>
    </row>
    <row r="42" spans="1:8" s="301" customFormat="1" x14ac:dyDescent="0.25"/>
    <row r="43" spans="1:8" s="301" customFormat="1" x14ac:dyDescent="0.25"/>
    <row r="44" spans="1:8" s="301" customFormat="1" x14ac:dyDescent="0.25">
      <c r="B44" s="301" t="str">
        <f>+B6</f>
        <v>N</v>
      </c>
      <c r="C44" s="301" t="str">
        <f t="shared" ref="C44:H44" si="11">+C6</f>
        <v>N+1</v>
      </c>
      <c r="D44" s="301" t="str">
        <f t="shared" si="11"/>
        <v>N+2</v>
      </c>
      <c r="E44" s="301" t="str">
        <f t="shared" si="11"/>
        <v>N+3</v>
      </c>
      <c r="F44" s="301" t="str">
        <f t="shared" si="11"/>
        <v>N+4</v>
      </c>
      <c r="G44" s="301" t="str">
        <f t="shared" si="11"/>
        <v>N+5</v>
      </c>
      <c r="H44" s="301" t="str">
        <f t="shared" si="11"/>
        <v>N+6</v>
      </c>
    </row>
    <row r="45" spans="1:8" s="301" customFormat="1" x14ac:dyDescent="0.25">
      <c r="A45" s="301" t="s">
        <v>312</v>
      </c>
      <c r="B45" s="302">
        <f>+B8</f>
        <v>0</v>
      </c>
      <c r="C45" s="302">
        <f t="shared" ref="C45:H45" si="12">+C8</f>
        <v>0</v>
      </c>
      <c r="D45" s="302">
        <f t="shared" si="12"/>
        <v>0</v>
      </c>
      <c r="E45" s="302">
        <f t="shared" si="12"/>
        <v>0</v>
      </c>
      <c r="F45" s="302">
        <f t="shared" si="12"/>
        <v>0</v>
      </c>
      <c r="G45" s="302">
        <f t="shared" si="12"/>
        <v>0</v>
      </c>
      <c r="H45" s="302">
        <f t="shared" si="12"/>
        <v>0</v>
      </c>
    </row>
    <row r="46" spans="1:8" s="301" customFormat="1" x14ac:dyDescent="0.25">
      <c r="A46" s="301" t="s">
        <v>139</v>
      </c>
      <c r="B46" s="302">
        <f>+B20</f>
        <v>0</v>
      </c>
      <c r="C46" s="302">
        <f t="shared" ref="C46:H46" si="13">+C20</f>
        <v>0</v>
      </c>
      <c r="D46" s="302">
        <f t="shared" si="13"/>
        <v>0</v>
      </c>
      <c r="E46" s="302">
        <f t="shared" si="13"/>
        <v>0</v>
      </c>
      <c r="F46" s="302">
        <f t="shared" si="13"/>
        <v>0</v>
      </c>
      <c r="G46" s="302">
        <f t="shared" si="13"/>
        <v>0</v>
      </c>
      <c r="H46" s="302">
        <f t="shared" si="13"/>
        <v>0</v>
      </c>
    </row>
    <row r="47" spans="1:8" s="301" customFormat="1" x14ac:dyDescent="0.25">
      <c r="A47" s="301" t="s">
        <v>138</v>
      </c>
      <c r="B47" s="302" t="e">
        <f>+B28</f>
        <v>#DIV/0!</v>
      </c>
      <c r="C47" s="302" t="e">
        <f t="shared" ref="C47:H47" si="14">+C28</f>
        <v>#DIV/0!</v>
      </c>
      <c r="D47" s="302" t="e">
        <f t="shared" si="14"/>
        <v>#DIV/0!</v>
      </c>
      <c r="E47" s="302" t="e">
        <f t="shared" si="14"/>
        <v>#DIV/0!</v>
      </c>
      <c r="F47" s="302" t="e">
        <f t="shared" si="14"/>
        <v>#DIV/0!</v>
      </c>
      <c r="G47" s="302" t="e">
        <f t="shared" si="14"/>
        <v>#DIV/0!</v>
      </c>
      <c r="H47" s="302" t="e">
        <f t="shared" si="14"/>
        <v>#DIV/0!</v>
      </c>
    </row>
    <row r="48" spans="1:8" s="301" customFormat="1" x14ac:dyDescent="0.25">
      <c r="A48" s="301" t="s">
        <v>457</v>
      </c>
      <c r="B48" s="302" t="e">
        <f>+B34</f>
        <v>#DIV/0!</v>
      </c>
      <c r="C48" s="302" t="e">
        <f t="shared" ref="C48:H48" si="15">+C34</f>
        <v>#DIV/0!</v>
      </c>
      <c r="D48" s="302" t="e">
        <f t="shared" si="15"/>
        <v>#DIV/0!</v>
      </c>
      <c r="E48" s="302" t="e">
        <f t="shared" si="15"/>
        <v>#DIV/0!</v>
      </c>
      <c r="F48" s="302" t="e">
        <f t="shared" si="15"/>
        <v>#DIV/0!</v>
      </c>
      <c r="G48" s="302" t="e">
        <f t="shared" si="15"/>
        <v>#DIV/0!</v>
      </c>
      <c r="H48" s="302" t="e">
        <f t="shared" si="15"/>
        <v>#DIV/0!</v>
      </c>
    </row>
    <row r="49" s="301" customFormat="1" x14ac:dyDescent="0.25"/>
    <row r="50" s="301" customFormat="1" x14ac:dyDescent="0.25"/>
    <row r="51" s="301" customFormat="1" x14ac:dyDescent="0.25"/>
    <row r="52" s="301" customFormat="1" x14ac:dyDescent="0.25"/>
    <row r="53" s="301" customFormat="1" x14ac:dyDescent="0.25"/>
    <row r="54" s="301" customFormat="1" x14ac:dyDescent="0.25"/>
    <row r="55" s="301" customFormat="1" x14ac:dyDescent="0.25"/>
    <row r="56" s="301" customFormat="1" x14ac:dyDescent="0.25"/>
  </sheetData>
  <pageMargins left="0.47244094488188981" right="0.19685039370078741" top="0.59055118110236227" bottom="0.31496062992125984" header="0.23622047244094491" footer="0.19685039370078741"/>
  <pageSetup paperSize="9" scale="82" orientation="portrait" r:id="rId1"/>
  <headerFooter>
    <oddHeader>&amp;L&amp;D
&amp;T&amp;R&amp;P/&amp;N</oddHeader>
    <oddFooter>&amp;L&amp;7Document non contractuel
Charges personnelles de l'exploitant non inclus
Les chiffres et les informations ci-dessus sont données à titre indicatifs et restent à être validés par un Expert Comptable
&amp;R&amp;P/&amp;N
&amp;D--&amp;T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I49"/>
  <sheetViews>
    <sheetView workbookViewId="0">
      <selection activeCell="B7" sqref="B7"/>
    </sheetView>
  </sheetViews>
  <sheetFormatPr baseColWidth="10" defaultRowHeight="13.2" x14ac:dyDescent="0.25"/>
  <cols>
    <col min="1" max="1" width="21.109375" customWidth="1"/>
    <col min="2" max="8" width="10.44140625" bestFit="1" customWidth="1"/>
    <col min="9" max="9" width="11.88671875" customWidth="1"/>
  </cols>
  <sheetData>
    <row r="1" spans="1:8" x14ac:dyDescent="0.25">
      <c r="A1" s="146" t="s">
        <v>460</v>
      </c>
    </row>
    <row r="3" spans="1:8" x14ac:dyDescent="0.25">
      <c r="A3" s="270" t="s">
        <v>412</v>
      </c>
      <c r="B3" s="182">
        <f>+'A SAISIR'!G6</f>
        <v>0</v>
      </c>
    </row>
    <row r="4" spans="1:8" x14ac:dyDescent="0.25">
      <c r="A4">
        <f>+'A SAISIR'!G7</f>
        <v>0</v>
      </c>
    </row>
    <row r="5" spans="1:8" x14ac:dyDescent="0.25">
      <c r="B5" s="249"/>
    </row>
    <row r="6" spans="1:8" x14ac:dyDescent="0.25">
      <c r="A6" s="223"/>
      <c r="B6" s="269" t="s">
        <v>283</v>
      </c>
      <c r="C6" s="269" t="s">
        <v>284</v>
      </c>
      <c r="D6" s="269" t="s">
        <v>285</v>
      </c>
      <c r="E6" s="269" t="s">
        <v>286</v>
      </c>
      <c r="F6" s="269" t="s">
        <v>287</v>
      </c>
      <c r="G6" s="269" t="s">
        <v>288</v>
      </c>
      <c r="H6" s="269" t="s">
        <v>289</v>
      </c>
    </row>
    <row r="7" spans="1:8" x14ac:dyDescent="0.25">
      <c r="A7" s="260" t="s">
        <v>436</v>
      </c>
      <c r="B7" s="198" t="e">
        <f>+B8*1.2</f>
        <v>#DIV/0!</v>
      </c>
      <c r="C7" s="198" t="e">
        <f t="shared" ref="C7:H7" si="0">+C8*1.2</f>
        <v>#DIV/0!</v>
      </c>
      <c r="D7" s="198" t="e">
        <f t="shared" si="0"/>
        <v>#DIV/0!</v>
      </c>
      <c r="E7" s="198" t="e">
        <f t="shared" si="0"/>
        <v>#DIV/0!</v>
      </c>
      <c r="F7" s="198" t="e">
        <f t="shared" si="0"/>
        <v>#DIV/0!</v>
      </c>
      <c r="G7" s="198" t="e">
        <f t="shared" si="0"/>
        <v>#DIV/0!</v>
      </c>
      <c r="H7" s="198" t="e">
        <f t="shared" si="0"/>
        <v>#DIV/0!</v>
      </c>
    </row>
    <row r="8" spans="1:8" x14ac:dyDescent="0.25">
      <c r="A8" s="277" t="s">
        <v>137</v>
      </c>
      <c r="B8" s="181" t="e">
        <f>+B20/B21</f>
        <v>#DIV/0!</v>
      </c>
      <c r="C8" s="181" t="e">
        <f t="shared" ref="C8:H8" si="1">+C20/C21</f>
        <v>#DIV/0!</v>
      </c>
      <c r="D8" s="181" t="e">
        <f t="shared" si="1"/>
        <v>#DIV/0!</v>
      </c>
      <c r="E8" s="181" t="e">
        <f>+E20/E21</f>
        <v>#DIV/0!</v>
      </c>
      <c r="F8" s="181" t="e">
        <f t="shared" si="1"/>
        <v>#DIV/0!</v>
      </c>
      <c r="G8" s="181" t="e">
        <f t="shared" si="1"/>
        <v>#DIV/0!</v>
      </c>
      <c r="H8" s="181" t="e">
        <f t="shared" si="1"/>
        <v>#DIV/0!</v>
      </c>
    </row>
    <row r="9" spans="1:8" x14ac:dyDescent="0.25">
      <c r="A9" s="260" t="s">
        <v>388</v>
      </c>
      <c r="B9" s="198" t="e">
        <f>+B7/B11</f>
        <v>#DIV/0!</v>
      </c>
      <c r="C9" s="198" t="e">
        <f t="shared" ref="C9:H9" si="2">+C7/C11</f>
        <v>#DIV/0!</v>
      </c>
      <c r="D9" s="198" t="e">
        <f t="shared" si="2"/>
        <v>#DIV/0!</v>
      </c>
      <c r="E9" s="198" t="e">
        <f t="shared" si="2"/>
        <v>#DIV/0!</v>
      </c>
      <c r="F9" s="198" t="e">
        <f t="shared" si="2"/>
        <v>#DIV/0!</v>
      </c>
      <c r="G9" s="198" t="e">
        <f t="shared" si="2"/>
        <v>#DIV/0!</v>
      </c>
      <c r="H9" s="198" t="e">
        <f t="shared" si="2"/>
        <v>#DIV/0!</v>
      </c>
    </row>
    <row r="10" spans="1:8" x14ac:dyDescent="0.25">
      <c r="A10" s="280" t="s">
        <v>435</v>
      </c>
      <c r="B10" s="281"/>
      <c r="C10" s="281"/>
      <c r="D10" s="281"/>
      <c r="E10" s="281"/>
      <c r="F10" s="281"/>
      <c r="G10" s="281"/>
      <c r="H10" s="281"/>
    </row>
    <row r="11" spans="1:8" x14ac:dyDescent="0.25">
      <c r="A11" s="260" t="s">
        <v>433</v>
      </c>
      <c r="B11" s="198" t="e">
        <f>+'tab rt'!B11</f>
        <v>#DIV/0!</v>
      </c>
      <c r="C11" s="198" t="e">
        <f>+'tab rt'!C11</f>
        <v>#DIV/0!</v>
      </c>
      <c r="D11" s="198" t="e">
        <f>+'tab rt'!D11</f>
        <v>#DIV/0!</v>
      </c>
      <c r="E11" s="198" t="e">
        <f>+'tab rt'!E11</f>
        <v>#DIV/0!</v>
      </c>
      <c r="F11" s="198" t="e">
        <f>+'tab rt'!F11</f>
        <v>#DIV/0!</v>
      </c>
      <c r="G11" s="198" t="e">
        <f>+'tab rt'!G11</f>
        <v>#DIV/0!</v>
      </c>
      <c r="H11" s="198" t="e">
        <f>+'tab rt'!H11</f>
        <v>#DIV/0!</v>
      </c>
    </row>
    <row r="12" spans="1:8" x14ac:dyDescent="0.25">
      <c r="A12" s="260" t="s">
        <v>434</v>
      </c>
      <c r="B12" s="273">
        <f>+'A SAISIR'!F42</f>
        <v>2.4</v>
      </c>
      <c r="C12" s="273">
        <f>+'A SAISIR'!G42</f>
        <v>2.448</v>
      </c>
      <c r="D12" s="273">
        <f>+'A SAISIR'!H42</f>
        <v>2.4969600000000001</v>
      </c>
      <c r="E12" s="273">
        <f>+'A SAISIR'!I42</f>
        <v>2.5468991999999999</v>
      </c>
      <c r="F12" s="273">
        <f>+'A SAISIR'!J42</f>
        <v>2.5978371839999999</v>
      </c>
      <c r="G12" s="273">
        <f>+'A SAISIR'!K42</f>
        <v>2.6497939276799998</v>
      </c>
      <c r="H12" s="273">
        <f>+'A SAISIR'!L42</f>
        <v>2.7027898062336</v>
      </c>
    </row>
    <row r="13" spans="1:8" x14ac:dyDescent="0.25">
      <c r="A13" s="260" t="s">
        <v>442</v>
      </c>
      <c r="B13" s="198" t="e">
        <f>+B9*B12</f>
        <v>#DIV/0!</v>
      </c>
      <c r="C13" s="198" t="e">
        <f t="shared" ref="C13:H13" si="3">+C9*C12</f>
        <v>#DIV/0!</v>
      </c>
      <c r="D13" s="198" t="e">
        <f t="shared" si="3"/>
        <v>#DIV/0!</v>
      </c>
      <c r="E13" s="198" t="e">
        <f t="shared" si="3"/>
        <v>#DIV/0!</v>
      </c>
      <c r="F13" s="198" t="e">
        <f t="shared" si="3"/>
        <v>#DIV/0!</v>
      </c>
      <c r="G13" s="198" t="e">
        <f t="shared" si="3"/>
        <v>#DIV/0!</v>
      </c>
      <c r="H13" s="198" t="e">
        <f t="shared" si="3"/>
        <v>#DIV/0!</v>
      </c>
    </row>
    <row r="14" spans="1:8" x14ac:dyDescent="0.25">
      <c r="A14" s="260" t="s">
        <v>443</v>
      </c>
      <c r="B14" s="274" t="e">
        <f>+B7/B13</f>
        <v>#DIV/0!</v>
      </c>
      <c r="C14" s="274" t="e">
        <f t="shared" ref="C14:H14" si="4">+C7/C13</f>
        <v>#DIV/0!</v>
      </c>
      <c r="D14" s="274" t="e">
        <f t="shared" si="4"/>
        <v>#DIV/0!</v>
      </c>
      <c r="E14" s="274" t="e">
        <f t="shared" si="4"/>
        <v>#DIV/0!</v>
      </c>
      <c r="F14" s="274" t="e">
        <f t="shared" si="4"/>
        <v>#DIV/0!</v>
      </c>
      <c r="G14" s="274" t="e">
        <f t="shared" si="4"/>
        <v>#DIV/0!</v>
      </c>
      <c r="H14" s="274" t="e">
        <f t="shared" si="4"/>
        <v>#DIV/0!</v>
      </c>
    </row>
    <row r="15" spans="1:8" hidden="1" x14ac:dyDescent="0.25">
      <c r="A15" s="260"/>
      <c r="B15" s="182"/>
      <c r="C15" s="182"/>
      <c r="D15" s="182"/>
      <c r="E15" s="182"/>
      <c r="F15" s="182"/>
      <c r="G15" s="182"/>
      <c r="H15" s="182"/>
    </row>
    <row r="16" spans="1:8" hidden="1" x14ac:dyDescent="0.25">
      <c r="A16" s="260" t="s">
        <v>139</v>
      </c>
      <c r="B16" s="198">
        <f>+'A SAISIR'!F35</f>
        <v>0</v>
      </c>
      <c r="C16" s="198">
        <f>+'A SAISIR'!G35</f>
        <v>0</v>
      </c>
      <c r="D16" s="198">
        <f>+'A SAISIR'!H35</f>
        <v>0</v>
      </c>
      <c r="E16" s="198">
        <f>+'A SAISIR'!I35</f>
        <v>0</v>
      </c>
      <c r="F16" s="198">
        <f>+'A SAISIR'!J35</f>
        <v>0</v>
      </c>
      <c r="G16" s="198">
        <f>+'A SAISIR'!K35</f>
        <v>0</v>
      </c>
      <c r="H16" s="198">
        <f>+'A SAISIR'!L35</f>
        <v>0</v>
      </c>
    </row>
    <row r="17" spans="1:9" hidden="1" x14ac:dyDescent="0.25">
      <c r="A17" s="260" t="s">
        <v>438</v>
      </c>
      <c r="B17" s="272">
        <f>+'A SAISIR'!F31</f>
        <v>0.02</v>
      </c>
      <c r="C17" s="272">
        <f>+'A SAISIR'!G31</f>
        <v>0.02</v>
      </c>
      <c r="D17" s="272">
        <f>+'A SAISIR'!H31</f>
        <v>0.02</v>
      </c>
      <c r="E17" s="272">
        <f>+'A SAISIR'!I31</f>
        <v>0.02</v>
      </c>
      <c r="F17" s="272">
        <f>+'A SAISIR'!J31</f>
        <v>0.02</v>
      </c>
      <c r="G17" s="272">
        <f>+'A SAISIR'!K31</f>
        <v>0.02</v>
      </c>
      <c r="H17" s="272">
        <f>+'A SAISIR'!L31</f>
        <v>0.02</v>
      </c>
    </row>
    <row r="18" spans="1:9" hidden="1" x14ac:dyDescent="0.25">
      <c r="A18" s="260" t="s">
        <v>439</v>
      </c>
      <c r="B18" s="272">
        <f>+'A SAISIR'!F32</f>
        <v>0</v>
      </c>
      <c r="C18" s="272">
        <f>+'A SAISIR'!G32</f>
        <v>0</v>
      </c>
      <c r="D18" s="272">
        <f>+'A SAISIR'!H32</f>
        <v>0</v>
      </c>
      <c r="E18" s="272">
        <f>+'A SAISIR'!I32</f>
        <v>0</v>
      </c>
      <c r="F18" s="272">
        <f>+'A SAISIR'!J32</f>
        <v>0</v>
      </c>
      <c r="G18" s="272">
        <f>+'A SAISIR'!K32</f>
        <v>0</v>
      </c>
      <c r="H18" s="272">
        <f>+'A SAISIR'!L32</f>
        <v>0</v>
      </c>
    </row>
    <row r="19" spans="1:9" hidden="1" x14ac:dyDescent="0.25">
      <c r="A19" s="260" t="s">
        <v>440</v>
      </c>
      <c r="B19" s="271" t="e">
        <f>+(B17+B18)*B8</f>
        <v>#DIV/0!</v>
      </c>
      <c r="C19" s="271" t="e">
        <f t="shared" ref="C19:H19" si="5">+(C17+C18)*C8</f>
        <v>#DIV/0!</v>
      </c>
      <c r="D19" s="271" t="e">
        <f t="shared" si="5"/>
        <v>#DIV/0!</v>
      </c>
      <c r="E19" s="271" t="e">
        <f t="shared" si="5"/>
        <v>#DIV/0!</v>
      </c>
      <c r="F19" s="271" t="e">
        <f t="shared" si="5"/>
        <v>#DIV/0!</v>
      </c>
      <c r="G19" s="271" t="e">
        <f t="shared" si="5"/>
        <v>#DIV/0!</v>
      </c>
      <c r="H19" s="271" t="e">
        <f t="shared" si="5"/>
        <v>#DIV/0!</v>
      </c>
    </row>
    <row r="20" spans="1:9" x14ac:dyDescent="0.25">
      <c r="A20" s="277" t="s">
        <v>437</v>
      </c>
      <c r="B20" s="278" t="e">
        <f>+B27+B30+B31+B32+B33</f>
        <v>#DIV/0!</v>
      </c>
      <c r="C20" s="278" t="e">
        <f t="shared" ref="C20:H20" si="6">+C27+C30+C31+C32+C33</f>
        <v>#DIV/0!</v>
      </c>
      <c r="D20" s="278" t="e">
        <f t="shared" si="6"/>
        <v>#DIV/0!</v>
      </c>
      <c r="E20" s="278" t="e">
        <f t="shared" si="6"/>
        <v>#DIV/0!</v>
      </c>
      <c r="F20" s="278" t="e">
        <f t="shared" si="6"/>
        <v>#DIV/0!</v>
      </c>
      <c r="G20" s="278" t="e">
        <f t="shared" si="6"/>
        <v>#DIV/0!</v>
      </c>
      <c r="H20" s="278" t="e">
        <f t="shared" si="6"/>
        <v>#DIV/0!</v>
      </c>
    </row>
    <row r="21" spans="1:9" x14ac:dyDescent="0.25">
      <c r="A21" s="277" t="s">
        <v>441</v>
      </c>
      <c r="B21" s="279" t="e">
        <f>+'tab rt'!B21</f>
        <v>#DIV/0!</v>
      </c>
      <c r="C21" s="279" t="e">
        <f>+'tab rt'!C21</f>
        <v>#DIV/0!</v>
      </c>
      <c r="D21" s="279" t="e">
        <f>+'tab rt'!D21</f>
        <v>#DIV/0!</v>
      </c>
      <c r="E21" s="279" t="e">
        <f>+'tab rt'!E21</f>
        <v>#DIV/0!</v>
      </c>
      <c r="F21" s="279" t="e">
        <f>+'tab rt'!F21</f>
        <v>#DIV/0!</v>
      </c>
      <c r="G21" s="279" t="e">
        <f>+'tab rt'!G21</f>
        <v>#DIV/0!</v>
      </c>
      <c r="H21" s="279" t="e">
        <f>+'tab rt'!H21</f>
        <v>#DIV/0!</v>
      </c>
      <c r="I21" s="268"/>
    </row>
    <row r="22" spans="1:9" x14ac:dyDescent="0.25">
      <c r="A22" s="260" t="s">
        <v>452</v>
      </c>
      <c r="B22" s="198">
        <f>+'tab rt'!B22</f>
        <v>0</v>
      </c>
      <c r="C22" s="198">
        <f>+'tab rt'!C22</f>
        <v>0</v>
      </c>
      <c r="D22" s="198">
        <f>+'tab rt'!D22</f>
        <v>0</v>
      </c>
      <c r="E22" s="198">
        <f>+'tab rt'!E22</f>
        <v>0</v>
      </c>
      <c r="F22" s="198">
        <f>+'tab rt'!F22</f>
        <v>0</v>
      </c>
      <c r="G22" s="198">
        <f>+'tab rt'!G22</f>
        <v>0</v>
      </c>
      <c r="H22" s="198">
        <f>+'tab rt'!H22</f>
        <v>0</v>
      </c>
    </row>
    <row r="23" spans="1:9" x14ac:dyDescent="0.25">
      <c r="A23" s="260" t="s">
        <v>346</v>
      </c>
      <c r="B23" s="198">
        <f>+'tab rt'!B23</f>
        <v>0</v>
      </c>
      <c r="C23" s="198">
        <f>+'tab rt'!C23</f>
        <v>0</v>
      </c>
      <c r="D23" s="198">
        <f>+'tab rt'!D23</f>
        <v>0</v>
      </c>
      <c r="E23" s="198">
        <f>+'tab rt'!E23</f>
        <v>0</v>
      </c>
      <c r="F23" s="198">
        <f>+'tab rt'!F23</f>
        <v>0</v>
      </c>
      <c r="G23" s="198">
        <f>+'tab rt'!G23</f>
        <v>0</v>
      </c>
      <c r="H23" s="198">
        <f>+'tab rt'!H23</f>
        <v>0</v>
      </c>
    </row>
    <row r="24" spans="1:9" x14ac:dyDescent="0.25">
      <c r="A24" s="260" t="s">
        <v>390</v>
      </c>
      <c r="B24" s="198">
        <f>+'tab rt'!B24</f>
        <v>0</v>
      </c>
      <c r="C24" s="198">
        <f>+'tab rt'!C24</f>
        <v>0</v>
      </c>
      <c r="D24" s="198">
        <f>+'tab rt'!D24</f>
        <v>0</v>
      </c>
      <c r="E24" s="198">
        <f>+'tab rt'!E24</f>
        <v>0</v>
      </c>
      <c r="F24" s="198">
        <f>+'tab rt'!F24</f>
        <v>0</v>
      </c>
      <c r="G24" s="198">
        <f>+'tab rt'!G24</f>
        <v>0</v>
      </c>
      <c r="H24" s="198">
        <f>+'tab rt'!H24</f>
        <v>0</v>
      </c>
    </row>
    <row r="25" spans="1:9" x14ac:dyDescent="0.25">
      <c r="A25" s="294" t="s">
        <v>190</v>
      </c>
      <c r="B25" s="198" t="e">
        <f>+'tab rt'!B25</f>
        <v>#DIV/0!</v>
      </c>
      <c r="C25" s="198" t="e">
        <f>+'tab rt'!C25</f>
        <v>#DIV/0!</v>
      </c>
      <c r="D25" s="198" t="e">
        <f>+'tab rt'!D25</f>
        <v>#DIV/0!</v>
      </c>
      <c r="E25" s="198" t="e">
        <f>+'tab rt'!E25</f>
        <v>#DIV/0!</v>
      </c>
      <c r="F25" s="198" t="e">
        <f>+'tab rt'!F25</f>
        <v>#DIV/0!</v>
      </c>
      <c r="G25" s="198" t="e">
        <f>+'tab rt'!G25</f>
        <v>#DIV/0!</v>
      </c>
      <c r="H25" s="198" t="e">
        <f>+'tab rt'!H25</f>
        <v>#DIV/0!</v>
      </c>
    </row>
    <row r="26" spans="1:9" x14ac:dyDescent="0.25">
      <c r="A26" s="294" t="s">
        <v>451</v>
      </c>
      <c r="B26" s="198">
        <f>+'tab rt'!B26</f>
        <v>0</v>
      </c>
      <c r="C26" s="198">
        <f>+'tab rt'!C26</f>
        <v>0</v>
      </c>
      <c r="D26" s="198">
        <f>+'tab rt'!D26</f>
        <v>0</v>
      </c>
      <c r="E26" s="198">
        <f>+'tab rt'!E26</f>
        <v>0</v>
      </c>
      <c r="F26" s="198">
        <f>+'tab rt'!F26</f>
        <v>0</v>
      </c>
      <c r="G26" s="198">
        <f>+'tab rt'!G26</f>
        <v>0</v>
      </c>
      <c r="H26" s="198">
        <f>+'tab rt'!H26</f>
        <v>0</v>
      </c>
    </row>
    <row r="27" spans="1:9" x14ac:dyDescent="0.25">
      <c r="A27" s="277" t="s">
        <v>453</v>
      </c>
      <c r="B27" s="181" t="e">
        <f>SUM(B22:B26)</f>
        <v>#DIV/0!</v>
      </c>
      <c r="C27" s="181" t="e">
        <f t="shared" ref="C27:H27" si="7">SUM(C22:C26)</f>
        <v>#DIV/0!</v>
      </c>
      <c r="D27" s="181" t="e">
        <f t="shared" si="7"/>
        <v>#DIV/0!</v>
      </c>
      <c r="E27" s="181" t="e">
        <f t="shared" si="7"/>
        <v>#DIV/0!</v>
      </c>
      <c r="F27" s="181" t="e">
        <f t="shared" si="7"/>
        <v>#DIV/0!</v>
      </c>
      <c r="G27" s="181" t="e">
        <f t="shared" si="7"/>
        <v>#DIV/0!</v>
      </c>
      <c r="H27" s="181" t="e">
        <f t="shared" si="7"/>
        <v>#DIV/0!</v>
      </c>
    </row>
    <row r="28" spans="1:9" x14ac:dyDescent="0.25">
      <c r="A28" s="295" t="s">
        <v>138</v>
      </c>
      <c r="B28" s="296" t="e">
        <f>+B20-B27</f>
        <v>#DIV/0!</v>
      </c>
      <c r="C28" s="296" t="e">
        <f t="shared" ref="C28:H28" si="8">+C20-C27</f>
        <v>#DIV/0!</v>
      </c>
      <c r="D28" s="296" t="e">
        <f t="shared" si="8"/>
        <v>#DIV/0!</v>
      </c>
      <c r="E28" s="296" t="e">
        <f t="shared" si="8"/>
        <v>#DIV/0!</v>
      </c>
      <c r="F28" s="296" t="e">
        <f t="shared" si="8"/>
        <v>#DIV/0!</v>
      </c>
      <c r="G28" s="296" t="e">
        <f t="shared" si="8"/>
        <v>#DIV/0!</v>
      </c>
      <c r="H28" s="296" t="e">
        <f t="shared" si="8"/>
        <v>#DIV/0!</v>
      </c>
    </row>
    <row r="29" spans="1:9" x14ac:dyDescent="0.25">
      <c r="A29" s="295" t="s">
        <v>459</v>
      </c>
      <c r="B29" s="300" t="e">
        <f>+B28/B8</f>
        <v>#DIV/0!</v>
      </c>
      <c r="C29" s="300" t="e">
        <f t="shared" ref="C29:H29" si="9">+C28/C8</f>
        <v>#DIV/0!</v>
      </c>
      <c r="D29" s="300" t="e">
        <f t="shared" si="9"/>
        <v>#DIV/0!</v>
      </c>
      <c r="E29" s="300" t="e">
        <f t="shared" si="9"/>
        <v>#DIV/0!</v>
      </c>
      <c r="F29" s="300" t="e">
        <f t="shared" si="9"/>
        <v>#DIV/0!</v>
      </c>
      <c r="G29" s="300" t="e">
        <f t="shared" si="9"/>
        <v>#DIV/0!</v>
      </c>
      <c r="H29" s="300" t="e">
        <f t="shared" si="9"/>
        <v>#DIV/0!</v>
      </c>
    </row>
    <row r="30" spans="1:9" x14ac:dyDescent="0.25">
      <c r="A30" s="260" t="s">
        <v>454</v>
      </c>
      <c r="B30" s="198">
        <f>+'tab rt'!B30</f>
        <v>0</v>
      </c>
      <c r="C30" s="198">
        <f>+'tab rt'!C30</f>
        <v>0</v>
      </c>
      <c r="D30" s="198">
        <f>+'tab rt'!D30</f>
        <v>0</v>
      </c>
      <c r="E30" s="198">
        <f>+'tab rt'!E30</f>
        <v>0</v>
      </c>
      <c r="F30" s="198">
        <f>+'tab rt'!F30</f>
        <v>0</v>
      </c>
      <c r="G30" s="198">
        <f>+'tab rt'!G30</f>
        <v>0</v>
      </c>
      <c r="H30" s="198">
        <f>+'tab rt'!H30</f>
        <v>0</v>
      </c>
    </row>
    <row r="31" spans="1:9" x14ac:dyDescent="0.25">
      <c r="A31" s="260" t="s">
        <v>455</v>
      </c>
      <c r="B31" s="198">
        <f>+'tab rt'!B31</f>
        <v>0</v>
      </c>
      <c r="C31" s="198">
        <f>+'tab rt'!C31</f>
        <v>0</v>
      </c>
      <c r="D31" s="198">
        <f>+'tab rt'!D31</f>
        <v>0</v>
      </c>
      <c r="E31" s="198">
        <f>+'tab rt'!E31</f>
        <v>0</v>
      </c>
      <c r="F31" s="198">
        <f>+'tab rt'!F31</f>
        <v>0</v>
      </c>
      <c r="G31" s="198">
        <f>+'tab rt'!G31</f>
        <v>0</v>
      </c>
      <c r="H31" s="198">
        <f>+'tab rt'!H31</f>
        <v>0</v>
      </c>
    </row>
    <row r="32" spans="1:9" x14ac:dyDescent="0.25">
      <c r="A32" s="260" t="s">
        <v>456</v>
      </c>
      <c r="B32" s="198">
        <f>+'tab rt'!B32</f>
        <v>0</v>
      </c>
      <c r="C32" s="198">
        <f>+'tab rt'!C32</f>
        <v>0</v>
      </c>
      <c r="D32" s="198">
        <f>+'tab rt'!D32</f>
        <v>0</v>
      </c>
      <c r="E32" s="198">
        <f>+'tab rt'!E32</f>
        <v>0</v>
      </c>
      <c r="F32" s="198">
        <f>+'tab rt'!F32</f>
        <v>0</v>
      </c>
      <c r="G32" s="198">
        <f>+'tab rt'!G32</f>
        <v>0</v>
      </c>
      <c r="H32" s="198">
        <f>+'tab rt'!H32</f>
        <v>0</v>
      </c>
    </row>
    <row r="33" spans="1:8" x14ac:dyDescent="0.25">
      <c r="A33" s="260" t="s">
        <v>428</v>
      </c>
      <c r="B33" s="198">
        <f>+'tab rt'!B33</f>
        <v>0</v>
      </c>
      <c r="C33" s="198">
        <f>+'tab rt'!C33</f>
        <v>0</v>
      </c>
      <c r="D33" s="198">
        <f>+'tab rt'!D33</f>
        <v>0</v>
      </c>
      <c r="E33" s="198">
        <f>+'tab rt'!E33</f>
        <v>0</v>
      </c>
      <c r="F33" s="198">
        <f>+'tab rt'!F33</f>
        <v>0</v>
      </c>
      <c r="G33" s="198">
        <f>+'tab rt'!G33</f>
        <v>0</v>
      </c>
      <c r="H33" s="198">
        <f>+'tab rt'!H33</f>
        <v>0</v>
      </c>
    </row>
    <row r="34" spans="1:8" x14ac:dyDescent="0.25">
      <c r="A34" s="295" t="s">
        <v>458</v>
      </c>
      <c r="B34" s="296" t="e">
        <f>+B28-B30-B31-B32-B33</f>
        <v>#DIV/0!</v>
      </c>
      <c r="C34" s="296" t="e">
        <f t="shared" ref="C34:H34" si="10">+C28-C30-C31-C32-C33</f>
        <v>#DIV/0!</v>
      </c>
      <c r="D34" s="296" t="e">
        <f t="shared" si="10"/>
        <v>#DIV/0!</v>
      </c>
      <c r="E34" s="296" t="e">
        <f t="shared" si="10"/>
        <v>#DIV/0!</v>
      </c>
      <c r="F34" s="296" t="e">
        <f t="shared" si="10"/>
        <v>#DIV/0!</v>
      </c>
      <c r="G34" s="296" t="e">
        <f t="shared" si="10"/>
        <v>#DIV/0!</v>
      </c>
      <c r="H34" s="296" t="e">
        <f t="shared" si="10"/>
        <v>#DIV/0!</v>
      </c>
    </row>
    <row r="35" spans="1:8" x14ac:dyDescent="0.25">
      <c r="A35" s="295" t="s">
        <v>459</v>
      </c>
      <c r="B35" s="300" t="e">
        <f>+B34/B8</f>
        <v>#DIV/0!</v>
      </c>
      <c r="C35" s="300" t="e">
        <f t="shared" ref="C35:H35" si="11">+C34/C8</f>
        <v>#DIV/0!</v>
      </c>
      <c r="D35" s="300" t="e">
        <f t="shared" si="11"/>
        <v>#DIV/0!</v>
      </c>
      <c r="E35" s="300" t="e">
        <f t="shared" si="11"/>
        <v>#DIV/0!</v>
      </c>
      <c r="F35" s="300" t="e">
        <f t="shared" si="11"/>
        <v>#DIV/0!</v>
      </c>
      <c r="G35" s="300" t="e">
        <f t="shared" si="11"/>
        <v>#DIV/0!</v>
      </c>
      <c r="H35" s="300" t="e">
        <f t="shared" si="11"/>
        <v>#DIV/0!</v>
      </c>
    </row>
    <row r="36" spans="1:8" s="301" customFormat="1" x14ac:dyDescent="0.25"/>
    <row r="37" spans="1:8" s="301" customFormat="1" x14ac:dyDescent="0.25">
      <c r="B37" s="301" t="str">
        <f>+B6</f>
        <v>N</v>
      </c>
      <c r="C37" s="301" t="str">
        <f t="shared" ref="C37:H37" si="12">+C6</f>
        <v>N+1</v>
      </c>
      <c r="D37" s="301" t="str">
        <f t="shared" si="12"/>
        <v>N+2</v>
      </c>
      <c r="E37" s="301" t="str">
        <f t="shared" si="12"/>
        <v>N+3</v>
      </c>
      <c r="F37" s="301" t="str">
        <f t="shared" si="12"/>
        <v>N+4</v>
      </c>
      <c r="G37" s="301" t="str">
        <f t="shared" si="12"/>
        <v>N+5</v>
      </c>
      <c r="H37" s="301" t="str">
        <f t="shared" si="12"/>
        <v>N+6</v>
      </c>
    </row>
    <row r="38" spans="1:8" s="301" customFormat="1" x14ac:dyDescent="0.25">
      <c r="A38" s="301" t="s">
        <v>312</v>
      </c>
      <c r="B38" s="302" t="e">
        <f>+B8</f>
        <v>#DIV/0!</v>
      </c>
      <c r="C38" s="302" t="e">
        <f t="shared" ref="C38:H38" si="13">+C8</f>
        <v>#DIV/0!</v>
      </c>
      <c r="D38" s="302" t="e">
        <f t="shared" si="13"/>
        <v>#DIV/0!</v>
      </c>
      <c r="E38" s="302" t="e">
        <f t="shared" si="13"/>
        <v>#DIV/0!</v>
      </c>
      <c r="F38" s="302" t="e">
        <f t="shared" si="13"/>
        <v>#DIV/0!</v>
      </c>
      <c r="G38" s="302" t="e">
        <f t="shared" si="13"/>
        <v>#DIV/0!</v>
      </c>
      <c r="H38" s="302" t="e">
        <f t="shared" si="13"/>
        <v>#DIV/0!</v>
      </c>
    </row>
    <row r="39" spans="1:8" s="301" customFormat="1" x14ac:dyDescent="0.25">
      <c r="A39" s="301" t="s">
        <v>139</v>
      </c>
      <c r="B39" s="302" t="e">
        <f>+B20</f>
        <v>#DIV/0!</v>
      </c>
      <c r="C39" s="302" t="e">
        <f t="shared" ref="C39:H39" si="14">+C20</f>
        <v>#DIV/0!</v>
      </c>
      <c r="D39" s="302" t="e">
        <f t="shared" si="14"/>
        <v>#DIV/0!</v>
      </c>
      <c r="E39" s="302" t="e">
        <f t="shared" si="14"/>
        <v>#DIV/0!</v>
      </c>
      <c r="F39" s="302" t="e">
        <f t="shared" si="14"/>
        <v>#DIV/0!</v>
      </c>
      <c r="G39" s="302" t="e">
        <f t="shared" si="14"/>
        <v>#DIV/0!</v>
      </c>
      <c r="H39" s="302" t="e">
        <f t="shared" si="14"/>
        <v>#DIV/0!</v>
      </c>
    </row>
    <row r="40" spans="1:8" s="301" customFormat="1" x14ac:dyDescent="0.25">
      <c r="A40" s="301" t="s">
        <v>138</v>
      </c>
      <c r="B40" s="302" t="e">
        <f>+B28</f>
        <v>#DIV/0!</v>
      </c>
      <c r="C40" s="302" t="e">
        <f t="shared" ref="C40:H40" si="15">+C28</f>
        <v>#DIV/0!</v>
      </c>
      <c r="D40" s="302" t="e">
        <f t="shared" si="15"/>
        <v>#DIV/0!</v>
      </c>
      <c r="E40" s="302" t="e">
        <f t="shared" si="15"/>
        <v>#DIV/0!</v>
      </c>
      <c r="F40" s="302" t="e">
        <f t="shared" si="15"/>
        <v>#DIV/0!</v>
      </c>
      <c r="G40" s="302" t="e">
        <f t="shared" si="15"/>
        <v>#DIV/0!</v>
      </c>
      <c r="H40" s="302" t="e">
        <f t="shared" si="15"/>
        <v>#DIV/0!</v>
      </c>
    </row>
    <row r="41" spans="1:8" s="301" customFormat="1" x14ac:dyDescent="0.25">
      <c r="A41" s="301" t="s">
        <v>457</v>
      </c>
      <c r="B41" s="302" t="e">
        <f>+B34</f>
        <v>#DIV/0!</v>
      </c>
      <c r="C41" s="302" t="e">
        <f t="shared" ref="C41:H41" si="16">+C34</f>
        <v>#DIV/0!</v>
      </c>
      <c r="D41" s="302" t="e">
        <f t="shared" si="16"/>
        <v>#DIV/0!</v>
      </c>
      <c r="E41" s="302" t="e">
        <f t="shared" si="16"/>
        <v>#DIV/0!</v>
      </c>
      <c r="F41" s="302" t="e">
        <f t="shared" si="16"/>
        <v>#DIV/0!</v>
      </c>
      <c r="G41" s="302" t="e">
        <f t="shared" si="16"/>
        <v>#DIV/0!</v>
      </c>
      <c r="H41" s="302" t="e">
        <f t="shared" si="16"/>
        <v>#DIV/0!</v>
      </c>
    </row>
    <row r="42" spans="1:8" s="301" customFormat="1" x14ac:dyDescent="0.25"/>
    <row r="43" spans="1:8" s="301" customFormat="1" x14ac:dyDescent="0.25"/>
    <row r="44" spans="1:8" s="301" customFormat="1" x14ac:dyDescent="0.25"/>
    <row r="45" spans="1:8" s="301" customFormat="1" x14ac:dyDescent="0.25"/>
    <row r="46" spans="1:8" s="301" customFormat="1" x14ac:dyDescent="0.25"/>
    <row r="47" spans="1:8" s="301" customFormat="1" x14ac:dyDescent="0.25"/>
    <row r="48" spans="1:8" s="301" customFormat="1" x14ac:dyDescent="0.25"/>
    <row r="49" s="301" customFormat="1" x14ac:dyDescent="0.25"/>
  </sheetData>
  <pageMargins left="0.47244094488188981" right="0.19685039370078741" top="0.59055118110236227" bottom="0.31496062992125984" header="0.23622047244094491" footer="0.19685039370078741"/>
  <pageSetup paperSize="9" orientation="portrait" r:id="rId1"/>
  <headerFooter>
    <oddHeader>&amp;L&amp;D
&amp;T&amp;R&amp;P/&amp;N</oddHeader>
    <oddFooter>&amp;L&amp;7Document non contractuel
Charges personnelles de l'exploitant non inclus
Les chiffres et les informations ci-dessus sont données à titre indicatifs et restent à être validés par un Expert Comptable
&amp;R&amp;P/&amp;N
&amp;D--&amp;T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4"/>
  <sheetViews>
    <sheetView workbookViewId="0">
      <selection sqref="A1:XFD1048576"/>
    </sheetView>
  </sheetViews>
  <sheetFormatPr baseColWidth="10" defaultRowHeight="13.2" x14ac:dyDescent="0.25"/>
  <cols>
    <col min="3" max="3" width="35.6640625" bestFit="1" customWidth="1"/>
    <col min="5" max="5" width="12" style="140" bestFit="1" customWidth="1"/>
  </cols>
  <sheetData>
    <row r="1" spans="2:5" x14ac:dyDescent="0.25">
      <c r="B1" s="147" t="s">
        <v>216</v>
      </c>
    </row>
    <row r="5" spans="2:5" x14ac:dyDescent="0.25">
      <c r="B5" s="146" t="s">
        <v>219</v>
      </c>
    </row>
    <row r="6" spans="2:5" x14ac:dyDescent="0.25">
      <c r="C6" s="138" t="s">
        <v>197</v>
      </c>
      <c r="E6" s="140">
        <f>+SAISIE!D8</f>
        <v>38</v>
      </c>
    </row>
    <row r="7" spans="2:5" x14ac:dyDescent="0.25">
      <c r="C7" s="138" t="s">
        <v>237</v>
      </c>
      <c r="D7" s="138"/>
      <c r="E7" s="141">
        <v>0.03</v>
      </c>
    </row>
    <row r="8" spans="2:5" x14ac:dyDescent="0.25">
      <c r="C8" s="138" t="s">
        <v>220</v>
      </c>
      <c r="E8" s="141">
        <v>0.6</v>
      </c>
    </row>
    <row r="9" spans="2:5" x14ac:dyDescent="0.25">
      <c r="C9" s="138" t="s">
        <v>221</v>
      </c>
      <c r="E9" s="142">
        <v>0.02</v>
      </c>
    </row>
    <row r="10" spans="2:5" x14ac:dyDescent="0.25">
      <c r="C10" s="138" t="s">
        <v>222</v>
      </c>
      <c r="E10" s="141">
        <f>+E8-E9</f>
        <v>0.57999999999999996</v>
      </c>
    </row>
    <row r="12" spans="2:5" x14ac:dyDescent="0.25">
      <c r="C12" s="138" t="s">
        <v>223</v>
      </c>
      <c r="E12" s="143" t="s">
        <v>224</v>
      </c>
    </row>
    <row r="13" spans="2:5" x14ac:dyDescent="0.25">
      <c r="C13" s="138" t="s">
        <v>225</v>
      </c>
      <c r="E13" s="140">
        <v>12</v>
      </c>
    </row>
    <row r="14" spans="2:5" x14ac:dyDescent="0.25">
      <c r="C14" s="138" t="s">
        <v>226</v>
      </c>
      <c r="E14" s="141">
        <v>7.0000000000000007E-2</v>
      </c>
    </row>
    <row r="15" spans="2:5" x14ac:dyDescent="0.25">
      <c r="C15" s="138" t="s">
        <v>227</v>
      </c>
      <c r="E15" s="141">
        <v>0.02</v>
      </c>
    </row>
    <row r="16" spans="2:5" x14ac:dyDescent="0.25">
      <c r="C16" s="138" t="s">
        <v>228</v>
      </c>
      <c r="E16" s="141">
        <v>0.02</v>
      </c>
    </row>
    <row r="17" spans="3:5" x14ac:dyDescent="0.25">
      <c r="C17" s="138" t="s">
        <v>229</v>
      </c>
      <c r="E17" s="143" t="s">
        <v>230</v>
      </c>
    </row>
    <row r="18" spans="3:5" x14ac:dyDescent="0.25">
      <c r="C18" s="138" t="s">
        <v>231</v>
      </c>
    </row>
    <row r="19" spans="3:5" x14ac:dyDescent="0.25">
      <c r="C19" s="138" t="s">
        <v>232</v>
      </c>
      <c r="E19" s="144">
        <v>66200</v>
      </c>
    </row>
    <row r="20" spans="3:5" x14ac:dyDescent="0.25">
      <c r="C20" s="138" t="s">
        <v>233</v>
      </c>
      <c r="E20" s="145">
        <v>3.7999999999999999E-2</v>
      </c>
    </row>
    <row r="21" spans="3:5" x14ac:dyDescent="0.25">
      <c r="C21" s="138" t="s">
        <v>235</v>
      </c>
      <c r="E21" s="143" t="s">
        <v>236</v>
      </c>
    </row>
    <row r="24" spans="3:5" x14ac:dyDescent="0.25">
      <c r="C24" s="138" t="s">
        <v>238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300" r:id="rId1"/>
  <headerFooter>
    <oddHeader xml:space="preserve">&amp;RUSD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H92"/>
  <sheetViews>
    <sheetView topLeftCell="A3" workbookViewId="0">
      <selection activeCell="E17" sqref="E17"/>
    </sheetView>
  </sheetViews>
  <sheetFormatPr baseColWidth="10" defaultRowHeight="13.2" x14ac:dyDescent="0.25"/>
  <cols>
    <col min="1" max="1" width="21.109375" customWidth="1"/>
    <col min="2" max="8" width="13" bestFit="1" customWidth="1"/>
    <col min="9" max="9" width="11.88671875" customWidth="1"/>
  </cols>
  <sheetData>
    <row r="1" spans="1:8" x14ac:dyDescent="0.25">
      <c r="A1" s="146" t="s">
        <v>411</v>
      </c>
    </row>
    <row r="3" spans="1:8" x14ac:dyDescent="0.25">
      <c r="A3" s="270" t="s">
        <v>412</v>
      </c>
      <c r="B3" s="182">
        <f>+'A SAISIR'!G6</f>
        <v>0</v>
      </c>
    </row>
    <row r="4" spans="1:8" x14ac:dyDescent="0.25">
      <c r="B4">
        <f>+'A SAISIR'!G7</f>
        <v>0</v>
      </c>
    </row>
    <row r="5" spans="1:8" x14ac:dyDescent="0.25">
      <c r="B5" s="249"/>
    </row>
    <row r="6" spans="1:8" x14ac:dyDescent="0.25">
      <c r="A6" s="223"/>
      <c r="B6" s="269" t="s">
        <v>283</v>
      </c>
      <c r="C6" s="269" t="s">
        <v>284</v>
      </c>
      <c r="D6" s="269" t="s">
        <v>285</v>
      </c>
      <c r="E6" s="269" t="s">
        <v>286</v>
      </c>
      <c r="F6" s="269" t="s">
        <v>287</v>
      </c>
      <c r="G6" s="269" t="s">
        <v>288</v>
      </c>
      <c r="H6" s="269" t="s">
        <v>289</v>
      </c>
    </row>
    <row r="7" spans="1:8" x14ac:dyDescent="0.25">
      <c r="A7" s="260" t="s">
        <v>436</v>
      </c>
      <c r="B7" s="198">
        <f>+'A SAISIR'!F10</f>
        <v>0</v>
      </c>
      <c r="C7" s="198">
        <f>+'A SAISIR'!G10</f>
        <v>0</v>
      </c>
      <c r="D7" s="198">
        <f>+'A SAISIR'!H10</f>
        <v>0</v>
      </c>
      <c r="E7" s="198">
        <f>+'A SAISIR'!I10</f>
        <v>0</v>
      </c>
      <c r="F7" s="198">
        <f>+'A SAISIR'!J10</f>
        <v>0</v>
      </c>
      <c r="G7" s="198">
        <f>+'A SAISIR'!K10</f>
        <v>0</v>
      </c>
      <c r="H7" s="198">
        <f>+'A SAISIR'!L10</f>
        <v>0</v>
      </c>
    </row>
    <row r="8" spans="1:8" x14ac:dyDescent="0.25">
      <c r="A8" s="277" t="s">
        <v>137</v>
      </c>
      <c r="B8" s="181">
        <f>+B7/1.2</f>
        <v>0</v>
      </c>
      <c r="C8" s="181">
        <f t="shared" ref="C8:H8" si="0">+C7/1.2</f>
        <v>0</v>
      </c>
      <c r="D8" s="181">
        <f t="shared" si="0"/>
        <v>0</v>
      </c>
      <c r="E8" s="181">
        <f t="shared" si="0"/>
        <v>0</v>
      </c>
      <c r="F8" s="181">
        <f t="shared" si="0"/>
        <v>0</v>
      </c>
      <c r="G8" s="181">
        <f t="shared" si="0"/>
        <v>0</v>
      </c>
      <c r="H8" s="181">
        <f t="shared" si="0"/>
        <v>0</v>
      </c>
    </row>
    <row r="9" spans="1:8" x14ac:dyDescent="0.25">
      <c r="A9" s="260" t="s">
        <v>388</v>
      </c>
      <c r="B9" s="198" t="e">
        <f>+'A SAISIR'!F41</f>
        <v>#DIV/0!</v>
      </c>
      <c r="C9" s="198" t="e">
        <f>+'A SAISIR'!G41</f>
        <v>#DIV/0!</v>
      </c>
      <c r="D9" s="198" t="e">
        <f>+'A SAISIR'!H41</f>
        <v>#DIV/0!</v>
      </c>
      <c r="E9" s="198" t="e">
        <f>+'A SAISIR'!I41</f>
        <v>#DIV/0!</v>
      </c>
      <c r="F9" s="198" t="e">
        <f>+'A SAISIR'!J41</f>
        <v>#DIV/0!</v>
      </c>
      <c r="G9" s="198" t="e">
        <f>+'A SAISIR'!K41</f>
        <v>#DIV/0!</v>
      </c>
      <c r="H9" s="198" t="e">
        <f>+'A SAISIR'!L41</f>
        <v>#DIV/0!</v>
      </c>
    </row>
    <row r="10" spans="1:8" x14ac:dyDescent="0.25">
      <c r="A10" s="280" t="s">
        <v>435</v>
      </c>
      <c r="B10" s="281"/>
      <c r="C10" s="282" t="e">
        <f>+(C9-B9)/B9</f>
        <v>#DIV/0!</v>
      </c>
      <c r="D10" s="282" t="e">
        <f t="shared" ref="D10:H10" si="1">+(D9-C9)/C9</f>
        <v>#DIV/0!</v>
      </c>
      <c r="E10" s="282" t="e">
        <f t="shared" si="1"/>
        <v>#DIV/0!</v>
      </c>
      <c r="F10" s="282" t="e">
        <f t="shared" si="1"/>
        <v>#DIV/0!</v>
      </c>
      <c r="G10" s="282" t="e">
        <f t="shared" si="1"/>
        <v>#DIV/0!</v>
      </c>
      <c r="H10" s="282" t="e">
        <f t="shared" si="1"/>
        <v>#DIV/0!</v>
      </c>
    </row>
    <row r="11" spans="1:8" x14ac:dyDescent="0.25">
      <c r="A11" s="260" t="s">
        <v>433</v>
      </c>
      <c r="B11" s="198" t="e">
        <f>+B7/B9</f>
        <v>#DIV/0!</v>
      </c>
      <c r="C11" s="198" t="e">
        <f t="shared" ref="C11:H11" si="2">+C7/C9</f>
        <v>#DIV/0!</v>
      </c>
      <c r="D11" s="198" t="e">
        <f t="shared" si="2"/>
        <v>#DIV/0!</v>
      </c>
      <c r="E11" s="198" t="e">
        <f t="shared" si="2"/>
        <v>#DIV/0!</v>
      </c>
      <c r="F11" s="198" t="e">
        <f t="shared" si="2"/>
        <v>#DIV/0!</v>
      </c>
      <c r="G11" s="198" t="e">
        <f t="shared" si="2"/>
        <v>#DIV/0!</v>
      </c>
      <c r="H11" s="198" t="e">
        <f t="shared" si="2"/>
        <v>#DIV/0!</v>
      </c>
    </row>
    <row r="12" spans="1:8" x14ac:dyDescent="0.25">
      <c r="A12" s="260" t="s">
        <v>434</v>
      </c>
      <c r="B12" s="273">
        <f>+'A SAISIR'!F42</f>
        <v>2.4</v>
      </c>
      <c r="C12" s="273">
        <f>+'A SAISIR'!G42</f>
        <v>2.448</v>
      </c>
      <c r="D12" s="273">
        <f>+'A SAISIR'!H42</f>
        <v>2.4969600000000001</v>
      </c>
      <c r="E12" s="273">
        <f>+'A SAISIR'!I42</f>
        <v>2.5468991999999999</v>
      </c>
      <c r="F12" s="273">
        <f>+'A SAISIR'!J42</f>
        <v>2.5978371839999999</v>
      </c>
      <c r="G12" s="273">
        <f>+'A SAISIR'!K42</f>
        <v>2.6497939276799998</v>
      </c>
      <c r="H12" s="273">
        <f>+'A SAISIR'!L42</f>
        <v>2.7027898062336</v>
      </c>
    </row>
    <row r="13" spans="1:8" x14ac:dyDescent="0.25">
      <c r="A13" s="260" t="s">
        <v>442</v>
      </c>
      <c r="B13" s="198" t="e">
        <f>+'A SAISIR'!F44</f>
        <v>#DIV/0!</v>
      </c>
      <c r="C13" s="198" t="e">
        <f>+'A SAISIR'!G44</f>
        <v>#DIV/0!</v>
      </c>
      <c r="D13" s="198" t="e">
        <f>+'A SAISIR'!H44</f>
        <v>#DIV/0!</v>
      </c>
      <c r="E13" s="198" t="e">
        <f>+'A SAISIR'!I44</f>
        <v>#DIV/0!</v>
      </c>
      <c r="F13" s="198" t="e">
        <f>+'A SAISIR'!J44</f>
        <v>#DIV/0!</v>
      </c>
      <c r="G13" s="198" t="e">
        <f>+'A SAISIR'!K44</f>
        <v>#DIV/0!</v>
      </c>
      <c r="H13" s="198" t="e">
        <f>+'A SAISIR'!L44</f>
        <v>#DIV/0!</v>
      </c>
    </row>
    <row r="14" spans="1:8" x14ac:dyDescent="0.25">
      <c r="A14" s="260" t="s">
        <v>443</v>
      </c>
      <c r="B14" s="274" t="e">
        <f>+'A SAISIR'!F45</f>
        <v>#DIV/0!</v>
      </c>
      <c r="C14" s="274" t="e">
        <f>+'A SAISIR'!G45</f>
        <v>#DIV/0!</v>
      </c>
      <c r="D14" s="274" t="e">
        <f>+'A SAISIR'!H45</f>
        <v>#DIV/0!</v>
      </c>
      <c r="E14" s="274" t="e">
        <f>+'A SAISIR'!I45</f>
        <v>#DIV/0!</v>
      </c>
      <c r="F14" s="274" t="e">
        <f>+'A SAISIR'!J45</f>
        <v>#DIV/0!</v>
      </c>
      <c r="G14" s="274" t="e">
        <f>+'A SAISIR'!K45</f>
        <v>#DIV/0!</v>
      </c>
      <c r="H14" s="274" t="e">
        <f>+'A SAISIR'!L45</f>
        <v>#DIV/0!</v>
      </c>
    </row>
    <row r="15" spans="1:8" x14ac:dyDescent="0.25">
      <c r="A15" s="260"/>
      <c r="B15" s="182"/>
      <c r="C15" s="182"/>
      <c r="D15" s="182"/>
      <c r="E15" s="182"/>
      <c r="F15" s="182"/>
      <c r="G15" s="182"/>
      <c r="H15" s="182"/>
    </row>
    <row r="16" spans="1:8" x14ac:dyDescent="0.25">
      <c r="A16" s="260" t="s">
        <v>139</v>
      </c>
      <c r="B16" s="198">
        <f>+'ca marge mois'!B35</f>
        <v>0</v>
      </c>
      <c r="C16" s="198">
        <f>+'ca marge mois'!C35</f>
        <v>0</v>
      </c>
      <c r="D16" s="198">
        <f>+'ca marge mois'!D35</f>
        <v>0</v>
      </c>
      <c r="E16" s="198">
        <f>+'ca marge mois'!E35</f>
        <v>0</v>
      </c>
      <c r="F16" s="198">
        <f>+'ca marge mois'!F35</f>
        <v>0</v>
      </c>
      <c r="G16" s="198">
        <f>+'ca marge mois'!G35</f>
        <v>0</v>
      </c>
      <c r="H16" s="198">
        <f>+'ca marge mois'!H35</f>
        <v>0</v>
      </c>
    </row>
    <row r="17" spans="1:8" x14ac:dyDescent="0.25">
      <c r="A17" s="260" t="s">
        <v>438</v>
      </c>
      <c r="B17" s="272">
        <f>+'A SAISIR'!F31</f>
        <v>0.02</v>
      </c>
      <c r="C17" s="272">
        <f>+'A SAISIR'!G31</f>
        <v>0.02</v>
      </c>
      <c r="D17" s="272">
        <f>+'A SAISIR'!H31</f>
        <v>0.02</v>
      </c>
      <c r="E17" s="272">
        <f>+'A SAISIR'!I31</f>
        <v>0.02</v>
      </c>
      <c r="F17" s="272">
        <f>+'A SAISIR'!J31</f>
        <v>0.02</v>
      </c>
      <c r="G17" s="272">
        <f>+'A SAISIR'!K31</f>
        <v>0.02</v>
      </c>
      <c r="H17" s="272">
        <f>+'A SAISIR'!L31</f>
        <v>0.02</v>
      </c>
    </row>
    <row r="18" spans="1:8" x14ac:dyDescent="0.25">
      <c r="A18" s="260" t="s">
        <v>439</v>
      </c>
      <c r="B18" s="272">
        <f>+'A SAISIR'!F32</f>
        <v>0</v>
      </c>
      <c r="C18" s="272">
        <f>+'A SAISIR'!G32</f>
        <v>0</v>
      </c>
      <c r="D18" s="272">
        <f>+'A SAISIR'!H32</f>
        <v>0</v>
      </c>
      <c r="E18" s="272">
        <f>+'A SAISIR'!I32</f>
        <v>0</v>
      </c>
      <c r="F18" s="272">
        <f>+'A SAISIR'!J32</f>
        <v>0</v>
      </c>
      <c r="G18" s="272">
        <f>+'A SAISIR'!K32</f>
        <v>0</v>
      </c>
      <c r="H18" s="272">
        <f>+'A SAISIR'!L32</f>
        <v>0</v>
      </c>
    </row>
    <row r="19" spans="1:8" x14ac:dyDescent="0.25">
      <c r="A19" s="260" t="s">
        <v>440</v>
      </c>
      <c r="B19" s="271">
        <f>+(B17+B18)*B8</f>
        <v>0</v>
      </c>
      <c r="C19" s="271">
        <f t="shared" ref="C19:H19" si="3">+(C17+C18)*C8</f>
        <v>0</v>
      </c>
      <c r="D19" s="271">
        <f t="shared" si="3"/>
        <v>0</v>
      </c>
      <c r="E19" s="271">
        <f t="shared" si="3"/>
        <v>0</v>
      </c>
      <c r="F19" s="271">
        <f t="shared" si="3"/>
        <v>0</v>
      </c>
      <c r="G19" s="271">
        <f t="shared" si="3"/>
        <v>0</v>
      </c>
      <c r="H19" s="271">
        <f t="shared" si="3"/>
        <v>0</v>
      </c>
    </row>
    <row r="20" spans="1:8" x14ac:dyDescent="0.25">
      <c r="A20" s="277" t="s">
        <v>437</v>
      </c>
      <c r="B20" s="278">
        <f>+B16-B19</f>
        <v>0</v>
      </c>
      <c r="C20" s="278">
        <f t="shared" ref="C20:H20" si="4">+C16-C19</f>
        <v>0</v>
      </c>
      <c r="D20" s="278">
        <f t="shared" si="4"/>
        <v>0</v>
      </c>
      <c r="E20" s="278">
        <f t="shared" si="4"/>
        <v>0</v>
      </c>
      <c r="F20" s="278">
        <f t="shared" si="4"/>
        <v>0</v>
      </c>
      <c r="G20" s="278">
        <f t="shared" si="4"/>
        <v>0</v>
      </c>
      <c r="H20" s="278">
        <f t="shared" si="4"/>
        <v>0</v>
      </c>
    </row>
    <row r="21" spans="1:8" x14ac:dyDescent="0.25">
      <c r="A21" s="277" t="s">
        <v>441</v>
      </c>
      <c r="B21" s="279" t="e">
        <f>+B20/B8</f>
        <v>#DIV/0!</v>
      </c>
      <c r="C21" s="279" t="e">
        <f t="shared" ref="C21:H21" si="5">+C20/C8</f>
        <v>#DIV/0!</v>
      </c>
      <c r="D21" s="279" t="e">
        <f t="shared" si="5"/>
        <v>#DIV/0!</v>
      </c>
      <c r="E21" s="279" t="e">
        <f t="shared" si="5"/>
        <v>#DIV/0!</v>
      </c>
      <c r="F21" s="279" t="e">
        <f t="shared" si="5"/>
        <v>#DIV/0!</v>
      </c>
      <c r="G21" s="279" t="e">
        <f t="shared" si="5"/>
        <v>#DIV/0!</v>
      </c>
      <c r="H21" s="279" t="e">
        <f t="shared" si="5"/>
        <v>#DIV/0!</v>
      </c>
    </row>
    <row r="22" spans="1:8" x14ac:dyDescent="0.25">
      <c r="A22" s="182"/>
      <c r="B22" s="182"/>
      <c r="C22" s="182"/>
      <c r="D22" s="182"/>
      <c r="E22" s="182"/>
      <c r="F22" s="182"/>
      <c r="G22" s="182"/>
      <c r="H22" s="182"/>
    </row>
    <row r="23" spans="1:8" x14ac:dyDescent="0.25">
      <c r="A23" s="182"/>
      <c r="B23" s="182"/>
      <c r="C23" s="182"/>
      <c r="D23" s="182"/>
      <c r="E23" s="182"/>
      <c r="F23" s="182"/>
      <c r="G23" s="182"/>
      <c r="H23" s="182"/>
    </row>
    <row r="24" spans="1:8" x14ac:dyDescent="0.25">
      <c r="A24" s="182"/>
      <c r="B24" s="182"/>
      <c r="C24" s="182"/>
      <c r="D24" s="182"/>
      <c r="E24" s="182"/>
      <c r="F24" s="182"/>
      <c r="G24" s="182"/>
      <c r="H24" s="182"/>
    </row>
    <row r="26" spans="1:8" x14ac:dyDescent="0.25">
      <c r="B26" t="str">
        <f>+B6</f>
        <v>N</v>
      </c>
      <c r="C26" t="str">
        <f t="shared" ref="C26:H26" si="6">+C6</f>
        <v>N+1</v>
      </c>
      <c r="D26" t="str">
        <f t="shared" si="6"/>
        <v>N+2</v>
      </c>
      <c r="E26" t="str">
        <f t="shared" si="6"/>
        <v>N+3</v>
      </c>
      <c r="F26" t="str">
        <f t="shared" si="6"/>
        <v>N+4</v>
      </c>
      <c r="G26" t="str">
        <f t="shared" si="6"/>
        <v>N+5</v>
      </c>
      <c r="H26" t="str">
        <f t="shared" si="6"/>
        <v>N+6</v>
      </c>
    </row>
    <row r="27" spans="1:8" x14ac:dyDescent="0.25">
      <c r="A27" s="249" t="s">
        <v>137</v>
      </c>
      <c r="B27" s="283">
        <f>+B8</f>
        <v>0</v>
      </c>
      <c r="C27" s="283">
        <f t="shared" ref="C27:H27" si="7">+C8</f>
        <v>0</v>
      </c>
      <c r="D27" s="283">
        <f t="shared" si="7"/>
        <v>0</v>
      </c>
      <c r="E27" s="283">
        <f t="shared" si="7"/>
        <v>0</v>
      </c>
      <c r="F27" s="283">
        <f t="shared" si="7"/>
        <v>0</v>
      </c>
      <c r="G27" s="283">
        <f t="shared" si="7"/>
        <v>0</v>
      </c>
      <c r="H27" s="283">
        <f t="shared" si="7"/>
        <v>0</v>
      </c>
    </row>
    <row r="28" spans="1:8" x14ac:dyDescent="0.25">
      <c r="A28" s="249" t="s">
        <v>139</v>
      </c>
      <c r="B28" s="283">
        <f>+B20</f>
        <v>0</v>
      </c>
      <c r="C28" s="283">
        <f t="shared" ref="C28:H28" si="8">+C20</f>
        <v>0</v>
      </c>
      <c r="D28" s="283">
        <f t="shared" si="8"/>
        <v>0</v>
      </c>
      <c r="E28" s="283">
        <f t="shared" si="8"/>
        <v>0</v>
      </c>
      <c r="F28" s="283">
        <f t="shared" si="8"/>
        <v>0</v>
      </c>
      <c r="G28" s="283">
        <f t="shared" si="8"/>
        <v>0</v>
      </c>
      <c r="H28" s="283">
        <f t="shared" si="8"/>
        <v>0</v>
      </c>
    </row>
    <row r="43" spans="1:8" hidden="1" x14ac:dyDescent="0.25">
      <c r="B43" t="str">
        <f>+B6</f>
        <v>N</v>
      </c>
      <c r="C43" t="str">
        <f t="shared" ref="C43:H43" si="9">+C6</f>
        <v>N+1</v>
      </c>
      <c r="D43" t="str">
        <f t="shared" si="9"/>
        <v>N+2</v>
      </c>
      <c r="E43" t="str">
        <f t="shared" si="9"/>
        <v>N+3</v>
      </c>
      <c r="F43" t="str">
        <f t="shared" si="9"/>
        <v>N+4</v>
      </c>
      <c r="G43" t="str">
        <f t="shared" si="9"/>
        <v>N+5</v>
      </c>
      <c r="H43" t="str">
        <f t="shared" si="9"/>
        <v>N+6</v>
      </c>
    </row>
    <row r="44" spans="1:8" hidden="1" x14ac:dyDescent="0.25">
      <c r="A44" t="str">
        <f>+'A SAISIR'!C13</f>
        <v>JANVIER</v>
      </c>
      <c r="B44">
        <f>+'A SAISIR'!F13</f>
        <v>1.2</v>
      </c>
      <c r="C44">
        <f>+'A SAISIR'!G13</f>
        <v>1.2</v>
      </c>
      <c r="D44">
        <f>+'A SAISIR'!H13</f>
        <v>1.2</v>
      </c>
      <c r="E44">
        <f>+'A SAISIR'!I13</f>
        <v>1.2</v>
      </c>
      <c r="F44">
        <f>+'A SAISIR'!J13</f>
        <v>1.2</v>
      </c>
      <c r="G44">
        <f>+'A SAISIR'!K13</f>
        <v>1.2</v>
      </c>
      <c r="H44">
        <f>+'A SAISIR'!L13</f>
        <v>1.2</v>
      </c>
    </row>
    <row r="45" spans="1:8" hidden="1" x14ac:dyDescent="0.25">
      <c r="A45" t="str">
        <f>+'A SAISIR'!C14</f>
        <v>FÉVRIER</v>
      </c>
      <c r="B45">
        <f>+'A SAISIR'!F14</f>
        <v>0.9</v>
      </c>
      <c r="C45">
        <f>+'A SAISIR'!G14</f>
        <v>0.9</v>
      </c>
      <c r="D45">
        <f>+'A SAISIR'!H14</f>
        <v>0.9</v>
      </c>
      <c r="E45">
        <f>+'A SAISIR'!I14</f>
        <v>0.9</v>
      </c>
      <c r="F45">
        <f>+'A SAISIR'!J14</f>
        <v>0.9</v>
      </c>
      <c r="G45">
        <f>+'A SAISIR'!K14</f>
        <v>0.9</v>
      </c>
      <c r="H45">
        <f>+'A SAISIR'!L14</f>
        <v>0.9</v>
      </c>
    </row>
    <row r="46" spans="1:8" hidden="1" x14ac:dyDescent="0.25">
      <c r="A46" t="str">
        <f>+'A SAISIR'!C15</f>
        <v>MARS</v>
      </c>
      <c r="B46">
        <f>+'A SAISIR'!F15</f>
        <v>1</v>
      </c>
      <c r="C46">
        <f>+'A SAISIR'!G15</f>
        <v>1</v>
      </c>
      <c r="D46">
        <f>+'A SAISIR'!H15</f>
        <v>1</v>
      </c>
      <c r="E46">
        <f>+'A SAISIR'!I15</f>
        <v>1</v>
      </c>
      <c r="F46">
        <f>+'A SAISIR'!J15</f>
        <v>1</v>
      </c>
      <c r="G46">
        <f>+'A SAISIR'!K15</f>
        <v>1</v>
      </c>
      <c r="H46">
        <f>+'A SAISIR'!L15</f>
        <v>1</v>
      </c>
    </row>
    <row r="47" spans="1:8" hidden="1" x14ac:dyDescent="0.25">
      <c r="A47" t="str">
        <f>+'A SAISIR'!C16</f>
        <v>AVRIL</v>
      </c>
      <c r="B47">
        <f>+'A SAISIR'!F16</f>
        <v>1</v>
      </c>
      <c r="C47">
        <f>+'A SAISIR'!G16</f>
        <v>1</v>
      </c>
      <c r="D47">
        <f>+'A SAISIR'!H16</f>
        <v>1</v>
      </c>
      <c r="E47">
        <f>+'A SAISIR'!I16</f>
        <v>1</v>
      </c>
      <c r="F47">
        <f>+'A SAISIR'!J16</f>
        <v>1</v>
      </c>
      <c r="G47">
        <f>+'A SAISIR'!K16</f>
        <v>1</v>
      </c>
      <c r="H47">
        <f>+'A SAISIR'!L16</f>
        <v>1</v>
      </c>
    </row>
    <row r="48" spans="1:8" hidden="1" x14ac:dyDescent="0.25">
      <c r="A48" t="str">
        <f>+'A SAISIR'!C17</f>
        <v>MAI</v>
      </c>
      <c r="B48">
        <f>+'A SAISIR'!F17</f>
        <v>1</v>
      </c>
      <c r="C48">
        <f>+'A SAISIR'!G17</f>
        <v>1</v>
      </c>
      <c r="D48">
        <f>+'A SAISIR'!H17</f>
        <v>1</v>
      </c>
      <c r="E48">
        <f>+'A SAISIR'!I17</f>
        <v>1</v>
      </c>
      <c r="F48">
        <f>+'A SAISIR'!J17</f>
        <v>1</v>
      </c>
      <c r="G48">
        <f>+'A SAISIR'!K17</f>
        <v>1</v>
      </c>
      <c r="H48">
        <f>+'A SAISIR'!L17</f>
        <v>1</v>
      </c>
    </row>
    <row r="49" spans="1:8" hidden="1" x14ac:dyDescent="0.25">
      <c r="A49" t="str">
        <f>+'A SAISIR'!C18</f>
        <v>JUIN</v>
      </c>
      <c r="B49">
        <f>+'A SAISIR'!F18</f>
        <v>1</v>
      </c>
      <c r="C49">
        <f>+'A SAISIR'!G18</f>
        <v>1</v>
      </c>
      <c r="D49">
        <f>+'A SAISIR'!H18</f>
        <v>1</v>
      </c>
      <c r="E49">
        <f>+'A SAISIR'!I18</f>
        <v>1</v>
      </c>
      <c r="F49">
        <f>+'A SAISIR'!J18</f>
        <v>1</v>
      </c>
      <c r="G49">
        <f>+'A SAISIR'!K18</f>
        <v>1</v>
      </c>
      <c r="H49">
        <f>+'A SAISIR'!L18</f>
        <v>1</v>
      </c>
    </row>
    <row r="50" spans="1:8" hidden="1" x14ac:dyDescent="0.25">
      <c r="A50" t="str">
        <f>+'A SAISIR'!C19</f>
        <v>JUILLET</v>
      </c>
      <c r="B50">
        <f>+'A SAISIR'!F19</f>
        <v>1.2</v>
      </c>
      <c r="C50">
        <f>+'A SAISIR'!G19</f>
        <v>1.2</v>
      </c>
      <c r="D50">
        <f>+'A SAISIR'!H19</f>
        <v>1.2</v>
      </c>
      <c r="E50">
        <f>+'A SAISIR'!I19</f>
        <v>1.2</v>
      </c>
      <c r="F50">
        <f>+'A SAISIR'!J19</f>
        <v>1.2</v>
      </c>
      <c r="G50">
        <f>+'A SAISIR'!K19</f>
        <v>1.2</v>
      </c>
      <c r="H50">
        <f>+'A SAISIR'!L19</f>
        <v>1.2</v>
      </c>
    </row>
    <row r="51" spans="1:8" hidden="1" x14ac:dyDescent="0.25">
      <c r="A51" t="str">
        <f>+'A SAISIR'!C20</f>
        <v>AOÛT</v>
      </c>
      <c r="B51">
        <f>+'A SAISIR'!F20</f>
        <v>1</v>
      </c>
      <c r="C51">
        <f>+'A SAISIR'!G20</f>
        <v>1</v>
      </c>
      <c r="D51">
        <f>+'A SAISIR'!H20</f>
        <v>1</v>
      </c>
      <c r="E51">
        <f>+'A SAISIR'!I20</f>
        <v>1</v>
      </c>
      <c r="F51">
        <f>+'A SAISIR'!J20</f>
        <v>1</v>
      </c>
      <c r="G51">
        <f>+'A SAISIR'!K20</f>
        <v>1</v>
      </c>
      <c r="H51">
        <f>+'A SAISIR'!L20</f>
        <v>1</v>
      </c>
    </row>
    <row r="52" spans="1:8" hidden="1" x14ac:dyDescent="0.25">
      <c r="A52" t="str">
        <f>+'A SAISIR'!C21</f>
        <v>SEPTEMBRE</v>
      </c>
      <c r="B52">
        <f>+'A SAISIR'!F21</f>
        <v>1</v>
      </c>
      <c r="C52">
        <f>+'A SAISIR'!G21</f>
        <v>1</v>
      </c>
      <c r="D52">
        <f>+'A SAISIR'!H21</f>
        <v>1</v>
      </c>
      <c r="E52">
        <f>+'A SAISIR'!I21</f>
        <v>1</v>
      </c>
      <c r="F52">
        <f>+'A SAISIR'!J21</f>
        <v>1</v>
      </c>
      <c r="G52">
        <f>+'A SAISIR'!K21</f>
        <v>1</v>
      </c>
      <c r="H52">
        <f>+'A SAISIR'!L21</f>
        <v>1</v>
      </c>
    </row>
    <row r="53" spans="1:8" hidden="1" x14ac:dyDescent="0.25">
      <c r="A53" t="str">
        <f>+'A SAISIR'!C22</f>
        <v>OCTOBRE</v>
      </c>
      <c r="B53">
        <f>+'A SAISIR'!F22</f>
        <v>1</v>
      </c>
      <c r="C53">
        <f>+'A SAISIR'!G22</f>
        <v>1</v>
      </c>
      <c r="D53">
        <f>+'A SAISIR'!H22</f>
        <v>1</v>
      </c>
      <c r="E53">
        <f>+'A SAISIR'!I22</f>
        <v>1</v>
      </c>
      <c r="F53">
        <f>+'A SAISIR'!J22</f>
        <v>1</v>
      </c>
      <c r="G53">
        <f>+'A SAISIR'!K22</f>
        <v>1</v>
      </c>
      <c r="H53">
        <f>+'A SAISIR'!L22</f>
        <v>1</v>
      </c>
    </row>
    <row r="54" spans="1:8" hidden="1" x14ac:dyDescent="0.25">
      <c r="A54" t="str">
        <f>+'A SAISIR'!C23</f>
        <v>NOVEMBRE</v>
      </c>
      <c r="B54">
        <f>+'A SAISIR'!F23</f>
        <v>1</v>
      </c>
      <c r="C54">
        <f>+'A SAISIR'!G23</f>
        <v>1</v>
      </c>
      <c r="D54">
        <f>+'A SAISIR'!H23</f>
        <v>1</v>
      </c>
      <c r="E54">
        <f>+'A SAISIR'!I23</f>
        <v>1</v>
      </c>
      <c r="F54">
        <f>+'A SAISIR'!J23</f>
        <v>1</v>
      </c>
      <c r="G54">
        <f>+'A SAISIR'!K23</f>
        <v>1</v>
      </c>
      <c r="H54">
        <f>+'A SAISIR'!L23</f>
        <v>1</v>
      </c>
    </row>
    <row r="55" spans="1:8" hidden="1" x14ac:dyDescent="0.25">
      <c r="A55" t="str">
        <f>+'A SAISIR'!C24</f>
        <v>DÉCEMBRE</v>
      </c>
      <c r="B55">
        <f>+'A SAISIR'!F24</f>
        <v>1.7</v>
      </c>
      <c r="C55">
        <f>+'A SAISIR'!G24</f>
        <v>1.7</v>
      </c>
      <c r="D55">
        <f>+'A SAISIR'!H24</f>
        <v>1.7</v>
      </c>
      <c r="E55">
        <f>+'A SAISIR'!I24</f>
        <v>1.7</v>
      </c>
      <c r="F55">
        <f>+'A SAISIR'!J24</f>
        <v>1.7</v>
      </c>
      <c r="G55">
        <f>+'A SAISIR'!K24</f>
        <v>1.7</v>
      </c>
      <c r="H55">
        <f>+'A SAISIR'!L24</f>
        <v>1.7</v>
      </c>
    </row>
    <row r="56" spans="1:8" x14ac:dyDescent="0.25">
      <c r="B56" s="239" t="str">
        <f>+B6</f>
        <v>N</v>
      </c>
      <c r="C56" s="239" t="str">
        <f t="shared" ref="C56:H56" si="10">+C6</f>
        <v>N+1</v>
      </c>
      <c r="D56" s="239" t="str">
        <f t="shared" si="10"/>
        <v>N+2</v>
      </c>
      <c r="E56" s="239" t="str">
        <f t="shared" si="10"/>
        <v>N+3</v>
      </c>
      <c r="F56" s="239" t="str">
        <f t="shared" si="10"/>
        <v>N+4</v>
      </c>
      <c r="G56" s="239" t="str">
        <f t="shared" si="10"/>
        <v>N+5</v>
      </c>
      <c r="H56" s="239" t="str">
        <f t="shared" si="10"/>
        <v>N+6</v>
      </c>
    </row>
    <row r="57" spans="1:8" x14ac:dyDescent="0.25">
      <c r="A57" t="str">
        <f>+A44</f>
        <v>JANVIER</v>
      </c>
      <c r="B57" s="267">
        <f>+B$8/SUM(B$44:B$55)*B44</f>
        <v>0</v>
      </c>
      <c r="C57" s="267">
        <f t="shared" ref="C57:H57" si="11">+C$8/SUM(C$44:C$55)*C44</f>
        <v>0</v>
      </c>
      <c r="D57" s="267">
        <f t="shared" si="11"/>
        <v>0</v>
      </c>
      <c r="E57" s="267">
        <f t="shared" si="11"/>
        <v>0</v>
      </c>
      <c r="F57" s="267">
        <f t="shared" si="11"/>
        <v>0</v>
      </c>
      <c r="G57" s="267">
        <f t="shared" si="11"/>
        <v>0</v>
      </c>
      <c r="H57" s="267">
        <f t="shared" si="11"/>
        <v>0</v>
      </c>
    </row>
    <row r="58" spans="1:8" x14ac:dyDescent="0.25">
      <c r="A58" t="str">
        <f t="shared" ref="A58:A68" si="12">+A45</f>
        <v>FÉVRIER</v>
      </c>
      <c r="B58" s="267">
        <f t="shared" ref="B58:H68" si="13">+B$8/SUM(B$44:B$55)*B45</f>
        <v>0</v>
      </c>
      <c r="C58" s="267">
        <f t="shared" si="13"/>
        <v>0</v>
      </c>
      <c r="D58" s="267">
        <f t="shared" si="13"/>
        <v>0</v>
      </c>
      <c r="E58" s="267">
        <f t="shared" si="13"/>
        <v>0</v>
      </c>
      <c r="F58" s="267">
        <f t="shared" si="13"/>
        <v>0</v>
      </c>
      <c r="G58" s="267">
        <f t="shared" si="13"/>
        <v>0</v>
      </c>
      <c r="H58" s="267">
        <f t="shared" si="13"/>
        <v>0</v>
      </c>
    </row>
    <row r="59" spans="1:8" x14ac:dyDescent="0.25">
      <c r="A59" t="str">
        <f t="shared" si="12"/>
        <v>MARS</v>
      </c>
      <c r="B59" s="267">
        <f t="shared" si="13"/>
        <v>0</v>
      </c>
      <c r="C59" s="267">
        <f t="shared" si="13"/>
        <v>0</v>
      </c>
      <c r="D59" s="267">
        <f t="shared" si="13"/>
        <v>0</v>
      </c>
      <c r="E59" s="267">
        <f t="shared" si="13"/>
        <v>0</v>
      </c>
      <c r="F59" s="267">
        <f t="shared" si="13"/>
        <v>0</v>
      </c>
      <c r="G59" s="267">
        <f t="shared" si="13"/>
        <v>0</v>
      </c>
      <c r="H59" s="267">
        <f t="shared" si="13"/>
        <v>0</v>
      </c>
    </row>
    <row r="60" spans="1:8" x14ac:dyDescent="0.25">
      <c r="A60" t="str">
        <f t="shared" si="12"/>
        <v>AVRIL</v>
      </c>
      <c r="B60" s="267">
        <f t="shared" si="13"/>
        <v>0</v>
      </c>
      <c r="C60" s="267">
        <f t="shared" si="13"/>
        <v>0</v>
      </c>
      <c r="D60" s="267">
        <f t="shared" si="13"/>
        <v>0</v>
      </c>
      <c r="E60" s="267">
        <f t="shared" si="13"/>
        <v>0</v>
      </c>
      <c r="F60" s="267">
        <f t="shared" si="13"/>
        <v>0</v>
      </c>
      <c r="G60" s="267">
        <f t="shared" si="13"/>
        <v>0</v>
      </c>
      <c r="H60" s="267">
        <f t="shared" si="13"/>
        <v>0</v>
      </c>
    </row>
    <row r="61" spans="1:8" x14ac:dyDescent="0.25">
      <c r="A61" t="str">
        <f t="shared" si="12"/>
        <v>MAI</v>
      </c>
      <c r="B61" s="267">
        <f t="shared" si="13"/>
        <v>0</v>
      </c>
      <c r="C61" s="267">
        <f t="shared" si="13"/>
        <v>0</v>
      </c>
      <c r="D61" s="267">
        <f t="shared" si="13"/>
        <v>0</v>
      </c>
      <c r="E61" s="267">
        <f t="shared" si="13"/>
        <v>0</v>
      </c>
      <c r="F61" s="267">
        <f t="shared" si="13"/>
        <v>0</v>
      </c>
      <c r="G61" s="267">
        <f t="shared" si="13"/>
        <v>0</v>
      </c>
      <c r="H61" s="267">
        <f t="shared" si="13"/>
        <v>0</v>
      </c>
    </row>
    <row r="62" spans="1:8" x14ac:dyDescent="0.25">
      <c r="A62" t="str">
        <f t="shared" si="12"/>
        <v>JUIN</v>
      </c>
      <c r="B62" s="267">
        <f t="shared" si="13"/>
        <v>0</v>
      </c>
      <c r="C62" s="267">
        <f t="shared" si="13"/>
        <v>0</v>
      </c>
      <c r="D62" s="267">
        <f t="shared" si="13"/>
        <v>0</v>
      </c>
      <c r="E62" s="267">
        <f t="shared" si="13"/>
        <v>0</v>
      </c>
      <c r="F62" s="267">
        <f t="shared" si="13"/>
        <v>0</v>
      </c>
      <c r="G62" s="267">
        <f t="shared" si="13"/>
        <v>0</v>
      </c>
      <c r="H62" s="267">
        <f t="shared" si="13"/>
        <v>0</v>
      </c>
    </row>
    <row r="63" spans="1:8" x14ac:dyDescent="0.25">
      <c r="A63" t="str">
        <f t="shared" si="12"/>
        <v>JUILLET</v>
      </c>
      <c r="B63" s="267">
        <f t="shared" si="13"/>
        <v>0</v>
      </c>
      <c r="C63" s="267">
        <f t="shared" si="13"/>
        <v>0</v>
      </c>
      <c r="D63" s="267">
        <f t="shared" si="13"/>
        <v>0</v>
      </c>
      <c r="E63" s="267">
        <f t="shared" si="13"/>
        <v>0</v>
      </c>
      <c r="F63" s="267">
        <f t="shared" si="13"/>
        <v>0</v>
      </c>
      <c r="G63" s="267">
        <f t="shared" si="13"/>
        <v>0</v>
      </c>
      <c r="H63" s="267">
        <f t="shared" si="13"/>
        <v>0</v>
      </c>
    </row>
    <row r="64" spans="1:8" x14ac:dyDescent="0.25">
      <c r="A64" t="str">
        <f t="shared" si="12"/>
        <v>AOÛT</v>
      </c>
      <c r="B64" s="267">
        <f t="shared" si="13"/>
        <v>0</v>
      </c>
      <c r="C64" s="267">
        <f t="shared" si="13"/>
        <v>0</v>
      </c>
      <c r="D64" s="267">
        <f t="shared" si="13"/>
        <v>0</v>
      </c>
      <c r="E64" s="267">
        <f t="shared" si="13"/>
        <v>0</v>
      </c>
      <c r="F64" s="267">
        <f t="shared" si="13"/>
        <v>0</v>
      </c>
      <c r="G64" s="267">
        <f t="shared" si="13"/>
        <v>0</v>
      </c>
      <c r="H64" s="267">
        <f t="shared" si="13"/>
        <v>0</v>
      </c>
    </row>
    <row r="65" spans="1:8" x14ac:dyDescent="0.25">
      <c r="A65" t="str">
        <f t="shared" si="12"/>
        <v>SEPTEMBRE</v>
      </c>
      <c r="B65" s="267">
        <f t="shared" si="13"/>
        <v>0</v>
      </c>
      <c r="C65" s="267">
        <f t="shared" si="13"/>
        <v>0</v>
      </c>
      <c r="D65" s="267">
        <f t="shared" si="13"/>
        <v>0</v>
      </c>
      <c r="E65" s="267">
        <f t="shared" si="13"/>
        <v>0</v>
      </c>
      <c r="F65" s="267">
        <f t="shared" si="13"/>
        <v>0</v>
      </c>
      <c r="G65" s="267">
        <f t="shared" si="13"/>
        <v>0</v>
      </c>
      <c r="H65" s="267">
        <f t="shared" si="13"/>
        <v>0</v>
      </c>
    </row>
    <row r="66" spans="1:8" x14ac:dyDescent="0.25">
      <c r="A66" t="str">
        <f t="shared" si="12"/>
        <v>OCTOBRE</v>
      </c>
      <c r="B66" s="267">
        <f t="shared" si="13"/>
        <v>0</v>
      </c>
      <c r="C66" s="267">
        <f t="shared" si="13"/>
        <v>0</v>
      </c>
      <c r="D66" s="267">
        <f t="shared" si="13"/>
        <v>0</v>
      </c>
      <c r="E66" s="267">
        <f t="shared" si="13"/>
        <v>0</v>
      </c>
      <c r="F66" s="267">
        <f t="shared" si="13"/>
        <v>0</v>
      </c>
      <c r="G66" s="267">
        <f t="shared" si="13"/>
        <v>0</v>
      </c>
      <c r="H66" s="267">
        <f t="shared" si="13"/>
        <v>0</v>
      </c>
    </row>
    <row r="67" spans="1:8" x14ac:dyDescent="0.25">
      <c r="A67" t="str">
        <f>+A54</f>
        <v>NOVEMBRE</v>
      </c>
      <c r="B67" s="267">
        <f t="shared" si="13"/>
        <v>0</v>
      </c>
      <c r="C67" s="267">
        <f t="shared" si="13"/>
        <v>0</v>
      </c>
      <c r="D67" s="267">
        <f t="shared" si="13"/>
        <v>0</v>
      </c>
      <c r="E67" s="267">
        <f t="shared" si="13"/>
        <v>0</v>
      </c>
      <c r="F67" s="267">
        <f t="shared" si="13"/>
        <v>0</v>
      </c>
      <c r="G67" s="267">
        <f t="shared" si="13"/>
        <v>0</v>
      </c>
      <c r="H67" s="267">
        <f t="shared" si="13"/>
        <v>0</v>
      </c>
    </row>
    <row r="68" spans="1:8" x14ac:dyDescent="0.25">
      <c r="A68" t="str">
        <f t="shared" si="12"/>
        <v>DÉCEMBRE</v>
      </c>
      <c r="B68" s="267">
        <f t="shared" si="13"/>
        <v>0</v>
      </c>
      <c r="C68" s="267">
        <f t="shared" si="13"/>
        <v>0</v>
      </c>
      <c r="D68" s="267">
        <f t="shared" si="13"/>
        <v>0</v>
      </c>
      <c r="E68" s="267">
        <f t="shared" si="13"/>
        <v>0</v>
      </c>
      <c r="F68" s="267">
        <f t="shared" si="13"/>
        <v>0</v>
      </c>
      <c r="G68" s="267">
        <f t="shared" si="13"/>
        <v>0</v>
      </c>
      <c r="H68" s="267">
        <f t="shared" si="13"/>
        <v>0</v>
      </c>
    </row>
    <row r="74" spans="1:8" x14ac:dyDescent="0.25">
      <c r="A74" s="146" t="s">
        <v>444</v>
      </c>
    </row>
    <row r="76" spans="1:8" x14ac:dyDescent="0.25">
      <c r="A76" s="291" t="s">
        <v>137</v>
      </c>
      <c r="B76" s="269" t="s">
        <v>283</v>
      </c>
      <c r="C76" s="269" t="s">
        <v>284</v>
      </c>
      <c r="D76" s="269" t="s">
        <v>285</v>
      </c>
      <c r="E76" s="269" t="s">
        <v>286</v>
      </c>
      <c r="F76" s="269" t="s">
        <v>287</v>
      </c>
      <c r="G76" s="269" t="s">
        <v>288</v>
      </c>
      <c r="H76" s="269" t="s">
        <v>289</v>
      </c>
    </row>
    <row r="77" spans="1:8" x14ac:dyDescent="0.25">
      <c r="A77" s="227" t="s">
        <v>445</v>
      </c>
      <c r="B77" s="287">
        <v>7.139154457704168E-2</v>
      </c>
      <c r="C77" s="287">
        <v>7.139154457704168E-2</v>
      </c>
      <c r="D77" s="287">
        <v>7.139154457704168E-2</v>
      </c>
      <c r="E77" s="287">
        <v>7.139154457704168E-2</v>
      </c>
      <c r="F77" s="287">
        <v>7.139154457704168E-2</v>
      </c>
      <c r="G77" s="287">
        <v>7.139154457704168E-2</v>
      </c>
      <c r="H77" s="287">
        <v>7.139154457704168E-2</v>
      </c>
    </row>
    <row r="78" spans="1:8" x14ac:dyDescent="0.25">
      <c r="A78" s="227" t="s">
        <v>446</v>
      </c>
      <c r="B78" s="287">
        <v>0.25544900870385179</v>
      </c>
      <c r="C78" s="287">
        <v>0.25544900870385179</v>
      </c>
      <c r="D78" s="287">
        <v>0.25544900870385179</v>
      </c>
      <c r="E78" s="287">
        <v>0.25544900870385179</v>
      </c>
      <c r="F78" s="287">
        <v>0.25544900870385179</v>
      </c>
      <c r="G78" s="287">
        <v>0.25544900870385179</v>
      </c>
      <c r="H78" s="287">
        <v>0.25544900870385179</v>
      </c>
    </row>
    <row r="79" spans="1:8" x14ac:dyDescent="0.25">
      <c r="A79" s="227" t="s">
        <v>447</v>
      </c>
      <c r="B79" s="287">
        <v>0.32384213372440351</v>
      </c>
      <c r="C79" s="287">
        <v>0.32384213372440351</v>
      </c>
      <c r="D79" s="287">
        <v>0.32384213372440351</v>
      </c>
      <c r="E79" s="287">
        <v>0.32384213372440351</v>
      </c>
      <c r="F79" s="287">
        <v>0.32384213372440351</v>
      </c>
      <c r="G79" s="287">
        <v>0.32384213372440351</v>
      </c>
      <c r="H79" s="287">
        <v>0.32384213372440351</v>
      </c>
    </row>
    <row r="80" spans="1:8" x14ac:dyDescent="0.25">
      <c r="A80" s="227" t="s">
        <v>448</v>
      </c>
      <c r="B80" s="287">
        <v>0.33236134940406498</v>
      </c>
      <c r="C80" s="287">
        <v>0.33236134940406498</v>
      </c>
      <c r="D80" s="287">
        <v>0.33236134940406498</v>
      </c>
      <c r="E80" s="287">
        <v>0.33236134940406498</v>
      </c>
      <c r="F80" s="287">
        <v>0.33236134940406498</v>
      </c>
      <c r="G80" s="287">
        <v>0.33236134940406498</v>
      </c>
      <c r="H80" s="287">
        <v>0.33236134940406498</v>
      </c>
    </row>
    <row r="81" spans="1:8" x14ac:dyDescent="0.25">
      <c r="A81" s="286" t="s">
        <v>449</v>
      </c>
      <c r="B81" s="288">
        <v>1.7000000000000001E-2</v>
      </c>
      <c r="C81" s="288">
        <v>1.7000000000000001E-2</v>
      </c>
      <c r="D81" s="288">
        <v>1.7000000000000001E-2</v>
      </c>
      <c r="E81" s="288">
        <v>1.7000000000000001E-2</v>
      </c>
      <c r="F81" s="288">
        <v>1.7000000000000001E-2</v>
      </c>
      <c r="G81" s="288">
        <v>1.7000000000000001E-2</v>
      </c>
      <c r="H81" s="288">
        <v>1.7000000000000001E-2</v>
      </c>
    </row>
    <row r="82" spans="1:8" ht="6.75" customHeight="1" x14ac:dyDescent="0.25">
      <c r="A82" s="289"/>
      <c r="B82" s="290" t="str">
        <f>+B76</f>
        <v>N</v>
      </c>
      <c r="C82" s="290" t="str">
        <f t="shared" ref="C82:H82" si="14">+C76</f>
        <v>N+1</v>
      </c>
      <c r="D82" s="290" t="str">
        <f t="shared" si="14"/>
        <v>N+2</v>
      </c>
      <c r="E82" s="290" t="str">
        <f t="shared" si="14"/>
        <v>N+3</v>
      </c>
      <c r="F82" s="290" t="str">
        <f t="shared" si="14"/>
        <v>N+4</v>
      </c>
      <c r="G82" s="290" t="str">
        <f t="shared" si="14"/>
        <v>N+5</v>
      </c>
      <c r="H82" s="290" t="str">
        <f t="shared" si="14"/>
        <v>N+6</v>
      </c>
    </row>
    <row r="83" spans="1:8" x14ac:dyDescent="0.25">
      <c r="A83" s="227" t="s">
        <v>445</v>
      </c>
      <c r="B83" s="198">
        <f>+B77*B$8</f>
        <v>0</v>
      </c>
      <c r="C83" s="198">
        <f t="shared" ref="C83:H83" si="15">+C77*C$8</f>
        <v>0</v>
      </c>
      <c r="D83" s="198">
        <f t="shared" si="15"/>
        <v>0</v>
      </c>
      <c r="E83" s="198">
        <f t="shared" si="15"/>
        <v>0</v>
      </c>
      <c r="F83" s="198">
        <f t="shared" si="15"/>
        <v>0</v>
      </c>
      <c r="G83" s="198">
        <f t="shared" si="15"/>
        <v>0</v>
      </c>
      <c r="H83" s="198">
        <f t="shared" si="15"/>
        <v>0</v>
      </c>
    </row>
    <row r="84" spans="1:8" x14ac:dyDescent="0.25">
      <c r="A84" s="227" t="s">
        <v>446</v>
      </c>
      <c r="B84" s="198">
        <f t="shared" ref="B84:H87" si="16">+B78*B$8</f>
        <v>0</v>
      </c>
      <c r="C84" s="198">
        <f t="shared" si="16"/>
        <v>0</v>
      </c>
      <c r="D84" s="198">
        <f t="shared" si="16"/>
        <v>0</v>
      </c>
      <c r="E84" s="198">
        <f t="shared" si="16"/>
        <v>0</v>
      </c>
      <c r="F84" s="198">
        <f t="shared" si="16"/>
        <v>0</v>
      </c>
      <c r="G84" s="198">
        <f t="shared" si="16"/>
        <v>0</v>
      </c>
      <c r="H84" s="198">
        <f t="shared" si="16"/>
        <v>0</v>
      </c>
    </row>
    <row r="85" spans="1:8" x14ac:dyDescent="0.25">
      <c r="A85" s="227" t="s">
        <v>447</v>
      </c>
      <c r="B85" s="198">
        <f t="shared" si="16"/>
        <v>0</v>
      </c>
      <c r="C85" s="198">
        <f t="shared" si="16"/>
        <v>0</v>
      </c>
      <c r="D85" s="198">
        <f t="shared" si="16"/>
        <v>0</v>
      </c>
      <c r="E85" s="198">
        <f t="shared" si="16"/>
        <v>0</v>
      </c>
      <c r="F85" s="198">
        <f t="shared" si="16"/>
        <v>0</v>
      </c>
      <c r="G85" s="198">
        <f t="shared" si="16"/>
        <v>0</v>
      </c>
      <c r="H85" s="198">
        <f t="shared" si="16"/>
        <v>0</v>
      </c>
    </row>
    <row r="86" spans="1:8" x14ac:dyDescent="0.25">
      <c r="A86" s="227" t="s">
        <v>448</v>
      </c>
      <c r="B86" s="198">
        <f t="shared" si="16"/>
        <v>0</v>
      </c>
      <c r="C86" s="198">
        <f t="shared" si="16"/>
        <v>0</v>
      </c>
      <c r="D86" s="198">
        <f t="shared" si="16"/>
        <v>0</v>
      </c>
      <c r="E86" s="198">
        <f t="shared" si="16"/>
        <v>0</v>
      </c>
      <c r="F86" s="198">
        <f t="shared" si="16"/>
        <v>0</v>
      </c>
      <c r="G86" s="198">
        <f t="shared" si="16"/>
        <v>0</v>
      </c>
      <c r="H86" s="198">
        <f t="shared" si="16"/>
        <v>0</v>
      </c>
    </row>
    <row r="87" spans="1:8" x14ac:dyDescent="0.25">
      <c r="A87" s="286" t="s">
        <v>449</v>
      </c>
      <c r="B87" s="198">
        <f t="shared" si="16"/>
        <v>0</v>
      </c>
      <c r="C87" s="198">
        <f t="shared" si="16"/>
        <v>0</v>
      </c>
      <c r="D87" s="198">
        <f t="shared" si="16"/>
        <v>0</v>
      </c>
      <c r="E87" s="198">
        <f t="shared" si="16"/>
        <v>0</v>
      </c>
      <c r="F87" s="198">
        <f t="shared" si="16"/>
        <v>0</v>
      </c>
      <c r="G87" s="198">
        <f t="shared" si="16"/>
        <v>0</v>
      </c>
      <c r="H87" s="198">
        <f t="shared" si="16"/>
        <v>0</v>
      </c>
    </row>
    <row r="88" spans="1:8" x14ac:dyDescent="0.25">
      <c r="A88" s="292" t="s">
        <v>450</v>
      </c>
      <c r="B88" s="293">
        <f>SUM(B83:B87)</f>
        <v>0</v>
      </c>
      <c r="C88" s="293">
        <f t="shared" ref="C88:H88" si="17">SUM(C83:C87)</f>
        <v>0</v>
      </c>
      <c r="D88" s="293">
        <f t="shared" si="17"/>
        <v>0</v>
      </c>
      <c r="E88" s="293">
        <f t="shared" si="17"/>
        <v>0</v>
      </c>
      <c r="F88" s="293">
        <f t="shared" si="17"/>
        <v>0</v>
      </c>
      <c r="G88" s="293">
        <f t="shared" si="17"/>
        <v>0</v>
      </c>
      <c r="H88" s="293">
        <f t="shared" si="17"/>
        <v>0</v>
      </c>
    </row>
    <row r="89" spans="1:8" x14ac:dyDescent="0.25">
      <c r="A89" s="226"/>
      <c r="B89" s="284"/>
    </row>
    <row r="90" spans="1:8" x14ac:dyDescent="0.25">
      <c r="B90" s="285"/>
    </row>
    <row r="91" spans="1:8" x14ac:dyDescent="0.25">
      <c r="B91" s="285"/>
    </row>
    <row r="92" spans="1:8" x14ac:dyDescent="0.25">
      <c r="A92" s="226"/>
      <c r="B92" s="284"/>
    </row>
  </sheetData>
  <pageMargins left="0.47244094488188981" right="0.19685039370078741" top="0.59055118110236227" bottom="0.31496062992125984" header="0.23622047244094491" footer="0.19685039370078741"/>
  <pageSetup paperSize="9" scale="79" orientation="portrait" r:id="rId1"/>
  <headerFooter>
    <oddHeader>&amp;L&amp;D
&amp;T&amp;R&amp;P/&amp;N</oddHeader>
    <oddFooter>&amp;L&amp;7Document non contractuel
Charges personnelles de l'exploitant non inclus
Les chiffres et les informations ci-dessus sont données à titre indicatifs et restent à être validés par un Expert Comptable
&amp;R&amp;P/&amp;N
&amp;D--&amp;T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H57"/>
  <sheetViews>
    <sheetView workbookViewId="0">
      <selection activeCell="E17" sqref="E17"/>
    </sheetView>
  </sheetViews>
  <sheetFormatPr baseColWidth="10" defaultRowHeight="13.2" x14ac:dyDescent="0.25"/>
  <cols>
    <col min="2" max="8" width="13" bestFit="1" customWidth="1"/>
  </cols>
  <sheetData>
    <row r="1" spans="1:8" x14ac:dyDescent="0.25">
      <c r="A1" s="146" t="s">
        <v>540</v>
      </c>
    </row>
    <row r="3" spans="1:8" x14ac:dyDescent="0.25">
      <c r="A3" s="270" t="s">
        <v>412</v>
      </c>
      <c r="B3" s="182">
        <f>+'A SAISIR'!G6</f>
        <v>0</v>
      </c>
    </row>
    <row r="4" spans="1:8" x14ac:dyDescent="0.25">
      <c r="B4">
        <f>+'A SAISIR'!G7</f>
        <v>0</v>
      </c>
    </row>
    <row r="5" spans="1:8" x14ac:dyDescent="0.25">
      <c r="B5" s="249"/>
    </row>
    <row r="6" spans="1:8" x14ac:dyDescent="0.25">
      <c r="A6" s="223"/>
      <c r="B6" s="269" t="s">
        <v>283</v>
      </c>
      <c r="C6" s="269" t="s">
        <v>284</v>
      </c>
      <c r="D6" s="269" t="s">
        <v>285</v>
      </c>
      <c r="E6" s="269" t="s">
        <v>286</v>
      </c>
      <c r="F6" s="269" t="s">
        <v>287</v>
      </c>
      <c r="G6" s="269" t="s">
        <v>288</v>
      </c>
      <c r="H6" s="269" t="s">
        <v>289</v>
      </c>
    </row>
    <row r="7" spans="1:8" x14ac:dyDescent="0.25">
      <c r="A7" s="260" t="s">
        <v>436</v>
      </c>
      <c r="B7" s="198">
        <f>+'A SAISIR'!F10</f>
        <v>0</v>
      </c>
      <c r="C7" s="198">
        <f>+'A SAISIR'!G10</f>
        <v>0</v>
      </c>
      <c r="D7" s="198">
        <f>+'A SAISIR'!H10</f>
        <v>0</v>
      </c>
      <c r="E7" s="198">
        <f>+'A SAISIR'!I10</f>
        <v>0</v>
      </c>
      <c r="F7" s="198">
        <f>+'A SAISIR'!J10</f>
        <v>0</v>
      </c>
      <c r="G7" s="198">
        <f>+'A SAISIR'!K10</f>
        <v>0</v>
      </c>
      <c r="H7" s="198">
        <f>+'A SAISIR'!L10</f>
        <v>0</v>
      </c>
    </row>
    <row r="8" spans="1:8" x14ac:dyDescent="0.25">
      <c r="A8" s="277" t="s">
        <v>137</v>
      </c>
      <c r="B8" s="181">
        <f>+B7/1.2</f>
        <v>0</v>
      </c>
      <c r="C8" s="181">
        <f t="shared" ref="C8:H8" si="0">+C7/1.2</f>
        <v>0</v>
      </c>
      <c r="D8" s="181">
        <f t="shared" si="0"/>
        <v>0</v>
      </c>
      <c r="E8" s="181">
        <f t="shared" si="0"/>
        <v>0</v>
      </c>
      <c r="F8" s="181">
        <f t="shared" si="0"/>
        <v>0</v>
      </c>
      <c r="G8" s="181">
        <f t="shared" si="0"/>
        <v>0</v>
      </c>
      <c r="H8" s="181">
        <f t="shared" si="0"/>
        <v>0</v>
      </c>
    </row>
    <row r="9" spans="1:8" x14ac:dyDescent="0.25">
      <c r="A9" s="182" t="s">
        <v>522</v>
      </c>
      <c r="B9" s="198">
        <f>+B$8*'A SAISIR'!F13/'A SAISIR'!F$25</f>
        <v>0</v>
      </c>
      <c r="C9" s="198">
        <f>+C$8*'A SAISIR'!G13/'A SAISIR'!G$25</f>
        <v>0</v>
      </c>
      <c r="D9" s="198">
        <f>+D$8*'A SAISIR'!H13/'A SAISIR'!H$25</f>
        <v>0</v>
      </c>
      <c r="E9" s="198">
        <f>+E$8*'A SAISIR'!I13/'A SAISIR'!I$25</f>
        <v>0</v>
      </c>
      <c r="F9" s="198">
        <f>+F$8*'A SAISIR'!J13/'A SAISIR'!J$25</f>
        <v>0</v>
      </c>
      <c r="G9" s="198">
        <f>+G$8*'A SAISIR'!K13/'A SAISIR'!K$25</f>
        <v>0</v>
      </c>
      <c r="H9" s="198">
        <f>+H$8*'A SAISIR'!L13/'A SAISIR'!L$25</f>
        <v>0</v>
      </c>
    </row>
    <row r="10" spans="1:8" x14ac:dyDescent="0.25">
      <c r="A10" s="182" t="s">
        <v>523</v>
      </c>
      <c r="B10" s="198">
        <f>+B$8*'A SAISIR'!F14/'A SAISIR'!F$25</f>
        <v>0</v>
      </c>
      <c r="C10" s="198">
        <f>+C$8*'A SAISIR'!G14/'A SAISIR'!G$25</f>
        <v>0</v>
      </c>
      <c r="D10" s="198">
        <f>+D$8*'A SAISIR'!H14/'A SAISIR'!H$25</f>
        <v>0</v>
      </c>
      <c r="E10" s="198">
        <f>+E$8*'A SAISIR'!I14/'A SAISIR'!I$25</f>
        <v>0</v>
      </c>
      <c r="F10" s="198">
        <f>+F$8*'A SAISIR'!J14/'A SAISIR'!J$25</f>
        <v>0</v>
      </c>
      <c r="G10" s="198">
        <f>+G$8*'A SAISIR'!K14/'A SAISIR'!K$25</f>
        <v>0</v>
      </c>
      <c r="H10" s="198">
        <f>+H$8*'A SAISIR'!L14/'A SAISIR'!L$25</f>
        <v>0</v>
      </c>
    </row>
    <row r="11" spans="1:8" x14ac:dyDescent="0.25">
      <c r="A11" s="182" t="s">
        <v>524</v>
      </c>
      <c r="B11" s="198">
        <f>+B$8*'A SAISIR'!F15/'A SAISIR'!F$25</f>
        <v>0</v>
      </c>
      <c r="C11" s="198">
        <f>+C$8*'A SAISIR'!G15/'A SAISIR'!G$25</f>
        <v>0</v>
      </c>
      <c r="D11" s="198">
        <f>+D$8*'A SAISIR'!H15/'A SAISIR'!H$25</f>
        <v>0</v>
      </c>
      <c r="E11" s="198">
        <f>+E$8*'A SAISIR'!I15/'A SAISIR'!I$25</f>
        <v>0</v>
      </c>
      <c r="F11" s="198">
        <f>+F$8*'A SAISIR'!J15/'A SAISIR'!J$25</f>
        <v>0</v>
      </c>
      <c r="G11" s="198">
        <f>+G$8*'A SAISIR'!K15/'A SAISIR'!K$25</f>
        <v>0</v>
      </c>
      <c r="H11" s="198">
        <f>+H$8*'A SAISIR'!L15/'A SAISIR'!L$25</f>
        <v>0</v>
      </c>
    </row>
    <row r="12" spans="1:8" x14ac:dyDescent="0.25">
      <c r="A12" s="182" t="s">
        <v>525</v>
      </c>
      <c r="B12" s="198">
        <f>+B$8*'A SAISIR'!F16/'A SAISIR'!F$25</f>
        <v>0</v>
      </c>
      <c r="C12" s="198">
        <f>+C$8*'A SAISIR'!G16/'A SAISIR'!G$25</f>
        <v>0</v>
      </c>
      <c r="D12" s="198">
        <f>+D$8*'A SAISIR'!H16/'A SAISIR'!H$25</f>
        <v>0</v>
      </c>
      <c r="E12" s="198">
        <f>+E$8*'A SAISIR'!I16/'A SAISIR'!I$25</f>
        <v>0</v>
      </c>
      <c r="F12" s="198">
        <f>+F$8*'A SAISIR'!J16/'A SAISIR'!J$25</f>
        <v>0</v>
      </c>
      <c r="G12" s="198">
        <f>+G$8*'A SAISIR'!K16/'A SAISIR'!K$25</f>
        <v>0</v>
      </c>
      <c r="H12" s="198">
        <f>+H$8*'A SAISIR'!L16/'A SAISIR'!L$25</f>
        <v>0</v>
      </c>
    </row>
    <row r="13" spans="1:8" x14ac:dyDescent="0.25">
      <c r="A13" s="182" t="s">
        <v>526</v>
      </c>
      <c r="B13" s="198">
        <f>+B$8*'A SAISIR'!F17/'A SAISIR'!F$25</f>
        <v>0</v>
      </c>
      <c r="C13" s="198">
        <f>+C$8*'A SAISIR'!G17/'A SAISIR'!G$25</f>
        <v>0</v>
      </c>
      <c r="D13" s="198">
        <f>+D$8*'A SAISIR'!H17/'A SAISIR'!H$25</f>
        <v>0</v>
      </c>
      <c r="E13" s="198">
        <f>+E$8*'A SAISIR'!I17/'A SAISIR'!I$25</f>
        <v>0</v>
      </c>
      <c r="F13" s="198">
        <f>+F$8*'A SAISIR'!J17/'A SAISIR'!J$25</f>
        <v>0</v>
      </c>
      <c r="G13" s="198">
        <f>+G$8*'A SAISIR'!K17/'A SAISIR'!K$25</f>
        <v>0</v>
      </c>
      <c r="H13" s="198">
        <f>+H$8*'A SAISIR'!L17/'A SAISIR'!L$25</f>
        <v>0</v>
      </c>
    </row>
    <row r="14" spans="1:8" x14ac:dyDescent="0.25">
      <c r="A14" s="182" t="s">
        <v>527</v>
      </c>
      <c r="B14" s="198">
        <f>+B$8*'A SAISIR'!F18/'A SAISIR'!F$25</f>
        <v>0</v>
      </c>
      <c r="C14" s="198">
        <f>+C$8*'A SAISIR'!G18/'A SAISIR'!G$25</f>
        <v>0</v>
      </c>
      <c r="D14" s="198">
        <f>+D$8*'A SAISIR'!H18/'A SAISIR'!H$25</f>
        <v>0</v>
      </c>
      <c r="E14" s="198">
        <f>+E$8*'A SAISIR'!I18/'A SAISIR'!I$25</f>
        <v>0</v>
      </c>
      <c r="F14" s="198">
        <f>+F$8*'A SAISIR'!J18/'A SAISIR'!J$25</f>
        <v>0</v>
      </c>
      <c r="G14" s="198">
        <f>+G$8*'A SAISIR'!K18/'A SAISIR'!K$25</f>
        <v>0</v>
      </c>
      <c r="H14" s="198">
        <f>+H$8*'A SAISIR'!L18/'A SAISIR'!L$25</f>
        <v>0</v>
      </c>
    </row>
    <row r="15" spans="1:8" x14ac:dyDescent="0.25">
      <c r="A15" s="182" t="s">
        <v>528</v>
      </c>
      <c r="B15" s="198">
        <f>+B$8*'A SAISIR'!F19/'A SAISIR'!F$25</f>
        <v>0</v>
      </c>
      <c r="C15" s="198">
        <f>+C$8*'A SAISIR'!G19/'A SAISIR'!G$25</f>
        <v>0</v>
      </c>
      <c r="D15" s="198">
        <f>+D$8*'A SAISIR'!H19/'A SAISIR'!H$25</f>
        <v>0</v>
      </c>
      <c r="E15" s="198">
        <f>+E$8*'A SAISIR'!I19/'A SAISIR'!I$25</f>
        <v>0</v>
      </c>
      <c r="F15" s="198">
        <f>+F$8*'A SAISIR'!J19/'A SAISIR'!J$25</f>
        <v>0</v>
      </c>
      <c r="G15" s="198">
        <f>+G$8*'A SAISIR'!K19/'A SAISIR'!K$25</f>
        <v>0</v>
      </c>
      <c r="H15" s="198">
        <f>+H$8*'A SAISIR'!L19/'A SAISIR'!L$25</f>
        <v>0</v>
      </c>
    </row>
    <row r="16" spans="1:8" x14ac:dyDescent="0.25">
      <c r="A16" s="182" t="s">
        <v>529</v>
      </c>
      <c r="B16" s="198">
        <f>+B$8*'A SAISIR'!F20/'A SAISIR'!F$25</f>
        <v>0</v>
      </c>
      <c r="C16" s="198">
        <f>+C$8*'A SAISIR'!G20/'A SAISIR'!G$25</f>
        <v>0</v>
      </c>
      <c r="D16" s="198">
        <f>+D$8*'A SAISIR'!H20/'A SAISIR'!H$25</f>
        <v>0</v>
      </c>
      <c r="E16" s="198">
        <f>+E$8*'A SAISIR'!I20/'A SAISIR'!I$25</f>
        <v>0</v>
      </c>
      <c r="F16" s="198">
        <f>+F$8*'A SAISIR'!J20/'A SAISIR'!J$25</f>
        <v>0</v>
      </c>
      <c r="G16" s="198">
        <f>+G$8*'A SAISIR'!K20/'A SAISIR'!K$25</f>
        <v>0</v>
      </c>
      <c r="H16" s="198">
        <f>+H$8*'A SAISIR'!L20/'A SAISIR'!L$25</f>
        <v>0</v>
      </c>
    </row>
    <row r="17" spans="1:8" x14ac:dyDescent="0.25">
      <c r="A17" s="182" t="s">
        <v>530</v>
      </c>
      <c r="B17" s="198">
        <f>+B$8*'A SAISIR'!F21/'A SAISIR'!F$25</f>
        <v>0</v>
      </c>
      <c r="C17" s="198">
        <f>+C$8*'A SAISIR'!G21/'A SAISIR'!G$25</f>
        <v>0</v>
      </c>
      <c r="D17" s="198">
        <f>+D$8*'A SAISIR'!H21/'A SAISIR'!H$25</f>
        <v>0</v>
      </c>
      <c r="E17" s="198">
        <f>+E$8*'A SAISIR'!I21/'A SAISIR'!I$25</f>
        <v>0</v>
      </c>
      <c r="F17" s="198">
        <f>+F$8*'A SAISIR'!J21/'A SAISIR'!J$25</f>
        <v>0</v>
      </c>
      <c r="G17" s="198">
        <f>+G$8*'A SAISIR'!K21/'A SAISIR'!K$25</f>
        <v>0</v>
      </c>
      <c r="H17" s="198">
        <f>+H$8*'A SAISIR'!L21/'A SAISIR'!L$25</f>
        <v>0</v>
      </c>
    </row>
    <row r="18" spans="1:8" x14ac:dyDescent="0.25">
      <c r="A18" s="182" t="s">
        <v>531</v>
      </c>
      <c r="B18" s="198">
        <f>+B$8*'A SAISIR'!F22/'A SAISIR'!F$25</f>
        <v>0</v>
      </c>
      <c r="C18" s="198">
        <f>+C$8*'A SAISIR'!G22/'A SAISIR'!G$25</f>
        <v>0</v>
      </c>
      <c r="D18" s="198">
        <f>+D$8*'A SAISIR'!H22/'A SAISIR'!H$25</f>
        <v>0</v>
      </c>
      <c r="E18" s="198">
        <f>+E$8*'A SAISIR'!I22/'A SAISIR'!I$25</f>
        <v>0</v>
      </c>
      <c r="F18" s="198">
        <f>+F$8*'A SAISIR'!J22/'A SAISIR'!J$25</f>
        <v>0</v>
      </c>
      <c r="G18" s="198">
        <f>+G$8*'A SAISIR'!K22/'A SAISIR'!K$25</f>
        <v>0</v>
      </c>
      <c r="H18" s="198">
        <f>+H$8*'A SAISIR'!L22/'A SAISIR'!L$25</f>
        <v>0</v>
      </c>
    </row>
    <row r="19" spans="1:8" x14ac:dyDescent="0.25">
      <c r="A19" s="182" t="s">
        <v>532</v>
      </c>
      <c r="B19" s="198">
        <f>+B$8*'A SAISIR'!F23/'A SAISIR'!F$25</f>
        <v>0</v>
      </c>
      <c r="C19" s="198">
        <f>+C$8*'A SAISIR'!G23/'A SAISIR'!G$25</f>
        <v>0</v>
      </c>
      <c r="D19" s="198">
        <f>+D$8*'A SAISIR'!H23/'A SAISIR'!H$25</f>
        <v>0</v>
      </c>
      <c r="E19" s="198">
        <f>+E$8*'A SAISIR'!I23/'A SAISIR'!I$25</f>
        <v>0</v>
      </c>
      <c r="F19" s="198">
        <f>+F$8*'A SAISIR'!J23/'A SAISIR'!J$25</f>
        <v>0</v>
      </c>
      <c r="G19" s="198">
        <f>+G$8*'A SAISIR'!K23/'A SAISIR'!K$25</f>
        <v>0</v>
      </c>
      <c r="H19" s="198">
        <f>+H$8*'A SAISIR'!L23/'A SAISIR'!L$25</f>
        <v>0</v>
      </c>
    </row>
    <row r="20" spans="1:8" x14ac:dyDescent="0.25">
      <c r="A20" s="182" t="s">
        <v>533</v>
      </c>
      <c r="B20" s="198">
        <f>+B$8*'A SAISIR'!F24/'A SAISIR'!F$25</f>
        <v>0</v>
      </c>
      <c r="C20" s="198">
        <f>+C$8*'A SAISIR'!G24/'A SAISIR'!G$25</f>
        <v>0</v>
      </c>
      <c r="D20" s="198">
        <f>+D$8*'A SAISIR'!H24/'A SAISIR'!H$25</f>
        <v>0</v>
      </c>
      <c r="E20" s="198">
        <f>+E$8*'A SAISIR'!I24/'A SAISIR'!I$25</f>
        <v>0</v>
      </c>
      <c r="F20" s="198">
        <f>+F$8*'A SAISIR'!J24/'A SAISIR'!J$25</f>
        <v>0</v>
      </c>
      <c r="G20" s="198">
        <f>+G$8*'A SAISIR'!K24/'A SAISIR'!K$25</f>
        <v>0</v>
      </c>
      <c r="H20" s="198">
        <f>+H$8*'A SAISIR'!L24/'A SAISIR'!L$25</f>
        <v>0</v>
      </c>
    </row>
    <row r="21" spans="1:8" x14ac:dyDescent="0.25">
      <c r="A21" s="260" t="s">
        <v>541</v>
      </c>
      <c r="B21" s="198">
        <f>SUM(B9:B20)</f>
        <v>0</v>
      </c>
      <c r="C21" s="198">
        <f t="shared" ref="C21:H21" si="1">SUM(C9:C20)</f>
        <v>0</v>
      </c>
      <c r="D21" s="198">
        <f t="shared" si="1"/>
        <v>0</v>
      </c>
      <c r="E21" s="198">
        <f t="shared" si="1"/>
        <v>0</v>
      </c>
      <c r="F21" s="198">
        <f t="shared" si="1"/>
        <v>0</v>
      </c>
      <c r="G21" s="198">
        <f t="shared" si="1"/>
        <v>0</v>
      </c>
      <c r="H21" s="198">
        <f t="shared" si="1"/>
        <v>0</v>
      </c>
    </row>
    <row r="22" spans="1:8" x14ac:dyDescent="0.25">
      <c r="A22" s="297" t="s">
        <v>534</v>
      </c>
      <c r="B22" s="334">
        <f>+'A SAISIR'!F30</f>
        <v>0</v>
      </c>
      <c r="C22" s="334">
        <f>+'A SAISIR'!G30</f>
        <v>0</v>
      </c>
      <c r="D22" s="334">
        <f>+'A SAISIR'!H30</f>
        <v>0</v>
      </c>
      <c r="E22" s="334">
        <f>+'A SAISIR'!I30</f>
        <v>0</v>
      </c>
      <c r="F22" s="334">
        <f>+'A SAISIR'!J30</f>
        <v>0</v>
      </c>
      <c r="G22" s="334">
        <f>+'A SAISIR'!K30</f>
        <v>0</v>
      </c>
      <c r="H22" s="334">
        <f>+'A SAISIR'!L30</f>
        <v>0</v>
      </c>
    </row>
    <row r="23" spans="1:8" x14ac:dyDescent="0.25">
      <c r="A23" s="335" t="s">
        <v>538</v>
      </c>
      <c r="B23" s="198">
        <f>+B9*(B$22-B$38)</f>
        <v>0</v>
      </c>
      <c r="C23" s="198">
        <f t="shared" ref="C23:H23" si="2">+C9*(C$22-C$38)</f>
        <v>0</v>
      </c>
      <c r="D23" s="198">
        <f t="shared" si="2"/>
        <v>0</v>
      </c>
      <c r="E23" s="198">
        <f t="shared" si="2"/>
        <v>0</v>
      </c>
      <c r="F23" s="198">
        <f t="shared" si="2"/>
        <v>0</v>
      </c>
      <c r="G23" s="198">
        <f t="shared" si="2"/>
        <v>0</v>
      </c>
      <c r="H23" s="198">
        <f t="shared" si="2"/>
        <v>0</v>
      </c>
    </row>
    <row r="24" spans="1:8" x14ac:dyDescent="0.25">
      <c r="A24" s="182" t="s">
        <v>523</v>
      </c>
      <c r="B24" s="198">
        <f>+B10*(B$22)</f>
        <v>0</v>
      </c>
      <c r="C24" s="198">
        <f t="shared" ref="C24:H24" si="3">+C10*(C$22)</f>
        <v>0</v>
      </c>
      <c r="D24" s="198">
        <f t="shared" si="3"/>
        <v>0</v>
      </c>
      <c r="E24" s="198">
        <f t="shared" si="3"/>
        <v>0</v>
      </c>
      <c r="F24" s="198">
        <f t="shared" si="3"/>
        <v>0</v>
      </c>
      <c r="G24" s="198">
        <f t="shared" si="3"/>
        <v>0</v>
      </c>
      <c r="H24" s="198">
        <f t="shared" si="3"/>
        <v>0</v>
      </c>
    </row>
    <row r="25" spans="1:8" x14ac:dyDescent="0.25">
      <c r="A25" s="182" t="s">
        <v>524</v>
      </c>
      <c r="B25" s="198">
        <f t="shared" ref="B25:H34" si="4">+B11*(B$22)</f>
        <v>0</v>
      </c>
      <c r="C25" s="198">
        <f t="shared" si="4"/>
        <v>0</v>
      </c>
      <c r="D25" s="198">
        <f t="shared" si="4"/>
        <v>0</v>
      </c>
      <c r="E25" s="198">
        <f t="shared" si="4"/>
        <v>0</v>
      </c>
      <c r="F25" s="198">
        <f t="shared" si="4"/>
        <v>0</v>
      </c>
      <c r="G25" s="198">
        <f t="shared" si="4"/>
        <v>0</v>
      </c>
      <c r="H25" s="198">
        <f t="shared" si="4"/>
        <v>0</v>
      </c>
    </row>
    <row r="26" spans="1:8" x14ac:dyDescent="0.25">
      <c r="A26" s="182" t="s">
        <v>525</v>
      </c>
      <c r="B26" s="198">
        <f t="shared" si="4"/>
        <v>0</v>
      </c>
      <c r="C26" s="198">
        <f t="shared" si="4"/>
        <v>0</v>
      </c>
      <c r="D26" s="198">
        <f t="shared" si="4"/>
        <v>0</v>
      </c>
      <c r="E26" s="198">
        <f t="shared" si="4"/>
        <v>0</v>
      </c>
      <c r="F26" s="198">
        <f t="shared" si="4"/>
        <v>0</v>
      </c>
      <c r="G26" s="198">
        <f t="shared" si="4"/>
        <v>0</v>
      </c>
      <c r="H26" s="198">
        <f t="shared" si="4"/>
        <v>0</v>
      </c>
    </row>
    <row r="27" spans="1:8" x14ac:dyDescent="0.25">
      <c r="A27" s="182" t="s">
        <v>526</v>
      </c>
      <c r="B27" s="198">
        <f t="shared" si="4"/>
        <v>0</v>
      </c>
      <c r="C27" s="198">
        <f t="shared" si="4"/>
        <v>0</v>
      </c>
      <c r="D27" s="198">
        <f t="shared" si="4"/>
        <v>0</v>
      </c>
      <c r="E27" s="198">
        <f t="shared" si="4"/>
        <v>0</v>
      </c>
      <c r="F27" s="198">
        <f t="shared" si="4"/>
        <v>0</v>
      </c>
      <c r="G27" s="198">
        <f t="shared" si="4"/>
        <v>0</v>
      </c>
      <c r="H27" s="198">
        <f t="shared" si="4"/>
        <v>0</v>
      </c>
    </row>
    <row r="28" spans="1:8" x14ac:dyDescent="0.25">
      <c r="A28" s="182" t="s">
        <v>527</v>
      </c>
      <c r="B28" s="198">
        <f t="shared" si="4"/>
        <v>0</v>
      </c>
      <c r="C28" s="198">
        <f t="shared" si="4"/>
        <v>0</v>
      </c>
      <c r="D28" s="198">
        <f t="shared" si="4"/>
        <v>0</v>
      </c>
      <c r="E28" s="198">
        <f t="shared" si="4"/>
        <v>0</v>
      </c>
      <c r="F28" s="198">
        <f t="shared" si="4"/>
        <v>0</v>
      </c>
      <c r="G28" s="198">
        <f t="shared" si="4"/>
        <v>0</v>
      </c>
      <c r="H28" s="198">
        <f t="shared" si="4"/>
        <v>0</v>
      </c>
    </row>
    <row r="29" spans="1:8" x14ac:dyDescent="0.25">
      <c r="A29" s="335" t="s">
        <v>539</v>
      </c>
      <c r="B29" s="198">
        <f>+B15*(B$22-B$39)</f>
        <v>0</v>
      </c>
      <c r="C29" s="198">
        <f t="shared" ref="C29:H29" si="5">+C15*(C$22-C$39)</f>
        <v>0</v>
      </c>
      <c r="D29" s="198">
        <f t="shared" si="5"/>
        <v>0</v>
      </c>
      <c r="E29" s="198">
        <f t="shared" si="5"/>
        <v>0</v>
      </c>
      <c r="F29" s="198">
        <f t="shared" si="5"/>
        <v>0</v>
      </c>
      <c r="G29" s="198">
        <f t="shared" si="5"/>
        <v>0</v>
      </c>
      <c r="H29" s="198">
        <f t="shared" si="5"/>
        <v>0</v>
      </c>
    </row>
    <row r="30" spans="1:8" x14ac:dyDescent="0.25">
      <c r="A30" s="182" t="s">
        <v>529</v>
      </c>
      <c r="B30" s="198">
        <f t="shared" si="4"/>
        <v>0</v>
      </c>
      <c r="C30" s="198">
        <f t="shared" si="4"/>
        <v>0</v>
      </c>
      <c r="D30" s="198">
        <f t="shared" si="4"/>
        <v>0</v>
      </c>
      <c r="E30" s="198">
        <f t="shared" si="4"/>
        <v>0</v>
      </c>
      <c r="F30" s="198">
        <f t="shared" si="4"/>
        <v>0</v>
      </c>
      <c r="G30" s="198">
        <f t="shared" si="4"/>
        <v>0</v>
      </c>
      <c r="H30" s="198">
        <f t="shared" si="4"/>
        <v>0</v>
      </c>
    </row>
    <row r="31" spans="1:8" x14ac:dyDescent="0.25">
      <c r="A31" s="182" t="s">
        <v>530</v>
      </c>
      <c r="B31" s="198">
        <f t="shared" si="4"/>
        <v>0</v>
      </c>
      <c r="C31" s="198">
        <f t="shared" si="4"/>
        <v>0</v>
      </c>
      <c r="D31" s="198">
        <f t="shared" si="4"/>
        <v>0</v>
      </c>
      <c r="E31" s="198">
        <f t="shared" si="4"/>
        <v>0</v>
      </c>
      <c r="F31" s="198">
        <f t="shared" si="4"/>
        <v>0</v>
      </c>
      <c r="G31" s="198">
        <f t="shared" si="4"/>
        <v>0</v>
      </c>
      <c r="H31" s="198">
        <f t="shared" si="4"/>
        <v>0</v>
      </c>
    </row>
    <row r="32" spans="1:8" x14ac:dyDescent="0.25">
      <c r="A32" s="182" t="s">
        <v>531</v>
      </c>
      <c r="B32" s="198">
        <f t="shared" si="4"/>
        <v>0</v>
      </c>
      <c r="C32" s="198">
        <f t="shared" si="4"/>
        <v>0</v>
      </c>
      <c r="D32" s="198">
        <f t="shared" si="4"/>
        <v>0</v>
      </c>
      <c r="E32" s="198">
        <f t="shared" si="4"/>
        <v>0</v>
      </c>
      <c r="F32" s="198">
        <f t="shared" si="4"/>
        <v>0</v>
      </c>
      <c r="G32" s="198">
        <f t="shared" si="4"/>
        <v>0</v>
      </c>
      <c r="H32" s="198">
        <f t="shared" si="4"/>
        <v>0</v>
      </c>
    </row>
    <row r="33" spans="1:8" x14ac:dyDescent="0.25">
      <c r="A33" s="182" t="s">
        <v>532</v>
      </c>
      <c r="B33" s="198">
        <f t="shared" si="4"/>
        <v>0</v>
      </c>
      <c r="C33" s="198">
        <f t="shared" si="4"/>
        <v>0</v>
      </c>
      <c r="D33" s="198">
        <f t="shared" si="4"/>
        <v>0</v>
      </c>
      <c r="E33" s="198">
        <f t="shared" si="4"/>
        <v>0</v>
      </c>
      <c r="F33" s="198">
        <f t="shared" si="4"/>
        <v>0</v>
      </c>
      <c r="G33" s="198">
        <f t="shared" si="4"/>
        <v>0</v>
      </c>
      <c r="H33" s="198">
        <f t="shared" si="4"/>
        <v>0</v>
      </c>
    </row>
    <row r="34" spans="1:8" x14ac:dyDescent="0.25">
      <c r="A34" s="182" t="s">
        <v>533</v>
      </c>
      <c r="B34" s="198">
        <f t="shared" si="4"/>
        <v>0</v>
      </c>
      <c r="C34" s="198">
        <f t="shared" si="4"/>
        <v>0</v>
      </c>
      <c r="D34" s="198">
        <f t="shared" si="4"/>
        <v>0</v>
      </c>
      <c r="E34" s="198">
        <f t="shared" si="4"/>
        <v>0</v>
      </c>
      <c r="F34" s="198">
        <f t="shared" si="4"/>
        <v>0</v>
      </c>
      <c r="G34" s="198">
        <f t="shared" si="4"/>
        <v>0</v>
      </c>
      <c r="H34" s="198">
        <f t="shared" si="4"/>
        <v>0</v>
      </c>
    </row>
    <row r="35" spans="1:8" x14ac:dyDescent="0.25">
      <c r="A35" s="182"/>
      <c r="B35" s="198">
        <f>SUM(B23:B34)</f>
        <v>0</v>
      </c>
      <c r="C35" s="198">
        <f t="shared" ref="C35:H35" si="6">SUM(C23:C34)</f>
        <v>0</v>
      </c>
      <c r="D35" s="198">
        <f t="shared" si="6"/>
        <v>0</v>
      </c>
      <c r="E35" s="198">
        <f t="shared" si="6"/>
        <v>0</v>
      </c>
      <c r="F35" s="198">
        <f t="shared" si="6"/>
        <v>0</v>
      </c>
      <c r="G35" s="198">
        <f t="shared" si="6"/>
        <v>0</v>
      </c>
      <c r="H35" s="198">
        <f t="shared" si="6"/>
        <v>0</v>
      </c>
    </row>
    <row r="36" spans="1:8" x14ac:dyDescent="0.25">
      <c r="A36" s="182"/>
      <c r="B36" s="333" t="e">
        <f>+B35/B21</f>
        <v>#DIV/0!</v>
      </c>
      <c r="C36" s="333" t="e">
        <f t="shared" ref="C36:H36" si="7">+C35/C21</f>
        <v>#DIV/0!</v>
      </c>
      <c r="D36" s="333" t="e">
        <f t="shared" si="7"/>
        <v>#DIV/0!</v>
      </c>
      <c r="E36" s="333" t="e">
        <f t="shared" si="7"/>
        <v>#DIV/0!</v>
      </c>
      <c r="F36" s="333" t="e">
        <f t="shared" si="7"/>
        <v>#DIV/0!</v>
      </c>
      <c r="G36" s="333" t="e">
        <f t="shared" si="7"/>
        <v>#DIV/0!</v>
      </c>
      <c r="H36" s="333" t="e">
        <f t="shared" si="7"/>
        <v>#DIV/0!</v>
      </c>
    </row>
    <row r="37" spans="1:8" x14ac:dyDescent="0.25">
      <c r="A37" s="335" t="s">
        <v>535</v>
      </c>
      <c r="B37" s="335"/>
      <c r="C37" s="335"/>
      <c r="D37" s="335"/>
      <c r="E37" s="335"/>
      <c r="F37" s="335"/>
      <c r="G37" s="335"/>
      <c r="H37" s="335"/>
    </row>
    <row r="38" spans="1:8" x14ac:dyDescent="0.25">
      <c r="A38" s="335" t="s">
        <v>536</v>
      </c>
      <c r="B38" s="336">
        <v>0.03</v>
      </c>
      <c r="C38" s="336">
        <v>0.03</v>
      </c>
      <c r="D38" s="336">
        <v>0.03</v>
      </c>
      <c r="E38" s="336">
        <v>0.03</v>
      </c>
      <c r="F38" s="336">
        <v>0.03</v>
      </c>
      <c r="G38" s="336">
        <v>0.03</v>
      </c>
      <c r="H38" s="336">
        <v>0.03</v>
      </c>
    </row>
    <row r="39" spans="1:8" x14ac:dyDescent="0.25">
      <c r="A39" s="335" t="s">
        <v>537</v>
      </c>
      <c r="B39" s="336">
        <v>0.03</v>
      </c>
      <c r="C39" s="336">
        <v>0.03</v>
      </c>
      <c r="D39" s="336">
        <v>0.03</v>
      </c>
      <c r="E39" s="336">
        <v>0.03</v>
      </c>
      <c r="F39" s="336">
        <v>0.03</v>
      </c>
      <c r="G39" s="336">
        <v>0.03</v>
      </c>
      <c r="H39" s="336">
        <v>0.03</v>
      </c>
    </row>
    <row r="41" spans="1:8" s="301" customFormat="1" x14ac:dyDescent="0.25"/>
    <row r="42" spans="1:8" s="301" customFormat="1" x14ac:dyDescent="0.25">
      <c r="C42" s="301" t="s">
        <v>6</v>
      </c>
      <c r="D42" s="301" t="s">
        <v>303</v>
      </c>
    </row>
    <row r="43" spans="1:8" s="301" customFormat="1" x14ac:dyDescent="0.25">
      <c r="B43" s="301" t="s">
        <v>290</v>
      </c>
      <c r="C43" s="302">
        <f>+B9</f>
        <v>0</v>
      </c>
      <c r="D43" s="302">
        <f>+B23</f>
        <v>0</v>
      </c>
    </row>
    <row r="44" spans="1:8" s="301" customFormat="1" x14ac:dyDescent="0.25">
      <c r="B44" s="301" t="s">
        <v>291</v>
      </c>
      <c r="C44" s="302">
        <f t="shared" ref="C44:C54" si="8">+B10</f>
        <v>0</v>
      </c>
      <c r="D44" s="302">
        <f t="shared" ref="D44:D54" si="9">+B24</f>
        <v>0</v>
      </c>
    </row>
    <row r="45" spans="1:8" s="301" customFormat="1" x14ac:dyDescent="0.25">
      <c r="B45" s="301" t="s">
        <v>292</v>
      </c>
      <c r="C45" s="302">
        <f t="shared" si="8"/>
        <v>0</v>
      </c>
      <c r="D45" s="302">
        <f t="shared" si="9"/>
        <v>0</v>
      </c>
    </row>
    <row r="46" spans="1:8" s="301" customFormat="1" x14ac:dyDescent="0.25">
      <c r="B46" s="301" t="s">
        <v>293</v>
      </c>
      <c r="C46" s="302">
        <f t="shared" si="8"/>
        <v>0</v>
      </c>
      <c r="D46" s="302">
        <f t="shared" si="9"/>
        <v>0</v>
      </c>
    </row>
    <row r="47" spans="1:8" s="301" customFormat="1" x14ac:dyDescent="0.25">
      <c r="B47" s="301" t="s">
        <v>294</v>
      </c>
      <c r="C47" s="302">
        <f t="shared" si="8"/>
        <v>0</v>
      </c>
      <c r="D47" s="302">
        <f t="shared" si="9"/>
        <v>0</v>
      </c>
    </row>
    <row r="48" spans="1:8" s="301" customFormat="1" x14ac:dyDescent="0.25">
      <c r="B48" s="301" t="s">
        <v>295</v>
      </c>
      <c r="C48" s="302">
        <f t="shared" si="8"/>
        <v>0</v>
      </c>
      <c r="D48" s="302">
        <f t="shared" si="9"/>
        <v>0</v>
      </c>
    </row>
    <row r="49" spans="2:4" s="301" customFormat="1" x14ac:dyDescent="0.25">
      <c r="B49" s="301" t="s">
        <v>296</v>
      </c>
      <c r="C49" s="302">
        <f t="shared" si="8"/>
        <v>0</v>
      </c>
      <c r="D49" s="302">
        <f t="shared" si="9"/>
        <v>0</v>
      </c>
    </row>
    <row r="50" spans="2:4" s="301" customFormat="1" x14ac:dyDescent="0.25">
      <c r="B50" s="301" t="s">
        <v>297</v>
      </c>
      <c r="C50" s="302">
        <f t="shared" si="8"/>
        <v>0</v>
      </c>
      <c r="D50" s="302">
        <f t="shared" si="9"/>
        <v>0</v>
      </c>
    </row>
    <row r="51" spans="2:4" s="301" customFormat="1" x14ac:dyDescent="0.25">
      <c r="B51" s="301" t="s">
        <v>298</v>
      </c>
      <c r="C51" s="302">
        <f t="shared" si="8"/>
        <v>0</v>
      </c>
      <c r="D51" s="302">
        <f t="shared" si="9"/>
        <v>0</v>
      </c>
    </row>
    <row r="52" spans="2:4" s="301" customFormat="1" x14ac:dyDescent="0.25">
      <c r="B52" s="301" t="s">
        <v>299</v>
      </c>
      <c r="C52" s="302">
        <f t="shared" si="8"/>
        <v>0</v>
      </c>
      <c r="D52" s="302">
        <f t="shared" si="9"/>
        <v>0</v>
      </c>
    </row>
    <row r="53" spans="2:4" s="301" customFormat="1" x14ac:dyDescent="0.25">
      <c r="B53" s="301" t="s">
        <v>300</v>
      </c>
      <c r="C53" s="302">
        <f t="shared" si="8"/>
        <v>0</v>
      </c>
      <c r="D53" s="302">
        <f t="shared" si="9"/>
        <v>0</v>
      </c>
    </row>
    <row r="54" spans="2:4" s="301" customFormat="1" x14ac:dyDescent="0.25">
      <c r="B54" s="301" t="s">
        <v>301</v>
      </c>
      <c r="C54" s="302">
        <f t="shared" si="8"/>
        <v>0</v>
      </c>
      <c r="D54" s="302">
        <f t="shared" si="9"/>
        <v>0</v>
      </c>
    </row>
    <row r="55" spans="2:4" s="301" customFormat="1" x14ac:dyDescent="0.25"/>
    <row r="56" spans="2:4" s="301" customFormat="1" x14ac:dyDescent="0.25"/>
    <row r="57" spans="2:4" s="301" customFormat="1" x14ac:dyDescent="0.25"/>
  </sheetData>
  <pageMargins left="0.28999999999999998" right="0.19685039370078741" top="0.59055118110236227" bottom="0.31496062992125984" header="0.23622047244094491" footer="0.19685039370078741"/>
  <pageSetup paperSize="9" scale="98" orientation="portrait" r:id="rId1"/>
  <headerFooter>
    <oddHeader>&amp;L&amp;D
&amp;T&amp;R&amp;P/&amp;N</oddHeader>
    <oddFooter>&amp;L&amp;7Document non contractuel
Charges personnelles de l'exploitant non inclus
Les chiffres et les informations ci-dessus sont données à titre indicatifs et restent à être validés par un Expert Comptable
&amp;R&amp;P/&amp;N
&amp;D--&amp;T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H87"/>
  <sheetViews>
    <sheetView workbookViewId="0">
      <selection activeCell="E17" sqref="E17"/>
    </sheetView>
  </sheetViews>
  <sheetFormatPr baseColWidth="10" defaultRowHeight="13.2" x14ac:dyDescent="0.25"/>
  <cols>
    <col min="1" max="1" width="21.109375" customWidth="1"/>
    <col min="2" max="8" width="13" bestFit="1" customWidth="1"/>
    <col min="9" max="9" width="11.88671875" customWidth="1"/>
  </cols>
  <sheetData>
    <row r="1" spans="1:8" x14ac:dyDescent="0.25">
      <c r="A1" s="146" t="s">
        <v>48</v>
      </c>
    </row>
    <row r="3" spans="1:8" x14ac:dyDescent="0.25">
      <c r="A3" s="270" t="s">
        <v>412</v>
      </c>
      <c r="B3" s="182">
        <f>+'A SAISIR'!G6</f>
        <v>0</v>
      </c>
    </row>
    <row r="4" spans="1:8" x14ac:dyDescent="0.25">
      <c r="B4">
        <f>+'A SAISIR'!G7</f>
        <v>0</v>
      </c>
    </row>
    <row r="5" spans="1:8" x14ac:dyDescent="0.25">
      <c r="B5" s="249"/>
    </row>
    <row r="6" spans="1:8" hidden="1" x14ac:dyDescent="0.25"/>
    <row r="7" spans="1:8" hidden="1" x14ac:dyDescent="0.25"/>
    <row r="9" spans="1:8" x14ac:dyDescent="0.25">
      <c r="A9" s="294" t="s">
        <v>514</v>
      </c>
    </row>
    <row r="10" spans="1:8" x14ac:dyDescent="0.25">
      <c r="A10" s="295" t="s">
        <v>473</v>
      </c>
      <c r="B10" s="327">
        <f>+'A SAISIR'!F58</f>
        <v>0</v>
      </c>
      <c r="C10" s="327" t="s">
        <v>512</v>
      </c>
      <c r="D10" s="328">
        <f>+'A SAISIR'!J61</f>
        <v>151.66999999999999</v>
      </c>
      <c r="E10" s="327" t="s">
        <v>511</v>
      </c>
      <c r="F10" s="327">
        <f>+D10/4.33</f>
        <v>35.027713625866049</v>
      </c>
      <c r="G10" s="327" t="s">
        <v>513</v>
      </c>
      <c r="H10" s="300">
        <f>+'A SAISIR'!H61</f>
        <v>0.37</v>
      </c>
    </row>
    <row r="11" spans="1:8" x14ac:dyDescent="0.25">
      <c r="A11" s="295" t="s">
        <v>474</v>
      </c>
      <c r="B11" s="327">
        <f>+'A SAISIR'!F59</f>
        <v>0</v>
      </c>
      <c r="C11" s="327" t="s">
        <v>512</v>
      </c>
      <c r="D11" s="328">
        <f>+'A SAISIR'!J62</f>
        <v>86.668571428571411</v>
      </c>
      <c r="E11" s="327" t="s">
        <v>511</v>
      </c>
      <c r="F11" s="327">
        <f t="shared" ref="F11:F12" si="0">+D11/4.33</f>
        <v>20.015836357637738</v>
      </c>
      <c r="G11" s="327" t="s">
        <v>513</v>
      </c>
      <c r="H11" s="300">
        <f>+'A SAISIR'!H62</f>
        <v>0.35</v>
      </c>
    </row>
    <row r="12" spans="1:8" x14ac:dyDescent="0.25">
      <c r="A12" s="295" t="s">
        <v>475</v>
      </c>
      <c r="B12" s="327">
        <f>+'A SAISIR'!F60</f>
        <v>0</v>
      </c>
      <c r="C12" s="327" t="s">
        <v>512</v>
      </c>
      <c r="D12" s="328">
        <f>+'A SAISIR'!J63</f>
        <v>65.001428571428562</v>
      </c>
      <c r="E12" s="327" t="s">
        <v>511</v>
      </c>
      <c r="F12" s="327">
        <f t="shared" si="0"/>
        <v>15.011877268228305</v>
      </c>
      <c r="G12" s="327" t="s">
        <v>513</v>
      </c>
      <c r="H12" s="300">
        <f>+'A SAISIR'!H63</f>
        <v>0.33</v>
      </c>
    </row>
    <row r="13" spans="1:8" x14ac:dyDescent="0.25">
      <c r="A13" s="295"/>
      <c r="B13" s="327"/>
      <c r="C13" s="327"/>
      <c r="D13" s="328"/>
      <c r="E13" s="327"/>
      <c r="F13" s="327"/>
      <c r="G13" s="327"/>
      <c r="H13" s="300"/>
    </row>
    <row r="14" spans="1:8" s="229" customFormat="1" x14ac:dyDescent="0.25">
      <c r="A14" s="299"/>
      <c r="B14" s="311"/>
      <c r="C14" s="311"/>
      <c r="D14" s="329"/>
      <c r="E14" s="311"/>
      <c r="F14" s="311"/>
      <c r="G14" s="311"/>
      <c r="H14" s="330"/>
    </row>
    <row r="15" spans="1:8" x14ac:dyDescent="0.25">
      <c r="A15" s="223"/>
      <c r="B15" s="269" t="s">
        <v>283</v>
      </c>
      <c r="C15" s="269" t="s">
        <v>284</v>
      </c>
      <c r="D15" s="269" t="s">
        <v>285</v>
      </c>
      <c r="E15" s="269" t="s">
        <v>286</v>
      </c>
      <c r="F15" s="269" t="s">
        <v>287</v>
      </c>
      <c r="G15" s="269" t="s">
        <v>288</v>
      </c>
      <c r="H15" s="269" t="s">
        <v>289</v>
      </c>
    </row>
    <row r="16" spans="1:8" x14ac:dyDescent="0.25">
      <c r="A16" s="260"/>
      <c r="B16" s="198"/>
      <c r="C16" s="198"/>
      <c r="D16" s="198"/>
      <c r="E16" s="198"/>
      <c r="F16" s="198"/>
      <c r="G16" s="198"/>
      <c r="H16" s="198"/>
    </row>
    <row r="17" spans="1:8" x14ac:dyDescent="0.25">
      <c r="A17" s="277" t="s">
        <v>137</v>
      </c>
      <c r="B17" s="181">
        <f>+'ca marge in'!B8</f>
        <v>0</v>
      </c>
      <c r="C17" s="181">
        <f>+'ca marge in'!C8</f>
        <v>0</v>
      </c>
      <c r="D17" s="181">
        <f>+'ca marge in'!D8</f>
        <v>0</v>
      </c>
      <c r="E17" s="181">
        <f>+'ca marge in'!E8</f>
        <v>0</v>
      </c>
      <c r="F17" s="181">
        <f>+'ca marge in'!F8</f>
        <v>0</v>
      </c>
      <c r="G17" s="181">
        <f>+'ca marge in'!G8</f>
        <v>0</v>
      </c>
      <c r="H17" s="181">
        <f>+'ca marge in'!H8</f>
        <v>0</v>
      </c>
    </row>
    <row r="18" spans="1:8" s="229" customFormat="1" x14ac:dyDescent="0.25">
      <c r="A18" s="299"/>
      <c r="B18" s="311"/>
      <c r="C18" s="311"/>
      <c r="D18" s="329"/>
      <c r="E18" s="311"/>
      <c r="F18" s="311"/>
      <c r="G18" s="311"/>
      <c r="H18" s="330"/>
    </row>
    <row r="19" spans="1:8" s="229" customFormat="1" x14ac:dyDescent="0.25">
      <c r="A19" s="299"/>
      <c r="B19" s="311"/>
      <c r="C19" s="311"/>
      <c r="D19" s="311"/>
      <c r="E19" s="311"/>
      <c r="F19" s="311"/>
      <c r="G19" s="311"/>
      <c r="H19" s="311"/>
    </row>
    <row r="20" spans="1:8" x14ac:dyDescent="0.25">
      <c r="A20" s="294" t="s">
        <v>476</v>
      </c>
      <c r="B20" s="310">
        <f>+'A SAISIR'!F64</f>
        <v>0</v>
      </c>
      <c r="C20" s="310">
        <f>+'A SAISIR'!G64</f>
        <v>0</v>
      </c>
      <c r="D20" s="310">
        <f>+'A SAISIR'!H64</f>
        <v>0</v>
      </c>
      <c r="E20" s="310">
        <f>+'A SAISIR'!I64</f>
        <v>0</v>
      </c>
      <c r="F20" s="310">
        <f>+'A SAISIR'!J64</f>
        <v>0</v>
      </c>
      <c r="G20" s="310">
        <f>+'A SAISIR'!K64</f>
        <v>0</v>
      </c>
      <c r="H20" s="310">
        <f>+'A SAISIR'!L64</f>
        <v>0</v>
      </c>
    </row>
    <row r="21" spans="1:8" x14ac:dyDescent="0.25">
      <c r="A21" s="294" t="s">
        <v>477</v>
      </c>
      <c r="B21" s="310">
        <f>+'A SAISIR'!F65</f>
        <v>0</v>
      </c>
      <c r="C21" s="310">
        <f>+'A SAISIR'!G65</f>
        <v>0</v>
      </c>
      <c r="D21" s="310">
        <f>+'A SAISIR'!H65</f>
        <v>0</v>
      </c>
      <c r="E21" s="310">
        <f>+'A SAISIR'!I65</f>
        <v>0</v>
      </c>
      <c r="F21" s="310">
        <f>+'A SAISIR'!J65</f>
        <v>0</v>
      </c>
      <c r="G21" s="310">
        <f>+'A SAISIR'!K65</f>
        <v>0</v>
      </c>
      <c r="H21" s="310">
        <f>+'A SAISIR'!L65</f>
        <v>0</v>
      </c>
    </row>
    <row r="22" spans="1:8" x14ac:dyDescent="0.25">
      <c r="A22" s="294" t="s">
        <v>478</v>
      </c>
      <c r="B22" s="310">
        <f>+'A SAISIR'!F66</f>
        <v>0</v>
      </c>
      <c r="C22" s="310">
        <f>+'A SAISIR'!G66</f>
        <v>0</v>
      </c>
      <c r="D22" s="310">
        <f>+'A SAISIR'!H66</f>
        <v>0</v>
      </c>
      <c r="E22" s="310">
        <f>+'A SAISIR'!I66</f>
        <v>0</v>
      </c>
      <c r="F22" s="310">
        <f>+'A SAISIR'!J66</f>
        <v>0</v>
      </c>
      <c r="G22" s="310">
        <f>+'A SAISIR'!K66</f>
        <v>0</v>
      </c>
      <c r="H22" s="310">
        <f>+'A SAISIR'!L66</f>
        <v>0</v>
      </c>
    </row>
    <row r="23" spans="1:8" x14ac:dyDescent="0.25">
      <c r="A23" s="294" t="s">
        <v>485</v>
      </c>
      <c r="B23" s="310">
        <f>SUM(B20:B22)</f>
        <v>0</v>
      </c>
      <c r="C23" s="310">
        <f t="shared" ref="C23:H23" si="1">SUM(C20:C22)</f>
        <v>0</v>
      </c>
      <c r="D23" s="310">
        <f t="shared" si="1"/>
        <v>0</v>
      </c>
      <c r="E23" s="310">
        <f t="shared" si="1"/>
        <v>0</v>
      </c>
      <c r="F23" s="310">
        <f t="shared" si="1"/>
        <v>0</v>
      </c>
      <c r="G23" s="310">
        <f t="shared" si="1"/>
        <v>0</v>
      </c>
      <c r="H23" s="310">
        <f t="shared" si="1"/>
        <v>0</v>
      </c>
    </row>
    <row r="24" spans="1:8" x14ac:dyDescent="0.25">
      <c r="A24" s="294" t="s">
        <v>486</v>
      </c>
      <c r="B24" s="310">
        <f>+B23*12</f>
        <v>0</v>
      </c>
      <c r="C24" s="310">
        <f t="shared" ref="C24:H24" si="2">+C23*12</f>
        <v>0</v>
      </c>
      <c r="D24" s="310">
        <f t="shared" si="2"/>
        <v>0</v>
      </c>
      <c r="E24" s="310">
        <f t="shared" si="2"/>
        <v>0</v>
      </c>
      <c r="F24" s="310">
        <f t="shared" si="2"/>
        <v>0</v>
      </c>
      <c r="G24" s="310">
        <f t="shared" si="2"/>
        <v>0</v>
      </c>
      <c r="H24" s="310">
        <f t="shared" si="2"/>
        <v>0</v>
      </c>
    </row>
    <row r="25" spans="1:8" x14ac:dyDescent="0.25">
      <c r="A25" s="294"/>
      <c r="B25" s="310"/>
      <c r="C25" s="310"/>
      <c r="D25" s="310"/>
      <c r="E25" s="310"/>
      <c r="F25" s="310"/>
      <c r="G25" s="310"/>
      <c r="H25" s="310"/>
    </row>
    <row r="26" spans="1:8" x14ac:dyDescent="0.25">
      <c r="A26" s="294" t="s">
        <v>482</v>
      </c>
      <c r="B26" s="313">
        <f>+'A SAISIR'!F67</f>
        <v>0</v>
      </c>
      <c r="C26" s="313">
        <f>+'A SAISIR'!G67</f>
        <v>0</v>
      </c>
      <c r="D26" s="313">
        <f>+'A SAISIR'!H67</f>
        <v>0</v>
      </c>
      <c r="E26" s="313">
        <f>+'A SAISIR'!I67</f>
        <v>0</v>
      </c>
      <c r="F26" s="313">
        <f>+'A SAISIR'!J67</f>
        <v>0</v>
      </c>
      <c r="G26" s="313">
        <f>+'A SAISIR'!K67</f>
        <v>0</v>
      </c>
      <c r="H26" s="313">
        <f>+'A SAISIR'!L67</f>
        <v>0</v>
      </c>
    </row>
    <row r="27" spans="1:8" x14ac:dyDescent="0.25">
      <c r="A27" s="294" t="s">
        <v>483</v>
      </c>
      <c r="B27" s="313">
        <f>+'A SAISIR'!F68</f>
        <v>0</v>
      </c>
      <c r="C27" s="313">
        <f>+'A SAISIR'!G68</f>
        <v>0</v>
      </c>
      <c r="D27" s="313">
        <f>+'A SAISIR'!H68</f>
        <v>0</v>
      </c>
      <c r="E27" s="313">
        <f>+'A SAISIR'!I68</f>
        <v>0</v>
      </c>
      <c r="F27" s="313">
        <f>+'A SAISIR'!J68</f>
        <v>0</v>
      </c>
      <c r="G27" s="313">
        <f>+'A SAISIR'!K68</f>
        <v>0</v>
      </c>
      <c r="H27" s="313">
        <f>+'A SAISIR'!L68</f>
        <v>0</v>
      </c>
    </row>
    <row r="28" spans="1:8" x14ac:dyDescent="0.25">
      <c r="A28" s="294" t="s">
        <v>484</v>
      </c>
      <c r="B28" s="313">
        <f>+'A SAISIR'!F69</f>
        <v>0</v>
      </c>
      <c r="C28" s="313">
        <f>+'A SAISIR'!G69</f>
        <v>0</v>
      </c>
      <c r="D28" s="313">
        <f>+'A SAISIR'!H69</f>
        <v>0</v>
      </c>
      <c r="E28" s="313">
        <f>+'A SAISIR'!I69</f>
        <v>0</v>
      </c>
      <c r="F28" s="313">
        <f>+'A SAISIR'!J69</f>
        <v>0</v>
      </c>
      <c r="G28" s="313">
        <f>+'A SAISIR'!K69</f>
        <v>0</v>
      </c>
      <c r="H28" s="313">
        <f>+'A SAISIR'!L69</f>
        <v>0</v>
      </c>
    </row>
    <row r="29" spans="1:8" x14ac:dyDescent="0.25">
      <c r="A29" s="294" t="s">
        <v>487</v>
      </c>
      <c r="B29" s="313">
        <f>+B26+B27+B28</f>
        <v>0</v>
      </c>
      <c r="C29" s="313">
        <f t="shared" ref="C29:H29" si="3">+C26+C27+C28</f>
        <v>0</v>
      </c>
      <c r="D29" s="313">
        <f t="shared" si="3"/>
        <v>0</v>
      </c>
      <c r="E29" s="313">
        <f t="shared" si="3"/>
        <v>0</v>
      </c>
      <c r="F29" s="313">
        <f t="shared" si="3"/>
        <v>0</v>
      </c>
      <c r="G29" s="313">
        <f t="shared" si="3"/>
        <v>0</v>
      </c>
      <c r="H29" s="313">
        <f t="shared" si="3"/>
        <v>0</v>
      </c>
    </row>
    <row r="30" spans="1:8" x14ac:dyDescent="0.25">
      <c r="A30" s="294" t="s">
        <v>486</v>
      </c>
      <c r="B30" s="313">
        <f>+B29*12</f>
        <v>0</v>
      </c>
      <c r="C30" s="313">
        <f t="shared" ref="C30:H30" si="4">+C29*12</f>
        <v>0</v>
      </c>
      <c r="D30" s="313">
        <f t="shared" si="4"/>
        <v>0</v>
      </c>
      <c r="E30" s="313">
        <f t="shared" si="4"/>
        <v>0</v>
      </c>
      <c r="F30" s="313">
        <f t="shared" si="4"/>
        <v>0</v>
      </c>
      <c r="G30" s="313">
        <f t="shared" si="4"/>
        <v>0</v>
      </c>
      <c r="H30" s="313">
        <f t="shared" si="4"/>
        <v>0</v>
      </c>
    </row>
    <row r="31" spans="1:8" x14ac:dyDescent="0.25">
      <c r="A31" s="294" t="s">
        <v>495</v>
      </c>
      <c r="B31" s="312" t="e">
        <f>+B30/B24</f>
        <v>#DIV/0!</v>
      </c>
      <c r="C31" s="312" t="e">
        <f t="shared" ref="C31:H31" si="5">+C30/C24</f>
        <v>#DIV/0!</v>
      </c>
      <c r="D31" s="312" t="e">
        <f t="shared" si="5"/>
        <v>#DIV/0!</v>
      </c>
      <c r="E31" s="312" t="e">
        <f t="shared" si="5"/>
        <v>#DIV/0!</v>
      </c>
      <c r="F31" s="312" t="e">
        <f t="shared" si="5"/>
        <v>#DIV/0!</v>
      </c>
      <c r="G31" s="312" t="e">
        <f t="shared" si="5"/>
        <v>#DIV/0!</v>
      </c>
      <c r="H31" s="312" t="e">
        <f t="shared" si="5"/>
        <v>#DIV/0!</v>
      </c>
    </row>
    <row r="32" spans="1:8" x14ac:dyDescent="0.25">
      <c r="A32" s="294"/>
      <c r="B32" s="313"/>
      <c r="C32" s="313"/>
      <c r="D32" s="313"/>
      <c r="E32" s="313"/>
      <c r="F32" s="313"/>
      <c r="G32" s="313"/>
      <c r="H32" s="313"/>
    </row>
    <row r="33" spans="1:8" x14ac:dyDescent="0.25">
      <c r="A33" s="294" t="s">
        <v>479</v>
      </c>
      <c r="B33" s="314">
        <f>+'A SAISIR'!J61</f>
        <v>151.66999999999999</v>
      </c>
      <c r="C33" s="314">
        <f>+B33</f>
        <v>151.66999999999999</v>
      </c>
      <c r="D33" s="314">
        <f t="shared" ref="D33:H33" si="6">+C33</f>
        <v>151.66999999999999</v>
      </c>
      <c r="E33" s="314">
        <f t="shared" si="6"/>
        <v>151.66999999999999</v>
      </c>
      <c r="F33" s="314">
        <f t="shared" si="6"/>
        <v>151.66999999999999</v>
      </c>
      <c r="G33" s="314">
        <f t="shared" si="6"/>
        <v>151.66999999999999</v>
      </c>
      <c r="H33" s="314">
        <f t="shared" si="6"/>
        <v>151.66999999999999</v>
      </c>
    </row>
    <row r="34" spans="1:8" x14ac:dyDescent="0.25">
      <c r="A34" s="294" t="s">
        <v>480</v>
      </c>
      <c r="B34" s="314">
        <f>+'A SAISIR'!J62</f>
        <v>86.668571428571411</v>
      </c>
      <c r="C34" s="314">
        <f t="shared" ref="C34:H35" si="7">+B34</f>
        <v>86.668571428571411</v>
      </c>
      <c r="D34" s="314">
        <f t="shared" si="7"/>
        <v>86.668571428571411</v>
      </c>
      <c r="E34" s="314">
        <f t="shared" si="7"/>
        <v>86.668571428571411</v>
      </c>
      <c r="F34" s="314">
        <f t="shared" si="7"/>
        <v>86.668571428571411</v>
      </c>
      <c r="G34" s="314">
        <f t="shared" si="7"/>
        <v>86.668571428571411</v>
      </c>
      <c r="H34" s="314">
        <f t="shared" si="7"/>
        <v>86.668571428571411</v>
      </c>
    </row>
    <row r="35" spans="1:8" x14ac:dyDescent="0.25">
      <c r="A35" s="294" t="s">
        <v>481</v>
      </c>
      <c r="B35" s="314">
        <f>+'A SAISIR'!J63</f>
        <v>65.001428571428562</v>
      </c>
      <c r="C35" s="314">
        <f t="shared" si="7"/>
        <v>65.001428571428562</v>
      </c>
      <c r="D35" s="314">
        <f t="shared" si="7"/>
        <v>65.001428571428562</v>
      </c>
      <c r="E35" s="314">
        <f t="shared" si="7"/>
        <v>65.001428571428562</v>
      </c>
      <c r="F35" s="314">
        <f t="shared" si="7"/>
        <v>65.001428571428562</v>
      </c>
      <c r="G35" s="314">
        <f t="shared" si="7"/>
        <v>65.001428571428562</v>
      </c>
      <c r="H35" s="314">
        <f t="shared" si="7"/>
        <v>65.001428571428562</v>
      </c>
    </row>
    <row r="36" spans="1:8" x14ac:dyDescent="0.25">
      <c r="A36" s="294" t="s">
        <v>488</v>
      </c>
      <c r="B36" s="314">
        <f>+B33+B34+B35</f>
        <v>303.33999999999997</v>
      </c>
      <c r="C36" s="314">
        <f t="shared" ref="C36:H36" si="8">+C33+C34+C35</f>
        <v>303.33999999999997</v>
      </c>
      <c r="D36" s="314">
        <f t="shared" si="8"/>
        <v>303.33999999999997</v>
      </c>
      <c r="E36" s="314">
        <f t="shared" si="8"/>
        <v>303.33999999999997</v>
      </c>
      <c r="F36" s="314">
        <f t="shared" si="8"/>
        <v>303.33999999999997</v>
      </c>
      <c r="G36" s="314">
        <f t="shared" si="8"/>
        <v>303.33999999999997</v>
      </c>
      <c r="H36" s="314">
        <f t="shared" si="8"/>
        <v>303.33999999999997</v>
      </c>
    </row>
    <row r="37" spans="1:8" x14ac:dyDescent="0.25">
      <c r="A37" s="294" t="s">
        <v>489</v>
      </c>
      <c r="B37" s="198">
        <f>+B36*12</f>
        <v>3640.08</v>
      </c>
      <c r="C37" s="198">
        <f t="shared" ref="C37:H37" si="9">+C36*12</f>
        <v>3640.08</v>
      </c>
      <c r="D37" s="198">
        <f t="shared" si="9"/>
        <v>3640.08</v>
      </c>
      <c r="E37" s="198">
        <f t="shared" si="9"/>
        <v>3640.08</v>
      </c>
      <c r="F37" s="198">
        <f t="shared" si="9"/>
        <v>3640.08</v>
      </c>
      <c r="G37" s="198">
        <f t="shared" si="9"/>
        <v>3640.08</v>
      </c>
      <c r="H37" s="198">
        <f t="shared" si="9"/>
        <v>3640.08</v>
      </c>
    </row>
    <row r="38" spans="1:8" x14ac:dyDescent="0.25">
      <c r="A38" s="299"/>
      <c r="B38" s="313"/>
      <c r="C38" s="313"/>
      <c r="D38" s="313"/>
      <c r="E38" s="313"/>
      <c r="F38" s="313"/>
      <c r="G38" s="313"/>
      <c r="H38" s="313"/>
    </row>
    <row r="39" spans="1:8" x14ac:dyDescent="0.25">
      <c r="A39" s="294" t="s">
        <v>490</v>
      </c>
      <c r="B39" s="313">
        <f>+(B20+B26)*12</f>
        <v>0</v>
      </c>
      <c r="C39" s="313">
        <f t="shared" ref="C39:H39" si="10">+(C20+C26)*12</f>
        <v>0</v>
      </c>
      <c r="D39" s="313">
        <f t="shared" si="10"/>
        <v>0</v>
      </c>
      <c r="E39" s="313">
        <f t="shared" si="10"/>
        <v>0</v>
      </c>
      <c r="F39" s="313">
        <f t="shared" si="10"/>
        <v>0</v>
      </c>
      <c r="G39" s="313">
        <f t="shared" si="10"/>
        <v>0</v>
      </c>
      <c r="H39" s="313">
        <f t="shared" si="10"/>
        <v>0</v>
      </c>
    </row>
    <row r="40" spans="1:8" x14ac:dyDescent="0.25">
      <c r="A40" s="294" t="s">
        <v>491</v>
      </c>
      <c r="B40" s="313">
        <f t="shared" ref="B40:H41" si="11">+(B21+B27)*12</f>
        <v>0</v>
      </c>
      <c r="C40" s="313">
        <f t="shared" si="11"/>
        <v>0</v>
      </c>
      <c r="D40" s="313">
        <f t="shared" si="11"/>
        <v>0</v>
      </c>
      <c r="E40" s="313">
        <f t="shared" si="11"/>
        <v>0</v>
      </c>
      <c r="F40" s="313">
        <f t="shared" si="11"/>
        <v>0</v>
      </c>
      <c r="G40" s="313">
        <f t="shared" si="11"/>
        <v>0</v>
      </c>
      <c r="H40" s="313">
        <f t="shared" si="11"/>
        <v>0</v>
      </c>
    </row>
    <row r="41" spans="1:8" x14ac:dyDescent="0.25">
      <c r="A41" s="294" t="s">
        <v>492</v>
      </c>
      <c r="B41" s="313">
        <f t="shared" si="11"/>
        <v>0</v>
      </c>
      <c r="C41" s="313">
        <f t="shared" si="11"/>
        <v>0</v>
      </c>
      <c r="D41" s="313">
        <f t="shared" si="11"/>
        <v>0</v>
      </c>
      <c r="E41" s="313">
        <f t="shared" si="11"/>
        <v>0</v>
      </c>
      <c r="F41" s="313">
        <f t="shared" si="11"/>
        <v>0</v>
      </c>
      <c r="G41" s="313">
        <f t="shared" si="11"/>
        <v>0</v>
      </c>
      <c r="H41" s="313">
        <f t="shared" si="11"/>
        <v>0</v>
      </c>
    </row>
    <row r="42" spans="1:8" x14ac:dyDescent="0.25">
      <c r="A42" s="294"/>
      <c r="B42" s="313"/>
      <c r="C42" s="313"/>
      <c r="D42" s="313"/>
      <c r="E42" s="313"/>
      <c r="F42" s="313"/>
      <c r="G42" s="313"/>
      <c r="H42" s="313"/>
    </row>
    <row r="43" spans="1:8" x14ac:dyDescent="0.25">
      <c r="A43" s="297" t="s">
        <v>489</v>
      </c>
      <c r="B43" s="298">
        <f>+B39+B40+B41</f>
        <v>0</v>
      </c>
      <c r="C43" s="298">
        <f t="shared" ref="C43:H43" si="12">+C39+C40+C41</f>
        <v>0</v>
      </c>
      <c r="D43" s="298">
        <f t="shared" si="12"/>
        <v>0</v>
      </c>
      <c r="E43" s="298">
        <f t="shared" si="12"/>
        <v>0</v>
      </c>
      <c r="F43" s="298">
        <f t="shared" si="12"/>
        <v>0</v>
      </c>
      <c r="G43" s="298">
        <f t="shared" si="12"/>
        <v>0</v>
      </c>
      <c r="H43" s="298">
        <f t="shared" si="12"/>
        <v>0</v>
      </c>
    </row>
    <row r="44" spans="1:8" x14ac:dyDescent="0.25">
      <c r="A44" s="297" t="s">
        <v>493</v>
      </c>
      <c r="B44" s="309" t="e">
        <f t="shared" ref="B44:H44" si="13">+B43/B17</f>
        <v>#DIV/0!</v>
      </c>
      <c r="C44" s="309" t="e">
        <f t="shared" si="13"/>
        <v>#DIV/0!</v>
      </c>
      <c r="D44" s="309" t="e">
        <f t="shared" si="13"/>
        <v>#DIV/0!</v>
      </c>
      <c r="E44" s="309" t="e">
        <f t="shared" si="13"/>
        <v>#DIV/0!</v>
      </c>
      <c r="F44" s="309" t="e">
        <f t="shared" si="13"/>
        <v>#DIV/0!</v>
      </c>
      <c r="G44" s="309" t="e">
        <f t="shared" si="13"/>
        <v>#DIV/0!</v>
      </c>
      <c r="H44" s="309" t="e">
        <f t="shared" si="13"/>
        <v>#DIV/0!</v>
      </c>
    </row>
    <row r="45" spans="1:8" x14ac:dyDescent="0.25">
      <c r="A45" s="297" t="s">
        <v>494</v>
      </c>
      <c r="B45" s="315">
        <f>+B43/B37</f>
        <v>0</v>
      </c>
      <c r="C45" s="315">
        <f t="shared" ref="C45:H45" si="14">+C43/C37</f>
        <v>0</v>
      </c>
      <c r="D45" s="315">
        <f t="shared" si="14"/>
        <v>0</v>
      </c>
      <c r="E45" s="315">
        <f t="shared" si="14"/>
        <v>0</v>
      </c>
      <c r="F45" s="315">
        <f t="shared" si="14"/>
        <v>0</v>
      </c>
      <c r="G45" s="315">
        <f t="shared" si="14"/>
        <v>0</v>
      </c>
      <c r="H45" s="315">
        <f t="shared" si="14"/>
        <v>0</v>
      </c>
    </row>
    <row r="46" spans="1:8" x14ac:dyDescent="0.25">
      <c r="A46" s="249"/>
      <c r="B46" s="283"/>
      <c r="C46" s="283"/>
      <c r="D46" s="283"/>
      <c r="E46" s="283"/>
      <c r="F46" s="283"/>
      <c r="G46" s="283"/>
      <c r="H46" s="283"/>
    </row>
    <row r="47" spans="1:8" x14ac:dyDescent="0.25">
      <c r="A47" s="249"/>
      <c r="B47" s="283"/>
      <c r="C47" s="283"/>
      <c r="D47" s="283"/>
      <c r="E47" s="283"/>
      <c r="F47" s="283"/>
      <c r="G47" s="283"/>
      <c r="H47" s="283"/>
    </row>
    <row r="62" hidden="1" x14ac:dyDescent="0.25"/>
    <row r="63" hidden="1" x14ac:dyDescent="0.25"/>
    <row r="64" hidden="1" x14ac:dyDescent="0.25"/>
    <row r="65" spans="2:8" hidden="1" x14ac:dyDescent="0.25"/>
    <row r="66" spans="2:8" hidden="1" x14ac:dyDescent="0.25"/>
    <row r="67" spans="2:8" hidden="1" x14ac:dyDescent="0.25"/>
    <row r="68" spans="2:8" hidden="1" x14ac:dyDescent="0.25"/>
    <row r="69" spans="2:8" hidden="1" x14ac:dyDescent="0.25"/>
    <row r="70" spans="2:8" hidden="1" x14ac:dyDescent="0.25"/>
    <row r="71" spans="2:8" hidden="1" x14ac:dyDescent="0.25"/>
    <row r="72" spans="2:8" hidden="1" x14ac:dyDescent="0.25"/>
    <row r="73" spans="2:8" hidden="1" x14ac:dyDescent="0.25"/>
    <row r="74" spans="2:8" hidden="1" x14ac:dyDescent="0.25"/>
    <row r="75" spans="2:8" x14ac:dyDescent="0.25">
      <c r="B75" s="239"/>
      <c r="C75" s="239"/>
      <c r="D75" s="239"/>
      <c r="E75" s="239"/>
      <c r="F75" s="239"/>
      <c r="G75" s="239"/>
      <c r="H75" s="239"/>
    </row>
    <row r="76" spans="2:8" x14ac:dyDescent="0.25">
      <c r="B76" s="267"/>
      <c r="C76" s="267"/>
      <c r="D76" s="267"/>
      <c r="E76" s="267"/>
      <c r="F76" s="267"/>
      <c r="G76" s="267"/>
      <c r="H76" s="267"/>
    </row>
    <row r="77" spans="2:8" x14ac:dyDescent="0.25">
      <c r="B77" s="267"/>
      <c r="C77" s="267"/>
      <c r="D77" s="267"/>
      <c r="E77" s="267"/>
      <c r="F77" s="267"/>
      <c r="G77" s="267"/>
      <c r="H77" s="267"/>
    </row>
    <row r="78" spans="2:8" x14ac:dyDescent="0.25">
      <c r="B78" s="267"/>
      <c r="C78" s="267"/>
      <c r="D78" s="267"/>
      <c r="E78" s="267"/>
      <c r="F78" s="267"/>
      <c r="G78" s="267"/>
      <c r="H78" s="267"/>
    </row>
    <row r="79" spans="2:8" x14ac:dyDescent="0.25">
      <c r="B79" s="267"/>
      <c r="C79" s="267"/>
      <c r="D79" s="267"/>
      <c r="E79" s="267"/>
      <c r="F79" s="267"/>
      <c r="G79" s="267"/>
      <c r="H79" s="267"/>
    </row>
    <row r="80" spans="2:8" x14ac:dyDescent="0.25">
      <c r="B80" s="267"/>
      <c r="C80" s="267"/>
      <c r="D80" s="267"/>
      <c r="E80" s="267"/>
      <c r="F80" s="267"/>
      <c r="G80" s="267"/>
      <c r="H80" s="267"/>
    </row>
    <row r="81" spans="2:8" x14ac:dyDescent="0.25">
      <c r="B81" s="267"/>
      <c r="C81" s="267"/>
      <c r="D81" s="267"/>
      <c r="E81" s="267"/>
      <c r="F81" s="267"/>
      <c r="G81" s="267"/>
      <c r="H81" s="267"/>
    </row>
    <row r="82" spans="2:8" x14ac:dyDescent="0.25">
      <c r="B82" s="267"/>
      <c r="C82" s="267"/>
      <c r="D82" s="267"/>
      <c r="E82" s="267"/>
      <c r="F82" s="267"/>
      <c r="G82" s="267"/>
      <c r="H82" s="267"/>
    </row>
    <row r="83" spans="2:8" x14ac:dyDescent="0.25">
      <c r="B83" s="267"/>
      <c r="C83" s="267"/>
      <c r="D83" s="267"/>
      <c r="E83" s="267"/>
      <c r="F83" s="267"/>
      <c r="G83" s="267"/>
      <c r="H83" s="267"/>
    </row>
    <row r="84" spans="2:8" x14ac:dyDescent="0.25">
      <c r="B84" s="267"/>
      <c r="C84" s="267"/>
      <c r="D84" s="267"/>
      <c r="E84" s="267"/>
      <c r="F84" s="267"/>
      <c r="G84" s="267"/>
      <c r="H84" s="267"/>
    </row>
    <row r="85" spans="2:8" x14ac:dyDescent="0.25">
      <c r="B85" s="267"/>
      <c r="C85" s="267"/>
      <c r="D85" s="267"/>
      <c r="E85" s="267"/>
      <c r="F85" s="267"/>
      <c r="G85" s="267"/>
      <c r="H85" s="267"/>
    </row>
    <row r="86" spans="2:8" x14ac:dyDescent="0.25">
      <c r="B86" s="267"/>
      <c r="C86" s="267"/>
      <c r="D86" s="267"/>
      <c r="E86" s="267"/>
      <c r="F86" s="267"/>
      <c r="G86" s="267"/>
      <c r="H86" s="267"/>
    </row>
    <row r="87" spans="2:8" x14ac:dyDescent="0.25">
      <c r="B87" s="267"/>
      <c r="C87" s="267"/>
      <c r="D87" s="267"/>
      <c r="E87" s="267"/>
      <c r="F87" s="267"/>
      <c r="G87" s="267"/>
      <c r="H87" s="267"/>
    </row>
  </sheetData>
  <pageMargins left="0.47244094488188981" right="0.19685039370078741" top="0.59055118110236227" bottom="0.31496062992125984" header="0.23622047244094491" footer="0.19685039370078741"/>
  <pageSetup paperSize="9" scale="87" orientation="portrait" r:id="rId1"/>
  <headerFooter>
    <oddHeader>&amp;L&amp;D
&amp;T&amp;R&amp;P/&amp;N</oddHeader>
    <oddFooter>&amp;L&amp;7Document non contractuel
Charges personnelles de l'exploitant non inclus
Les chiffres et les informations ci-dessus sont données à titre indicatifs et restent à être validés par un Expert Comptable
&amp;R&amp;P/&amp;N
&amp;D--&amp;T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  <pageSetUpPr fitToPage="1"/>
  </sheetPr>
  <dimension ref="A1:H71"/>
  <sheetViews>
    <sheetView topLeftCell="A3" workbookViewId="0">
      <selection activeCell="E17" sqref="E17"/>
    </sheetView>
  </sheetViews>
  <sheetFormatPr baseColWidth="10" defaultRowHeight="13.2" x14ac:dyDescent="0.25"/>
  <cols>
    <col min="1" max="1" width="21.109375" customWidth="1"/>
    <col min="2" max="8" width="13" bestFit="1" customWidth="1"/>
    <col min="9" max="9" width="11.88671875" customWidth="1"/>
  </cols>
  <sheetData>
    <row r="1" spans="1:8" x14ac:dyDescent="0.25">
      <c r="A1" s="146" t="s">
        <v>461</v>
      </c>
    </row>
    <row r="3" spans="1:8" x14ac:dyDescent="0.25">
      <c r="A3" s="270" t="s">
        <v>412</v>
      </c>
      <c r="B3" s="182" t="s">
        <v>569</v>
      </c>
    </row>
    <row r="4" spans="1:8" x14ac:dyDescent="0.25">
      <c r="B4" t="s">
        <v>570</v>
      </c>
    </row>
    <row r="5" spans="1:8" x14ac:dyDescent="0.25">
      <c r="B5" s="249"/>
    </row>
    <row r="6" spans="1:8" x14ac:dyDescent="0.25">
      <c r="A6" s="223"/>
      <c r="B6" s="269" t="s">
        <v>283</v>
      </c>
      <c r="C6" s="269" t="s">
        <v>284</v>
      </c>
      <c r="D6" s="269" t="s">
        <v>285</v>
      </c>
      <c r="E6" s="269" t="s">
        <v>286</v>
      </c>
      <c r="F6" s="269" t="s">
        <v>287</v>
      </c>
      <c r="G6" s="269" t="s">
        <v>288</v>
      </c>
      <c r="H6" s="269" t="s">
        <v>289</v>
      </c>
    </row>
    <row r="7" spans="1:8" x14ac:dyDescent="0.25">
      <c r="A7" s="260"/>
      <c r="B7" s="198"/>
      <c r="C7" s="198"/>
      <c r="D7" s="198"/>
      <c r="E7" s="198"/>
      <c r="F7" s="198"/>
      <c r="G7" s="198"/>
      <c r="H7" s="198"/>
    </row>
    <row r="8" spans="1:8" x14ac:dyDescent="0.25">
      <c r="A8" s="277" t="s">
        <v>137</v>
      </c>
      <c r="B8" s="181">
        <f>+'ca marge in'!B8</f>
        <v>0</v>
      </c>
      <c r="C8" s="181">
        <f>+'ca marge in'!C8</f>
        <v>0</v>
      </c>
      <c r="D8" s="181">
        <f>+'ca marge in'!D8</f>
        <v>0</v>
      </c>
      <c r="E8" s="181">
        <f>+'ca marge in'!E8</f>
        <v>0</v>
      </c>
      <c r="F8" s="181">
        <f>+'ca marge in'!F8</f>
        <v>0</v>
      </c>
      <c r="G8" s="181">
        <f>+'ca marge in'!G8</f>
        <v>0</v>
      </c>
      <c r="H8" s="181">
        <f>+'ca marge in'!H8</f>
        <v>0</v>
      </c>
    </row>
    <row r="9" spans="1:8" x14ac:dyDescent="0.25">
      <c r="A9" s="260" t="s">
        <v>197</v>
      </c>
      <c r="B9" s="198">
        <f>+'A SAISIR'!F54</f>
        <v>0</v>
      </c>
      <c r="C9" s="198">
        <f>+'A SAISIR'!G54</f>
        <v>0</v>
      </c>
      <c r="D9" s="198">
        <f>+'A SAISIR'!H54</f>
        <v>0</v>
      </c>
      <c r="E9" s="198">
        <f>+'A SAISIR'!I54</f>
        <v>0</v>
      </c>
      <c r="F9" s="198">
        <f>+'A SAISIR'!J54</f>
        <v>0</v>
      </c>
      <c r="G9" s="198">
        <f>+'A SAISIR'!K54</f>
        <v>0</v>
      </c>
      <c r="H9" s="198">
        <f>+'A SAISIR'!L54</f>
        <v>0</v>
      </c>
    </row>
    <row r="10" spans="1:8" x14ac:dyDescent="0.25">
      <c r="A10" s="260" t="s">
        <v>462</v>
      </c>
      <c r="B10" s="281">
        <f>+'A SAISIR'!F49</f>
        <v>0</v>
      </c>
      <c r="C10" s="281">
        <f>+'A SAISIR'!G49</f>
        <v>0</v>
      </c>
      <c r="D10" s="281">
        <f>+'A SAISIR'!H49</f>
        <v>0</v>
      </c>
      <c r="E10" s="281">
        <f>+'A SAISIR'!I49</f>
        <v>0</v>
      </c>
      <c r="F10" s="281">
        <f>+'A SAISIR'!J49</f>
        <v>0</v>
      </c>
      <c r="G10" s="281">
        <f>+'A SAISIR'!K49</f>
        <v>0</v>
      </c>
      <c r="H10" s="281">
        <f>+'A SAISIR'!L49</f>
        <v>0</v>
      </c>
    </row>
    <row r="11" spans="1:8" x14ac:dyDescent="0.25">
      <c r="A11" s="260" t="s">
        <v>432</v>
      </c>
      <c r="B11" s="303"/>
      <c r="C11" s="272">
        <f>+'A SAISIR'!G48</f>
        <v>0</v>
      </c>
      <c r="D11" s="272">
        <f>+'A SAISIR'!H48</f>
        <v>0</v>
      </c>
      <c r="E11" s="272">
        <f>+'A SAISIR'!I48</f>
        <v>0</v>
      </c>
      <c r="F11" s="272">
        <f>+'A SAISIR'!J48</f>
        <v>0</v>
      </c>
      <c r="G11" s="272">
        <f>+'A SAISIR'!K48</f>
        <v>0</v>
      </c>
      <c r="H11" s="272">
        <f>+'A SAISIR'!L48</f>
        <v>0</v>
      </c>
    </row>
    <row r="12" spans="1:8" x14ac:dyDescent="0.25">
      <c r="A12" s="260" t="s">
        <v>463</v>
      </c>
      <c r="B12" s="273" t="e">
        <f>+B10/B9</f>
        <v>#DIV/0!</v>
      </c>
      <c r="C12" s="273" t="e">
        <f t="shared" ref="C12:H12" si="0">+C10/C9</f>
        <v>#DIV/0!</v>
      </c>
      <c r="D12" s="273" t="e">
        <f t="shared" si="0"/>
        <v>#DIV/0!</v>
      </c>
      <c r="E12" s="273" t="e">
        <f t="shared" si="0"/>
        <v>#DIV/0!</v>
      </c>
      <c r="F12" s="273" t="e">
        <f t="shared" si="0"/>
        <v>#DIV/0!</v>
      </c>
      <c r="G12" s="273" t="e">
        <f t="shared" si="0"/>
        <v>#DIV/0!</v>
      </c>
      <c r="H12" s="273" t="e">
        <f t="shared" si="0"/>
        <v>#DIV/0!</v>
      </c>
    </row>
    <row r="13" spans="1:8" x14ac:dyDescent="0.25">
      <c r="A13" s="280" t="s">
        <v>464</v>
      </c>
      <c r="B13" s="281">
        <f>+B10*12</f>
        <v>0</v>
      </c>
      <c r="C13" s="281">
        <f t="shared" ref="C13:H13" si="1">+C10*12</f>
        <v>0</v>
      </c>
      <c r="D13" s="281">
        <f t="shared" si="1"/>
        <v>0</v>
      </c>
      <c r="E13" s="281">
        <f t="shared" si="1"/>
        <v>0</v>
      </c>
      <c r="F13" s="281">
        <f t="shared" si="1"/>
        <v>0</v>
      </c>
      <c r="G13" s="281">
        <f t="shared" si="1"/>
        <v>0</v>
      </c>
      <c r="H13" s="281">
        <f t="shared" si="1"/>
        <v>0</v>
      </c>
    </row>
    <row r="14" spans="1:8" x14ac:dyDescent="0.25">
      <c r="A14" s="260"/>
      <c r="B14" s="274"/>
      <c r="C14" s="274"/>
      <c r="D14" s="274"/>
      <c r="E14" s="274"/>
      <c r="F14" s="274"/>
      <c r="G14" s="274"/>
      <c r="H14" s="274"/>
    </row>
    <row r="15" spans="1:8" x14ac:dyDescent="0.25">
      <c r="A15" s="260" t="s">
        <v>468</v>
      </c>
      <c r="B15" s="198">
        <f>+('A SAISIR'!F50+'A SAISIR'!F51+'A SAISIR'!F52)/12</f>
        <v>0</v>
      </c>
      <c r="C15" s="198">
        <f>+('A SAISIR'!G50+'A SAISIR'!G51+'A SAISIR'!G52)/12</f>
        <v>0</v>
      </c>
      <c r="D15" s="198">
        <f>+('A SAISIR'!H50+'A SAISIR'!H51+'A SAISIR'!H52)/12</f>
        <v>0</v>
      </c>
      <c r="E15" s="198">
        <f>+('A SAISIR'!I50+'A SAISIR'!I51+'A SAISIR'!I52)/12</f>
        <v>0</v>
      </c>
      <c r="F15" s="198">
        <f>+('A SAISIR'!J50+'A SAISIR'!J51+'A SAISIR'!J52)/12</f>
        <v>0</v>
      </c>
      <c r="G15" s="198">
        <f>+('A SAISIR'!K50+'A SAISIR'!K51+'A SAISIR'!K52)/12</f>
        <v>0</v>
      </c>
      <c r="H15" s="198">
        <f>+('A SAISIR'!L50+'A SAISIR'!L51+'A SAISIR'!L52)/12</f>
        <v>0</v>
      </c>
    </row>
    <row r="16" spans="1:8" x14ac:dyDescent="0.25">
      <c r="A16" s="260" t="s">
        <v>432</v>
      </c>
      <c r="B16" s="303"/>
      <c r="C16" s="272">
        <f t="shared" ref="C16:H16" si="2">+C11</f>
        <v>0</v>
      </c>
      <c r="D16" s="272">
        <f t="shared" si="2"/>
        <v>0</v>
      </c>
      <c r="E16" s="272">
        <f t="shared" si="2"/>
        <v>0</v>
      </c>
      <c r="F16" s="272">
        <f t="shared" si="2"/>
        <v>0</v>
      </c>
      <c r="G16" s="272">
        <f t="shared" si="2"/>
        <v>0</v>
      </c>
      <c r="H16" s="272">
        <f t="shared" si="2"/>
        <v>0</v>
      </c>
    </row>
    <row r="17" spans="1:8" x14ac:dyDescent="0.25">
      <c r="A17" s="280" t="s">
        <v>467</v>
      </c>
      <c r="B17" s="305">
        <f>+B15*12</f>
        <v>0</v>
      </c>
      <c r="C17" s="305">
        <f t="shared" ref="C17:H17" si="3">+C15*12</f>
        <v>0</v>
      </c>
      <c r="D17" s="305">
        <f t="shared" si="3"/>
        <v>0</v>
      </c>
      <c r="E17" s="305">
        <f t="shared" si="3"/>
        <v>0</v>
      </c>
      <c r="F17" s="305">
        <f t="shared" si="3"/>
        <v>0</v>
      </c>
      <c r="G17" s="305">
        <f t="shared" si="3"/>
        <v>0</v>
      </c>
      <c r="H17" s="305">
        <f t="shared" si="3"/>
        <v>0</v>
      </c>
    </row>
    <row r="18" spans="1:8" x14ac:dyDescent="0.25">
      <c r="A18" s="260"/>
      <c r="B18" s="304"/>
      <c r="C18" s="304"/>
      <c r="D18" s="304"/>
      <c r="E18" s="304"/>
      <c r="F18" s="304"/>
      <c r="G18" s="304"/>
      <c r="H18" s="304"/>
    </row>
    <row r="19" spans="1:8" x14ac:dyDescent="0.25">
      <c r="A19" s="260" t="s">
        <v>465</v>
      </c>
      <c r="B19" s="272">
        <f>+'A SAISIR'!F55</f>
        <v>0</v>
      </c>
      <c r="C19" s="272">
        <f>+'A SAISIR'!G55</f>
        <v>0</v>
      </c>
      <c r="D19" s="272">
        <f>+'A SAISIR'!H55</f>
        <v>0</v>
      </c>
      <c r="E19" s="272">
        <f>+'A SAISIR'!I55</f>
        <v>0</v>
      </c>
      <c r="F19" s="272">
        <f>+'A SAISIR'!J55</f>
        <v>0</v>
      </c>
      <c r="G19" s="272">
        <f>+'A SAISIR'!K55</f>
        <v>0</v>
      </c>
      <c r="H19" s="272">
        <f>+'A SAISIR'!L55</f>
        <v>0</v>
      </c>
    </row>
    <row r="20" spans="1:8" x14ac:dyDescent="0.25">
      <c r="A20" s="260" t="s">
        <v>469</v>
      </c>
      <c r="B20" s="304">
        <f>+IF((B8*B19)&lt;B13,0,(B8*B19)-B13)</f>
        <v>0</v>
      </c>
      <c r="C20" s="304">
        <f t="shared" ref="C20:H20" si="4">+IF((C8*C19)&lt;C13,0,(C8*C19)-C13)</f>
        <v>0</v>
      </c>
      <c r="D20" s="304">
        <f t="shared" si="4"/>
        <v>0</v>
      </c>
      <c r="E20" s="304">
        <f t="shared" si="4"/>
        <v>0</v>
      </c>
      <c r="F20" s="304">
        <f t="shared" si="4"/>
        <v>0</v>
      </c>
      <c r="G20" s="304">
        <f t="shared" si="4"/>
        <v>0</v>
      </c>
      <c r="H20" s="304">
        <f t="shared" si="4"/>
        <v>0</v>
      </c>
    </row>
    <row r="21" spans="1:8" x14ac:dyDescent="0.25">
      <c r="A21" s="260"/>
      <c r="B21" s="271"/>
      <c r="C21" s="271"/>
      <c r="D21" s="271"/>
      <c r="E21" s="271"/>
      <c r="F21" s="271"/>
      <c r="G21" s="271"/>
      <c r="H21" s="271"/>
    </row>
    <row r="22" spans="1:8" x14ac:dyDescent="0.25">
      <c r="A22" s="297" t="s">
        <v>181</v>
      </c>
      <c r="B22" s="298">
        <f>+B13+B20</f>
        <v>0</v>
      </c>
      <c r="C22" s="298">
        <f t="shared" ref="C22:H22" si="5">+C13+C20</f>
        <v>0</v>
      </c>
      <c r="D22" s="298">
        <f t="shared" si="5"/>
        <v>0</v>
      </c>
      <c r="E22" s="298">
        <f t="shared" si="5"/>
        <v>0</v>
      </c>
      <c r="F22" s="298">
        <f t="shared" si="5"/>
        <v>0</v>
      </c>
      <c r="G22" s="298">
        <f t="shared" si="5"/>
        <v>0</v>
      </c>
      <c r="H22" s="298">
        <f t="shared" si="5"/>
        <v>0</v>
      </c>
    </row>
    <row r="23" spans="1:8" x14ac:dyDescent="0.25">
      <c r="A23" s="297" t="s">
        <v>470</v>
      </c>
      <c r="B23" s="306">
        <f>+B17</f>
        <v>0</v>
      </c>
      <c r="C23" s="306">
        <f t="shared" ref="C23:H23" si="6">+C17</f>
        <v>0</v>
      </c>
      <c r="D23" s="306">
        <f t="shared" si="6"/>
        <v>0</v>
      </c>
      <c r="E23" s="306">
        <f t="shared" si="6"/>
        <v>0</v>
      </c>
      <c r="F23" s="306">
        <f t="shared" si="6"/>
        <v>0</v>
      </c>
      <c r="G23" s="306">
        <f t="shared" si="6"/>
        <v>0</v>
      </c>
      <c r="H23" s="306">
        <f t="shared" si="6"/>
        <v>0</v>
      </c>
    </row>
    <row r="24" spans="1:8" x14ac:dyDescent="0.25">
      <c r="A24" s="307"/>
      <c r="B24" s="308"/>
      <c r="C24" s="308"/>
      <c r="D24" s="308"/>
      <c r="E24" s="308"/>
      <c r="F24" s="308"/>
      <c r="G24" s="308"/>
      <c r="H24" s="308"/>
    </row>
    <row r="25" spans="1:8" x14ac:dyDescent="0.25">
      <c r="A25" s="297" t="s">
        <v>471</v>
      </c>
      <c r="B25" s="306">
        <f>+B22+B23</f>
        <v>0</v>
      </c>
      <c r="C25" s="306">
        <f t="shared" ref="C25:H25" si="7">+C22+C23</f>
        <v>0</v>
      </c>
      <c r="D25" s="306">
        <f t="shared" si="7"/>
        <v>0</v>
      </c>
      <c r="E25" s="306">
        <f t="shared" si="7"/>
        <v>0</v>
      </c>
      <c r="F25" s="306">
        <f t="shared" si="7"/>
        <v>0</v>
      </c>
      <c r="G25" s="306">
        <f t="shared" si="7"/>
        <v>0</v>
      </c>
      <c r="H25" s="306">
        <f t="shared" si="7"/>
        <v>0</v>
      </c>
    </row>
    <row r="26" spans="1:8" x14ac:dyDescent="0.25">
      <c r="A26" s="297" t="s">
        <v>472</v>
      </c>
      <c r="B26" s="309" t="e">
        <f>+B25/B8</f>
        <v>#DIV/0!</v>
      </c>
      <c r="C26" s="309" t="e">
        <f t="shared" ref="C26:H26" si="8">+C25/C8</f>
        <v>#DIV/0!</v>
      </c>
      <c r="D26" s="309" t="e">
        <f t="shared" si="8"/>
        <v>#DIV/0!</v>
      </c>
      <c r="E26" s="309" t="e">
        <f t="shared" si="8"/>
        <v>#DIV/0!</v>
      </c>
      <c r="F26" s="309" t="e">
        <f t="shared" si="8"/>
        <v>#DIV/0!</v>
      </c>
      <c r="G26" s="309" t="e">
        <f t="shared" si="8"/>
        <v>#DIV/0!</v>
      </c>
      <c r="H26" s="309" t="e">
        <f t="shared" si="8"/>
        <v>#DIV/0!</v>
      </c>
    </row>
    <row r="27" spans="1:8" x14ac:dyDescent="0.25">
      <c r="A27" s="182"/>
      <c r="B27" s="182"/>
      <c r="C27" s="182"/>
      <c r="D27" s="182"/>
      <c r="E27" s="182"/>
      <c r="F27" s="182"/>
      <c r="G27" s="182"/>
      <c r="H27" s="182"/>
    </row>
    <row r="28" spans="1:8" x14ac:dyDescent="0.25">
      <c r="B28" s="283"/>
    </row>
    <row r="30" spans="1:8" x14ac:dyDescent="0.25">
      <c r="A30" s="249"/>
      <c r="B30" s="283"/>
      <c r="C30" s="283"/>
      <c r="D30" s="283"/>
      <c r="E30" s="283"/>
      <c r="F30" s="283"/>
      <c r="G30" s="283"/>
      <c r="H30" s="283"/>
    </row>
    <row r="31" spans="1:8" x14ac:dyDescent="0.25">
      <c r="A31" s="249"/>
      <c r="B31" s="283"/>
      <c r="C31" s="283"/>
      <c r="D31" s="283"/>
      <c r="E31" s="283"/>
      <c r="F31" s="283"/>
      <c r="G31" s="283"/>
      <c r="H31" s="283"/>
    </row>
    <row r="46" hidden="1" x14ac:dyDescent="0.25"/>
    <row r="47" hidden="1" x14ac:dyDescent="0.25"/>
    <row r="48" hidden="1" x14ac:dyDescent="0.25"/>
    <row r="49" spans="2:8" hidden="1" x14ac:dyDescent="0.25"/>
    <row r="50" spans="2:8" hidden="1" x14ac:dyDescent="0.25"/>
    <row r="51" spans="2:8" hidden="1" x14ac:dyDescent="0.25"/>
    <row r="52" spans="2:8" hidden="1" x14ac:dyDescent="0.25"/>
    <row r="53" spans="2:8" hidden="1" x14ac:dyDescent="0.25"/>
    <row r="54" spans="2:8" hidden="1" x14ac:dyDescent="0.25"/>
    <row r="55" spans="2:8" hidden="1" x14ac:dyDescent="0.25"/>
    <row r="56" spans="2:8" hidden="1" x14ac:dyDescent="0.25"/>
    <row r="57" spans="2:8" hidden="1" x14ac:dyDescent="0.25"/>
    <row r="58" spans="2:8" hidden="1" x14ac:dyDescent="0.25"/>
    <row r="59" spans="2:8" x14ac:dyDescent="0.25">
      <c r="B59" s="239"/>
      <c r="C59" s="239"/>
      <c r="D59" s="239"/>
      <c r="E59" s="239"/>
      <c r="F59" s="239"/>
      <c r="G59" s="239"/>
      <c r="H59" s="239"/>
    </row>
    <row r="60" spans="2:8" x14ac:dyDescent="0.25">
      <c r="B60" s="267"/>
      <c r="C60" s="267"/>
      <c r="D60" s="267"/>
      <c r="E60" s="267"/>
      <c r="F60" s="267"/>
      <c r="G60" s="267"/>
      <c r="H60" s="267"/>
    </row>
    <row r="61" spans="2:8" x14ac:dyDescent="0.25">
      <c r="B61" s="267"/>
      <c r="C61" s="267"/>
      <c r="D61" s="267"/>
      <c r="E61" s="267"/>
      <c r="F61" s="267"/>
      <c r="G61" s="267"/>
      <c r="H61" s="267"/>
    </row>
    <row r="62" spans="2:8" x14ac:dyDescent="0.25">
      <c r="B62" s="267"/>
      <c r="C62" s="267"/>
      <c r="D62" s="267"/>
      <c r="E62" s="267"/>
      <c r="F62" s="267"/>
      <c r="G62" s="267"/>
      <c r="H62" s="267"/>
    </row>
    <row r="63" spans="2:8" x14ac:dyDescent="0.25">
      <c r="B63" s="267"/>
      <c r="C63" s="267"/>
      <c r="D63" s="267"/>
      <c r="E63" s="267"/>
      <c r="F63" s="267"/>
      <c r="G63" s="267"/>
      <c r="H63" s="267"/>
    </row>
    <row r="64" spans="2:8" x14ac:dyDescent="0.25">
      <c r="B64" s="267"/>
      <c r="C64" s="267"/>
      <c r="D64" s="267"/>
      <c r="E64" s="267"/>
      <c r="F64" s="267"/>
      <c r="G64" s="267"/>
      <c r="H64" s="267"/>
    </row>
    <row r="65" spans="2:8" x14ac:dyDescent="0.25">
      <c r="B65" s="267"/>
      <c r="C65" s="267"/>
      <c r="D65" s="267"/>
      <c r="E65" s="267"/>
      <c r="F65" s="267"/>
      <c r="G65" s="267"/>
      <c r="H65" s="267"/>
    </row>
    <row r="66" spans="2:8" x14ac:dyDescent="0.25">
      <c r="B66" s="267"/>
      <c r="C66" s="267"/>
      <c r="D66" s="267"/>
      <c r="E66" s="267"/>
      <c r="F66" s="267"/>
      <c r="G66" s="267"/>
      <c r="H66" s="267"/>
    </row>
    <row r="67" spans="2:8" x14ac:dyDescent="0.25">
      <c r="B67" s="267"/>
      <c r="C67" s="267"/>
      <c r="D67" s="267"/>
      <c r="E67" s="267"/>
      <c r="F67" s="267"/>
      <c r="G67" s="267"/>
      <c r="H67" s="267"/>
    </row>
    <row r="68" spans="2:8" x14ac:dyDescent="0.25">
      <c r="B68" s="267"/>
      <c r="C68" s="267"/>
      <c r="D68" s="267"/>
      <c r="E68" s="267"/>
      <c r="F68" s="267"/>
      <c r="G68" s="267"/>
      <c r="H68" s="267"/>
    </row>
    <row r="69" spans="2:8" x14ac:dyDescent="0.25">
      <c r="B69" s="267"/>
      <c r="C69" s="267"/>
      <c r="D69" s="267"/>
      <c r="E69" s="267"/>
      <c r="F69" s="267"/>
      <c r="G69" s="267"/>
      <c r="H69" s="267"/>
    </row>
    <row r="70" spans="2:8" x14ac:dyDescent="0.25">
      <c r="B70" s="267"/>
      <c r="C70" s="267"/>
      <c r="D70" s="267"/>
      <c r="E70" s="267"/>
      <c r="F70" s="267"/>
      <c r="G70" s="267"/>
      <c r="H70" s="267"/>
    </row>
    <row r="71" spans="2:8" x14ac:dyDescent="0.25">
      <c r="B71" s="267"/>
      <c r="C71" s="267"/>
      <c r="D71" s="267"/>
      <c r="E71" s="267"/>
      <c r="F71" s="267"/>
      <c r="G71" s="267"/>
      <c r="H71" s="267"/>
    </row>
  </sheetData>
  <pageMargins left="0.47244094488188981" right="0.19685039370078741" top="0.59055118110236227" bottom="0.31496062992125984" header="0.23622047244094491" footer="0.19685039370078741"/>
  <pageSetup paperSize="9" scale="87" orientation="portrait" r:id="rId1"/>
  <headerFooter>
    <oddHeader>&amp;L&amp;D
&amp;T&amp;R&amp;P/&amp;N</oddHeader>
    <oddFooter>&amp;L&amp;7Document non contractuel
Charges personnelles de l'exploitant non inclus
Les chiffres et les informations ci-dessus sont données à titre indicatifs et restent à être validés par un Expert Comptable
&amp;R&amp;P/&amp;N
&amp;D--&amp;T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  <pageSetUpPr fitToPage="1"/>
  </sheetPr>
  <dimension ref="A1:H81"/>
  <sheetViews>
    <sheetView topLeftCell="A19" workbookViewId="0">
      <selection activeCell="E17" sqref="E17"/>
    </sheetView>
  </sheetViews>
  <sheetFormatPr baseColWidth="10" defaultRowHeight="13.2" x14ac:dyDescent="0.25"/>
  <cols>
    <col min="1" max="1" width="24.6640625" bestFit="1" customWidth="1"/>
    <col min="2" max="8" width="13" bestFit="1" customWidth="1"/>
    <col min="9" max="9" width="11.88671875" customWidth="1"/>
  </cols>
  <sheetData>
    <row r="1" spans="1:8" x14ac:dyDescent="0.25">
      <c r="A1" s="146" t="s">
        <v>50</v>
      </c>
    </row>
    <row r="3" spans="1:8" x14ac:dyDescent="0.25">
      <c r="A3" s="270" t="s">
        <v>412</v>
      </c>
      <c r="B3" s="182">
        <f>+'A SAISIR'!G6</f>
        <v>0</v>
      </c>
    </row>
    <row r="4" spans="1:8" x14ac:dyDescent="0.25">
      <c r="B4">
        <f>+'A SAISIR'!G7</f>
        <v>0</v>
      </c>
    </row>
    <row r="5" spans="1:8" x14ac:dyDescent="0.25">
      <c r="B5" s="249"/>
    </row>
    <row r="6" spans="1:8" x14ac:dyDescent="0.25">
      <c r="A6" s="223"/>
      <c r="B6" s="269" t="s">
        <v>283</v>
      </c>
      <c r="C6" s="269" t="s">
        <v>284</v>
      </c>
      <c r="D6" s="269" t="s">
        <v>285</v>
      </c>
      <c r="E6" s="269" t="s">
        <v>286</v>
      </c>
      <c r="F6" s="269" t="s">
        <v>287</v>
      </c>
      <c r="G6" s="269" t="s">
        <v>288</v>
      </c>
      <c r="H6" s="269" t="s">
        <v>289</v>
      </c>
    </row>
    <row r="7" spans="1:8" x14ac:dyDescent="0.25">
      <c r="A7" s="260"/>
      <c r="B7" s="198"/>
      <c r="C7" s="198"/>
      <c r="D7" s="198"/>
      <c r="E7" s="198"/>
      <c r="F7" s="198"/>
      <c r="G7" s="198"/>
      <c r="H7" s="198"/>
    </row>
    <row r="8" spans="1:8" x14ac:dyDescent="0.25">
      <c r="A8" s="277" t="s">
        <v>137</v>
      </c>
      <c r="B8" s="181">
        <f>+'ca marge in'!B8</f>
        <v>0</v>
      </c>
      <c r="C8" s="181">
        <f>+'ca marge in'!C8</f>
        <v>0</v>
      </c>
      <c r="D8" s="181">
        <f>+'ca marge in'!D8</f>
        <v>0</v>
      </c>
      <c r="E8" s="181">
        <f>+'ca marge in'!E8</f>
        <v>0</v>
      </c>
      <c r="F8" s="181">
        <f>+'ca marge in'!F8</f>
        <v>0</v>
      </c>
      <c r="G8" s="181">
        <f>+'ca marge in'!G8</f>
        <v>0</v>
      </c>
      <c r="H8" s="181">
        <f>+'ca marge in'!H8</f>
        <v>0</v>
      </c>
    </row>
    <row r="9" spans="1:8" x14ac:dyDescent="0.25">
      <c r="A9" s="294"/>
      <c r="B9" s="310"/>
      <c r="C9" s="310"/>
      <c r="D9" s="310"/>
      <c r="E9" s="310"/>
      <c r="F9" s="310"/>
      <c r="G9" s="310"/>
      <c r="H9" s="310"/>
    </row>
    <row r="10" spans="1:8" x14ac:dyDescent="0.25">
      <c r="A10" s="294" t="str">
        <f>+'A SAISIR'!C102</f>
        <v>edf</v>
      </c>
      <c r="B10" s="316">
        <f>+'A SAISIR'!F102</f>
        <v>0</v>
      </c>
      <c r="C10" s="316">
        <f>+'A SAISIR'!G102</f>
        <v>0</v>
      </c>
      <c r="D10" s="316">
        <f>+'A SAISIR'!H102</f>
        <v>0</v>
      </c>
      <c r="E10" s="316">
        <f>+'A SAISIR'!I102</f>
        <v>0</v>
      </c>
      <c r="F10" s="316">
        <f>+'A SAISIR'!J102</f>
        <v>0</v>
      </c>
      <c r="G10" s="316">
        <f>+'A SAISIR'!K102</f>
        <v>0</v>
      </c>
      <c r="H10" s="316">
        <f>+'A SAISIR'!L102</f>
        <v>0</v>
      </c>
    </row>
    <row r="11" spans="1:8" x14ac:dyDescent="0.25">
      <c r="A11" s="294" t="str">
        <f>+'A SAISIR'!C103</f>
        <v>eau</v>
      </c>
      <c r="B11" s="316">
        <f>+'A SAISIR'!F103</f>
        <v>0</v>
      </c>
      <c r="C11" s="316">
        <f>+'A SAISIR'!G103</f>
        <v>0</v>
      </c>
      <c r="D11" s="316">
        <f>+'A SAISIR'!H103</f>
        <v>0</v>
      </c>
      <c r="E11" s="316">
        <f>+'A SAISIR'!I103</f>
        <v>0</v>
      </c>
      <c r="F11" s="316">
        <f>+'A SAISIR'!J103</f>
        <v>0</v>
      </c>
      <c r="G11" s="316">
        <f>+'A SAISIR'!K103</f>
        <v>0</v>
      </c>
      <c r="H11" s="316">
        <f>+'A SAISIR'!L103</f>
        <v>0</v>
      </c>
    </row>
    <row r="12" spans="1:8" x14ac:dyDescent="0.25">
      <c r="A12" s="294" t="str">
        <f>+'A SAISIR'!C104</f>
        <v>gaz</v>
      </c>
      <c r="B12" s="316">
        <f>+'A SAISIR'!F104</f>
        <v>0</v>
      </c>
      <c r="C12" s="316">
        <f>+'A SAISIR'!G104</f>
        <v>0</v>
      </c>
      <c r="D12" s="316">
        <f>+'A SAISIR'!H104</f>
        <v>0</v>
      </c>
      <c r="E12" s="316">
        <f>+'A SAISIR'!I104</f>
        <v>0</v>
      </c>
      <c r="F12" s="316">
        <f>+'A SAISIR'!J104</f>
        <v>0</v>
      </c>
      <c r="G12" s="316">
        <f>+'A SAISIR'!K104</f>
        <v>0</v>
      </c>
      <c r="H12" s="316">
        <f>+'A SAISIR'!L104</f>
        <v>0</v>
      </c>
    </row>
    <row r="13" spans="1:8" x14ac:dyDescent="0.25">
      <c r="A13" s="294" t="str">
        <f>+'A SAISIR'!C105</f>
        <v>fournitures bureau</v>
      </c>
      <c r="B13" s="316">
        <f>+'A SAISIR'!F105</f>
        <v>0</v>
      </c>
      <c r="C13" s="316">
        <f>+'A SAISIR'!G105</f>
        <v>0</v>
      </c>
      <c r="D13" s="316">
        <f>+'A SAISIR'!H105</f>
        <v>0</v>
      </c>
      <c r="E13" s="316">
        <f>+'A SAISIR'!I105</f>
        <v>0</v>
      </c>
      <c r="F13" s="316">
        <f>+'A SAISIR'!J105</f>
        <v>0</v>
      </c>
      <c r="G13" s="316">
        <f>+'A SAISIR'!K105</f>
        <v>0</v>
      </c>
      <c r="H13" s="316">
        <f>+'A SAISIR'!L105</f>
        <v>0</v>
      </c>
    </row>
    <row r="14" spans="1:8" x14ac:dyDescent="0.25">
      <c r="A14" s="294" t="str">
        <f>+'A SAISIR'!C106</f>
        <v>fournitures clients</v>
      </c>
      <c r="B14" s="316" t="e">
        <f>+'A SAISIR'!F106</f>
        <v>#DIV/0!</v>
      </c>
      <c r="C14" s="316" t="e">
        <f>+'A SAISIR'!G106</f>
        <v>#DIV/0!</v>
      </c>
      <c r="D14" s="316" t="e">
        <f>+'A SAISIR'!H106</f>
        <v>#DIV/0!</v>
      </c>
      <c r="E14" s="316" t="e">
        <f>+'A SAISIR'!I106</f>
        <v>#DIV/0!</v>
      </c>
      <c r="F14" s="316" t="e">
        <f>+'A SAISIR'!J106</f>
        <v>#DIV/0!</v>
      </c>
      <c r="G14" s="316" t="e">
        <f>+'A SAISIR'!K106</f>
        <v>#DIV/0!</v>
      </c>
      <c r="H14" s="316" t="e">
        <f>+'A SAISIR'!L106</f>
        <v>#DIV/0!</v>
      </c>
    </row>
    <row r="15" spans="1:8" x14ac:dyDescent="0.25">
      <c r="A15" s="294" t="str">
        <f>+'A SAISIR'!C107</f>
        <v>maintenance porte</v>
      </c>
      <c r="B15" s="316">
        <f>+'A SAISIR'!F107</f>
        <v>0</v>
      </c>
      <c r="C15" s="316">
        <f>+'A SAISIR'!G107</f>
        <v>0</v>
      </c>
      <c r="D15" s="316">
        <f>+'A SAISIR'!H107</f>
        <v>0</v>
      </c>
      <c r="E15" s="316">
        <f>+'A SAISIR'!I107</f>
        <v>0</v>
      </c>
      <c r="F15" s="316">
        <f>+'A SAISIR'!J107</f>
        <v>0</v>
      </c>
      <c r="G15" s="316">
        <f>+'A SAISIR'!K107</f>
        <v>0</v>
      </c>
      <c r="H15" s="316">
        <f>+'A SAISIR'!L107</f>
        <v>0</v>
      </c>
    </row>
    <row r="16" spans="1:8" x14ac:dyDescent="0.25">
      <c r="A16" s="294" t="str">
        <f>+'A SAISIR'!C108</f>
        <v>maintenance incendie</v>
      </c>
      <c r="B16" s="316">
        <f>+'A SAISIR'!F108</f>
        <v>0</v>
      </c>
      <c r="C16" s="316">
        <f>+'A SAISIR'!G108</f>
        <v>0</v>
      </c>
      <c r="D16" s="316">
        <f>+'A SAISIR'!H108</f>
        <v>0</v>
      </c>
      <c r="E16" s="316">
        <f>+'A SAISIR'!I108</f>
        <v>0</v>
      </c>
      <c r="F16" s="316">
        <f>+'A SAISIR'!J108</f>
        <v>0</v>
      </c>
      <c r="G16" s="316">
        <f>+'A SAISIR'!K108</f>
        <v>0</v>
      </c>
      <c r="H16" s="316">
        <f>+'A SAISIR'!L108</f>
        <v>0</v>
      </c>
    </row>
    <row r="17" spans="1:8" x14ac:dyDescent="0.25">
      <c r="A17" s="294" t="str">
        <f>+'A SAISIR'!C109</f>
        <v>maintenance vitre/lav</v>
      </c>
      <c r="B17" s="316">
        <f>+'A SAISIR'!F109</f>
        <v>0</v>
      </c>
      <c r="C17" s="316">
        <f>+'A SAISIR'!G109</f>
        <v>0</v>
      </c>
      <c r="D17" s="316">
        <f>+'A SAISIR'!H109</f>
        <v>0</v>
      </c>
      <c r="E17" s="316">
        <f>+'A SAISIR'!I109</f>
        <v>0</v>
      </c>
      <c r="F17" s="316">
        <f>+'A SAISIR'!J109</f>
        <v>0</v>
      </c>
      <c r="G17" s="316">
        <f>+'A SAISIR'!K109</f>
        <v>0</v>
      </c>
      <c r="H17" s="316">
        <f>+'A SAISIR'!L109</f>
        <v>0</v>
      </c>
    </row>
    <row r="18" spans="1:8" x14ac:dyDescent="0.25">
      <c r="A18" s="294" t="str">
        <f>+'A SAISIR'!C110</f>
        <v>maintenance info</v>
      </c>
      <c r="B18" s="316">
        <f>+'A SAISIR'!F110</f>
        <v>0</v>
      </c>
      <c r="C18" s="316">
        <f>+'A SAISIR'!G110</f>
        <v>0</v>
      </c>
      <c r="D18" s="316">
        <f>+'A SAISIR'!H110</f>
        <v>0</v>
      </c>
      <c r="E18" s="316">
        <f>+'A SAISIR'!I110</f>
        <v>0</v>
      </c>
      <c r="F18" s="316">
        <f>+'A SAISIR'!J110</f>
        <v>0</v>
      </c>
      <c r="G18" s="316">
        <f>+'A SAISIR'!K110</f>
        <v>0</v>
      </c>
      <c r="H18" s="316">
        <f>+'A SAISIR'!L110</f>
        <v>0</v>
      </c>
    </row>
    <row r="19" spans="1:8" x14ac:dyDescent="0.25">
      <c r="A19" s="294" t="str">
        <f>+'A SAISIR'!C111</f>
        <v>tel</v>
      </c>
      <c r="B19" s="316">
        <f>+'A SAISIR'!F111</f>
        <v>0</v>
      </c>
      <c r="C19" s="316">
        <f>+'A SAISIR'!G111</f>
        <v>0</v>
      </c>
      <c r="D19" s="316">
        <f>+'A SAISIR'!H111</f>
        <v>0</v>
      </c>
      <c r="E19" s="316">
        <f>+'A SAISIR'!I111</f>
        <v>0</v>
      </c>
      <c r="F19" s="316">
        <f>+'A SAISIR'!J111</f>
        <v>0</v>
      </c>
      <c r="G19" s="316">
        <f>+'A SAISIR'!K111</f>
        <v>0</v>
      </c>
      <c r="H19" s="316">
        <f>+'A SAISIR'!L111</f>
        <v>0</v>
      </c>
    </row>
    <row r="20" spans="1:8" x14ac:dyDescent="0.25">
      <c r="A20" s="294" t="str">
        <f>+'A SAISIR'!C112</f>
        <v>fax</v>
      </c>
      <c r="B20" s="316">
        <f>+'A SAISIR'!F112</f>
        <v>0</v>
      </c>
      <c r="C20" s="316">
        <f>+'A SAISIR'!G112</f>
        <v>0</v>
      </c>
      <c r="D20" s="316">
        <f>+'A SAISIR'!H112</f>
        <v>0</v>
      </c>
      <c r="E20" s="316">
        <f>+'A SAISIR'!I112</f>
        <v>0</v>
      </c>
      <c r="F20" s="316">
        <f>+'A SAISIR'!J112</f>
        <v>0</v>
      </c>
      <c r="G20" s="316">
        <f>+'A SAISIR'!K112</f>
        <v>0</v>
      </c>
      <c r="H20" s="316">
        <f>+'A SAISIR'!L112</f>
        <v>0</v>
      </c>
    </row>
    <row r="21" spans="1:8" x14ac:dyDescent="0.25">
      <c r="A21" s="294" t="str">
        <f>+'A SAISIR'!C113</f>
        <v>internet</v>
      </c>
      <c r="B21" s="316">
        <f>+'A SAISIR'!F113</f>
        <v>0</v>
      </c>
      <c r="C21" s="316">
        <f>+'A SAISIR'!G113</f>
        <v>0</v>
      </c>
      <c r="D21" s="316">
        <f>+'A SAISIR'!H113</f>
        <v>0</v>
      </c>
      <c r="E21" s="316">
        <f>+'A SAISIR'!I113</f>
        <v>0</v>
      </c>
      <c r="F21" s="316">
        <f>+'A SAISIR'!J113</f>
        <v>0</v>
      </c>
      <c r="G21" s="316">
        <f>+'A SAISIR'!K113</f>
        <v>0</v>
      </c>
      <c r="H21" s="316">
        <f>+'A SAISIR'!L113</f>
        <v>0</v>
      </c>
    </row>
    <row r="22" spans="1:8" x14ac:dyDescent="0.25">
      <c r="A22" s="294" t="str">
        <f>+'A SAISIR'!C114</f>
        <v>doc</v>
      </c>
      <c r="B22" s="316">
        <f>+'A SAISIR'!F114</f>
        <v>0</v>
      </c>
      <c r="C22" s="316">
        <f>+'A SAISIR'!G114</f>
        <v>0</v>
      </c>
      <c r="D22" s="316">
        <f>+'A SAISIR'!H114</f>
        <v>0</v>
      </c>
      <c r="E22" s="316">
        <f>+'A SAISIR'!I114</f>
        <v>0</v>
      </c>
      <c r="F22" s="316">
        <f>+'A SAISIR'!J114</f>
        <v>0</v>
      </c>
      <c r="G22" s="316">
        <f>+'A SAISIR'!K114</f>
        <v>0</v>
      </c>
      <c r="H22" s="316">
        <f>+'A SAISIR'!L114</f>
        <v>0</v>
      </c>
    </row>
    <row r="23" spans="1:8" x14ac:dyDescent="0.25">
      <c r="A23" s="294" t="str">
        <f>+'A SAISIR'!C115</f>
        <v>honoraires expert comptable</v>
      </c>
      <c r="B23" s="316">
        <f>+'A SAISIR'!F115</f>
        <v>0</v>
      </c>
      <c r="C23" s="316">
        <f>+'A SAISIR'!G115</f>
        <v>0</v>
      </c>
      <c r="D23" s="316">
        <f>+'A SAISIR'!H115</f>
        <v>0</v>
      </c>
      <c r="E23" s="316">
        <f>+'A SAISIR'!I115</f>
        <v>0</v>
      </c>
      <c r="F23" s="316">
        <f>+'A SAISIR'!J115</f>
        <v>0</v>
      </c>
      <c r="G23" s="316">
        <f>+'A SAISIR'!K115</f>
        <v>0</v>
      </c>
      <c r="H23" s="316">
        <f>+'A SAISIR'!L115</f>
        <v>0</v>
      </c>
    </row>
    <row r="24" spans="1:8" x14ac:dyDescent="0.25">
      <c r="A24" s="294" t="str">
        <f>+'A SAISIR'!C116</f>
        <v>divers frais%</v>
      </c>
      <c r="B24" s="317">
        <f>+'A SAISIR'!F116</f>
        <v>0.03</v>
      </c>
      <c r="C24" s="317">
        <f>+'A SAISIR'!G116</f>
        <v>0.03</v>
      </c>
      <c r="D24" s="317">
        <f>+'A SAISIR'!H116</f>
        <v>0.03</v>
      </c>
      <c r="E24" s="317">
        <f>+'A SAISIR'!I116</f>
        <v>0.03</v>
      </c>
      <c r="F24" s="317">
        <f>+'A SAISIR'!J116</f>
        <v>0.03</v>
      </c>
      <c r="G24" s="317">
        <f>+'A SAISIR'!K116</f>
        <v>0.03</v>
      </c>
      <c r="H24" s="317">
        <f>+'A SAISIR'!L116</f>
        <v>0.03</v>
      </c>
    </row>
    <row r="25" spans="1:8" x14ac:dyDescent="0.25">
      <c r="A25" s="294" t="str">
        <f>+'A SAISIR'!C117</f>
        <v>divers frais</v>
      </c>
      <c r="B25" s="316">
        <f>+'A SAISIR'!F117</f>
        <v>0</v>
      </c>
      <c r="C25" s="316">
        <f>+'A SAISIR'!G117</f>
        <v>0</v>
      </c>
      <c r="D25" s="316">
        <f>+'A SAISIR'!H117</f>
        <v>0</v>
      </c>
      <c r="E25" s="316">
        <f>+'A SAISIR'!I117</f>
        <v>0</v>
      </c>
      <c r="F25" s="316">
        <f>+'A SAISIR'!J117</f>
        <v>0</v>
      </c>
      <c r="G25" s="316">
        <f>+'A SAISIR'!K117</f>
        <v>0</v>
      </c>
      <c r="H25" s="316">
        <f>+'A SAISIR'!L117</f>
        <v>0</v>
      </c>
    </row>
    <row r="26" spans="1:8" x14ac:dyDescent="0.25">
      <c r="A26" s="294" t="str">
        <f>+'A SAISIR'!C118</f>
        <v>minimum cout CB</v>
      </c>
      <c r="B26" s="318">
        <f>+'A SAISIR'!F118</f>
        <v>0</v>
      </c>
      <c r="C26" s="318">
        <f>+'A SAISIR'!G118</f>
        <v>0</v>
      </c>
      <c r="D26" s="318">
        <f>+'A SAISIR'!H118</f>
        <v>0</v>
      </c>
      <c r="E26" s="318">
        <f>+'A SAISIR'!I118</f>
        <v>0</v>
      </c>
      <c r="F26" s="318">
        <f>+'A SAISIR'!J118</f>
        <v>0</v>
      </c>
      <c r="G26" s="318">
        <f>+'A SAISIR'!K118</f>
        <v>0</v>
      </c>
      <c r="H26" s="318">
        <f>+'A SAISIR'!L118</f>
        <v>0</v>
      </c>
    </row>
    <row r="27" spans="1:8" x14ac:dyDescent="0.25">
      <c r="A27" s="294" t="s">
        <v>500</v>
      </c>
      <c r="B27" s="319">
        <f>+'A SAISIR'!E119</f>
        <v>6.4999999999999997E-3</v>
      </c>
      <c r="C27" s="319">
        <f>+B27</f>
        <v>6.4999999999999997E-3</v>
      </c>
      <c r="D27" s="319">
        <f t="shared" ref="D27:H27" si="0">+C27</f>
        <v>6.4999999999999997E-3</v>
      </c>
      <c r="E27" s="319">
        <f t="shared" si="0"/>
        <v>6.4999999999999997E-3</v>
      </c>
      <c r="F27" s="319">
        <f t="shared" si="0"/>
        <v>6.4999999999999997E-3</v>
      </c>
      <c r="G27" s="319">
        <f t="shared" si="0"/>
        <v>6.4999999999999997E-3</v>
      </c>
      <c r="H27" s="319">
        <f t="shared" si="0"/>
        <v>6.4999999999999997E-3</v>
      </c>
    </row>
    <row r="28" spans="1:8" x14ac:dyDescent="0.25">
      <c r="A28" s="294" t="str">
        <f>+'A SAISIR'!C119</f>
        <v xml:space="preserve">cout CB </v>
      </c>
      <c r="B28" s="316" t="e">
        <f>+'A SAISIR'!F119</f>
        <v>#DIV/0!</v>
      </c>
      <c r="C28" s="316" t="e">
        <f>+'A SAISIR'!G119</f>
        <v>#DIV/0!</v>
      </c>
      <c r="D28" s="316" t="e">
        <f>+'A SAISIR'!H119</f>
        <v>#DIV/0!</v>
      </c>
      <c r="E28" s="316" t="e">
        <f>+'A SAISIR'!I119</f>
        <v>#DIV/0!</v>
      </c>
      <c r="F28" s="316" t="e">
        <f>+'A SAISIR'!J119</f>
        <v>#DIV/0!</v>
      </c>
      <c r="G28" s="316" t="e">
        <f>+'A SAISIR'!K119</f>
        <v>#DIV/0!</v>
      </c>
      <c r="H28" s="316" t="e">
        <f>+'A SAISIR'!L119</f>
        <v>#DIV/0!</v>
      </c>
    </row>
    <row r="29" spans="1:8" x14ac:dyDescent="0.25">
      <c r="A29" s="294" t="str">
        <f>+'A SAISIR'!C120</f>
        <v>déplacement DR</v>
      </c>
      <c r="B29" s="316">
        <f>+'A SAISIR'!F120</f>
        <v>0</v>
      </c>
      <c r="C29" s="316">
        <f>+'A SAISIR'!G120</f>
        <v>0</v>
      </c>
      <c r="D29" s="316">
        <f>+'A SAISIR'!H120</f>
        <v>0</v>
      </c>
      <c r="E29" s="316">
        <f>+'A SAISIR'!I120</f>
        <v>0</v>
      </c>
      <c r="F29" s="316">
        <f>+'A SAISIR'!J120</f>
        <v>0</v>
      </c>
      <c r="G29" s="316">
        <f>+'A SAISIR'!K120</f>
        <v>0</v>
      </c>
      <c r="H29" s="316">
        <f>+'A SAISIR'!L120</f>
        <v>0</v>
      </c>
    </row>
    <row r="30" spans="1:8" x14ac:dyDescent="0.25">
      <c r="A30" s="294" t="str">
        <f>+'A SAISIR'!C121</f>
        <v>autres frais 1</v>
      </c>
      <c r="B30" s="316">
        <f>+'A SAISIR'!F121</f>
        <v>0</v>
      </c>
      <c r="C30" s="316">
        <f>+'A SAISIR'!G121</f>
        <v>0</v>
      </c>
      <c r="D30" s="316">
        <f>+'A SAISIR'!H121</f>
        <v>0</v>
      </c>
      <c r="E30" s="316">
        <f>+'A SAISIR'!I121</f>
        <v>0</v>
      </c>
      <c r="F30" s="316">
        <f>+'A SAISIR'!J121</f>
        <v>0</v>
      </c>
      <c r="G30" s="316">
        <f>+'A SAISIR'!K121</f>
        <v>0</v>
      </c>
      <c r="H30" s="316">
        <f>+'A SAISIR'!L121</f>
        <v>0</v>
      </c>
    </row>
    <row r="31" spans="1:8" x14ac:dyDescent="0.25">
      <c r="A31" s="294" t="str">
        <f>+'A SAISIR'!C122</f>
        <v>autres frais 2</v>
      </c>
      <c r="B31" s="316">
        <f>+'A SAISIR'!F122</f>
        <v>0</v>
      </c>
      <c r="C31" s="316">
        <f>+'A SAISIR'!G122</f>
        <v>0</v>
      </c>
      <c r="D31" s="316">
        <f>+'A SAISIR'!H122</f>
        <v>0</v>
      </c>
      <c r="E31" s="316">
        <f>+'A SAISIR'!I122</f>
        <v>0</v>
      </c>
      <c r="F31" s="316">
        <f>+'A SAISIR'!J122</f>
        <v>0</v>
      </c>
      <c r="G31" s="316">
        <f>+'A SAISIR'!K122</f>
        <v>0</v>
      </c>
      <c r="H31" s="316">
        <f>+'A SAISIR'!L122</f>
        <v>0</v>
      </c>
    </row>
    <row r="32" spans="1:8" x14ac:dyDescent="0.25">
      <c r="A32" s="294"/>
      <c r="B32" s="317"/>
      <c r="C32" s="317"/>
      <c r="D32" s="317"/>
      <c r="E32" s="317"/>
      <c r="F32" s="317"/>
      <c r="G32" s="317"/>
      <c r="H32" s="317"/>
    </row>
    <row r="33" spans="1:8" x14ac:dyDescent="0.25">
      <c r="A33" s="294" t="s">
        <v>499</v>
      </c>
      <c r="B33" s="313"/>
      <c r="C33" s="313"/>
      <c r="D33" s="313"/>
      <c r="E33" s="313"/>
      <c r="F33" s="313"/>
      <c r="G33" s="313"/>
      <c r="H33" s="313"/>
    </row>
    <row r="34" spans="1:8" x14ac:dyDescent="0.25">
      <c r="A34" s="294"/>
      <c r="B34" s="313"/>
      <c r="C34" s="313"/>
      <c r="D34" s="313"/>
      <c r="E34" s="313"/>
      <c r="F34" s="313"/>
      <c r="G34" s="313"/>
      <c r="H34" s="313"/>
    </row>
    <row r="35" spans="1:8" x14ac:dyDescent="0.25">
      <c r="A35" s="294"/>
      <c r="B35" s="313"/>
      <c r="C35" s="313"/>
      <c r="D35" s="313"/>
      <c r="E35" s="313"/>
      <c r="F35" s="313"/>
      <c r="G35" s="313"/>
      <c r="H35" s="313"/>
    </row>
    <row r="36" spans="1:8" x14ac:dyDescent="0.25">
      <c r="A36" s="294"/>
      <c r="B36" s="313"/>
      <c r="C36" s="313"/>
      <c r="D36" s="313"/>
      <c r="E36" s="313"/>
      <c r="F36" s="313"/>
      <c r="G36" s="313"/>
      <c r="H36" s="313"/>
    </row>
    <row r="37" spans="1:8" x14ac:dyDescent="0.25">
      <c r="A37" s="294"/>
      <c r="B37" s="313"/>
      <c r="C37" s="313"/>
      <c r="D37" s="313"/>
      <c r="E37" s="313"/>
      <c r="F37" s="313"/>
      <c r="G37" s="313"/>
      <c r="H37" s="313"/>
    </row>
    <row r="38" spans="1:8" x14ac:dyDescent="0.25">
      <c r="A38" s="297" t="s">
        <v>489</v>
      </c>
      <c r="B38" s="298" t="e">
        <f>+B10+B11+B12+B13+B14+B15+B16+B17+B18+B19+B20+B21+B22+B23+B25+B28+B30+B29+B31</f>
        <v>#DIV/0!</v>
      </c>
      <c r="C38" s="298" t="e">
        <f t="shared" ref="C38:H38" si="1">+C10+C11+C12+C13+C14+C15+C16+C17+C18+C19+C20+C21+C22+C23+C25+C28+C30+C29+C31</f>
        <v>#DIV/0!</v>
      </c>
      <c r="D38" s="298" t="e">
        <f t="shared" si="1"/>
        <v>#DIV/0!</v>
      </c>
      <c r="E38" s="298" t="e">
        <f t="shared" si="1"/>
        <v>#DIV/0!</v>
      </c>
      <c r="F38" s="298" t="e">
        <f t="shared" si="1"/>
        <v>#DIV/0!</v>
      </c>
      <c r="G38" s="298" t="e">
        <f t="shared" si="1"/>
        <v>#DIV/0!</v>
      </c>
      <c r="H38" s="298" t="e">
        <f t="shared" si="1"/>
        <v>#DIV/0!</v>
      </c>
    </row>
    <row r="39" spans="1:8" x14ac:dyDescent="0.25">
      <c r="A39" s="297" t="s">
        <v>493</v>
      </c>
      <c r="B39" s="309" t="e">
        <f>+B38/B8</f>
        <v>#DIV/0!</v>
      </c>
      <c r="C39" s="309" t="e">
        <f t="shared" ref="C39:H39" si="2">+C38/C8</f>
        <v>#DIV/0!</v>
      </c>
      <c r="D39" s="309" t="e">
        <f t="shared" si="2"/>
        <v>#DIV/0!</v>
      </c>
      <c r="E39" s="309" t="e">
        <f t="shared" si="2"/>
        <v>#DIV/0!</v>
      </c>
      <c r="F39" s="309" t="e">
        <f t="shared" si="2"/>
        <v>#DIV/0!</v>
      </c>
      <c r="G39" s="309" t="e">
        <f t="shared" si="2"/>
        <v>#DIV/0!</v>
      </c>
      <c r="H39" s="309" t="e">
        <f t="shared" si="2"/>
        <v>#DIV/0!</v>
      </c>
    </row>
    <row r="40" spans="1:8" x14ac:dyDescent="0.25">
      <c r="A40" s="249"/>
      <c r="B40" s="283"/>
      <c r="C40" s="283"/>
      <c r="D40" s="283"/>
      <c r="E40" s="283"/>
      <c r="F40" s="283"/>
      <c r="G40" s="283"/>
      <c r="H40" s="283"/>
    </row>
    <row r="41" spans="1:8" x14ac:dyDescent="0.25">
      <c r="A41" s="249"/>
      <c r="B41" s="283"/>
      <c r="C41" s="283"/>
      <c r="D41" s="283"/>
      <c r="E41" s="283"/>
      <c r="F41" s="283"/>
      <c r="G41" s="283"/>
      <c r="H41" s="283"/>
    </row>
    <row r="69" spans="2:8" x14ac:dyDescent="0.25">
      <c r="B69" s="239"/>
      <c r="C69" s="239"/>
      <c r="D69" s="239"/>
      <c r="E69" s="239"/>
      <c r="F69" s="239"/>
      <c r="G69" s="239"/>
      <c r="H69" s="239"/>
    </row>
    <row r="70" spans="2:8" x14ac:dyDescent="0.25">
      <c r="B70" s="267"/>
      <c r="C70" s="267"/>
      <c r="D70" s="267"/>
      <c r="E70" s="267"/>
      <c r="F70" s="267"/>
      <c r="G70" s="267"/>
      <c r="H70" s="267"/>
    </row>
    <row r="71" spans="2:8" x14ac:dyDescent="0.25">
      <c r="B71" s="267"/>
      <c r="C71" s="267"/>
      <c r="D71" s="267"/>
      <c r="E71" s="267"/>
      <c r="F71" s="267"/>
      <c r="G71" s="267"/>
      <c r="H71" s="267"/>
    </row>
    <row r="72" spans="2:8" x14ac:dyDescent="0.25">
      <c r="B72" s="267"/>
      <c r="C72" s="267"/>
      <c r="D72" s="267"/>
      <c r="E72" s="267"/>
      <c r="F72" s="267"/>
      <c r="G72" s="267"/>
      <c r="H72" s="267"/>
    </row>
    <row r="73" spans="2:8" x14ac:dyDescent="0.25">
      <c r="B73" s="267"/>
      <c r="C73" s="267"/>
      <c r="D73" s="267"/>
      <c r="E73" s="267"/>
      <c r="F73" s="267"/>
      <c r="G73" s="267"/>
      <c r="H73" s="267"/>
    </row>
    <row r="74" spans="2:8" x14ac:dyDescent="0.25">
      <c r="B74" s="267"/>
      <c r="C74" s="267"/>
      <c r="D74" s="267"/>
      <c r="E74" s="267"/>
      <c r="F74" s="267"/>
      <c r="G74" s="267"/>
      <c r="H74" s="267"/>
    </row>
    <row r="75" spans="2:8" x14ac:dyDescent="0.25">
      <c r="B75" s="267"/>
      <c r="C75" s="267"/>
      <c r="D75" s="267"/>
      <c r="E75" s="267"/>
      <c r="F75" s="267"/>
      <c r="G75" s="267"/>
      <c r="H75" s="267"/>
    </row>
    <row r="76" spans="2:8" x14ac:dyDescent="0.25">
      <c r="B76" s="267"/>
      <c r="C76" s="267"/>
      <c r="D76" s="267"/>
      <c r="E76" s="267"/>
      <c r="F76" s="267"/>
      <c r="G76" s="267"/>
      <c r="H76" s="267"/>
    </row>
    <row r="77" spans="2:8" x14ac:dyDescent="0.25">
      <c r="B77" s="267"/>
      <c r="C77" s="267"/>
      <c r="D77" s="267"/>
      <c r="E77" s="267"/>
      <c r="F77" s="267"/>
      <c r="G77" s="267"/>
      <c r="H77" s="267"/>
    </row>
    <row r="78" spans="2:8" x14ac:dyDescent="0.25">
      <c r="B78" s="267"/>
      <c r="C78" s="267"/>
      <c r="D78" s="267"/>
      <c r="E78" s="267"/>
      <c r="F78" s="267"/>
      <c r="G78" s="267"/>
      <c r="H78" s="267"/>
    </row>
    <row r="79" spans="2:8" x14ac:dyDescent="0.25">
      <c r="B79" s="267"/>
      <c r="C79" s="267"/>
      <c r="D79" s="267"/>
      <c r="E79" s="267"/>
      <c r="F79" s="267"/>
      <c r="G79" s="267"/>
      <c r="H79" s="267"/>
    </row>
    <row r="80" spans="2:8" x14ac:dyDescent="0.25">
      <c r="B80" s="267"/>
      <c r="C80" s="267"/>
      <c r="D80" s="267"/>
      <c r="E80" s="267"/>
      <c r="F80" s="267"/>
      <c r="G80" s="267"/>
      <c r="H80" s="267"/>
    </row>
    <row r="81" spans="2:8" x14ac:dyDescent="0.25">
      <c r="B81" s="267"/>
      <c r="C81" s="267"/>
      <c r="D81" s="267"/>
      <c r="E81" s="267"/>
      <c r="F81" s="267"/>
      <c r="G81" s="267"/>
      <c r="H81" s="267"/>
    </row>
  </sheetData>
  <pageMargins left="0.47244094488188981" right="0.19685039370078741" top="0.59055118110236227" bottom="0.31496062992125984" header="0.23622047244094491" footer="0.19685039370078741"/>
  <pageSetup paperSize="9" scale="85" orientation="portrait" r:id="rId1"/>
  <headerFooter>
    <oddHeader>&amp;L&amp;D
&amp;T&amp;R&amp;P/&amp;N</oddHeader>
    <oddFooter>&amp;L&amp;7Document non contractuel
Charges personnelles de l'exploitant non inclus
Les chiffres et les informations ci-dessus sont données à titre indicatifs et restent à être validés par un Expert Comptable
&amp;R&amp;P/&amp;N
&amp;D--&amp;T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  <pageSetUpPr fitToPage="1"/>
  </sheetPr>
  <dimension ref="A1:H65"/>
  <sheetViews>
    <sheetView workbookViewId="0">
      <selection activeCell="E17" sqref="E17"/>
    </sheetView>
  </sheetViews>
  <sheetFormatPr baseColWidth="10" defaultRowHeight="13.2" x14ac:dyDescent="0.25"/>
  <cols>
    <col min="1" max="1" width="21.109375" customWidth="1"/>
    <col min="2" max="8" width="13" bestFit="1" customWidth="1"/>
    <col min="9" max="9" width="11.88671875" customWidth="1"/>
  </cols>
  <sheetData>
    <row r="1" spans="1:8" x14ac:dyDescent="0.25">
      <c r="A1" s="146" t="s">
        <v>51</v>
      </c>
    </row>
    <row r="3" spans="1:8" x14ac:dyDescent="0.25">
      <c r="A3" s="270" t="s">
        <v>412</v>
      </c>
      <c r="B3" s="182">
        <f>+'A SAISIR'!G6</f>
        <v>0</v>
      </c>
    </row>
    <row r="4" spans="1:8" x14ac:dyDescent="0.25">
      <c r="B4">
        <f>+'A SAISIR'!G7</f>
        <v>0</v>
      </c>
    </row>
    <row r="5" spans="1:8" x14ac:dyDescent="0.25">
      <c r="B5" s="249"/>
    </row>
    <row r="6" spans="1:8" x14ac:dyDescent="0.25">
      <c r="A6" s="223"/>
      <c r="B6" s="269" t="s">
        <v>283</v>
      </c>
      <c r="C6" s="269" t="s">
        <v>284</v>
      </c>
      <c r="D6" s="269" t="s">
        <v>285</v>
      </c>
      <c r="E6" s="269" t="s">
        <v>286</v>
      </c>
      <c r="F6" s="269" t="s">
        <v>287</v>
      </c>
      <c r="G6" s="269" t="s">
        <v>288</v>
      </c>
      <c r="H6" s="269" t="s">
        <v>289</v>
      </c>
    </row>
    <row r="7" spans="1:8" x14ac:dyDescent="0.25">
      <c r="A7" s="260"/>
      <c r="B7" s="198"/>
      <c r="C7" s="198"/>
      <c r="D7" s="198"/>
      <c r="E7" s="198"/>
      <c r="F7" s="198"/>
      <c r="G7" s="198"/>
      <c r="H7" s="198"/>
    </row>
    <row r="8" spans="1:8" x14ac:dyDescent="0.25">
      <c r="A8" s="277" t="s">
        <v>137</v>
      </c>
      <c r="B8" s="181">
        <f>+'ca marge in'!B8</f>
        <v>0</v>
      </c>
      <c r="C8" s="181">
        <f>+'ca marge in'!C8</f>
        <v>0</v>
      </c>
      <c r="D8" s="181">
        <f>+'ca marge in'!D8</f>
        <v>0</v>
      </c>
      <c r="E8" s="181">
        <f>+'ca marge in'!E8</f>
        <v>0</v>
      </c>
      <c r="F8" s="181">
        <f>+'ca marge in'!F8</f>
        <v>0</v>
      </c>
      <c r="G8" s="181">
        <f>+'ca marge in'!G8</f>
        <v>0</v>
      </c>
      <c r="H8" s="181">
        <f>+'ca marge in'!H8</f>
        <v>0</v>
      </c>
    </row>
    <row r="9" spans="1:8" x14ac:dyDescent="0.25">
      <c r="A9" s="294"/>
      <c r="B9" s="310"/>
      <c r="C9" s="310"/>
      <c r="D9" s="310"/>
      <c r="E9" s="310"/>
      <c r="F9" s="310"/>
      <c r="G9" s="310"/>
      <c r="H9" s="310"/>
    </row>
    <row r="10" spans="1:8" x14ac:dyDescent="0.25">
      <c r="A10" s="294"/>
      <c r="B10" s="311"/>
      <c r="C10" s="311"/>
      <c r="D10" s="311"/>
      <c r="E10" s="311"/>
      <c r="F10" s="311"/>
      <c r="G10" s="311"/>
      <c r="H10" s="311"/>
    </row>
    <row r="11" spans="1:8" x14ac:dyDescent="0.25">
      <c r="A11" s="294" t="s">
        <v>393</v>
      </c>
      <c r="B11" s="316">
        <f>+'A SAISIR'!F126</f>
        <v>0</v>
      </c>
      <c r="C11" s="316">
        <f>+'A SAISIR'!G126</f>
        <v>0</v>
      </c>
      <c r="D11" s="316">
        <f>+'A SAISIR'!H126</f>
        <v>0</v>
      </c>
      <c r="E11" s="316">
        <f>+'A SAISIR'!I126</f>
        <v>0</v>
      </c>
      <c r="F11" s="316">
        <f>+'A SAISIR'!J126</f>
        <v>0</v>
      </c>
      <c r="G11" s="316">
        <f>+'A SAISIR'!K126</f>
        <v>0</v>
      </c>
      <c r="H11" s="316">
        <f>+'A SAISIR'!L126</f>
        <v>0</v>
      </c>
    </row>
    <row r="12" spans="1:8" x14ac:dyDescent="0.25">
      <c r="A12" s="294" t="s">
        <v>496</v>
      </c>
      <c r="B12" s="316">
        <f>+'A SAISIR'!F127</f>
        <v>0</v>
      </c>
      <c r="C12" s="316">
        <f>+'A SAISIR'!G127</f>
        <v>0</v>
      </c>
      <c r="D12" s="316">
        <f>+'A SAISIR'!H127</f>
        <v>0</v>
      </c>
      <c r="E12" s="316">
        <f>+'A SAISIR'!I127</f>
        <v>0</v>
      </c>
      <c r="F12" s="316">
        <f>+'A SAISIR'!J127</f>
        <v>0</v>
      </c>
      <c r="G12" s="316">
        <f>+'A SAISIR'!K127</f>
        <v>0</v>
      </c>
      <c r="H12" s="316">
        <f>+'A SAISIR'!L127</f>
        <v>0</v>
      </c>
    </row>
    <row r="13" spans="1:8" x14ac:dyDescent="0.25">
      <c r="A13" s="294" t="s">
        <v>395</v>
      </c>
      <c r="B13" s="316">
        <f>+'A SAISIR'!F128</f>
        <v>0</v>
      </c>
      <c r="C13" s="316">
        <f>+'A SAISIR'!G128</f>
        <v>0</v>
      </c>
      <c r="D13" s="316">
        <f>+'A SAISIR'!H128</f>
        <v>0</v>
      </c>
      <c r="E13" s="316">
        <f>+'A SAISIR'!I128</f>
        <v>0</v>
      </c>
      <c r="F13" s="316">
        <f>+'A SAISIR'!J128</f>
        <v>0</v>
      </c>
      <c r="G13" s="316">
        <f>+'A SAISIR'!K128</f>
        <v>0</v>
      </c>
      <c r="H13" s="316">
        <f>+'A SAISIR'!L128</f>
        <v>0</v>
      </c>
    </row>
    <row r="14" spans="1:8" x14ac:dyDescent="0.25">
      <c r="A14" s="294"/>
      <c r="B14" s="310"/>
      <c r="C14" s="310"/>
      <c r="D14" s="310"/>
      <c r="E14" s="310"/>
      <c r="F14" s="310"/>
      <c r="G14" s="310"/>
      <c r="H14" s="310"/>
    </row>
    <row r="15" spans="1:8" x14ac:dyDescent="0.25">
      <c r="A15" s="294" t="s">
        <v>497</v>
      </c>
      <c r="B15" s="312">
        <f>+'A SAISIR'!F130</f>
        <v>0</v>
      </c>
      <c r="C15" s="312">
        <f>+'A SAISIR'!G130</f>
        <v>0.02</v>
      </c>
      <c r="D15" s="312">
        <f>+'A SAISIR'!H130</f>
        <v>0.02</v>
      </c>
      <c r="E15" s="312">
        <f>+'A SAISIR'!I130</f>
        <v>0.02</v>
      </c>
      <c r="F15" s="312">
        <f>+'A SAISIR'!J130</f>
        <v>0.02</v>
      </c>
      <c r="G15" s="312">
        <f>+'A SAISIR'!K130</f>
        <v>0.02</v>
      </c>
      <c r="H15" s="312">
        <f>+'A SAISIR'!L130</f>
        <v>0.02</v>
      </c>
    </row>
    <row r="16" spans="1:8" x14ac:dyDescent="0.25">
      <c r="A16" s="294"/>
      <c r="B16" s="310"/>
      <c r="C16" s="310"/>
      <c r="D16" s="310"/>
      <c r="E16" s="310"/>
      <c r="F16" s="310"/>
      <c r="G16" s="310"/>
      <c r="H16" s="310"/>
    </row>
    <row r="17" spans="1:8" x14ac:dyDescent="0.25">
      <c r="A17" s="294" t="s">
        <v>498</v>
      </c>
      <c r="B17" s="288">
        <f>+'A SAISIR'!F132</f>
        <v>0.02</v>
      </c>
      <c r="C17" s="288">
        <f>+'A SAISIR'!G132</f>
        <v>0.02</v>
      </c>
      <c r="D17" s="288">
        <f>+'A SAISIR'!H132</f>
        <v>0.02</v>
      </c>
      <c r="E17" s="288">
        <f>+'A SAISIR'!I132</f>
        <v>0.02</v>
      </c>
      <c r="F17" s="288">
        <f>+'A SAISIR'!J132</f>
        <v>0.02</v>
      </c>
      <c r="G17" s="288">
        <f>+'A SAISIR'!K132</f>
        <v>0.02</v>
      </c>
      <c r="H17" s="288">
        <f>+'A SAISIR'!L132</f>
        <v>0.02</v>
      </c>
    </row>
    <row r="18" spans="1:8" x14ac:dyDescent="0.25">
      <c r="A18" s="294"/>
      <c r="B18" s="310"/>
      <c r="C18" s="310"/>
      <c r="D18" s="310"/>
      <c r="E18" s="310"/>
      <c r="F18" s="310"/>
      <c r="G18" s="310"/>
      <c r="H18" s="310"/>
    </row>
    <row r="19" spans="1:8" x14ac:dyDescent="0.25">
      <c r="A19" s="294" t="s">
        <v>360</v>
      </c>
      <c r="B19" s="310">
        <f>+(B8*B17)-B11-B12-B13</f>
        <v>0</v>
      </c>
      <c r="C19" s="310">
        <f t="shared" ref="C19:H19" si="0">+(C8*C17)-C11-C12-C13</f>
        <v>0</v>
      </c>
      <c r="D19" s="310">
        <f t="shared" si="0"/>
        <v>0</v>
      </c>
      <c r="E19" s="310">
        <f t="shared" si="0"/>
        <v>0</v>
      </c>
      <c r="F19" s="310">
        <f t="shared" si="0"/>
        <v>0</v>
      </c>
      <c r="G19" s="310">
        <f t="shared" si="0"/>
        <v>0</v>
      </c>
      <c r="H19" s="310">
        <f t="shared" si="0"/>
        <v>0</v>
      </c>
    </row>
    <row r="20" spans="1:8" x14ac:dyDescent="0.25">
      <c r="A20" s="294"/>
      <c r="B20" s="313"/>
      <c r="C20" s="313"/>
      <c r="D20" s="313"/>
      <c r="E20" s="313"/>
      <c r="F20" s="313"/>
      <c r="G20" s="313"/>
      <c r="H20" s="313"/>
    </row>
    <row r="21" spans="1:8" x14ac:dyDescent="0.25">
      <c r="A21" s="294"/>
      <c r="B21" s="313"/>
      <c r="C21" s="313"/>
      <c r="D21" s="313"/>
      <c r="E21" s="313"/>
      <c r="F21" s="313"/>
      <c r="G21" s="313"/>
      <c r="H21" s="313"/>
    </row>
    <row r="22" spans="1:8" x14ac:dyDescent="0.25">
      <c r="A22" s="297" t="s">
        <v>489</v>
      </c>
      <c r="B22" s="298">
        <f>+B11+B12+B13+B19</f>
        <v>0</v>
      </c>
      <c r="C22" s="298">
        <f t="shared" ref="C22:H22" si="1">+C11+C12+C13+C19</f>
        <v>0</v>
      </c>
      <c r="D22" s="298">
        <f t="shared" si="1"/>
        <v>0</v>
      </c>
      <c r="E22" s="298">
        <f t="shared" si="1"/>
        <v>0</v>
      </c>
      <c r="F22" s="298">
        <f t="shared" si="1"/>
        <v>0</v>
      </c>
      <c r="G22" s="298">
        <f t="shared" si="1"/>
        <v>0</v>
      </c>
      <c r="H22" s="298">
        <f t="shared" si="1"/>
        <v>0</v>
      </c>
    </row>
    <row r="23" spans="1:8" x14ac:dyDescent="0.25">
      <c r="A23" s="297" t="s">
        <v>493</v>
      </c>
      <c r="B23" s="309" t="e">
        <f t="shared" ref="B23:H23" si="2">+B22/B8</f>
        <v>#DIV/0!</v>
      </c>
      <c r="C23" s="309" t="e">
        <f t="shared" si="2"/>
        <v>#DIV/0!</v>
      </c>
      <c r="D23" s="309" t="e">
        <f t="shared" si="2"/>
        <v>#DIV/0!</v>
      </c>
      <c r="E23" s="309" t="e">
        <f t="shared" si="2"/>
        <v>#DIV/0!</v>
      </c>
      <c r="F23" s="309" t="e">
        <f t="shared" si="2"/>
        <v>#DIV/0!</v>
      </c>
      <c r="G23" s="309" t="e">
        <f t="shared" si="2"/>
        <v>#DIV/0!</v>
      </c>
      <c r="H23" s="309" t="e">
        <f t="shared" si="2"/>
        <v>#DIV/0!</v>
      </c>
    </row>
    <row r="24" spans="1:8" x14ac:dyDescent="0.25">
      <c r="A24" s="249"/>
      <c r="B24" s="283"/>
      <c r="C24" s="283"/>
      <c r="D24" s="283"/>
      <c r="E24" s="283"/>
      <c r="F24" s="283"/>
      <c r="G24" s="283"/>
      <c r="H24" s="283"/>
    </row>
    <row r="25" spans="1:8" x14ac:dyDescent="0.25">
      <c r="A25" s="249"/>
      <c r="B25" s="283"/>
      <c r="C25" s="283"/>
      <c r="D25" s="283"/>
      <c r="E25" s="283"/>
      <c r="F25" s="283"/>
      <c r="G25" s="283"/>
      <c r="H25" s="283"/>
    </row>
    <row r="53" spans="2:8" x14ac:dyDescent="0.25">
      <c r="B53" s="239"/>
      <c r="C53" s="239"/>
      <c r="D53" s="239"/>
      <c r="E53" s="239"/>
      <c r="F53" s="239"/>
      <c r="G53" s="239"/>
      <c r="H53" s="239"/>
    </row>
    <row r="54" spans="2:8" x14ac:dyDescent="0.25">
      <c r="B54" s="267"/>
      <c r="C54" s="267"/>
      <c r="D54" s="267"/>
      <c r="E54" s="267"/>
      <c r="F54" s="267"/>
      <c r="G54" s="267"/>
      <c r="H54" s="267"/>
    </row>
    <row r="55" spans="2:8" x14ac:dyDescent="0.25">
      <c r="B55" s="267"/>
      <c r="C55" s="267"/>
      <c r="D55" s="267"/>
      <c r="E55" s="267"/>
      <c r="F55" s="267"/>
      <c r="G55" s="267"/>
      <c r="H55" s="267"/>
    </row>
    <row r="56" spans="2:8" x14ac:dyDescent="0.25">
      <c r="B56" s="267"/>
      <c r="C56" s="267"/>
      <c r="D56" s="267"/>
      <c r="E56" s="267"/>
      <c r="F56" s="267"/>
      <c r="G56" s="267"/>
      <c r="H56" s="267"/>
    </row>
    <row r="57" spans="2:8" x14ac:dyDescent="0.25">
      <c r="B57" s="267"/>
      <c r="C57" s="267"/>
      <c r="D57" s="267"/>
      <c r="E57" s="267"/>
      <c r="F57" s="267"/>
      <c r="G57" s="267"/>
      <c r="H57" s="267"/>
    </row>
    <row r="58" spans="2:8" x14ac:dyDescent="0.25">
      <c r="B58" s="267"/>
      <c r="C58" s="267"/>
      <c r="D58" s="267"/>
      <c r="E58" s="267"/>
      <c r="F58" s="267"/>
      <c r="G58" s="267"/>
      <c r="H58" s="267"/>
    </row>
    <row r="59" spans="2:8" x14ac:dyDescent="0.25">
      <c r="B59" s="267"/>
      <c r="C59" s="267"/>
      <c r="D59" s="267"/>
      <c r="E59" s="267"/>
      <c r="F59" s="267"/>
      <c r="G59" s="267"/>
      <c r="H59" s="267"/>
    </row>
    <row r="60" spans="2:8" x14ac:dyDescent="0.25">
      <c r="B60" s="267"/>
      <c r="C60" s="267"/>
      <c r="D60" s="267"/>
      <c r="E60" s="267"/>
      <c r="F60" s="267"/>
      <c r="G60" s="267"/>
      <c r="H60" s="267"/>
    </row>
    <row r="61" spans="2:8" x14ac:dyDescent="0.25">
      <c r="B61" s="267"/>
      <c r="C61" s="267"/>
      <c r="D61" s="267"/>
      <c r="E61" s="267"/>
      <c r="F61" s="267"/>
      <c r="G61" s="267"/>
      <c r="H61" s="267"/>
    </row>
    <row r="62" spans="2:8" x14ac:dyDescent="0.25">
      <c r="B62" s="267"/>
      <c r="C62" s="267"/>
      <c r="D62" s="267"/>
      <c r="E62" s="267"/>
      <c r="F62" s="267"/>
      <c r="G62" s="267"/>
      <c r="H62" s="267"/>
    </row>
    <row r="63" spans="2:8" x14ac:dyDescent="0.25">
      <c r="B63" s="267"/>
      <c r="C63" s="267"/>
      <c r="D63" s="267"/>
      <c r="E63" s="267"/>
      <c r="F63" s="267"/>
      <c r="G63" s="267"/>
      <c r="H63" s="267"/>
    </row>
    <row r="64" spans="2:8" x14ac:dyDescent="0.25">
      <c r="B64" s="267"/>
      <c r="C64" s="267"/>
      <c r="D64" s="267"/>
      <c r="E64" s="267"/>
      <c r="F64" s="267"/>
      <c r="G64" s="267"/>
      <c r="H64" s="267"/>
    </row>
    <row r="65" spans="2:8" x14ac:dyDescent="0.25">
      <c r="B65" s="267"/>
      <c r="C65" s="267"/>
      <c r="D65" s="267"/>
      <c r="E65" s="267"/>
      <c r="F65" s="267"/>
      <c r="G65" s="267"/>
      <c r="H65" s="267"/>
    </row>
  </sheetData>
  <pageMargins left="0.47244094488188981" right="0.19685039370078741" top="0.59055118110236227" bottom="0.31496062992125984" header="0.23622047244094491" footer="0.19685039370078741"/>
  <pageSetup paperSize="9" scale="87" orientation="portrait" r:id="rId1"/>
  <headerFooter>
    <oddHeader>&amp;L&amp;D
&amp;T&amp;R&amp;P/&amp;N</oddHeader>
    <oddFooter>&amp;L&amp;7Document non contractuel
Charges personnelles de l'exploitant non inclus
Les chiffres et les informations ci-dessus sont données à titre indicatifs et restent à être validés par un Expert Comptable
&amp;R&amp;P/&amp;N
&amp;D--&amp;T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  <pageSetUpPr fitToPage="1"/>
  </sheetPr>
  <dimension ref="A1:H81"/>
  <sheetViews>
    <sheetView workbookViewId="0">
      <selection activeCell="E17" sqref="E17"/>
    </sheetView>
  </sheetViews>
  <sheetFormatPr baseColWidth="10" defaultRowHeight="13.2" x14ac:dyDescent="0.25"/>
  <cols>
    <col min="1" max="1" width="24.6640625" bestFit="1" customWidth="1"/>
    <col min="2" max="8" width="13" bestFit="1" customWidth="1"/>
    <col min="9" max="9" width="11.88671875" customWidth="1"/>
  </cols>
  <sheetData>
    <row r="1" spans="1:8" x14ac:dyDescent="0.25">
      <c r="A1" s="146" t="s">
        <v>501</v>
      </c>
    </row>
    <row r="3" spans="1:8" x14ac:dyDescent="0.25">
      <c r="A3" s="270" t="s">
        <v>412</v>
      </c>
      <c r="B3" s="182">
        <f>+'A SAISIR'!G6</f>
        <v>0</v>
      </c>
    </row>
    <row r="4" spans="1:8" x14ac:dyDescent="0.25">
      <c r="B4">
        <f>+'A SAISIR'!G7</f>
        <v>0</v>
      </c>
    </row>
    <row r="5" spans="1:8" x14ac:dyDescent="0.25">
      <c r="B5" s="249"/>
    </row>
    <row r="6" spans="1:8" x14ac:dyDescent="0.25">
      <c r="A6" s="223"/>
      <c r="B6" s="269" t="s">
        <v>283</v>
      </c>
      <c r="C6" s="269" t="s">
        <v>284</v>
      </c>
      <c r="D6" s="269" t="s">
        <v>285</v>
      </c>
      <c r="E6" s="269" t="s">
        <v>286</v>
      </c>
      <c r="F6" s="269" t="s">
        <v>287</v>
      </c>
      <c r="G6" s="269" t="s">
        <v>288</v>
      </c>
      <c r="H6" s="269" t="s">
        <v>289</v>
      </c>
    </row>
    <row r="7" spans="1:8" x14ac:dyDescent="0.25">
      <c r="A7" s="260"/>
      <c r="B7" s="198"/>
      <c r="C7" s="198"/>
      <c r="D7" s="198"/>
      <c r="E7" s="198"/>
      <c r="F7" s="198"/>
      <c r="G7" s="198"/>
      <c r="H7" s="198"/>
    </row>
    <row r="8" spans="1:8" x14ac:dyDescent="0.25">
      <c r="A8" s="277" t="s">
        <v>137</v>
      </c>
      <c r="B8" s="181">
        <f>+'ca marge in'!B8</f>
        <v>0</v>
      </c>
      <c r="C8" s="181">
        <f>+'ca marge in'!C8</f>
        <v>0</v>
      </c>
      <c r="D8" s="181">
        <f>+'ca marge in'!D8</f>
        <v>0</v>
      </c>
      <c r="E8" s="181">
        <f>+'ca marge in'!E8</f>
        <v>0</v>
      </c>
      <c r="F8" s="181">
        <f>+'ca marge in'!F8</f>
        <v>0</v>
      </c>
      <c r="G8" s="181">
        <f>+'ca marge in'!G8</f>
        <v>0</v>
      </c>
      <c r="H8" s="181">
        <f>+'ca marge in'!H8</f>
        <v>0</v>
      </c>
    </row>
    <row r="9" spans="1:8" x14ac:dyDescent="0.25">
      <c r="A9" s="294"/>
      <c r="B9" s="310"/>
      <c r="C9" s="310"/>
      <c r="D9" s="310"/>
      <c r="E9" s="310"/>
      <c r="F9" s="310"/>
      <c r="G9" s="310"/>
      <c r="H9" s="310"/>
    </row>
    <row r="10" spans="1:8" x14ac:dyDescent="0.25">
      <c r="A10" s="294" t="s">
        <v>499</v>
      </c>
      <c r="B10" s="316"/>
      <c r="C10" s="316"/>
      <c r="D10" s="316"/>
      <c r="E10" s="316"/>
      <c r="F10" s="316"/>
      <c r="G10" s="316"/>
      <c r="H10" s="316"/>
    </row>
    <row r="11" spans="1:8" x14ac:dyDescent="0.25">
      <c r="A11" s="321">
        <v>0.01</v>
      </c>
      <c r="B11" s="316">
        <f>+B8*$A11</f>
        <v>0</v>
      </c>
      <c r="C11" s="316">
        <f t="shared" ref="C11:H11" si="0">+C8*$A11</f>
        <v>0</v>
      </c>
      <c r="D11" s="316">
        <f t="shared" si="0"/>
        <v>0</v>
      </c>
      <c r="E11" s="316">
        <f t="shared" si="0"/>
        <v>0</v>
      </c>
      <c r="F11" s="316">
        <f t="shared" si="0"/>
        <v>0</v>
      </c>
      <c r="G11" s="316">
        <f t="shared" si="0"/>
        <v>0</v>
      </c>
      <c r="H11" s="316">
        <f t="shared" si="0"/>
        <v>0</v>
      </c>
    </row>
    <row r="12" spans="1:8" x14ac:dyDescent="0.25">
      <c r="A12" s="294"/>
      <c r="B12" s="316"/>
      <c r="C12" s="316"/>
      <c r="D12" s="316"/>
      <c r="E12" s="316"/>
      <c r="F12" s="316"/>
      <c r="G12" s="316"/>
      <c r="H12" s="316"/>
    </row>
    <row r="13" spans="1:8" hidden="1" x14ac:dyDescent="0.25">
      <c r="A13" s="294"/>
      <c r="B13" s="316"/>
      <c r="C13" s="316"/>
      <c r="D13" s="316"/>
      <c r="E13" s="316"/>
      <c r="F13" s="316"/>
      <c r="G13" s="316"/>
      <c r="H13" s="316"/>
    </row>
    <row r="14" spans="1:8" hidden="1" x14ac:dyDescent="0.25">
      <c r="A14" s="294"/>
      <c r="B14" s="316"/>
      <c r="C14" s="316"/>
      <c r="D14" s="316"/>
      <c r="E14" s="316"/>
      <c r="F14" s="316"/>
      <c r="G14" s="316"/>
      <c r="H14" s="316"/>
    </row>
    <row r="15" spans="1:8" hidden="1" x14ac:dyDescent="0.25">
      <c r="A15" s="294"/>
      <c r="B15" s="316"/>
      <c r="C15" s="316"/>
      <c r="D15" s="316"/>
      <c r="E15" s="316"/>
      <c r="F15" s="316"/>
      <c r="G15" s="316"/>
      <c r="H15" s="316"/>
    </row>
    <row r="16" spans="1:8" hidden="1" x14ac:dyDescent="0.25">
      <c r="A16" s="294"/>
      <c r="B16" s="316"/>
      <c r="C16" s="316"/>
      <c r="D16" s="316"/>
      <c r="E16" s="316"/>
      <c r="F16" s="316"/>
      <c r="G16" s="316"/>
      <c r="H16" s="316"/>
    </row>
    <row r="17" spans="1:8" hidden="1" x14ac:dyDescent="0.25">
      <c r="A17" s="294"/>
      <c r="B17" s="316"/>
      <c r="C17" s="316"/>
      <c r="D17" s="316"/>
      <c r="E17" s="316"/>
      <c r="F17" s="316"/>
      <c r="G17" s="316"/>
      <c r="H17" s="316"/>
    </row>
    <row r="18" spans="1:8" hidden="1" x14ac:dyDescent="0.25">
      <c r="A18" s="294"/>
      <c r="B18" s="316"/>
      <c r="C18" s="316"/>
      <c r="D18" s="316"/>
      <c r="E18" s="316"/>
      <c r="F18" s="316"/>
      <c r="G18" s="316"/>
      <c r="H18" s="316"/>
    </row>
    <row r="19" spans="1:8" hidden="1" x14ac:dyDescent="0.25">
      <c r="A19" s="294"/>
      <c r="B19" s="316"/>
      <c r="C19" s="316"/>
      <c r="D19" s="316"/>
      <c r="E19" s="316"/>
      <c r="F19" s="316"/>
      <c r="G19" s="316"/>
      <c r="H19" s="316"/>
    </row>
    <row r="20" spans="1:8" hidden="1" x14ac:dyDescent="0.25">
      <c r="A20" s="294"/>
      <c r="B20" s="316"/>
      <c r="C20" s="316"/>
      <c r="D20" s="316"/>
      <c r="E20" s="316"/>
      <c r="F20" s="316"/>
      <c r="G20" s="316"/>
      <c r="H20" s="316"/>
    </row>
    <row r="21" spans="1:8" hidden="1" x14ac:dyDescent="0.25">
      <c r="A21" s="294"/>
      <c r="B21" s="316"/>
      <c r="C21" s="316"/>
      <c r="D21" s="316"/>
      <c r="E21" s="316"/>
      <c r="F21" s="316"/>
      <c r="G21" s="316"/>
      <c r="H21" s="316"/>
    </row>
    <row r="22" spans="1:8" hidden="1" x14ac:dyDescent="0.25">
      <c r="A22" s="294"/>
      <c r="B22" s="316"/>
      <c r="C22" s="316"/>
      <c r="D22" s="316"/>
      <c r="E22" s="316"/>
      <c r="F22" s="316"/>
      <c r="G22" s="316"/>
      <c r="H22" s="316"/>
    </row>
    <row r="23" spans="1:8" hidden="1" x14ac:dyDescent="0.25">
      <c r="A23" s="294"/>
      <c r="B23" s="316"/>
      <c r="C23" s="316"/>
      <c r="D23" s="316"/>
      <c r="E23" s="316"/>
      <c r="F23" s="316"/>
      <c r="G23" s="316"/>
      <c r="H23" s="316"/>
    </row>
    <row r="24" spans="1:8" hidden="1" x14ac:dyDescent="0.25">
      <c r="A24" s="294"/>
      <c r="B24" s="317"/>
      <c r="C24" s="317"/>
      <c r="D24" s="317"/>
      <c r="E24" s="317"/>
      <c r="F24" s="317"/>
      <c r="G24" s="317"/>
      <c r="H24" s="317"/>
    </row>
    <row r="25" spans="1:8" hidden="1" x14ac:dyDescent="0.25">
      <c r="A25" s="294"/>
      <c r="B25" s="316"/>
      <c r="C25" s="316"/>
      <c r="D25" s="316"/>
      <c r="E25" s="316"/>
      <c r="F25" s="316"/>
      <c r="G25" s="316"/>
      <c r="H25" s="316"/>
    </row>
    <row r="26" spans="1:8" hidden="1" x14ac:dyDescent="0.25">
      <c r="A26" s="294"/>
      <c r="B26" s="318"/>
      <c r="C26" s="318"/>
      <c r="D26" s="318"/>
      <c r="E26" s="318"/>
      <c r="F26" s="318"/>
      <c r="G26" s="318"/>
      <c r="H26" s="318"/>
    </row>
    <row r="27" spans="1:8" hidden="1" x14ac:dyDescent="0.25">
      <c r="A27" s="294"/>
      <c r="B27" s="319"/>
      <c r="C27" s="319"/>
      <c r="D27" s="319"/>
      <c r="E27" s="319"/>
      <c r="F27" s="319"/>
      <c r="G27" s="319"/>
      <c r="H27" s="319"/>
    </row>
    <row r="28" spans="1:8" hidden="1" x14ac:dyDescent="0.25">
      <c r="A28" s="294"/>
      <c r="B28" s="316"/>
      <c r="C28" s="316"/>
      <c r="D28" s="316"/>
      <c r="E28" s="316"/>
      <c r="F28" s="316"/>
      <c r="G28" s="316"/>
      <c r="H28" s="316"/>
    </row>
    <row r="29" spans="1:8" hidden="1" x14ac:dyDescent="0.25">
      <c r="A29" s="294"/>
      <c r="B29" s="316"/>
      <c r="C29" s="316"/>
      <c r="D29" s="316"/>
      <c r="E29" s="316"/>
      <c r="F29" s="316"/>
      <c r="G29" s="316"/>
      <c r="H29" s="316"/>
    </row>
    <row r="30" spans="1:8" hidden="1" x14ac:dyDescent="0.25">
      <c r="A30" s="294"/>
      <c r="B30" s="316"/>
      <c r="C30" s="316"/>
      <c r="D30" s="316"/>
      <c r="E30" s="316"/>
      <c r="F30" s="316"/>
      <c r="G30" s="316"/>
      <c r="H30" s="316"/>
    </row>
    <row r="31" spans="1:8" hidden="1" x14ac:dyDescent="0.25">
      <c r="A31" s="294"/>
      <c r="B31" s="316"/>
      <c r="C31" s="316"/>
      <c r="D31" s="316"/>
      <c r="E31" s="316"/>
      <c r="F31" s="316"/>
      <c r="G31" s="316"/>
      <c r="H31" s="316"/>
    </row>
    <row r="32" spans="1:8" hidden="1" x14ac:dyDescent="0.25">
      <c r="A32" s="294"/>
      <c r="B32" s="317"/>
      <c r="C32" s="317"/>
      <c r="D32" s="317"/>
      <c r="E32" s="317"/>
      <c r="F32" s="317"/>
      <c r="G32" s="317"/>
      <c r="H32" s="317"/>
    </row>
    <row r="33" spans="1:8" hidden="1" x14ac:dyDescent="0.25">
      <c r="A33" s="294"/>
      <c r="B33" s="313"/>
      <c r="C33" s="313"/>
      <c r="D33" s="313"/>
      <c r="E33" s="313"/>
      <c r="F33" s="313"/>
      <c r="G33" s="313"/>
      <c r="H33" s="313"/>
    </row>
    <row r="34" spans="1:8" hidden="1" x14ac:dyDescent="0.25">
      <c r="A34" s="294"/>
      <c r="B34" s="313"/>
      <c r="C34" s="313"/>
      <c r="D34" s="313"/>
      <c r="E34" s="313"/>
      <c r="F34" s="313"/>
      <c r="G34" s="313"/>
      <c r="H34" s="313"/>
    </row>
    <row r="35" spans="1:8" hidden="1" x14ac:dyDescent="0.25">
      <c r="A35" s="294"/>
      <c r="B35" s="313"/>
      <c r="C35" s="313"/>
      <c r="D35" s="313"/>
      <c r="E35" s="313"/>
      <c r="F35" s="313"/>
      <c r="G35" s="313"/>
      <c r="H35" s="313"/>
    </row>
    <row r="36" spans="1:8" hidden="1" x14ac:dyDescent="0.25">
      <c r="A36" s="294"/>
      <c r="B36" s="313"/>
      <c r="C36" s="313"/>
      <c r="D36" s="313"/>
      <c r="E36" s="313"/>
      <c r="F36" s="313"/>
      <c r="G36" s="313"/>
      <c r="H36" s="313"/>
    </row>
    <row r="37" spans="1:8" x14ac:dyDescent="0.25">
      <c r="A37" s="294"/>
      <c r="B37" s="313"/>
      <c r="C37" s="313"/>
      <c r="D37" s="313"/>
      <c r="E37" s="313"/>
      <c r="F37" s="313"/>
      <c r="G37" s="313"/>
      <c r="H37" s="313"/>
    </row>
    <row r="38" spans="1:8" x14ac:dyDescent="0.25">
      <c r="A38" s="297" t="s">
        <v>489</v>
      </c>
      <c r="B38" s="298">
        <f>+B10+B11+B12+B13+B14+B15+B16+B17+B18+B19+B20+B21+B22+B23+B25+B28+B30+B29+B31</f>
        <v>0</v>
      </c>
      <c r="C38" s="298">
        <f t="shared" ref="C38:H38" si="1">+C10+C11+C12+C13+C14+C15+C16+C17+C18+C19+C20+C21+C22+C23+C25+C28+C30+C29+C31</f>
        <v>0</v>
      </c>
      <c r="D38" s="298">
        <f t="shared" si="1"/>
        <v>0</v>
      </c>
      <c r="E38" s="298">
        <f t="shared" si="1"/>
        <v>0</v>
      </c>
      <c r="F38" s="298">
        <f t="shared" si="1"/>
        <v>0</v>
      </c>
      <c r="G38" s="298">
        <f t="shared" si="1"/>
        <v>0</v>
      </c>
      <c r="H38" s="298">
        <f t="shared" si="1"/>
        <v>0</v>
      </c>
    </row>
    <row r="39" spans="1:8" x14ac:dyDescent="0.25">
      <c r="A39" s="297" t="s">
        <v>493</v>
      </c>
      <c r="B39" s="309" t="e">
        <f>+B38/B8</f>
        <v>#DIV/0!</v>
      </c>
      <c r="C39" s="309" t="e">
        <f t="shared" ref="C39:H39" si="2">+C38/C8</f>
        <v>#DIV/0!</v>
      </c>
      <c r="D39" s="309" t="e">
        <f t="shared" si="2"/>
        <v>#DIV/0!</v>
      </c>
      <c r="E39" s="309" t="e">
        <f t="shared" si="2"/>
        <v>#DIV/0!</v>
      </c>
      <c r="F39" s="309" t="e">
        <f t="shared" si="2"/>
        <v>#DIV/0!</v>
      </c>
      <c r="G39" s="309" t="e">
        <f t="shared" si="2"/>
        <v>#DIV/0!</v>
      </c>
      <c r="H39" s="309" t="e">
        <f t="shared" si="2"/>
        <v>#DIV/0!</v>
      </c>
    </row>
    <row r="40" spans="1:8" x14ac:dyDescent="0.25">
      <c r="A40" s="249"/>
      <c r="B40" s="283"/>
      <c r="C40" s="283"/>
      <c r="D40" s="283"/>
      <c r="E40" s="283"/>
      <c r="F40" s="283"/>
      <c r="G40" s="283"/>
      <c r="H40" s="283"/>
    </row>
    <row r="41" spans="1:8" x14ac:dyDescent="0.25">
      <c r="A41" s="249"/>
      <c r="B41" s="283"/>
      <c r="C41" s="283"/>
      <c r="D41" s="283"/>
      <c r="E41" s="283"/>
      <c r="F41" s="283"/>
      <c r="G41" s="283"/>
      <c r="H41" s="283"/>
    </row>
    <row r="69" spans="2:8" x14ac:dyDescent="0.25">
      <c r="B69" s="239"/>
      <c r="C69" s="239"/>
      <c r="D69" s="239"/>
      <c r="E69" s="239"/>
      <c r="F69" s="239"/>
      <c r="G69" s="239"/>
      <c r="H69" s="239"/>
    </row>
    <row r="70" spans="2:8" x14ac:dyDescent="0.25">
      <c r="B70" s="267"/>
      <c r="C70" s="267"/>
      <c r="D70" s="267"/>
      <c r="E70" s="267"/>
      <c r="F70" s="267"/>
      <c r="G70" s="267"/>
      <c r="H70" s="267"/>
    </row>
    <row r="71" spans="2:8" x14ac:dyDescent="0.25">
      <c r="B71" s="267"/>
      <c r="C71" s="267"/>
      <c r="D71" s="267"/>
      <c r="E71" s="267"/>
      <c r="F71" s="267"/>
      <c r="G71" s="267"/>
      <c r="H71" s="267"/>
    </row>
    <row r="72" spans="2:8" x14ac:dyDescent="0.25">
      <c r="B72" s="267"/>
      <c r="C72" s="267"/>
      <c r="D72" s="267"/>
      <c r="E72" s="267"/>
      <c r="F72" s="267"/>
      <c r="G72" s="267"/>
      <c r="H72" s="267"/>
    </row>
    <row r="73" spans="2:8" x14ac:dyDescent="0.25">
      <c r="B73" s="267"/>
      <c r="C73" s="267"/>
      <c r="D73" s="267"/>
      <c r="E73" s="267"/>
      <c r="F73" s="267"/>
      <c r="G73" s="267"/>
      <c r="H73" s="267"/>
    </row>
    <row r="74" spans="2:8" x14ac:dyDescent="0.25">
      <c r="B74" s="267"/>
      <c r="C74" s="267"/>
      <c r="D74" s="267"/>
      <c r="E74" s="267"/>
      <c r="F74" s="267"/>
      <c r="G74" s="267"/>
      <c r="H74" s="267"/>
    </row>
    <row r="75" spans="2:8" x14ac:dyDescent="0.25">
      <c r="B75" s="267"/>
      <c r="C75" s="267"/>
      <c r="D75" s="267"/>
      <c r="E75" s="267"/>
      <c r="F75" s="267"/>
      <c r="G75" s="267"/>
      <c r="H75" s="267"/>
    </row>
    <row r="76" spans="2:8" x14ac:dyDescent="0.25">
      <c r="B76" s="267"/>
      <c r="C76" s="267"/>
      <c r="D76" s="267"/>
      <c r="E76" s="267"/>
      <c r="F76" s="267"/>
      <c r="G76" s="267"/>
      <c r="H76" s="267"/>
    </row>
    <row r="77" spans="2:8" x14ac:dyDescent="0.25">
      <c r="B77" s="267"/>
      <c r="C77" s="267"/>
      <c r="D77" s="267"/>
      <c r="E77" s="267"/>
      <c r="F77" s="267"/>
      <c r="G77" s="267"/>
      <c r="H77" s="267"/>
    </row>
    <row r="78" spans="2:8" x14ac:dyDescent="0.25">
      <c r="B78" s="267"/>
      <c r="C78" s="267"/>
      <c r="D78" s="267"/>
      <c r="E78" s="267"/>
      <c r="F78" s="267"/>
      <c r="G78" s="267"/>
      <c r="H78" s="267"/>
    </row>
    <row r="79" spans="2:8" x14ac:dyDescent="0.25">
      <c r="B79" s="267"/>
      <c r="C79" s="267"/>
      <c r="D79" s="267"/>
      <c r="E79" s="267"/>
      <c r="F79" s="267"/>
      <c r="G79" s="267"/>
      <c r="H79" s="267"/>
    </row>
    <row r="80" spans="2:8" x14ac:dyDescent="0.25">
      <c r="B80" s="267"/>
      <c r="C80" s="267"/>
      <c r="D80" s="267"/>
      <c r="E80" s="267"/>
      <c r="F80" s="267"/>
      <c r="G80" s="267"/>
      <c r="H80" s="267"/>
    </row>
    <row r="81" spans="2:8" x14ac:dyDescent="0.25">
      <c r="B81" s="267"/>
      <c r="C81" s="267"/>
      <c r="D81" s="267"/>
      <c r="E81" s="267"/>
      <c r="F81" s="267"/>
      <c r="G81" s="267"/>
      <c r="H81" s="267"/>
    </row>
  </sheetData>
  <pageMargins left="0.47244094488188981" right="0.19685039370078741" top="0.59055118110236227" bottom="0.31496062992125984" header="0.23622047244094491" footer="0.19685039370078741"/>
  <pageSetup paperSize="9" scale="85" orientation="portrait" r:id="rId1"/>
  <headerFooter>
    <oddHeader>&amp;L&amp;D
&amp;T&amp;R&amp;P/&amp;N</oddHeader>
    <oddFooter>&amp;L&amp;7Document non contractuel
Charges personnelles de l'exploitant non inclus
Les chiffres et les informations ci-dessus sont données à titre indicatifs et restent à être validés par un Expert Comptable
&amp;R&amp;P/&amp;N
&amp;D--&amp;T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  <pageSetUpPr fitToPage="1"/>
  </sheetPr>
  <dimension ref="A1:H81"/>
  <sheetViews>
    <sheetView workbookViewId="0">
      <selection activeCell="E17" sqref="E17"/>
    </sheetView>
  </sheetViews>
  <sheetFormatPr baseColWidth="10" defaultRowHeight="13.2" x14ac:dyDescent="0.25"/>
  <cols>
    <col min="1" max="1" width="24.6640625" bestFit="1" customWidth="1"/>
    <col min="2" max="8" width="13" bestFit="1" customWidth="1"/>
    <col min="9" max="9" width="11.88671875" customWidth="1"/>
  </cols>
  <sheetData>
    <row r="1" spans="1:8" x14ac:dyDescent="0.25">
      <c r="A1" s="146" t="s">
        <v>52</v>
      </c>
    </row>
    <row r="3" spans="1:8" x14ac:dyDescent="0.25">
      <c r="A3" s="270" t="s">
        <v>412</v>
      </c>
      <c r="B3" s="182">
        <f>+'A SAISIR'!G6</f>
        <v>0</v>
      </c>
    </row>
    <row r="4" spans="1:8" x14ac:dyDescent="0.25">
      <c r="B4">
        <f>+'A SAISIR'!G7</f>
        <v>0</v>
      </c>
    </row>
    <row r="5" spans="1:8" x14ac:dyDescent="0.25">
      <c r="B5" s="249"/>
    </row>
    <row r="6" spans="1:8" x14ac:dyDescent="0.25">
      <c r="A6" s="223"/>
      <c r="B6" s="269" t="s">
        <v>283</v>
      </c>
      <c r="C6" s="269" t="s">
        <v>284</v>
      </c>
      <c r="D6" s="269" t="s">
        <v>285</v>
      </c>
      <c r="E6" s="269" t="s">
        <v>286</v>
      </c>
      <c r="F6" s="269" t="s">
        <v>287</v>
      </c>
      <c r="G6" s="269" t="s">
        <v>288</v>
      </c>
      <c r="H6" s="269" t="s">
        <v>289</v>
      </c>
    </row>
    <row r="7" spans="1:8" x14ac:dyDescent="0.25">
      <c r="A7" s="260"/>
      <c r="B7" s="198"/>
      <c r="C7" s="198"/>
      <c r="D7" s="198"/>
      <c r="E7" s="198"/>
      <c r="F7" s="198"/>
      <c r="G7" s="198"/>
      <c r="H7" s="198"/>
    </row>
    <row r="8" spans="1:8" x14ac:dyDescent="0.25">
      <c r="A8" s="277" t="s">
        <v>137</v>
      </c>
      <c r="B8" s="181">
        <f>+'ca marge in'!B8</f>
        <v>0</v>
      </c>
      <c r="C8" s="181">
        <f>+'ca marge in'!C8</f>
        <v>0</v>
      </c>
      <c r="D8" s="181">
        <f>+'ca marge in'!D8</f>
        <v>0</v>
      </c>
      <c r="E8" s="181">
        <f>+'ca marge in'!E8</f>
        <v>0</v>
      </c>
      <c r="F8" s="181">
        <f>+'ca marge in'!F8</f>
        <v>0</v>
      </c>
      <c r="G8" s="181">
        <f>+'ca marge in'!G8</f>
        <v>0</v>
      </c>
      <c r="H8" s="181">
        <f>+'ca marge in'!H8</f>
        <v>0</v>
      </c>
    </row>
    <row r="9" spans="1:8" x14ac:dyDescent="0.25">
      <c r="A9" s="294"/>
      <c r="B9" s="310"/>
      <c r="C9" s="310"/>
      <c r="D9" s="310"/>
      <c r="E9" s="310"/>
      <c r="F9" s="310"/>
      <c r="G9" s="310"/>
      <c r="H9" s="310"/>
    </row>
    <row r="10" spans="1:8" x14ac:dyDescent="0.25">
      <c r="A10" s="294" t="s">
        <v>52</v>
      </c>
      <c r="B10" s="316">
        <f>+'A SAISIR'!F99</f>
        <v>0</v>
      </c>
      <c r="C10" s="316">
        <f>+'A SAISIR'!G99</f>
        <v>0</v>
      </c>
      <c r="D10" s="316">
        <f>+'A SAISIR'!H99</f>
        <v>0</v>
      </c>
      <c r="E10" s="316">
        <f>+'A SAISIR'!I99</f>
        <v>0</v>
      </c>
      <c r="F10" s="316">
        <f>+'A SAISIR'!J99</f>
        <v>0</v>
      </c>
      <c r="G10" s="316">
        <f>+'A SAISIR'!K99</f>
        <v>0</v>
      </c>
      <c r="H10" s="316">
        <f>+'A SAISIR'!L99</f>
        <v>0</v>
      </c>
    </row>
    <row r="11" spans="1:8" x14ac:dyDescent="0.25">
      <c r="A11" s="321"/>
      <c r="B11" s="316"/>
      <c r="C11" s="316"/>
      <c r="D11" s="316"/>
      <c r="E11" s="316"/>
      <c r="F11" s="316"/>
      <c r="G11" s="316"/>
      <c r="H11" s="316"/>
    </row>
    <row r="12" spans="1:8" x14ac:dyDescent="0.25">
      <c r="A12" s="294"/>
      <c r="B12" s="316"/>
      <c r="C12" s="316"/>
      <c r="D12" s="316"/>
      <c r="E12" s="316"/>
      <c r="F12" s="316"/>
      <c r="G12" s="316"/>
      <c r="H12" s="316"/>
    </row>
    <row r="13" spans="1:8" hidden="1" x14ac:dyDescent="0.25">
      <c r="A13" s="294"/>
      <c r="B13" s="316"/>
      <c r="C13" s="316"/>
      <c r="D13" s="316"/>
      <c r="E13" s="316"/>
      <c r="F13" s="316"/>
      <c r="G13" s="316"/>
      <c r="H13" s="316"/>
    </row>
    <row r="14" spans="1:8" hidden="1" x14ac:dyDescent="0.25">
      <c r="A14" s="294"/>
      <c r="B14" s="316"/>
      <c r="C14" s="316"/>
      <c r="D14" s="316"/>
      <c r="E14" s="316"/>
      <c r="F14" s="316"/>
      <c r="G14" s="316"/>
      <c r="H14" s="316"/>
    </row>
    <row r="15" spans="1:8" hidden="1" x14ac:dyDescent="0.25">
      <c r="A15" s="294"/>
      <c r="B15" s="316"/>
      <c r="C15" s="316"/>
      <c r="D15" s="316"/>
      <c r="E15" s="316"/>
      <c r="F15" s="316"/>
      <c r="G15" s="316"/>
      <c r="H15" s="316"/>
    </row>
    <row r="16" spans="1:8" hidden="1" x14ac:dyDescent="0.25">
      <c r="A16" s="294"/>
      <c r="B16" s="316"/>
      <c r="C16" s="316"/>
      <c r="D16" s="316"/>
      <c r="E16" s="316"/>
      <c r="F16" s="316"/>
      <c r="G16" s="316"/>
      <c r="H16" s="316"/>
    </row>
    <row r="17" spans="1:8" hidden="1" x14ac:dyDescent="0.25">
      <c r="A17" s="294"/>
      <c r="B17" s="316"/>
      <c r="C17" s="316"/>
      <c r="D17" s="316"/>
      <c r="E17" s="316"/>
      <c r="F17" s="316"/>
      <c r="G17" s="316"/>
      <c r="H17" s="316"/>
    </row>
    <row r="18" spans="1:8" hidden="1" x14ac:dyDescent="0.25">
      <c r="A18" s="294"/>
      <c r="B18" s="316"/>
      <c r="C18" s="316"/>
      <c r="D18" s="316"/>
      <c r="E18" s="316"/>
      <c r="F18" s="316"/>
      <c r="G18" s="316"/>
      <c r="H18" s="316"/>
    </row>
    <row r="19" spans="1:8" hidden="1" x14ac:dyDescent="0.25">
      <c r="A19" s="294"/>
      <c r="B19" s="316"/>
      <c r="C19" s="316"/>
      <c r="D19" s="316"/>
      <c r="E19" s="316"/>
      <c r="F19" s="316"/>
      <c r="G19" s="316"/>
      <c r="H19" s="316"/>
    </row>
    <row r="20" spans="1:8" hidden="1" x14ac:dyDescent="0.25">
      <c r="A20" s="294"/>
      <c r="B20" s="316"/>
      <c r="C20" s="316"/>
      <c r="D20" s="316"/>
      <c r="E20" s="316"/>
      <c r="F20" s="316"/>
      <c r="G20" s="316"/>
      <c r="H20" s="316"/>
    </row>
    <row r="21" spans="1:8" hidden="1" x14ac:dyDescent="0.25">
      <c r="A21" s="294"/>
      <c r="B21" s="316"/>
      <c r="C21" s="316"/>
      <c r="D21" s="316"/>
      <c r="E21" s="316"/>
      <c r="F21" s="316"/>
      <c r="G21" s="316"/>
      <c r="H21" s="316"/>
    </row>
    <row r="22" spans="1:8" hidden="1" x14ac:dyDescent="0.25">
      <c r="A22" s="294"/>
      <c r="B22" s="316"/>
      <c r="C22" s="316"/>
      <c r="D22" s="316"/>
      <c r="E22" s="316"/>
      <c r="F22" s="316"/>
      <c r="G22" s="316"/>
      <c r="H22" s="316"/>
    </row>
    <row r="23" spans="1:8" hidden="1" x14ac:dyDescent="0.25">
      <c r="A23" s="294"/>
      <c r="B23" s="316"/>
      <c r="C23" s="316"/>
      <c r="D23" s="316"/>
      <c r="E23" s="316"/>
      <c r="F23" s="316"/>
      <c r="G23" s="316"/>
      <c r="H23" s="316"/>
    </row>
    <row r="24" spans="1:8" hidden="1" x14ac:dyDescent="0.25">
      <c r="A24" s="294"/>
      <c r="B24" s="317"/>
      <c r="C24" s="317"/>
      <c r="D24" s="317"/>
      <c r="E24" s="317"/>
      <c r="F24" s="317"/>
      <c r="G24" s="317"/>
      <c r="H24" s="317"/>
    </row>
    <row r="25" spans="1:8" hidden="1" x14ac:dyDescent="0.25">
      <c r="A25" s="294"/>
      <c r="B25" s="316"/>
      <c r="C25" s="316"/>
      <c r="D25" s="316"/>
      <c r="E25" s="316"/>
      <c r="F25" s="316"/>
      <c r="G25" s="316"/>
      <c r="H25" s="316"/>
    </row>
    <row r="26" spans="1:8" hidden="1" x14ac:dyDescent="0.25">
      <c r="A26" s="294"/>
      <c r="B26" s="318"/>
      <c r="C26" s="318"/>
      <c r="D26" s="318"/>
      <c r="E26" s="318"/>
      <c r="F26" s="318"/>
      <c r="G26" s="318"/>
      <c r="H26" s="318"/>
    </row>
    <row r="27" spans="1:8" hidden="1" x14ac:dyDescent="0.25">
      <c r="A27" s="294"/>
      <c r="B27" s="319"/>
      <c r="C27" s="319"/>
      <c r="D27" s="319"/>
      <c r="E27" s="319"/>
      <c r="F27" s="319"/>
      <c r="G27" s="319"/>
      <c r="H27" s="319"/>
    </row>
    <row r="28" spans="1:8" hidden="1" x14ac:dyDescent="0.25">
      <c r="A28" s="294"/>
      <c r="B28" s="316"/>
      <c r="C28" s="316"/>
      <c r="D28" s="316"/>
      <c r="E28" s="316"/>
      <c r="F28" s="316"/>
      <c r="G28" s="316"/>
      <c r="H28" s="316"/>
    </row>
    <row r="29" spans="1:8" hidden="1" x14ac:dyDescent="0.25">
      <c r="A29" s="294"/>
      <c r="B29" s="316"/>
      <c r="C29" s="316"/>
      <c r="D29" s="316"/>
      <c r="E29" s="316"/>
      <c r="F29" s="316"/>
      <c r="G29" s="316"/>
      <c r="H29" s="316"/>
    </row>
    <row r="30" spans="1:8" hidden="1" x14ac:dyDescent="0.25">
      <c r="A30" s="294"/>
      <c r="B30" s="316"/>
      <c r="C30" s="316"/>
      <c r="D30" s="316"/>
      <c r="E30" s="316"/>
      <c r="F30" s="316"/>
      <c r="G30" s="316"/>
      <c r="H30" s="316"/>
    </row>
    <row r="31" spans="1:8" hidden="1" x14ac:dyDescent="0.25">
      <c r="A31" s="294"/>
      <c r="B31" s="316"/>
      <c r="C31" s="316"/>
      <c r="D31" s="316"/>
      <c r="E31" s="316"/>
      <c r="F31" s="316"/>
      <c r="G31" s="316"/>
      <c r="H31" s="316"/>
    </row>
    <row r="32" spans="1:8" hidden="1" x14ac:dyDescent="0.25">
      <c r="A32" s="294"/>
      <c r="B32" s="317"/>
      <c r="C32" s="317"/>
      <c r="D32" s="317"/>
      <c r="E32" s="317"/>
      <c r="F32" s="317"/>
      <c r="G32" s="317"/>
      <c r="H32" s="317"/>
    </row>
    <row r="33" spans="1:8" hidden="1" x14ac:dyDescent="0.25">
      <c r="A33" s="294"/>
      <c r="B33" s="313"/>
      <c r="C33" s="313"/>
      <c r="D33" s="313"/>
      <c r="E33" s="313"/>
      <c r="F33" s="313"/>
      <c r="G33" s="313"/>
      <c r="H33" s="313"/>
    </row>
    <row r="34" spans="1:8" hidden="1" x14ac:dyDescent="0.25">
      <c r="A34" s="294"/>
      <c r="B34" s="313"/>
      <c r="C34" s="313"/>
      <c r="D34" s="313"/>
      <c r="E34" s="313"/>
      <c r="F34" s="313"/>
      <c r="G34" s="313"/>
      <c r="H34" s="313"/>
    </row>
    <row r="35" spans="1:8" hidden="1" x14ac:dyDescent="0.25">
      <c r="A35" s="294"/>
      <c r="B35" s="313"/>
      <c r="C35" s="313"/>
      <c r="D35" s="313"/>
      <c r="E35" s="313"/>
      <c r="F35" s="313"/>
      <c r="G35" s="313"/>
      <c r="H35" s="313"/>
    </row>
    <row r="36" spans="1:8" hidden="1" x14ac:dyDescent="0.25">
      <c r="A36" s="294"/>
      <c r="B36" s="313"/>
      <c r="C36" s="313"/>
      <c r="D36" s="313"/>
      <c r="E36" s="313"/>
      <c r="F36" s="313"/>
      <c r="G36" s="313"/>
      <c r="H36" s="313"/>
    </row>
    <row r="37" spans="1:8" x14ac:dyDescent="0.25">
      <c r="A37" s="294"/>
      <c r="B37" s="313"/>
      <c r="C37" s="313"/>
      <c r="D37" s="313"/>
      <c r="E37" s="313"/>
      <c r="F37" s="313"/>
      <c r="G37" s="313"/>
      <c r="H37" s="313"/>
    </row>
    <row r="38" spans="1:8" x14ac:dyDescent="0.25">
      <c r="A38" s="297" t="s">
        <v>489</v>
      </c>
      <c r="B38" s="298">
        <f>+B10+B11+B12+B13+B14+B15+B16+B17+B18+B19+B20+B21+B22+B23+B25+B28+B30+B29+B31</f>
        <v>0</v>
      </c>
      <c r="C38" s="298">
        <f t="shared" ref="C38:H38" si="0">+C10+C11+C12+C13+C14+C15+C16+C17+C18+C19+C20+C21+C22+C23+C25+C28+C30+C29+C31</f>
        <v>0</v>
      </c>
      <c r="D38" s="298">
        <f t="shared" si="0"/>
        <v>0</v>
      </c>
      <c r="E38" s="298">
        <f t="shared" si="0"/>
        <v>0</v>
      </c>
      <c r="F38" s="298">
        <f t="shared" si="0"/>
        <v>0</v>
      </c>
      <c r="G38" s="298">
        <f t="shared" si="0"/>
        <v>0</v>
      </c>
      <c r="H38" s="298">
        <f t="shared" si="0"/>
        <v>0</v>
      </c>
    </row>
    <row r="39" spans="1:8" x14ac:dyDescent="0.25">
      <c r="A39" s="297" t="s">
        <v>493</v>
      </c>
      <c r="B39" s="309" t="e">
        <f>+B38/B8</f>
        <v>#DIV/0!</v>
      </c>
      <c r="C39" s="309" t="e">
        <f t="shared" ref="C39:H39" si="1">+C38/C8</f>
        <v>#DIV/0!</v>
      </c>
      <c r="D39" s="309" t="e">
        <f t="shared" si="1"/>
        <v>#DIV/0!</v>
      </c>
      <c r="E39" s="309" t="e">
        <f t="shared" si="1"/>
        <v>#DIV/0!</v>
      </c>
      <c r="F39" s="309" t="e">
        <f t="shared" si="1"/>
        <v>#DIV/0!</v>
      </c>
      <c r="G39" s="309" t="e">
        <f t="shared" si="1"/>
        <v>#DIV/0!</v>
      </c>
      <c r="H39" s="309" t="e">
        <f t="shared" si="1"/>
        <v>#DIV/0!</v>
      </c>
    </row>
    <row r="40" spans="1:8" x14ac:dyDescent="0.25">
      <c r="A40" s="249"/>
      <c r="B40" s="283"/>
      <c r="C40" s="283"/>
      <c r="D40" s="283"/>
      <c r="E40" s="283"/>
      <c r="F40" s="283"/>
      <c r="G40" s="283"/>
      <c r="H40" s="283"/>
    </row>
    <row r="41" spans="1:8" x14ac:dyDescent="0.25">
      <c r="A41" s="249"/>
      <c r="B41" s="283"/>
      <c r="C41" s="283"/>
      <c r="D41" s="283"/>
      <c r="E41" s="283"/>
      <c r="F41" s="283"/>
      <c r="G41" s="283"/>
      <c r="H41" s="283"/>
    </row>
    <row r="69" spans="2:8" x14ac:dyDescent="0.25">
      <c r="B69" s="239"/>
      <c r="C69" s="239"/>
      <c r="D69" s="239"/>
      <c r="E69" s="239"/>
      <c r="F69" s="239"/>
      <c r="G69" s="239"/>
      <c r="H69" s="239"/>
    </row>
    <row r="70" spans="2:8" x14ac:dyDescent="0.25">
      <c r="B70" s="267"/>
      <c r="C70" s="267"/>
      <c r="D70" s="267"/>
      <c r="E70" s="267"/>
      <c r="F70" s="267"/>
      <c r="G70" s="267"/>
      <c r="H70" s="267"/>
    </row>
    <row r="71" spans="2:8" x14ac:dyDescent="0.25">
      <c r="B71" s="267"/>
      <c r="C71" s="267"/>
      <c r="D71" s="267"/>
      <c r="E71" s="267"/>
      <c r="F71" s="267"/>
      <c r="G71" s="267"/>
      <c r="H71" s="267"/>
    </row>
    <row r="72" spans="2:8" x14ac:dyDescent="0.25">
      <c r="B72" s="267"/>
      <c r="C72" s="267"/>
      <c r="D72" s="267"/>
      <c r="E72" s="267"/>
      <c r="F72" s="267"/>
      <c r="G72" s="267"/>
      <c r="H72" s="267"/>
    </row>
    <row r="73" spans="2:8" x14ac:dyDescent="0.25">
      <c r="B73" s="267"/>
      <c r="C73" s="267"/>
      <c r="D73" s="267"/>
      <c r="E73" s="267"/>
      <c r="F73" s="267"/>
      <c r="G73" s="267"/>
      <c r="H73" s="267"/>
    </row>
    <row r="74" spans="2:8" x14ac:dyDescent="0.25">
      <c r="B74" s="267"/>
      <c r="C74" s="267"/>
      <c r="D74" s="267"/>
      <c r="E74" s="267"/>
      <c r="F74" s="267"/>
      <c r="G74" s="267"/>
      <c r="H74" s="267"/>
    </row>
    <row r="75" spans="2:8" x14ac:dyDescent="0.25">
      <c r="B75" s="267"/>
      <c r="C75" s="267"/>
      <c r="D75" s="267"/>
      <c r="E75" s="267"/>
      <c r="F75" s="267"/>
      <c r="G75" s="267"/>
      <c r="H75" s="267"/>
    </row>
    <row r="76" spans="2:8" x14ac:dyDescent="0.25">
      <c r="B76" s="267"/>
      <c r="C76" s="267"/>
      <c r="D76" s="267"/>
      <c r="E76" s="267"/>
      <c r="F76" s="267"/>
      <c r="G76" s="267"/>
      <c r="H76" s="267"/>
    </row>
    <row r="77" spans="2:8" x14ac:dyDescent="0.25">
      <c r="B77" s="267"/>
      <c r="C77" s="267"/>
      <c r="D77" s="267"/>
      <c r="E77" s="267"/>
      <c r="F77" s="267"/>
      <c r="G77" s="267"/>
      <c r="H77" s="267"/>
    </row>
    <row r="78" spans="2:8" x14ac:dyDescent="0.25">
      <c r="B78" s="267"/>
      <c r="C78" s="267"/>
      <c r="D78" s="267"/>
      <c r="E78" s="267"/>
      <c r="F78" s="267"/>
      <c r="G78" s="267"/>
      <c r="H78" s="267"/>
    </row>
    <row r="79" spans="2:8" x14ac:dyDescent="0.25">
      <c r="B79" s="267"/>
      <c r="C79" s="267"/>
      <c r="D79" s="267"/>
      <c r="E79" s="267"/>
      <c r="F79" s="267"/>
      <c r="G79" s="267"/>
      <c r="H79" s="267"/>
    </row>
    <row r="80" spans="2:8" x14ac:dyDescent="0.25">
      <c r="B80" s="267"/>
      <c r="C80" s="267"/>
      <c r="D80" s="267"/>
      <c r="E80" s="267"/>
      <c r="F80" s="267"/>
      <c r="G80" s="267"/>
      <c r="H80" s="267"/>
    </row>
    <row r="81" spans="2:8" x14ac:dyDescent="0.25">
      <c r="B81" s="267"/>
      <c r="C81" s="267"/>
      <c r="D81" s="267"/>
      <c r="E81" s="267"/>
      <c r="F81" s="267"/>
      <c r="G81" s="267"/>
      <c r="H81" s="267"/>
    </row>
  </sheetData>
  <pageMargins left="0.47244094488188981" right="0.19685039370078741" top="0.59055118110236227" bottom="0.31496062992125984" header="0.23622047244094491" footer="0.19685039370078741"/>
  <pageSetup paperSize="9" scale="85" orientation="portrait" r:id="rId1"/>
  <headerFooter>
    <oddHeader>&amp;L&amp;D
&amp;T&amp;R&amp;P/&amp;N</oddHeader>
    <oddFooter>&amp;L&amp;7Document non contractuel
Charges personnelles de l'exploitant non inclus
Les chiffres et les informations ci-dessus sont données à titre indicatifs et restent à être validés par un Expert Comptable
&amp;R&amp;P/&amp;N
&amp;D--&amp;T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  <pageSetUpPr fitToPage="1"/>
  </sheetPr>
  <dimension ref="A1:H81"/>
  <sheetViews>
    <sheetView workbookViewId="0">
      <selection activeCell="E17" sqref="E17"/>
    </sheetView>
  </sheetViews>
  <sheetFormatPr baseColWidth="10" defaultRowHeight="13.2" x14ac:dyDescent="0.25"/>
  <cols>
    <col min="1" max="1" width="24.6640625" bestFit="1" customWidth="1"/>
    <col min="2" max="8" width="13" bestFit="1" customWidth="1"/>
    <col min="9" max="9" width="11.88671875" customWidth="1"/>
  </cols>
  <sheetData>
    <row r="1" spans="1:8" x14ac:dyDescent="0.25">
      <c r="A1" s="146" t="s">
        <v>502</v>
      </c>
    </row>
    <row r="3" spans="1:8" x14ac:dyDescent="0.25">
      <c r="A3" s="270" t="s">
        <v>412</v>
      </c>
      <c r="B3" s="182">
        <f>+'A SAISIR'!G6</f>
        <v>0</v>
      </c>
    </row>
    <row r="4" spans="1:8" x14ac:dyDescent="0.25">
      <c r="B4">
        <f>+'A SAISIR'!G7</f>
        <v>0</v>
      </c>
    </row>
    <row r="5" spans="1:8" x14ac:dyDescent="0.25">
      <c r="B5" s="249"/>
    </row>
    <row r="6" spans="1:8" x14ac:dyDescent="0.25">
      <c r="A6" s="223"/>
      <c r="B6" s="269" t="s">
        <v>283</v>
      </c>
      <c r="C6" s="269" t="s">
        <v>284</v>
      </c>
      <c r="D6" s="269" t="s">
        <v>285</v>
      </c>
      <c r="E6" s="269" t="s">
        <v>286</v>
      </c>
      <c r="F6" s="269" t="s">
        <v>287</v>
      </c>
      <c r="G6" s="269" t="s">
        <v>288</v>
      </c>
      <c r="H6" s="269" t="s">
        <v>289</v>
      </c>
    </row>
    <row r="7" spans="1:8" x14ac:dyDescent="0.25">
      <c r="A7" s="260"/>
      <c r="B7" s="198"/>
      <c r="C7" s="198"/>
      <c r="D7" s="198"/>
      <c r="E7" s="198"/>
      <c r="F7" s="198"/>
      <c r="G7" s="198"/>
      <c r="H7" s="198"/>
    </row>
    <row r="8" spans="1:8" x14ac:dyDescent="0.25">
      <c r="A8" s="277" t="s">
        <v>137</v>
      </c>
      <c r="B8" s="181">
        <f>+'ca marge in'!B8</f>
        <v>0</v>
      </c>
      <c r="C8" s="181">
        <f>+'ca marge in'!C8</f>
        <v>0</v>
      </c>
      <c r="D8" s="181">
        <f>+'ca marge in'!D8</f>
        <v>0</v>
      </c>
      <c r="E8" s="181">
        <f>+'ca marge in'!E8</f>
        <v>0</v>
      </c>
      <c r="F8" s="181">
        <f>+'ca marge in'!F8</f>
        <v>0</v>
      </c>
      <c r="G8" s="181">
        <f>+'ca marge in'!G8</f>
        <v>0</v>
      </c>
      <c r="H8" s="181">
        <f>+'ca marge in'!H8</f>
        <v>0</v>
      </c>
    </row>
    <row r="9" spans="1:8" x14ac:dyDescent="0.25">
      <c r="A9" s="294"/>
      <c r="B9" s="310"/>
      <c r="C9" s="310"/>
      <c r="D9" s="310"/>
      <c r="E9" s="310"/>
      <c r="F9" s="310"/>
      <c r="G9" s="310"/>
      <c r="H9" s="310"/>
    </row>
    <row r="10" spans="1:8" x14ac:dyDescent="0.25">
      <c r="A10" s="294"/>
      <c r="B10" s="316"/>
      <c r="C10" s="316"/>
      <c r="D10" s="316"/>
      <c r="E10" s="316"/>
      <c r="F10" s="316"/>
      <c r="G10" s="316"/>
      <c r="H10" s="316"/>
    </row>
    <row r="11" spans="1:8" x14ac:dyDescent="0.25">
      <c r="A11" s="202" t="s">
        <v>355</v>
      </c>
      <c r="B11" s="316">
        <f>+'A SAISIR'!F88</f>
        <v>0</v>
      </c>
      <c r="C11" s="316">
        <f>+'A SAISIR'!G88</f>
        <v>0</v>
      </c>
      <c r="D11" s="316">
        <f>+'A SAISIR'!H88</f>
        <v>0</v>
      </c>
      <c r="E11" s="316">
        <f>+'A SAISIR'!I88</f>
        <v>0</v>
      </c>
      <c r="F11" s="316">
        <f>+'A SAISIR'!J88</f>
        <v>0</v>
      </c>
      <c r="G11" s="316">
        <f>+'A SAISIR'!K88</f>
        <v>0</v>
      </c>
      <c r="H11" s="316">
        <f>+'A SAISIR'!L88</f>
        <v>0</v>
      </c>
    </row>
    <row r="12" spans="1:8" x14ac:dyDescent="0.25">
      <c r="A12" s="202" t="s">
        <v>356</v>
      </c>
      <c r="B12" s="322">
        <f>+'A SAISIR'!F89</f>
        <v>0</v>
      </c>
      <c r="C12" s="316">
        <f>+'A SAISIR'!G89</f>
        <v>0</v>
      </c>
      <c r="D12" s="316">
        <f>+'A SAISIR'!H89</f>
        <v>0</v>
      </c>
      <c r="E12" s="316">
        <f>+'A SAISIR'!I89</f>
        <v>0</v>
      </c>
      <c r="F12" s="316">
        <f>+'A SAISIR'!J89</f>
        <v>0</v>
      </c>
      <c r="G12" s="316">
        <f>+'A SAISIR'!K89</f>
        <v>0</v>
      </c>
      <c r="H12" s="316">
        <f>+'A SAISIR'!L89</f>
        <v>0</v>
      </c>
    </row>
    <row r="13" spans="1:8" x14ac:dyDescent="0.25">
      <c r="A13" s="202" t="s">
        <v>357</v>
      </c>
      <c r="B13" s="316">
        <f>+'A SAISIR'!F90</f>
        <v>0</v>
      </c>
      <c r="C13" s="316">
        <f>+'A SAISIR'!G90</f>
        <v>0</v>
      </c>
      <c r="D13" s="316">
        <f>+'A SAISIR'!H90</f>
        <v>0</v>
      </c>
      <c r="E13" s="316">
        <f>+'A SAISIR'!I90</f>
        <v>0</v>
      </c>
      <c r="F13" s="316">
        <f>+'A SAISIR'!J90</f>
        <v>0</v>
      </c>
      <c r="G13" s="316">
        <f>+'A SAISIR'!K90</f>
        <v>0</v>
      </c>
      <c r="H13" s="316">
        <f>+'A SAISIR'!L90</f>
        <v>0</v>
      </c>
    </row>
    <row r="14" spans="1:8" x14ac:dyDescent="0.25">
      <c r="A14" s="202" t="s">
        <v>358</v>
      </c>
      <c r="B14" s="323">
        <f>+'A SAISIR'!F91</f>
        <v>0</v>
      </c>
      <c r="C14" s="316">
        <f>+'A SAISIR'!G91</f>
        <v>0</v>
      </c>
      <c r="D14" s="316">
        <f>+'A SAISIR'!H91</f>
        <v>0</v>
      </c>
      <c r="E14" s="316">
        <f>+'A SAISIR'!I91</f>
        <v>0</v>
      </c>
      <c r="F14" s="316">
        <f>+'A SAISIR'!J91</f>
        <v>0</v>
      </c>
      <c r="G14" s="316">
        <f>+'A SAISIR'!K91</f>
        <v>0</v>
      </c>
      <c r="H14" s="316">
        <f>+'A SAISIR'!L91</f>
        <v>0</v>
      </c>
    </row>
    <row r="15" spans="1:8" x14ac:dyDescent="0.25">
      <c r="A15" s="202" t="s">
        <v>361</v>
      </c>
      <c r="B15" s="316" t="e">
        <f>+'A SAISIR'!F92</f>
        <v>#NUM!</v>
      </c>
      <c r="C15" s="316" t="e">
        <f>+'A SAISIR'!G92</f>
        <v>#NUM!</v>
      </c>
      <c r="D15" s="316" t="e">
        <f>+'A SAISIR'!H92</f>
        <v>#NUM!</v>
      </c>
      <c r="E15" s="316" t="e">
        <f>+'A SAISIR'!I92</f>
        <v>#NUM!</v>
      </c>
      <c r="F15" s="316" t="e">
        <f>+'A SAISIR'!J92</f>
        <v>#NUM!</v>
      </c>
      <c r="G15" s="316" t="e">
        <f>+'A SAISIR'!K92</f>
        <v>#NUM!</v>
      </c>
      <c r="H15" s="316" t="e">
        <f>+'A SAISIR'!L92</f>
        <v>#NUM!</v>
      </c>
    </row>
    <row r="16" spans="1:8" x14ac:dyDescent="0.25">
      <c r="A16" s="202" t="s">
        <v>362</v>
      </c>
      <c r="B16" s="316" t="e">
        <f>+'A SAISIR'!F93</f>
        <v>#NUM!</v>
      </c>
      <c r="C16" s="316" t="e">
        <f>+'A SAISIR'!G93</f>
        <v>#NUM!</v>
      </c>
      <c r="D16" s="316" t="e">
        <f>+'A SAISIR'!H93</f>
        <v>#NUM!</v>
      </c>
      <c r="E16" s="316" t="e">
        <f>+'A SAISIR'!I93</f>
        <v>#NUM!</v>
      </c>
      <c r="F16" s="316" t="e">
        <f>+'A SAISIR'!J93</f>
        <v>#NUM!</v>
      </c>
      <c r="G16" s="316" t="e">
        <f>+'A SAISIR'!K93</f>
        <v>#NUM!</v>
      </c>
      <c r="H16" s="316" t="e">
        <f>+'A SAISIR'!L93</f>
        <v>#NUM!</v>
      </c>
    </row>
    <row r="17" spans="1:8" x14ac:dyDescent="0.25">
      <c r="A17" s="202" t="s">
        <v>363</v>
      </c>
      <c r="B17" s="316">
        <f>+'A SAISIR'!F94</f>
        <v>0</v>
      </c>
      <c r="C17" s="316">
        <f>+'A SAISIR'!G94</f>
        <v>0</v>
      </c>
      <c r="D17" s="316">
        <f>+'A SAISIR'!H94</f>
        <v>0</v>
      </c>
      <c r="E17" s="316">
        <f>+'A SAISIR'!I94</f>
        <v>0</v>
      </c>
      <c r="F17" s="316">
        <f>+'A SAISIR'!J94</f>
        <v>0</v>
      </c>
      <c r="G17" s="316">
        <f>+'A SAISIR'!K94</f>
        <v>0</v>
      </c>
      <c r="H17" s="316">
        <f>+'A SAISIR'!L94</f>
        <v>0</v>
      </c>
    </row>
    <row r="18" spans="1:8" x14ac:dyDescent="0.25">
      <c r="A18" s="202" t="s">
        <v>364</v>
      </c>
      <c r="B18" s="316">
        <f>-'A SAISIR'!F95</f>
        <v>0</v>
      </c>
      <c r="C18" s="316">
        <f>-'A SAISIR'!G95</f>
        <v>0</v>
      </c>
      <c r="D18" s="316">
        <f>-'A SAISIR'!H95</f>
        <v>0</v>
      </c>
      <c r="E18" s="316">
        <f>-'A SAISIR'!I95</f>
        <v>0</v>
      </c>
      <c r="F18" s="316">
        <f>-'A SAISIR'!J95</f>
        <v>0</v>
      </c>
      <c r="G18" s="316">
        <f>-'A SAISIR'!K95</f>
        <v>0</v>
      </c>
      <c r="H18" s="316">
        <f>-'A SAISIR'!L95</f>
        <v>0</v>
      </c>
    </row>
    <row r="19" spans="1:8" x14ac:dyDescent="0.25">
      <c r="A19" s="202" t="s">
        <v>407</v>
      </c>
      <c r="B19" s="316">
        <f>+'A SAISIR'!F96</f>
        <v>0</v>
      </c>
      <c r="C19" s="316">
        <f>+'A SAISIR'!G96</f>
        <v>0</v>
      </c>
      <c r="D19" s="316">
        <f>+'A SAISIR'!H96</f>
        <v>0</v>
      </c>
      <c r="E19" s="316">
        <f>+'A SAISIR'!I96</f>
        <v>0</v>
      </c>
      <c r="F19" s="316">
        <f>+'A SAISIR'!J96</f>
        <v>0</v>
      </c>
      <c r="G19" s="316">
        <f>+'A SAISIR'!K96</f>
        <v>0</v>
      </c>
      <c r="H19" s="316">
        <f>+'A SAISIR'!L96</f>
        <v>0</v>
      </c>
    </row>
    <row r="20" spans="1:8" x14ac:dyDescent="0.25">
      <c r="A20" s="202" t="s">
        <v>408</v>
      </c>
      <c r="B20" s="316">
        <f>+'A SAISIR'!F97</f>
        <v>0</v>
      </c>
      <c r="C20" s="316">
        <f>+'A SAISIR'!G97</f>
        <v>0</v>
      </c>
      <c r="D20" s="316">
        <f>+'A SAISIR'!H97</f>
        <v>0</v>
      </c>
      <c r="E20" s="316">
        <f>+'A SAISIR'!I97</f>
        <v>0</v>
      </c>
      <c r="F20" s="316">
        <f>+'A SAISIR'!J97</f>
        <v>0</v>
      </c>
      <c r="G20" s="316">
        <f>+'A SAISIR'!K97</f>
        <v>0</v>
      </c>
      <c r="H20" s="316">
        <f>+'A SAISIR'!L97</f>
        <v>0</v>
      </c>
    </row>
    <row r="21" spans="1:8" x14ac:dyDescent="0.25">
      <c r="A21" s="294"/>
      <c r="B21" s="316"/>
      <c r="C21" s="316"/>
      <c r="D21" s="316"/>
      <c r="E21" s="316"/>
      <c r="F21" s="316"/>
      <c r="G21" s="316"/>
      <c r="H21" s="316"/>
    </row>
    <row r="22" spans="1:8" hidden="1" x14ac:dyDescent="0.25">
      <c r="A22" s="294"/>
      <c r="B22" s="316"/>
      <c r="C22" s="316"/>
      <c r="D22" s="316"/>
      <c r="E22" s="316"/>
      <c r="F22" s="316"/>
      <c r="G22" s="316"/>
      <c r="H22" s="316"/>
    </row>
    <row r="23" spans="1:8" hidden="1" x14ac:dyDescent="0.25">
      <c r="A23" s="294"/>
      <c r="B23" s="316"/>
      <c r="C23" s="316"/>
      <c r="D23" s="316"/>
      <c r="E23" s="316"/>
      <c r="F23" s="316"/>
      <c r="G23" s="316"/>
      <c r="H23" s="316"/>
    </row>
    <row r="24" spans="1:8" hidden="1" x14ac:dyDescent="0.25">
      <c r="A24" s="294"/>
      <c r="B24" s="317"/>
      <c r="C24" s="317"/>
      <c r="D24" s="317"/>
      <c r="E24" s="317"/>
      <c r="F24" s="317"/>
      <c r="G24" s="317"/>
      <c r="H24" s="317"/>
    </row>
    <row r="25" spans="1:8" hidden="1" x14ac:dyDescent="0.25">
      <c r="A25" s="294"/>
      <c r="B25" s="316"/>
      <c r="C25" s="316"/>
      <c r="D25" s="316"/>
      <c r="E25" s="316"/>
      <c r="F25" s="316"/>
      <c r="G25" s="316"/>
      <c r="H25" s="316"/>
    </row>
    <row r="26" spans="1:8" hidden="1" x14ac:dyDescent="0.25">
      <c r="A26" s="294"/>
      <c r="B26" s="318"/>
      <c r="C26" s="318"/>
      <c r="D26" s="318"/>
      <c r="E26" s="318"/>
      <c r="F26" s="318"/>
      <c r="G26" s="318"/>
      <c r="H26" s="318"/>
    </row>
    <row r="27" spans="1:8" hidden="1" x14ac:dyDescent="0.25">
      <c r="A27" s="294"/>
      <c r="B27" s="319"/>
      <c r="C27" s="319"/>
      <c r="D27" s="319"/>
      <c r="E27" s="319"/>
      <c r="F27" s="319"/>
      <c r="G27" s="319"/>
      <c r="H27" s="319"/>
    </row>
    <row r="28" spans="1:8" hidden="1" x14ac:dyDescent="0.25">
      <c r="A28" s="294"/>
      <c r="B28" s="316"/>
      <c r="C28" s="316"/>
      <c r="D28" s="316"/>
      <c r="E28" s="316"/>
      <c r="F28" s="316"/>
      <c r="G28" s="316"/>
      <c r="H28" s="316"/>
    </row>
    <row r="29" spans="1:8" hidden="1" x14ac:dyDescent="0.25">
      <c r="A29" s="294"/>
      <c r="B29" s="316"/>
      <c r="C29" s="316"/>
      <c r="D29" s="316"/>
      <c r="E29" s="316"/>
      <c r="F29" s="316"/>
      <c r="G29" s="316"/>
      <c r="H29" s="316"/>
    </row>
    <row r="30" spans="1:8" hidden="1" x14ac:dyDescent="0.25">
      <c r="A30" s="294"/>
      <c r="B30" s="316"/>
      <c r="C30" s="316"/>
      <c r="D30" s="316"/>
      <c r="E30" s="316"/>
      <c r="F30" s="316"/>
      <c r="G30" s="316"/>
      <c r="H30" s="316"/>
    </row>
    <row r="31" spans="1:8" hidden="1" x14ac:dyDescent="0.25">
      <c r="A31" s="294"/>
      <c r="B31" s="316"/>
      <c r="C31" s="316"/>
      <c r="D31" s="316"/>
      <c r="E31" s="316"/>
      <c r="F31" s="316"/>
      <c r="G31" s="316"/>
      <c r="H31" s="316"/>
    </row>
    <row r="32" spans="1:8" hidden="1" x14ac:dyDescent="0.25">
      <c r="A32" s="294"/>
      <c r="B32" s="317"/>
      <c r="C32" s="317"/>
      <c r="D32" s="317"/>
      <c r="E32" s="317"/>
      <c r="F32" s="317"/>
      <c r="G32" s="317"/>
      <c r="H32" s="317"/>
    </row>
    <row r="33" spans="1:8" hidden="1" x14ac:dyDescent="0.25">
      <c r="A33" s="294"/>
      <c r="B33" s="313"/>
      <c r="C33" s="313"/>
      <c r="D33" s="313"/>
      <c r="E33" s="313"/>
      <c r="F33" s="313"/>
      <c r="G33" s="313"/>
      <c r="H33" s="313"/>
    </row>
    <row r="34" spans="1:8" hidden="1" x14ac:dyDescent="0.25">
      <c r="A34" s="294"/>
      <c r="B34" s="313"/>
      <c r="C34" s="313"/>
      <c r="D34" s="313"/>
      <c r="E34" s="313"/>
      <c r="F34" s="313"/>
      <c r="G34" s="313"/>
      <c r="H34" s="313"/>
    </row>
    <row r="35" spans="1:8" hidden="1" x14ac:dyDescent="0.25">
      <c r="A35" s="294"/>
      <c r="B35" s="313"/>
      <c r="C35" s="313"/>
      <c r="D35" s="313"/>
      <c r="E35" s="313"/>
      <c r="F35" s="313"/>
      <c r="G35" s="313"/>
      <c r="H35" s="313"/>
    </row>
    <row r="36" spans="1:8" hidden="1" x14ac:dyDescent="0.25">
      <c r="A36" s="294"/>
      <c r="B36" s="313"/>
      <c r="C36" s="313"/>
      <c r="D36" s="313"/>
      <c r="E36" s="313"/>
      <c r="F36" s="313"/>
      <c r="G36" s="313"/>
      <c r="H36" s="313"/>
    </row>
    <row r="37" spans="1:8" x14ac:dyDescent="0.25">
      <c r="A37" s="294"/>
      <c r="B37" s="313"/>
      <c r="C37" s="313"/>
      <c r="D37" s="313"/>
      <c r="E37" s="313"/>
      <c r="F37" s="313"/>
      <c r="G37" s="313"/>
      <c r="H37" s="313"/>
    </row>
    <row r="38" spans="1:8" x14ac:dyDescent="0.25">
      <c r="A38" s="297" t="s">
        <v>503</v>
      </c>
      <c r="B38" s="298">
        <f>B18</f>
        <v>0</v>
      </c>
      <c r="C38" s="298">
        <f t="shared" ref="C38:H38" si="0">C18</f>
        <v>0</v>
      </c>
      <c r="D38" s="298">
        <f t="shared" si="0"/>
        <v>0</v>
      </c>
      <c r="E38" s="298">
        <f t="shared" si="0"/>
        <v>0</v>
      </c>
      <c r="F38" s="298">
        <f t="shared" si="0"/>
        <v>0</v>
      </c>
      <c r="G38" s="298">
        <f t="shared" si="0"/>
        <v>0</v>
      </c>
      <c r="H38" s="298">
        <f t="shared" si="0"/>
        <v>0</v>
      </c>
    </row>
    <row r="39" spans="1:8" x14ac:dyDescent="0.25">
      <c r="A39" s="297" t="s">
        <v>493</v>
      </c>
      <c r="B39" s="309" t="e">
        <f>+B38/B8</f>
        <v>#DIV/0!</v>
      </c>
      <c r="C39" s="309" t="e">
        <f t="shared" ref="C39:H39" si="1">+C38/C8</f>
        <v>#DIV/0!</v>
      </c>
      <c r="D39" s="309" t="e">
        <f t="shared" si="1"/>
        <v>#DIV/0!</v>
      </c>
      <c r="E39" s="309" t="e">
        <f t="shared" si="1"/>
        <v>#DIV/0!</v>
      </c>
      <c r="F39" s="309" t="e">
        <f t="shared" si="1"/>
        <v>#DIV/0!</v>
      </c>
      <c r="G39" s="309" t="e">
        <f t="shared" si="1"/>
        <v>#DIV/0!</v>
      </c>
      <c r="H39" s="309" t="e">
        <f t="shared" si="1"/>
        <v>#DIV/0!</v>
      </c>
    </row>
    <row r="40" spans="1:8" x14ac:dyDescent="0.25">
      <c r="A40" s="249"/>
      <c r="B40" s="283"/>
      <c r="C40" s="283"/>
      <c r="D40" s="283"/>
      <c r="E40" s="283"/>
      <c r="F40" s="283"/>
      <c r="G40" s="283"/>
      <c r="H40" s="283"/>
    </row>
    <row r="41" spans="1:8" x14ac:dyDescent="0.25">
      <c r="A41" s="249"/>
      <c r="B41" s="283"/>
      <c r="C41" s="283"/>
      <c r="D41" s="283"/>
      <c r="E41" s="283"/>
      <c r="F41" s="283"/>
      <c r="G41" s="283"/>
      <c r="H41" s="283"/>
    </row>
    <row r="69" spans="2:8" x14ac:dyDescent="0.25">
      <c r="B69" s="239"/>
      <c r="C69" s="239"/>
      <c r="D69" s="239"/>
      <c r="E69" s="239"/>
      <c r="F69" s="239"/>
      <c r="G69" s="239"/>
      <c r="H69" s="239"/>
    </row>
    <row r="70" spans="2:8" x14ac:dyDescent="0.25">
      <c r="B70" s="267"/>
      <c r="C70" s="267"/>
      <c r="D70" s="267"/>
      <c r="E70" s="267"/>
      <c r="F70" s="267"/>
      <c r="G70" s="267"/>
      <c r="H70" s="267"/>
    </row>
    <row r="71" spans="2:8" x14ac:dyDescent="0.25">
      <c r="B71" s="267"/>
      <c r="C71" s="267"/>
      <c r="D71" s="267"/>
      <c r="E71" s="267"/>
      <c r="F71" s="267"/>
      <c r="G71" s="267"/>
      <c r="H71" s="267"/>
    </row>
    <row r="72" spans="2:8" x14ac:dyDescent="0.25">
      <c r="B72" s="267"/>
      <c r="C72" s="267"/>
      <c r="D72" s="267"/>
      <c r="E72" s="267"/>
      <c r="F72" s="267"/>
      <c r="G72" s="267"/>
      <c r="H72" s="267"/>
    </row>
    <row r="73" spans="2:8" x14ac:dyDescent="0.25">
      <c r="B73" s="267"/>
      <c r="C73" s="267"/>
      <c r="D73" s="267"/>
      <c r="E73" s="267"/>
      <c r="F73" s="267"/>
      <c r="G73" s="267"/>
      <c r="H73" s="267"/>
    </row>
    <row r="74" spans="2:8" x14ac:dyDescent="0.25">
      <c r="B74" s="267"/>
      <c r="C74" s="267"/>
      <c r="D74" s="267"/>
      <c r="E74" s="267"/>
      <c r="F74" s="267"/>
      <c r="G74" s="267"/>
      <c r="H74" s="267"/>
    </row>
    <row r="75" spans="2:8" x14ac:dyDescent="0.25">
      <c r="B75" s="267"/>
      <c r="C75" s="267"/>
      <c r="D75" s="267"/>
      <c r="E75" s="267"/>
      <c r="F75" s="267"/>
      <c r="G75" s="267"/>
      <c r="H75" s="267"/>
    </row>
    <row r="76" spans="2:8" x14ac:dyDescent="0.25">
      <c r="B76" s="267"/>
      <c r="C76" s="267"/>
      <c r="D76" s="267"/>
      <c r="E76" s="267"/>
      <c r="F76" s="267"/>
      <c r="G76" s="267"/>
      <c r="H76" s="267"/>
    </row>
    <row r="77" spans="2:8" x14ac:dyDescent="0.25">
      <c r="B77" s="267"/>
      <c r="C77" s="267"/>
      <c r="D77" s="267"/>
      <c r="E77" s="267"/>
      <c r="F77" s="267"/>
      <c r="G77" s="267"/>
      <c r="H77" s="267"/>
    </row>
    <row r="78" spans="2:8" x14ac:dyDescent="0.25">
      <c r="B78" s="267"/>
      <c r="C78" s="267"/>
      <c r="D78" s="267"/>
      <c r="E78" s="267"/>
      <c r="F78" s="267"/>
      <c r="G78" s="267"/>
      <c r="H78" s="267"/>
    </row>
    <row r="79" spans="2:8" x14ac:dyDescent="0.25">
      <c r="B79" s="267"/>
      <c r="C79" s="267"/>
      <c r="D79" s="267"/>
      <c r="E79" s="267"/>
      <c r="F79" s="267"/>
      <c r="G79" s="267"/>
      <c r="H79" s="267"/>
    </row>
    <row r="80" spans="2:8" x14ac:dyDescent="0.25">
      <c r="B80" s="267"/>
      <c r="C80" s="267"/>
      <c r="D80" s="267"/>
      <c r="E80" s="267"/>
      <c r="F80" s="267"/>
      <c r="G80" s="267"/>
      <c r="H80" s="267"/>
    </row>
    <row r="81" spans="2:8" x14ac:dyDescent="0.25">
      <c r="B81" s="267"/>
      <c r="C81" s="267"/>
      <c r="D81" s="267"/>
      <c r="E81" s="267"/>
      <c r="F81" s="267"/>
      <c r="G81" s="267"/>
      <c r="H81" s="267"/>
    </row>
  </sheetData>
  <pageMargins left="0.47244094488188981" right="0.19685039370078741" top="0.59055118110236227" bottom="0.31496062992125984" header="0.23622047244094491" footer="0.19685039370078741"/>
  <pageSetup paperSize="9" scale="85" orientation="portrait" r:id="rId1"/>
  <headerFooter>
    <oddHeader>&amp;L&amp;D
&amp;T&amp;R&amp;P/&amp;N</oddHeader>
    <oddFooter>&amp;L&amp;7Document non contractuel
Charges personnelles de l'exploitant non inclus
Les chiffres et les informations ci-dessus sont données à titre indicatifs et restent à être validés par un Expert Comptable
&amp;R&amp;P/&amp;N
&amp;D--&amp;T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  <pageSetUpPr fitToPage="1"/>
  </sheetPr>
  <dimension ref="A1:H68"/>
  <sheetViews>
    <sheetView workbookViewId="0">
      <selection activeCell="E17" sqref="E17"/>
    </sheetView>
  </sheetViews>
  <sheetFormatPr baseColWidth="10" defaultRowHeight="13.2" x14ac:dyDescent="0.25"/>
  <cols>
    <col min="1" max="1" width="38.6640625" customWidth="1"/>
    <col min="2" max="8" width="13" bestFit="1" customWidth="1"/>
    <col min="9" max="9" width="11.88671875" customWidth="1"/>
  </cols>
  <sheetData>
    <row r="1" spans="1:8" x14ac:dyDescent="0.25">
      <c r="A1" s="146" t="s">
        <v>504</v>
      </c>
    </row>
    <row r="3" spans="1:8" x14ac:dyDescent="0.25">
      <c r="A3" s="270" t="s">
        <v>412</v>
      </c>
      <c r="B3" s="182">
        <f>+'A SAISIR'!G6</f>
        <v>0</v>
      </c>
    </row>
    <row r="4" spans="1:8" x14ac:dyDescent="0.25">
      <c r="B4">
        <f>+'A SAISIR'!G7</f>
        <v>0</v>
      </c>
    </row>
    <row r="5" spans="1:8" x14ac:dyDescent="0.25">
      <c r="B5" s="249"/>
    </row>
    <row r="6" spans="1:8" x14ac:dyDescent="0.25">
      <c r="A6" s="223"/>
      <c r="B6" s="269" t="s">
        <v>283</v>
      </c>
      <c r="C6" s="269" t="s">
        <v>284</v>
      </c>
      <c r="D6" s="269" t="s">
        <v>285</v>
      </c>
      <c r="E6" s="269" t="s">
        <v>286</v>
      </c>
      <c r="F6" s="269" t="s">
        <v>287</v>
      </c>
      <c r="G6" s="269" t="s">
        <v>288</v>
      </c>
      <c r="H6" s="269" t="s">
        <v>289</v>
      </c>
    </row>
    <row r="7" spans="1:8" x14ac:dyDescent="0.25">
      <c r="A7" s="260"/>
      <c r="B7" s="198"/>
      <c r="C7" s="198"/>
      <c r="D7" s="198"/>
      <c r="E7" s="198"/>
      <c r="F7" s="198"/>
      <c r="G7" s="198"/>
      <c r="H7" s="198"/>
    </row>
    <row r="8" spans="1:8" x14ac:dyDescent="0.25">
      <c r="A8" s="277" t="s">
        <v>137</v>
      </c>
      <c r="B8" s="181">
        <f>+'ca marge in'!B8</f>
        <v>0</v>
      </c>
      <c r="C8" s="181">
        <f>+'ca marge in'!C8</f>
        <v>0</v>
      </c>
      <c r="D8" s="181">
        <f>+'ca marge in'!D8</f>
        <v>0</v>
      </c>
      <c r="E8" s="181">
        <f>+'ca marge in'!E8</f>
        <v>0</v>
      </c>
      <c r="F8" s="181">
        <f>+'ca marge in'!F8</f>
        <v>0</v>
      </c>
      <c r="G8" s="181">
        <f>+'ca marge in'!G8</f>
        <v>0</v>
      </c>
      <c r="H8" s="181">
        <f>+'ca marge in'!H8</f>
        <v>0</v>
      </c>
    </row>
    <row r="9" spans="1:8" x14ac:dyDescent="0.25">
      <c r="A9" s="294"/>
      <c r="B9" s="310"/>
      <c r="C9" s="310"/>
      <c r="D9" s="310"/>
      <c r="E9" s="310"/>
      <c r="F9" s="310"/>
      <c r="G9" s="310"/>
      <c r="H9" s="310"/>
    </row>
    <row r="10" spans="1:8" x14ac:dyDescent="0.25">
      <c r="A10" s="324" t="s">
        <v>347</v>
      </c>
      <c r="B10" s="325">
        <f>+'A SAISIR'!F75</f>
        <v>0</v>
      </c>
      <c r="C10" s="324"/>
      <c r="D10" s="324"/>
      <c r="E10" s="324"/>
      <c r="F10" s="316"/>
      <c r="G10" s="316"/>
      <c r="H10" s="316"/>
    </row>
    <row r="11" spans="1:8" x14ac:dyDescent="0.25">
      <c r="A11" s="324" t="s">
        <v>348</v>
      </c>
      <c r="B11" s="325">
        <f>+'A SAISIR'!F76</f>
        <v>0</v>
      </c>
      <c r="C11" s="324"/>
      <c r="D11" s="324"/>
      <c r="E11" s="324"/>
      <c r="F11" s="316"/>
      <c r="G11" s="316"/>
      <c r="H11" s="316"/>
    </row>
    <row r="12" spans="1:8" x14ac:dyDescent="0.25">
      <c r="A12" s="324" t="s">
        <v>349</v>
      </c>
      <c r="B12" s="325">
        <f>+'A SAISIR'!F77</f>
        <v>0</v>
      </c>
      <c r="C12" s="324"/>
      <c r="D12" s="324"/>
      <c r="E12" s="324"/>
      <c r="F12" s="316"/>
      <c r="G12" s="316"/>
      <c r="H12" s="316"/>
    </row>
    <row r="13" spans="1:8" x14ac:dyDescent="0.25">
      <c r="A13" s="324" t="s">
        <v>350</v>
      </c>
      <c r="B13" s="325">
        <f>+'A SAISIR'!F78</f>
        <v>0</v>
      </c>
      <c r="C13" s="324"/>
      <c r="D13" s="324"/>
      <c r="E13" s="324"/>
      <c r="F13" s="316"/>
      <c r="G13" s="316"/>
      <c r="H13" s="316"/>
    </row>
    <row r="14" spans="1:8" x14ac:dyDescent="0.25">
      <c r="A14" s="324" t="s">
        <v>565</v>
      </c>
      <c r="B14" s="325">
        <f>+'A SAISIR'!F79</f>
        <v>0</v>
      </c>
      <c r="C14" s="324"/>
      <c r="D14" s="324"/>
      <c r="E14" s="324"/>
      <c r="F14" s="316"/>
      <c r="G14" s="316"/>
      <c r="H14" s="316"/>
    </row>
    <row r="15" spans="1:8" x14ac:dyDescent="0.25">
      <c r="A15" s="324" t="s">
        <v>567</v>
      </c>
      <c r="B15" s="325">
        <f>+'A SAISIR'!F80</f>
        <v>0</v>
      </c>
      <c r="C15" s="324"/>
      <c r="D15" s="324"/>
      <c r="E15" s="324"/>
      <c r="F15" s="316"/>
      <c r="G15" s="316"/>
      <c r="H15" s="316"/>
    </row>
    <row r="16" spans="1:8" x14ac:dyDescent="0.25">
      <c r="A16" s="324" t="s">
        <v>234</v>
      </c>
      <c r="B16" s="325">
        <f>+'A SAISIR'!F81</f>
        <v>0</v>
      </c>
      <c r="C16" s="324"/>
      <c r="D16" s="324"/>
      <c r="E16" s="324"/>
      <c r="F16" s="316"/>
      <c r="G16" s="316"/>
      <c r="H16" s="316"/>
    </row>
    <row r="17" spans="1:8" x14ac:dyDescent="0.25">
      <c r="A17" s="324" t="s">
        <v>351</v>
      </c>
      <c r="B17" s="325">
        <f>+'A SAISIR'!F82</f>
        <v>0</v>
      </c>
      <c r="C17" s="324"/>
      <c r="D17" s="324"/>
      <c r="E17" s="324"/>
      <c r="F17" s="316"/>
      <c r="G17" s="316"/>
      <c r="H17" s="316"/>
    </row>
    <row r="18" spans="1:8" x14ac:dyDescent="0.25">
      <c r="A18" s="324" t="s">
        <v>352</v>
      </c>
      <c r="B18" s="325">
        <f>+'A SAISIR'!F83</f>
        <v>0</v>
      </c>
      <c r="C18" s="324"/>
      <c r="D18" s="324"/>
      <c r="E18" s="324"/>
      <c r="F18" s="316"/>
      <c r="G18" s="316"/>
      <c r="H18" s="316"/>
    </row>
    <row r="19" spans="1:8" x14ac:dyDescent="0.25">
      <c r="A19" s="324" t="s">
        <v>353</v>
      </c>
      <c r="B19" s="325">
        <f>+'A SAISIR'!F84</f>
        <v>0</v>
      </c>
      <c r="C19" s="324"/>
      <c r="D19" s="324"/>
      <c r="E19" s="324"/>
      <c r="F19" s="316"/>
      <c r="G19" s="316"/>
      <c r="H19" s="316"/>
    </row>
    <row r="20" spans="1:8" x14ac:dyDescent="0.25">
      <c r="A20" s="324" t="s">
        <v>359</v>
      </c>
      <c r="B20" s="325">
        <f>+'A SAISIR'!F85</f>
        <v>0</v>
      </c>
      <c r="C20" s="324"/>
      <c r="D20" s="324"/>
      <c r="E20" s="324"/>
      <c r="F20" s="316"/>
      <c r="G20" s="316"/>
      <c r="H20" s="316"/>
    </row>
    <row r="21" spans="1:8" x14ac:dyDescent="0.25">
      <c r="A21" s="324" t="s">
        <v>360</v>
      </c>
      <c r="B21" s="325">
        <f>+'A SAISIR'!F86</f>
        <v>0</v>
      </c>
      <c r="C21" s="324"/>
      <c r="D21" s="324"/>
      <c r="E21" s="324"/>
      <c r="F21" s="316"/>
      <c r="G21" s="316"/>
      <c r="H21" s="316"/>
    </row>
    <row r="22" spans="1:8" x14ac:dyDescent="0.25">
      <c r="A22" s="324" t="s">
        <v>354</v>
      </c>
      <c r="B22" s="325">
        <f>+'A SAISIR'!F87</f>
        <v>0</v>
      </c>
      <c r="C22" s="324"/>
      <c r="D22" s="324"/>
      <c r="E22" s="324"/>
      <c r="F22" s="316"/>
      <c r="G22" s="316"/>
      <c r="H22" s="316"/>
    </row>
    <row r="23" spans="1:8" x14ac:dyDescent="0.25">
      <c r="A23" s="324" t="s">
        <v>355</v>
      </c>
      <c r="B23" s="325">
        <f>+'A SAISIR'!F88</f>
        <v>0</v>
      </c>
      <c r="C23" s="324"/>
      <c r="D23" s="324"/>
      <c r="E23" s="324"/>
      <c r="F23" s="316"/>
      <c r="G23" s="316"/>
      <c r="H23" s="316"/>
    </row>
    <row r="24" spans="1:8" x14ac:dyDescent="0.25">
      <c r="A24" s="294" t="s">
        <v>505</v>
      </c>
      <c r="B24" s="317"/>
      <c r="C24" s="324"/>
      <c r="D24" s="324"/>
      <c r="E24" s="324"/>
      <c r="F24" s="317"/>
      <c r="G24" s="317"/>
      <c r="H24" s="317"/>
    </row>
    <row r="25" spans="1:8" x14ac:dyDescent="0.25">
      <c r="A25" s="294"/>
      <c r="B25" s="313"/>
      <c r="C25" s="313"/>
      <c r="D25" s="313"/>
      <c r="E25" s="313"/>
      <c r="F25" s="313"/>
      <c r="G25" s="313"/>
      <c r="H25" s="313"/>
    </row>
    <row r="26" spans="1:8" x14ac:dyDescent="0.25">
      <c r="A26" s="297"/>
      <c r="B26" s="298"/>
      <c r="C26" s="298"/>
      <c r="D26" s="298"/>
      <c r="E26" s="298"/>
      <c r="F26" s="298"/>
      <c r="G26" s="298"/>
      <c r="H26" s="298"/>
    </row>
    <row r="27" spans="1:8" x14ac:dyDescent="0.25">
      <c r="A27" s="249"/>
      <c r="B27" s="283"/>
      <c r="C27" s="283"/>
      <c r="D27" s="283"/>
      <c r="E27" s="283"/>
      <c r="F27" s="283"/>
      <c r="G27" s="283"/>
      <c r="H27" s="283"/>
    </row>
    <row r="28" spans="1:8" x14ac:dyDescent="0.25">
      <c r="A28" s="249"/>
      <c r="B28" s="283"/>
      <c r="C28" s="283"/>
      <c r="D28" s="283"/>
      <c r="E28" s="283"/>
      <c r="F28" s="283"/>
      <c r="G28" s="283"/>
      <c r="H28" s="283"/>
    </row>
    <row r="56" spans="2:8" x14ac:dyDescent="0.25">
      <c r="B56" s="239"/>
      <c r="C56" s="239"/>
      <c r="D56" s="239"/>
      <c r="E56" s="239"/>
      <c r="F56" s="239"/>
      <c r="G56" s="239"/>
      <c r="H56" s="239"/>
    </row>
    <row r="57" spans="2:8" x14ac:dyDescent="0.25">
      <c r="B57" s="267"/>
      <c r="C57" s="267"/>
      <c r="D57" s="267"/>
      <c r="E57" s="267"/>
      <c r="F57" s="267"/>
      <c r="G57" s="267"/>
      <c r="H57" s="267"/>
    </row>
    <row r="58" spans="2:8" x14ac:dyDescent="0.25">
      <c r="B58" s="267"/>
      <c r="C58" s="267"/>
      <c r="D58" s="267"/>
      <c r="E58" s="267"/>
      <c r="F58" s="267"/>
      <c r="G58" s="267"/>
      <c r="H58" s="267"/>
    </row>
    <row r="59" spans="2:8" x14ac:dyDescent="0.25">
      <c r="B59" s="267"/>
      <c r="C59" s="267"/>
      <c r="D59" s="267"/>
      <c r="E59" s="267"/>
      <c r="F59" s="267"/>
      <c r="G59" s="267"/>
      <c r="H59" s="267"/>
    </row>
    <row r="60" spans="2:8" x14ac:dyDescent="0.25">
      <c r="B60" s="267"/>
      <c r="C60" s="267"/>
      <c r="D60" s="267"/>
      <c r="E60" s="267"/>
      <c r="F60" s="267"/>
      <c r="G60" s="267"/>
      <c r="H60" s="267"/>
    </row>
    <row r="61" spans="2:8" x14ac:dyDescent="0.25">
      <c r="B61" s="267"/>
      <c r="C61" s="267"/>
      <c r="D61" s="267"/>
      <c r="E61" s="267"/>
      <c r="F61" s="267"/>
      <c r="G61" s="267"/>
      <c r="H61" s="267"/>
    </row>
    <row r="62" spans="2:8" x14ac:dyDescent="0.25">
      <c r="B62" s="267"/>
      <c r="C62" s="267"/>
      <c r="D62" s="267"/>
      <c r="E62" s="267"/>
      <c r="F62" s="267"/>
      <c r="G62" s="267"/>
      <c r="H62" s="267"/>
    </row>
    <row r="63" spans="2:8" x14ac:dyDescent="0.25">
      <c r="B63" s="267"/>
      <c r="C63" s="267"/>
      <c r="D63" s="267"/>
      <c r="E63" s="267"/>
      <c r="F63" s="267"/>
      <c r="G63" s="267"/>
      <c r="H63" s="267"/>
    </row>
    <row r="64" spans="2:8" x14ac:dyDescent="0.25">
      <c r="B64" s="267"/>
      <c r="C64" s="267"/>
      <c r="D64" s="267"/>
      <c r="E64" s="267"/>
      <c r="F64" s="267"/>
      <c r="G64" s="267"/>
      <c r="H64" s="267"/>
    </row>
    <row r="65" spans="2:8" x14ac:dyDescent="0.25">
      <c r="B65" s="267"/>
      <c r="C65" s="267"/>
      <c r="D65" s="267"/>
      <c r="E65" s="267"/>
      <c r="F65" s="267"/>
      <c r="G65" s="267"/>
      <c r="H65" s="267"/>
    </row>
    <row r="66" spans="2:8" x14ac:dyDescent="0.25">
      <c r="B66" s="267"/>
      <c r="C66" s="267"/>
      <c r="D66" s="267"/>
      <c r="E66" s="267"/>
      <c r="F66" s="267"/>
      <c r="G66" s="267"/>
      <c r="H66" s="267"/>
    </row>
    <row r="67" spans="2:8" x14ac:dyDescent="0.25">
      <c r="B67" s="267"/>
      <c r="C67" s="267"/>
      <c r="D67" s="267"/>
      <c r="E67" s="267"/>
      <c r="F67" s="267"/>
      <c r="G67" s="267"/>
      <c r="H67" s="267"/>
    </row>
    <row r="68" spans="2:8" x14ac:dyDescent="0.25">
      <c r="B68" s="267"/>
      <c r="C68" s="267"/>
      <c r="D68" s="267"/>
      <c r="E68" s="267"/>
      <c r="F68" s="267"/>
      <c r="G68" s="267"/>
      <c r="H68" s="267"/>
    </row>
  </sheetData>
  <pageMargins left="0.47244094488188981" right="0.19685039370078741" top="0.59055118110236227" bottom="0.31496062992125984" header="0.23622047244094491" footer="0.19685039370078741"/>
  <pageSetup paperSize="9" scale="75" orientation="portrait" r:id="rId1"/>
  <headerFooter>
    <oddHeader>&amp;L&amp;D
&amp;T&amp;R&amp;P/&amp;N</oddHeader>
    <oddFooter>&amp;L&amp;7Document non contractuel
Charges personnelles de l'exploitant non inclus
Les chiffres et les informations ci-dessus sont données à titre indicatifs et restent à être validés par un Expert Comptable
&amp;R&amp;P/&amp;N
&amp;D--&amp;T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32"/>
  <sheetViews>
    <sheetView topLeftCell="A24" workbookViewId="0">
      <selection sqref="A1:XFD1048576"/>
    </sheetView>
  </sheetViews>
  <sheetFormatPr baseColWidth="10" defaultColWidth="11.44140625" defaultRowHeight="13.2" x14ac:dyDescent="0.25"/>
  <cols>
    <col min="1" max="1" width="24.6640625" style="1" bestFit="1" customWidth="1"/>
    <col min="2" max="2" width="13.109375" style="38" bestFit="1" customWidth="1"/>
    <col min="3" max="3" width="13" style="2" bestFit="1" customWidth="1"/>
    <col min="4" max="6" width="13" style="1" bestFit="1" customWidth="1"/>
    <col min="7" max="9" width="13" style="1" customWidth="1"/>
    <col min="10" max="10" width="12" style="1" bestFit="1" customWidth="1"/>
    <col min="11" max="16384" width="11.44140625" style="1"/>
  </cols>
  <sheetData>
    <row r="1" spans="1:11" x14ac:dyDescent="0.25">
      <c r="A1" s="8" t="str">
        <f>+'ca et marge'!A1</f>
        <v>ANGERS</v>
      </c>
      <c r="C1" s="1"/>
    </row>
    <row r="2" spans="1:11" x14ac:dyDescent="0.25">
      <c r="C2" s="1"/>
    </row>
    <row r="3" spans="1:11" x14ac:dyDescent="0.25">
      <c r="C3" s="1"/>
    </row>
    <row r="4" spans="1:11" x14ac:dyDescent="0.25">
      <c r="C4" s="1"/>
    </row>
    <row r="5" spans="1:11" x14ac:dyDescent="0.25">
      <c r="C5" s="1"/>
    </row>
    <row r="6" spans="1:11" x14ac:dyDescent="0.25">
      <c r="B6" s="39">
        <f>+'ca et marge'!B14</f>
        <v>2013</v>
      </c>
      <c r="C6" s="39">
        <f>+'ca et marge'!C14</f>
        <v>2014</v>
      </c>
      <c r="D6" s="39">
        <f>+'ca et marge'!D14</f>
        <v>2015</v>
      </c>
      <c r="E6" s="39">
        <f>+'ca et marge'!E14</f>
        <v>2016</v>
      </c>
      <c r="F6" s="39">
        <f>+'ca et marge'!F14</f>
        <v>2017</v>
      </c>
      <c r="G6" s="39">
        <f>+'ca et marge'!G14</f>
        <v>2018</v>
      </c>
      <c r="H6" s="39">
        <f>+'ca et marge'!H14</f>
        <v>2019</v>
      </c>
      <c r="I6" s="39">
        <f>+'ca et marge'!I14</f>
        <v>2020</v>
      </c>
    </row>
    <row r="7" spans="1:11" s="42" customFormat="1" hidden="1" x14ac:dyDescent="0.25">
      <c r="A7" s="40" t="s">
        <v>5</v>
      </c>
      <c r="B7" s="41">
        <f>+'ca et marge'!B15</f>
        <v>300000</v>
      </c>
      <c r="C7" s="41">
        <f>+'ca et marge'!C15</f>
        <v>306000</v>
      </c>
      <c r="D7" s="41">
        <f>+'ca et marge'!D15</f>
        <v>312120</v>
      </c>
      <c r="E7" s="41">
        <f>+'ca et marge'!E15</f>
        <v>321483.60000000003</v>
      </c>
      <c r="F7" s="41">
        <f>+'ca et marge'!F15</f>
        <v>331128.10800000007</v>
      </c>
      <c r="G7" s="41">
        <f>+'ca et marge'!G15</f>
        <v>341061.95124000008</v>
      </c>
      <c r="H7" s="41">
        <f>+'ca et marge'!H15</f>
        <v>351293.80977720011</v>
      </c>
      <c r="I7" s="41">
        <f>+'ca et marge'!I15</f>
        <v>361832.62407051615</v>
      </c>
    </row>
    <row r="8" spans="1:11" s="42" customFormat="1" hidden="1" x14ac:dyDescent="0.25">
      <c r="A8" s="40" t="s">
        <v>134</v>
      </c>
      <c r="B8" s="43">
        <f>+'ca et marge'!B20</f>
        <v>0.19600000000000001</v>
      </c>
      <c r="C8" s="43">
        <f>+'ca et marge'!C20</f>
        <v>0.19600000000000001</v>
      </c>
      <c r="D8" s="43">
        <f>+'ca et marge'!D20</f>
        <v>0.19600000000000001</v>
      </c>
      <c r="E8" s="43">
        <f>+'ca et marge'!E20</f>
        <v>0.19600000000000001</v>
      </c>
      <c r="F8" s="43">
        <f>+'ca et marge'!F20</f>
        <v>0.19600000000000001</v>
      </c>
      <c r="G8" s="43">
        <f>+'ca et marge'!G20</f>
        <v>0.19600000000000001</v>
      </c>
      <c r="H8" s="43">
        <f>+'ca et marge'!H20</f>
        <v>0.19600000000000001</v>
      </c>
      <c r="I8" s="43">
        <f>+'ca et marge'!I20</f>
        <v>0.19600000000000001</v>
      </c>
    </row>
    <row r="9" spans="1:11" s="46" customFormat="1" x14ac:dyDescent="0.25">
      <c r="A9" s="44" t="s">
        <v>6</v>
      </c>
      <c r="B9" s="45">
        <f>+'ca et marge'!B22</f>
        <v>250836.1204013378</v>
      </c>
      <c r="C9" s="45">
        <f>+'ca et marge'!C22</f>
        <v>255852.84280936455</v>
      </c>
      <c r="D9" s="45">
        <f>+'ca et marge'!D22</f>
        <v>260969.89966555184</v>
      </c>
      <c r="E9" s="45">
        <f>+'ca et marge'!E22</f>
        <v>268798.99665551842</v>
      </c>
      <c r="F9" s="45">
        <f>+'ca et marge'!F22</f>
        <v>276862.96655518399</v>
      </c>
      <c r="G9" s="45">
        <f>+'ca et marge'!G22</f>
        <v>285168.85555183957</v>
      </c>
      <c r="H9" s="45">
        <f>+'ca et marge'!H22</f>
        <v>293723.92121839477</v>
      </c>
      <c r="I9" s="45">
        <f>+'ca et marge'!I22</f>
        <v>302535.63885494665</v>
      </c>
    </row>
    <row r="10" spans="1:11" s="46" customFormat="1" x14ac:dyDescent="0.25">
      <c r="A10" s="44" t="s">
        <v>244</v>
      </c>
      <c r="B10" s="151">
        <f>+B9/SAISIE!$D$8</f>
        <v>6600.9505368773107</v>
      </c>
      <c r="C10" s="151">
        <f>+C9/SAISIE!$D$8</f>
        <v>6732.9695476148563</v>
      </c>
      <c r="D10" s="151">
        <f>+D9/SAISIE!$D$8</f>
        <v>6867.6289385671535</v>
      </c>
      <c r="E10" s="151">
        <f>+E9/SAISIE!$D$8</f>
        <v>7073.6578067241689</v>
      </c>
      <c r="F10" s="151">
        <f>+F9/SAISIE!$D$8</f>
        <v>7285.867540925894</v>
      </c>
      <c r="G10" s="151">
        <f>+G9/SAISIE!$D$8</f>
        <v>7504.443567153673</v>
      </c>
      <c r="H10" s="151">
        <f>+H9/SAISIE!$D$8</f>
        <v>7729.5768741682832</v>
      </c>
      <c r="I10" s="151">
        <f>+I9/SAISIE!$D$8</f>
        <v>7961.4641803933328</v>
      </c>
    </row>
    <row r="11" spans="1:11" s="42" customFormat="1" x14ac:dyDescent="0.25">
      <c r="A11" s="40" t="s">
        <v>156</v>
      </c>
      <c r="B11" s="41">
        <f>+B9-B15</f>
        <v>107859.53177257525</v>
      </c>
      <c r="C11" s="41">
        <f t="shared" ref="C11:I11" si="0">+C9-C15</f>
        <v>110016.72240802678</v>
      </c>
      <c r="D11" s="41">
        <f t="shared" si="0"/>
        <v>112217.05685618729</v>
      </c>
      <c r="E11" s="41">
        <f t="shared" si="0"/>
        <v>115583.56856187293</v>
      </c>
      <c r="F11" s="41">
        <f t="shared" si="0"/>
        <v>119051.07561872914</v>
      </c>
      <c r="G11" s="41">
        <f t="shared" si="0"/>
        <v>122622.60788729103</v>
      </c>
      <c r="H11" s="41">
        <f t="shared" si="0"/>
        <v>126301.28612390975</v>
      </c>
      <c r="I11" s="41">
        <f t="shared" si="0"/>
        <v>130090.32470762706</v>
      </c>
    </row>
    <row r="12" spans="1:11" s="42" customFormat="1" x14ac:dyDescent="0.25">
      <c r="A12" s="40" t="s">
        <v>247</v>
      </c>
      <c r="B12" s="41">
        <f>+B11*0.05</f>
        <v>5392.9765886287632</v>
      </c>
      <c r="C12" s="41">
        <f t="shared" ref="C12:I12" si="1">+C11*0.05</f>
        <v>5500.836120401339</v>
      </c>
      <c r="D12" s="41">
        <f t="shared" si="1"/>
        <v>5610.852842809365</v>
      </c>
      <c r="E12" s="41">
        <f t="shared" si="1"/>
        <v>5779.1784280936472</v>
      </c>
      <c r="F12" s="41">
        <f t="shared" si="1"/>
        <v>5952.5537809364578</v>
      </c>
      <c r="G12" s="41">
        <f t="shared" si="1"/>
        <v>6131.1303943645516</v>
      </c>
      <c r="H12" s="41">
        <f t="shared" si="1"/>
        <v>6315.0643061954879</v>
      </c>
      <c r="I12" s="41">
        <f t="shared" si="1"/>
        <v>6504.5162353813539</v>
      </c>
    </row>
    <row r="13" spans="1:11" s="42" customFormat="1" hidden="1" x14ac:dyDescent="0.25">
      <c r="A13" s="40"/>
      <c r="B13" s="41"/>
      <c r="C13" s="41"/>
      <c r="D13" s="41"/>
      <c r="E13" s="41"/>
      <c r="F13" s="41"/>
      <c r="G13" s="41"/>
      <c r="H13" s="41"/>
      <c r="I13" s="41"/>
    </row>
    <row r="14" spans="1:11" s="42" customFormat="1" x14ac:dyDescent="0.25">
      <c r="A14" s="40" t="s">
        <v>157</v>
      </c>
      <c r="B14" s="41">
        <f>+'ca et marge'!B30</f>
        <v>0</v>
      </c>
      <c r="C14" s="41">
        <f>+'ca et marge'!C30</f>
        <v>0</v>
      </c>
      <c r="D14" s="41">
        <f>+'ca et marge'!D30</f>
        <v>0</v>
      </c>
      <c r="E14" s="41">
        <f>+'ca et marge'!E30</f>
        <v>0</v>
      </c>
      <c r="F14" s="41">
        <f>+'ca et marge'!F30</f>
        <v>0</v>
      </c>
      <c r="G14" s="41">
        <f>+'ca et marge'!G30</f>
        <v>0</v>
      </c>
      <c r="H14" s="41">
        <f>+'ca et marge'!H30</f>
        <v>0</v>
      </c>
      <c r="I14" s="41">
        <f>+'ca et marge'!I30</f>
        <v>0</v>
      </c>
    </row>
    <row r="15" spans="1:11" x14ac:dyDescent="0.25">
      <c r="A15" s="47" t="s">
        <v>4</v>
      </c>
      <c r="B15" s="41">
        <f>+'ca et marge'!B29</f>
        <v>142976.58862876255</v>
      </c>
      <c r="C15" s="41">
        <f>+'ca et marge'!C29</f>
        <v>145836.12040133777</v>
      </c>
      <c r="D15" s="41">
        <f>+'ca et marge'!D29</f>
        <v>148752.84280936455</v>
      </c>
      <c r="E15" s="41">
        <f>+'ca et marge'!E29</f>
        <v>153215.42809364549</v>
      </c>
      <c r="F15" s="41">
        <f>+'ca et marge'!F29</f>
        <v>157811.89093645485</v>
      </c>
      <c r="G15" s="41">
        <f>+'ca et marge'!G29</f>
        <v>162546.24766454854</v>
      </c>
      <c r="H15" s="41">
        <f>+'ca et marge'!H29</f>
        <v>167422.63509448501</v>
      </c>
      <c r="I15" s="41">
        <f>+'ca et marge'!I29</f>
        <v>172445.31414731959</v>
      </c>
      <c r="J15" s="42"/>
      <c r="K15" s="42"/>
    </row>
    <row r="16" spans="1:11" x14ac:dyDescent="0.25">
      <c r="A16" s="47" t="s">
        <v>248</v>
      </c>
      <c r="B16" s="41">
        <f>+B15+B12</f>
        <v>148369.5652173913</v>
      </c>
      <c r="C16" s="41">
        <f t="shared" ref="C16:I16" si="2">+C15+C12</f>
        <v>151336.95652173911</v>
      </c>
      <c r="D16" s="41">
        <f t="shared" si="2"/>
        <v>154363.69565217392</v>
      </c>
      <c r="E16" s="41">
        <f t="shared" si="2"/>
        <v>158994.60652173913</v>
      </c>
      <c r="F16" s="41">
        <f t="shared" si="2"/>
        <v>163764.44471739131</v>
      </c>
      <c r="G16" s="41">
        <f t="shared" si="2"/>
        <v>168677.37805891311</v>
      </c>
      <c r="H16" s="41">
        <f t="shared" si="2"/>
        <v>173737.69940068049</v>
      </c>
      <c r="I16" s="41">
        <f t="shared" si="2"/>
        <v>178949.83038270095</v>
      </c>
      <c r="J16" s="42"/>
      <c r="K16" s="42"/>
    </row>
    <row r="17" spans="1:11" x14ac:dyDescent="0.25">
      <c r="A17" s="149" t="s">
        <v>241</v>
      </c>
      <c r="B17" s="71">
        <f>+B15/B9</f>
        <v>0.56999999999999995</v>
      </c>
      <c r="C17" s="71">
        <f t="shared" ref="C17:I17" si="3">+C15/C9</f>
        <v>0.56999999999999995</v>
      </c>
      <c r="D17" s="71">
        <f t="shared" si="3"/>
        <v>0.56999999999999995</v>
      </c>
      <c r="E17" s="71">
        <f t="shared" si="3"/>
        <v>0.56999999999999995</v>
      </c>
      <c r="F17" s="71">
        <f t="shared" si="3"/>
        <v>0.56999999999999995</v>
      </c>
      <c r="G17" s="71">
        <f t="shared" si="3"/>
        <v>0.56999999999999995</v>
      </c>
      <c r="H17" s="71">
        <f t="shared" si="3"/>
        <v>0.56999999999999995</v>
      </c>
      <c r="I17" s="71">
        <f t="shared" si="3"/>
        <v>0.56999999999999995</v>
      </c>
      <c r="J17" s="42"/>
      <c r="K17" s="42"/>
    </row>
    <row r="18" spans="1:11" x14ac:dyDescent="0.25">
      <c r="A18" s="149" t="s">
        <v>242</v>
      </c>
      <c r="B18" s="41">
        <f>+'ca et marge'!B27*B9</f>
        <v>6270.9030100334458</v>
      </c>
      <c r="C18" s="41">
        <f>+'ca et marge'!C27*C9</f>
        <v>6396.3210702341139</v>
      </c>
      <c r="D18" s="41">
        <f>+'ca et marge'!D27*D9</f>
        <v>6524.2474916387964</v>
      </c>
      <c r="E18" s="41">
        <f>+'ca et marge'!E27*E9</f>
        <v>6719.9749163879605</v>
      </c>
      <c r="F18" s="41">
        <f>+'ca et marge'!F27*F9</f>
        <v>6921.5741638795998</v>
      </c>
      <c r="G18" s="41">
        <f>+'ca et marge'!G27*G9</f>
        <v>7129.2213887959897</v>
      </c>
      <c r="H18" s="41">
        <f>+'ca et marge'!H27*H9</f>
        <v>7343.0980304598697</v>
      </c>
      <c r="I18" s="41">
        <f>+'ca et marge'!I27*I9</f>
        <v>7563.3909713736666</v>
      </c>
      <c r="J18" s="42"/>
      <c r="K18" s="42"/>
    </row>
    <row r="19" spans="1:11" x14ac:dyDescent="0.25">
      <c r="A19" s="149" t="s">
        <v>243</v>
      </c>
      <c r="B19" s="49">
        <f>+B18/B9</f>
        <v>2.5000000000000001E-2</v>
      </c>
      <c r="C19" s="49">
        <f t="shared" ref="C19:I19" si="4">+C18/C9</f>
        <v>2.5000000000000001E-2</v>
      </c>
      <c r="D19" s="49">
        <f t="shared" si="4"/>
        <v>2.5000000000000001E-2</v>
      </c>
      <c r="E19" s="49" t="s">
        <v>246</v>
      </c>
      <c r="F19" s="49">
        <f t="shared" si="4"/>
        <v>2.5000000000000001E-2</v>
      </c>
      <c r="G19" s="49">
        <f t="shared" si="4"/>
        <v>2.5000000000000001E-2</v>
      </c>
      <c r="H19" s="49">
        <f t="shared" si="4"/>
        <v>2.5000000000000001E-2</v>
      </c>
      <c r="I19" s="49">
        <f t="shared" si="4"/>
        <v>2.5000000000000001E-2</v>
      </c>
      <c r="J19" s="42"/>
      <c r="K19" s="42"/>
    </row>
    <row r="20" spans="1:11" s="42" customFormat="1" x14ac:dyDescent="0.25">
      <c r="A20" s="44" t="s">
        <v>45</v>
      </c>
      <c r="B20" s="48">
        <f>+'ca et marge'!B31</f>
        <v>142098.66220735785</v>
      </c>
      <c r="C20" s="48">
        <f>+'ca et marge'!C31</f>
        <v>144940.63545150499</v>
      </c>
      <c r="D20" s="48">
        <f>+'ca et marge'!D31</f>
        <v>147839.4481605351</v>
      </c>
      <c r="E20" s="48">
        <f>+'ca et marge'!E31</f>
        <v>152274.63160535117</v>
      </c>
      <c r="F20" s="48">
        <f>+'ca et marge'!F31</f>
        <v>156842.87055351172</v>
      </c>
      <c r="G20" s="48">
        <f>+'ca et marge'!G31</f>
        <v>161548.15667011711</v>
      </c>
      <c r="H20" s="48">
        <f>+'ca et marge'!H31</f>
        <v>166394.6013702206</v>
      </c>
      <c r="I20" s="48">
        <f>+'ca et marge'!I31</f>
        <v>171386.43941132727</v>
      </c>
    </row>
    <row r="21" spans="1:11" x14ac:dyDescent="0.25">
      <c r="A21" s="153" t="s">
        <v>46</v>
      </c>
      <c r="B21" s="154">
        <f>+B20/B9</f>
        <v>0.56649999999999989</v>
      </c>
      <c r="C21" s="154">
        <f t="shared" ref="C21:I21" si="5">+C20/C9</f>
        <v>0.56649999999999989</v>
      </c>
      <c r="D21" s="154">
        <f t="shared" si="5"/>
        <v>0.56649999999999989</v>
      </c>
      <c r="E21" s="154">
        <f t="shared" si="5"/>
        <v>0.56649999999999989</v>
      </c>
      <c r="F21" s="154">
        <f t="shared" si="5"/>
        <v>0.5665</v>
      </c>
      <c r="G21" s="154">
        <f t="shared" si="5"/>
        <v>0.5665</v>
      </c>
      <c r="H21" s="154">
        <f t="shared" si="5"/>
        <v>0.56649999999999989</v>
      </c>
      <c r="I21" s="154">
        <f t="shared" si="5"/>
        <v>0.5665</v>
      </c>
      <c r="J21" s="42"/>
      <c r="K21" s="42"/>
    </row>
    <row r="22" spans="1:11" s="42" customFormat="1" x14ac:dyDescent="0.25">
      <c r="A22" s="50"/>
      <c r="B22" s="51">
        <f>+B20-'ca et marge'!B31</f>
        <v>0</v>
      </c>
      <c r="C22" s="51">
        <f>+C20-'ca et marge'!C31</f>
        <v>0</v>
      </c>
      <c r="D22" s="51">
        <f>+D20-'ca et marge'!D31</f>
        <v>0</v>
      </c>
      <c r="E22" s="51">
        <f>+E20-'ca et marge'!E31</f>
        <v>0</v>
      </c>
      <c r="F22" s="51">
        <f>+F20-'ca et marge'!F31</f>
        <v>0</v>
      </c>
      <c r="G22" s="51">
        <f>+G20-'ca et marge'!G31</f>
        <v>0</v>
      </c>
      <c r="H22" s="51">
        <f>+H20-'ca et marge'!H31</f>
        <v>0</v>
      </c>
      <c r="I22" s="51">
        <f>+I20-'ca et marge'!I31</f>
        <v>0</v>
      </c>
    </row>
    <row r="23" spans="1:11" x14ac:dyDescent="0.25">
      <c r="A23" s="52" t="s">
        <v>47</v>
      </c>
      <c r="B23" s="53"/>
      <c r="C23" s="4"/>
      <c r="D23" s="4"/>
      <c r="E23" s="4"/>
      <c r="F23" s="4"/>
      <c r="G23" s="4"/>
      <c r="H23" s="4"/>
      <c r="I23" s="4"/>
      <c r="K23" s="42"/>
    </row>
    <row r="24" spans="1:11" x14ac:dyDescent="0.25">
      <c r="A24" s="4" t="s">
        <v>48</v>
      </c>
      <c r="B24" s="41">
        <f>+salaires!B37</f>
        <v>49457.223839999991</v>
      </c>
      <c r="C24" s="41">
        <f>+salaires!C37</f>
        <v>50940.940555200003</v>
      </c>
      <c r="D24" s="41">
        <f>+salaires!D37</f>
        <v>52469.168771855999</v>
      </c>
      <c r="E24" s="41">
        <f>+salaires!E37</f>
        <v>54043.243835011686</v>
      </c>
      <c r="F24" s="41">
        <f>+salaires!F37</f>
        <v>55664.541150062039</v>
      </c>
      <c r="G24" s="41">
        <f>+salaires!G37</f>
        <v>57334.477384563892</v>
      </c>
      <c r="H24" s="41">
        <f>+salaires!H37</f>
        <v>59054.511706100813</v>
      </c>
      <c r="I24" s="41">
        <f>+salaires!I37</f>
        <v>60826.147057283837</v>
      </c>
    </row>
    <row r="25" spans="1:11" x14ac:dyDescent="0.25">
      <c r="A25" s="4"/>
      <c r="B25" s="134">
        <f>+B24/B9</f>
        <v>0.19716946570879995</v>
      </c>
      <c r="C25" s="134">
        <f t="shared" ref="C25:I25" si="6">+C24/C9</f>
        <v>0.19910249968633725</v>
      </c>
      <c r="D25" s="134">
        <f t="shared" si="6"/>
        <v>0.20105448497737977</v>
      </c>
      <c r="E25" s="134">
        <f t="shared" si="6"/>
        <v>0.20105448497737979</v>
      </c>
      <c r="F25" s="134">
        <f t="shared" si="6"/>
        <v>0.20105448497737979</v>
      </c>
      <c r="G25" s="134">
        <f t="shared" si="6"/>
        <v>0.20105448497737971</v>
      </c>
      <c r="H25" s="134">
        <f t="shared" si="6"/>
        <v>0.20105448497737971</v>
      </c>
      <c r="I25" s="134">
        <f t="shared" si="6"/>
        <v>0.20105448497737968</v>
      </c>
    </row>
    <row r="26" spans="1:11" x14ac:dyDescent="0.25">
      <c r="A26" s="4" t="s">
        <v>49</v>
      </c>
      <c r="B26" s="41">
        <f>+loyer!B17</f>
        <v>18794</v>
      </c>
      <c r="C26" s="41">
        <f>+loyer!C17</f>
        <v>19169.88</v>
      </c>
      <c r="D26" s="41">
        <f>+loyer!D17</f>
        <v>19553.277599999998</v>
      </c>
      <c r="E26" s="41">
        <f>+loyer!E17</f>
        <v>19944.343151999998</v>
      </c>
      <c r="F26" s="41">
        <f>+loyer!F17</f>
        <v>20343.230015039997</v>
      </c>
      <c r="G26" s="41">
        <f>+loyer!G17</f>
        <v>20750.094615340797</v>
      </c>
      <c r="H26" s="41">
        <f>+loyer!H17</f>
        <v>21165.096507647613</v>
      </c>
      <c r="I26" s="41">
        <f>+loyer!I17</f>
        <v>21588.39843780057</v>
      </c>
    </row>
    <row r="27" spans="1:11" s="135" customFormat="1" x14ac:dyDescent="0.25">
      <c r="A27" s="49"/>
      <c r="B27" s="134">
        <f>+B26/B9</f>
        <v>7.4925413333333329E-2</v>
      </c>
      <c r="C27" s="134">
        <f t="shared" ref="C27:I27" si="7">+C26/C9</f>
        <v>7.4925413333333343E-2</v>
      </c>
      <c r="D27" s="134">
        <f t="shared" si="7"/>
        <v>7.4925413333333329E-2</v>
      </c>
      <c r="E27" s="134">
        <f t="shared" si="7"/>
        <v>7.4197982135922311E-2</v>
      </c>
      <c r="F27" s="134">
        <f t="shared" si="7"/>
        <v>7.3477613377321116E-2</v>
      </c>
      <c r="G27" s="134">
        <f t="shared" si="7"/>
        <v>7.2764238490162642E-2</v>
      </c>
      <c r="H27" s="134">
        <f t="shared" si="7"/>
        <v>7.205778957278243E-2</v>
      </c>
      <c r="I27" s="134">
        <f t="shared" si="7"/>
        <v>7.1358199382755422E-2</v>
      </c>
    </row>
    <row r="28" spans="1:11" ht="13.5" customHeight="1" x14ac:dyDescent="0.25">
      <c r="A28" s="4" t="s">
        <v>50</v>
      </c>
      <c r="B28" s="41">
        <f>+'frais generaux'!B16</f>
        <v>17558.528428093647</v>
      </c>
      <c r="C28" s="41">
        <f>+'frais generaux'!C16</f>
        <v>17909.698996655519</v>
      </c>
      <c r="D28" s="41">
        <f>+'frais generaux'!D16</f>
        <v>18267.892976588631</v>
      </c>
      <c r="E28" s="41">
        <f>+'frais generaux'!E16</f>
        <v>18815.929765886292</v>
      </c>
      <c r="F28" s="41">
        <f>+'frais generaux'!F16</f>
        <v>19380.407658862881</v>
      </c>
      <c r="G28" s="41">
        <f>+'frais generaux'!G16</f>
        <v>19961.819888628772</v>
      </c>
      <c r="H28" s="41">
        <f>+'frais generaux'!H16</f>
        <v>20560.674485287636</v>
      </c>
      <c r="I28" s="41">
        <f>+'frais generaux'!I16</f>
        <v>21177.494719846269</v>
      </c>
    </row>
    <row r="29" spans="1:11" s="135" customFormat="1" ht="13.5" customHeight="1" x14ac:dyDescent="0.25">
      <c r="A29" s="49"/>
      <c r="B29" s="134">
        <f>+B28/B9</f>
        <v>7.0000000000000007E-2</v>
      </c>
      <c r="C29" s="134">
        <f t="shared" ref="C29:I29" si="8">+C28/C9</f>
        <v>7.0000000000000007E-2</v>
      </c>
      <c r="D29" s="134">
        <f t="shared" si="8"/>
        <v>7.0000000000000007E-2</v>
      </c>
      <c r="E29" s="134">
        <f t="shared" si="8"/>
        <v>7.0000000000000007E-2</v>
      </c>
      <c r="F29" s="134">
        <f t="shared" si="8"/>
        <v>7.0000000000000007E-2</v>
      </c>
      <c r="G29" s="134">
        <f t="shared" si="8"/>
        <v>7.0000000000000007E-2</v>
      </c>
      <c r="H29" s="134">
        <f t="shared" si="8"/>
        <v>7.0000000000000007E-2</v>
      </c>
      <c r="I29" s="134">
        <f t="shared" si="8"/>
        <v>7.0000000000000007E-2</v>
      </c>
    </row>
    <row r="30" spans="1:11" ht="13.5" customHeight="1" x14ac:dyDescent="0.25">
      <c r="A30" s="4" t="s">
        <v>51</v>
      </c>
      <c r="B30" s="41">
        <f>+impots!B16</f>
        <v>5016.7224080267561</v>
      </c>
      <c r="C30" s="41">
        <f>+impots!C16</f>
        <v>5117.0568561872915</v>
      </c>
      <c r="D30" s="41">
        <f>+impots!D16</f>
        <v>5219.3979933110368</v>
      </c>
      <c r="E30" s="41">
        <f>+impots!E16</f>
        <v>5375.9799331103686</v>
      </c>
      <c r="F30" s="41">
        <f>+impots!F16</f>
        <v>5537.2593311036799</v>
      </c>
      <c r="G30" s="41">
        <f>+impots!G16</f>
        <v>5703.3771110367916</v>
      </c>
      <c r="H30" s="41">
        <f>+impots!H16</f>
        <v>5874.4784243678951</v>
      </c>
      <c r="I30" s="41">
        <f>+impots!I16</f>
        <v>6050.7127770989327</v>
      </c>
    </row>
    <row r="31" spans="1:11" s="9" customFormat="1" ht="13.5" customHeight="1" x14ac:dyDescent="0.25">
      <c r="A31" s="12"/>
      <c r="B31" s="134">
        <f>+B30/B9</f>
        <v>0.02</v>
      </c>
      <c r="C31" s="134">
        <f t="shared" ref="C31:I31" si="9">+C30/C9</f>
        <v>0.02</v>
      </c>
      <c r="D31" s="134">
        <f t="shared" si="9"/>
        <v>0.02</v>
      </c>
      <c r="E31" s="134">
        <f t="shared" si="9"/>
        <v>0.02</v>
      </c>
      <c r="F31" s="134">
        <f t="shared" si="9"/>
        <v>0.02</v>
      </c>
      <c r="G31" s="134">
        <f t="shared" si="9"/>
        <v>0.02</v>
      </c>
      <c r="H31" s="134">
        <f t="shared" si="9"/>
        <v>0.02</v>
      </c>
      <c r="I31" s="134">
        <f t="shared" si="9"/>
        <v>0.02</v>
      </c>
    </row>
    <row r="32" spans="1:11" ht="13.5" customHeight="1" x14ac:dyDescent="0.25">
      <c r="A32" s="4" t="s">
        <v>52</v>
      </c>
      <c r="B32" s="41">
        <f>+amortissements!B31</f>
        <v>11951.857142857143</v>
      </c>
      <c r="C32" s="41">
        <f>+amortissements!C31</f>
        <v>11951.857142857143</v>
      </c>
      <c r="D32" s="41">
        <f>+amortissements!D31</f>
        <v>11951.857142857143</v>
      </c>
      <c r="E32" s="41">
        <f>+amortissements!E31</f>
        <v>11951.857142857143</v>
      </c>
      <c r="F32" s="41">
        <f>+amortissements!F31</f>
        <v>11951.857142857143</v>
      </c>
      <c r="G32" s="41">
        <f>+amortissements!G31</f>
        <v>11951.857142857143</v>
      </c>
      <c r="H32" s="41">
        <f>+amortissements!H31</f>
        <v>11951.857142857143</v>
      </c>
      <c r="I32" s="41">
        <f>+amortissements!I31</f>
        <v>0</v>
      </c>
    </row>
    <row r="33" spans="1:9" s="55" customFormat="1" ht="13.5" customHeight="1" x14ac:dyDescent="0.2">
      <c r="A33" s="169" t="s">
        <v>53</v>
      </c>
      <c r="B33" s="170">
        <f>+B24+B26+B28+B30+B32</f>
        <v>102778.33181897755</v>
      </c>
      <c r="C33" s="170">
        <f t="shared" ref="C33:I33" si="10">+C24+C26+C28+C30+C32</f>
        <v>105089.43355089995</v>
      </c>
      <c r="D33" s="170">
        <f t="shared" si="10"/>
        <v>107461.59448461281</v>
      </c>
      <c r="E33" s="170">
        <f t="shared" si="10"/>
        <v>110131.3538288655</v>
      </c>
      <c r="F33" s="170">
        <f t="shared" si="10"/>
        <v>112877.29529792574</v>
      </c>
      <c r="G33" s="170">
        <f t="shared" si="10"/>
        <v>115701.6261424274</v>
      </c>
      <c r="H33" s="170">
        <f t="shared" si="10"/>
        <v>118606.61826626111</v>
      </c>
      <c r="I33" s="170">
        <f t="shared" si="10"/>
        <v>109642.75299202959</v>
      </c>
    </row>
    <row r="34" spans="1:9" ht="13.5" customHeight="1" x14ac:dyDescent="0.25">
      <c r="A34" s="4"/>
      <c r="B34" s="56">
        <f>+B33/B9</f>
        <v>0.4097429495183238</v>
      </c>
      <c r="C34" s="56">
        <f t="shared" ref="C34:I34" si="11">+C33/C9</f>
        <v>0.41074170760417106</v>
      </c>
      <c r="D34" s="56">
        <f t="shared" si="11"/>
        <v>0.41177773613865476</v>
      </c>
      <c r="E34" s="56">
        <f t="shared" si="11"/>
        <v>0.40971638733460469</v>
      </c>
      <c r="F34" s="56">
        <f t="shared" si="11"/>
        <v>0.40770095293848979</v>
      </c>
      <c r="G34" s="56">
        <f t="shared" si="11"/>
        <v>0.40573023277219178</v>
      </c>
      <c r="H34" s="56">
        <f t="shared" si="11"/>
        <v>0.40380306028283147</v>
      </c>
      <c r="I34" s="56">
        <f t="shared" si="11"/>
        <v>0.36241268436013507</v>
      </c>
    </row>
    <row r="35" spans="1:9" ht="13.5" customHeight="1" x14ac:dyDescent="0.25">
      <c r="A35" s="4" t="s">
        <v>54</v>
      </c>
      <c r="B35" s="137">
        <f>+INVESTISSEMENT!D37</f>
        <v>-5931.8033050670529</v>
      </c>
      <c r="C35" s="137">
        <f>+INVESTISSEMENT!E37</f>
        <v>-5110.2680785428165</v>
      </c>
      <c r="D35" s="137">
        <f>+INVESTISSEMENT!F37</f>
        <v>-4259.5133472733314</v>
      </c>
      <c r="E35" s="137">
        <f>+INVESTISSEMENT!G37</f>
        <v>-3378.4998625082253</v>
      </c>
      <c r="F35" s="137">
        <f>+INVESTISSEMENT!H37</f>
        <v>-2466.1514125857111</v>
      </c>
      <c r="G35" s="137">
        <f>+INVESTISSEMENT!I37</f>
        <v>-1521.3535082744752</v>
      </c>
      <c r="H35" s="137">
        <f>+INVESTISSEMENT!J37</f>
        <v>-542.95202135714908</v>
      </c>
      <c r="I35" s="137">
        <f>+INVESTISSEMENT!K37</f>
        <v>0</v>
      </c>
    </row>
    <row r="36" spans="1:9" x14ac:dyDescent="0.25">
      <c r="A36" s="4"/>
      <c r="B36" s="53"/>
      <c r="C36" s="4"/>
      <c r="D36" s="4"/>
      <c r="E36" s="4"/>
      <c r="F36" s="4"/>
      <c r="G36" s="4"/>
      <c r="H36" s="4"/>
      <c r="I36" s="4"/>
    </row>
    <row r="37" spans="1:9" x14ac:dyDescent="0.25">
      <c r="A37" s="57" t="s">
        <v>254</v>
      </c>
      <c r="B37" s="48">
        <f>+B20-B33-B35</f>
        <v>45252.133693447351</v>
      </c>
      <c r="C37" s="48">
        <f t="shared" ref="C37:I37" si="12">+C20-C33-C35</f>
        <v>44961.469979147856</v>
      </c>
      <c r="D37" s="48">
        <f t="shared" si="12"/>
        <v>44637.36702319562</v>
      </c>
      <c r="E37" s="48">
        <f t="shared" si="12"/>
        <v>45521.777638993895</v>
      </c>
      <c r="F37" s="48">
        <f t="shared" si="12"/>
        <v>46431.726668171694</v>
      </c>
      <c r="G37" s="48">
        <f t="shared" si="12"/>
        <v>47367.884035964191</v>
      </c>
      <c r="H37" s="48">
        <f t="shared" si="12"/>
        <v>48330.935125316639</v>
      </c>
      <c r="I37" s="48">
        <f t="shared" si="12"/>
        <v>61743.686419297679</v>
      </c>
    </row>
    <row r="38" spans="1:9" x14ac:dyDescent="0.25">
      <c r="A38" s="57" t="s">
        <v>136</v>
      </c>
      <c r="B38" s="58">
        <f>+B37/B9</f>
        <v>0.18040517299121009</v>
      </c>
      <c r="C38" s="58">
        <f t="shared" ref="C38:I38" si="13">+C37/C9</f>
        <v>0.17573175848059097</v>
      </c>
      <c r="D38" s="58">
        <f t="shared" si="13"/>
        <v>0.1710441207219722</v>
      </c>
      <c r="E38" s="58">
        <f t="shared" si="13"/>
        <v>0.16935248347423226</v>
      </c>
      <c r="F38" s="58">
        <f t="shared" si="13"/>
        <v>0.16770652733332242</v>
      </c>
      <c r="G38" s="58">
        <f t="shared" si="13"/>
        <v>0.16610468890195268</v>
      </c>
      <c r="H38" s="58">
        <f t="shared" si="13"/>
        <v>0.16454545113259866</v>
      </c>
      <c r="I38" s="58">
        <f t="shared" si="13"/>
        <v>0.20408731563986493</v>
      </c>
    </row>
    <row r="39" spans="1:9" x14ac:dyDescent="0.25">
      <c r="A39" s="4"/>
      <c r="B39" s="41"/>
      <c r="C39" s="41"/>
      <c r="D39" s="41"/>
      <c r="E39" s="41"/>
      <c r="F39" s="41"/>
      <c r="G39" s="41"/>
      <c r="H39" s="41"/>
      <c r="I39" s="41"/>
    </row>
    <row r="40" spans="1:9" hidden="1" x14ac:dyDescent="0.25">
      <c r="A40" s="4" t="s">
        <v>56</v>
      </c>
      <c r="B40" s="137"/>
      <c r="C40" s="137"/>
      <c r="D40" s="137"/>
      <c r="E40" s="137"/>
      <c r="F40" s="137"/>
      <c r="G40" s="137"/>
      <c r="H40" s="137"/>
      <c r="I40" s="137"/>
    </row>
    <row r="41" spans="1:9" x14ac:dyDescent="0.25">
      <c r="A41" s="4" t="s">
        <v>57</v>
      </c>
      <c r="B41" s="41">
        <f>+B32</f>
        <v>11951.857142857143</v>
      </c>
      <c r="C41" s="41">
        <f t="shared" ref="C41:I41" si="14">+C32</f>
        <v>11951.857142857143</v>
      </c>
      <c r="D41" s="41">
        <f t="shared" si="14"/>
        <v>11951.857142857143</v>
      </c>
      <c r="E41" s="41">
        <f t="shared" si="14"/>
        <v>11951.857142857143</v>
      </c>
      <c r="F41" s="41">
        <f t="shared" si="14"/>
        <v>11951.857142857143</v>
      </c>
      <c r="G41" s="41">
        <f t="shared" si="14"/>
        <v>11951.857142857143</v>
      </c>
      <c r="H41" s="41">
        <f t="shared" si="14"/>
        <v>11951.857142857143</v>
      </c>
      <c r="I41" s="41">
        <f t="shared" si="14"/>
        <v>0</v>
      </c>
    </row>
    <row r="42" spans="1:9" x14ac:dyDescent="0.25">
      <c r="A42" s="59" t="s">
        <v>58</v>
      </c>
      <c r="B42" s="41">
        <f>+B35</f>
        <v>-5931.8033050670529</v>
      </c>
      <c r="C42" s="41">
        <f t="shared" ref="C42:I42" si="15">+C35</f>
        <v>-5110.2680785428165</v>
      </c>
      <c r="D42" s="41">
        <f t="shared" si="15"/>
        <v>-4259.5133472733314</v>
      </c>
      <c r="E42" s="41">
        <f t="shared" si="15"/>
        <v>-3378.4998625082253</v>
      </c>
      <c r="F42" s="41">
        <f t="shared" si="15"/>
        <v>-2466.1514125857111</v>
      </c>
      <c r="G42" s="41">
        <f t="shared" si="15"/>
        <v>-1521.3535082744752</v>
      </c>
      <c r="H42" s="41">
        <f t="shared" si="15"/>
        <v>-542.95202135714908</v>
      </c>
      <c r="I42" s="41">
        <f t="shared" si="15"/>
        <v>0</v>
      </c>
    </row>
    <row r="43" spans="1:9" x14ac:dyDescent="0.25">
      <c r="A43" s="59"/>
      <c r="B43" s="41"/>
      <c r="C43" s="41"/>
      <c r="D43" s="41"/>
      <c r="E43" s="41"/>
      <c r="F43" s="41"/>
      <c r="G43" s="41"/>
      <c r="H43" s="41"/>
      <c r="I43" s="41"/>
    </row>
    <row r="44" spans="1:9" x14ac:dyDescent="0.25">
      <c r="A44" s="57" t="s">
        <v>218</v>
      </c>
      <c r="B44" s="48">
        <f t="shared" ref="B44:I44" si="16">+B37+B41+B42</f>
        <v>51272.187531237447</v>
      </c>
      <c r="C44" s="48">
        <f t="shared" si="16"/>
        <v>51803.059043462184</v>
      </c>
      <c r="D44" s="48">
        <f t="shared" si="16"/>
        <v>52329.710818779437</v>
      </c>
      <c r="E44" s="48">
        <f t="shared" si="16"/>
        <v>54095.134919342818</v>
      </c>
      <c r="F44" s="48">
        <f t="shared" si="16"/>
        <v>55917.432398443125</v>
      </c>
      <c r="G44" s="48">
        <f t="shared" si="16"/>
        <v>57798.387670546857</v>
      </c>
      <c r="H44" s="48">
        <f t="shared" si="16"/>
        <v>59739.840246816631</v>
      </c>
      <c r="I44" s="48">
        <f t="shared" si="16"/>
        <v>61743.686419297679</v>
      </c>
    </row>
    <row r="45" spans="1:9" x14ac:dyDescent="0.25">
      <c r="A45" s="57" t="s">
        <v>135</v>
      </c>
      <c r="B45" s="58">
        <f>+B44/B9</f>
        <v>0.20440512095786662</v>
      </c>
      <c r="C45" s="58">
        <f t="shared" ref="C45:I45" si="17">+C44/C9</f>
        <v>0.20247208698032931</v>
      </c>
      <c r="D45" s="58">
        <f t="shared" si="17"/>
        <v>0.20052010168928683</v>
      </c>
      <c r="E45" s="58">
        <f t="shared" si="17"/>
        <v>0.20124753288669781</v>
      </c>
      <c r="F45" s="58">
        <f t="shared" si="17"/>
        <v>0.20196790164529907</v>
      </c>
      <c r="G45" s="58">
        <f t="shared" si="17"/>
        <v>0.20268127653245763</v>
      </c>
      <c r="H45" s="58">
        <f t="shared" si="17"/>
        <v>0.20338772544983769</v>
      </c>
      <c r="I45" s="58">
        <f t="shared" si="17"/>
        <v>0.20408731563986493</v>
      </c>
    </row>
    <row r="46" spans="1:9" x14ac:dyDescent="0.25">
      <c r="A46" s="4"/>
      <c r="B46" s="53"/>
      <c r="C46" s="4"/>
      <c r="D46" s="4"/>
      <c r="E46" s="4"/>
      <c r="F46" s="4"/>
      <c r="G46" s="4"/>
      <c r="H46" s="4"/>
      <c r="I46" s="4"/>
    </row>
    <row r="47" spans="1:9" x14ac:dyDescent="0.25">
      <c r="A47" s="4"/>
      <c r="B47" s="53"/>
      <c r="C47" s="4"/>
      <c r="D47" s="4"/>
      <c r="E47" s="4"/>
      <c r="F47" s="4"/>
      <c r="G47" s="4"/>
      <c r="H47" s="4"/>
      <c r="I47" s="4"/>
    </row>
    <row r="48" spans="1:9" x14ac:dyDescent="0.25">
      <c r="C48" s="1"/>
    </row>
    <row r="49" spans="1:9" x14ac:dyDescent="0.25">
      <c r="C49" s="1"/>
    </row>
    <row r="50" spans="1:9" x14ac:dyDescent="0.25">
      <c r="C50" s="1"/>
    </row>
    <row r="51" spans="1:9" x14ac:dyDescent="0.25">
      <c r="C51" s="1"/>
    </row>
    <row r="52" spans="1:9" s="60" customFormat="1" x14ac:dyDescent="0.25">
      <c r="B52" s="61">
        <f>+B6</f>
        <v>2013</v>
      </c>
      <c r="C52" s="61">
        <f t="shared" ref="C52:I52" si="18">+C6</f>
        <v>2014</v>
      </c>
      <c r="D52" s="61">
        <f t="shared" si="18"/>
        <v>2015</v>
      </c>
      <c r="E52" s="61">
        <f t="shared" si="18"/>
        <v>2016</v>
      </c>
      <c r="F52" s="61">
        <f t="shared" si="18"/>
        <v>2017</v>
      </c>
      <c r="G52" s="61">
        <f t="shared" si="18"/>
        <v>2018</v>
      </c>
      <c r="H52" s="61">
        <f t="shared" si="18"/>
        <v>2019</v>
      </c>
      <c r="I52" s="61">
        <f t="shared" si="18"/>
        <v>2020</v>
      </c>
    </row>
    <row r="53" spans="1:9" s="60" customFormat="1" x14ac:dyDescent="0.25">
      <c r="A53" s="60" t="s">
        <v>137</v>
      </c>
      <c r="B53" s="61">
        <f>+B9</f>
        <v>250836.1204013378</v>
      </c>
      <c r="C53" s="61">
        <f t="shared" ref="C53:I53" si="19">+C9</f>
        <v>255852.84280936455</v>
      </c>
      <c r="D53" s="61">
        <f t="shared" si="19"/>
        <v>260969.89966555184</v>
      </c>
      <c r="E53" s="61">
        <f t="shared" si="19"/>
        <v>268798.99665551842</v>
      </c>
      <c r="F53" s="61">
        <f t="shared" si="19"/>
        <v>276862.96655518399</v>
      </c>
      <c r="G53" s="61">
        <f t="shared" si="19"/>
        <v>285168.85555183957</v>
      </c>
      <c r="H53" s="61">
        <f t="shared" si="19"/>
        <v>293723.92121839477</v>
      </c>
      <c r="I53" s="61">
        <f t="shared" si="19"/>
        <v>302535.63885494665</v>
      </c>
    </row>
    <row r="54" spans="1:9" s="60" customFormat="1" x14ac:dyDescent="0.25">
      <c r="A54" s="60" t="s">
        <v>139</v>
      </c>
      <c r="B54" s="61">
        <f>+B20</f>
        <v>142098.66220735785</v>
      </c>
      <c r="C54" s="61">
        <f t="shared" ref="C54:I54" si="20">+C20</f>
        <v>144940.63545150499</v>
      </c>
      <c r="D54" s="61">
        <f t="shared" si="20"/>
        <v>147839.4481605351</v>
      </c>
      <c r="E54" s="61">
        <f t="shared" si="20"/>
        <v>152274.63160535117</v>
      </c>
      <c r="F54" s="61">
        <f t="shared" si="20"/>
        <v>156842.87055351172</v>
      </c>
      <c r="G54" s="61">
        <f t="shared" si="20"/>
        <v>161548.15667011711</v>
      </c>
      <c r="H54" s="61">
        <f t="shared" si="20"/>
        <v>166394.6013702206</v>
      </c>
      <c r="I54" s="61">
        <f t="shared" si="20"/>
        <v>171386.43941132727</v>
      </c>
    </row>
    <row r="55" spans="1:9" s="60" customFormat="1" x14ac:dyDescent="0.25">
      <c r="A55" s="60" t="s">
        <v>140</v>
      </c>
      <c r="B55" s="61">
        <f>+B33+B35</f>
        <v>96846.528513910496</v>
      </c>
      <c r="C55" s="61">
        <f t="shared" ref="C55:I55" si="21">+C33+C35</f>
        <v>99979.165472357126</v>
      </c>
      <c r="D55" s="61">
        <f t="shared" si="21"/>
        <v>103202.08113733948</v>
      </c>
      <c r="E55" s="61">
        <f t="shared" si="21"/>
        <v>106752.85396635727</v>
      </c>
      <c r="F55" s="61">
        <f t="shared" si="21"/>
        <v>110411.14388534003</v>
      </c>
      <c r="G55" s="61">
        <f t="shared" si="21"/>
        <v>114180.27263415292</v>
      </c>
      <c r="H55" s="61">
        <f t="shared" si="21"/>
        <v>118063.66624490396</v>
      </c>
      <c r="I55" s="61">
        <f t="shared" si="21"/>
        <v>109642.75299202959</v>
      </c>
    </row>
    <row r="56" spans="1:9" s="60" customFormat="1" x14ac:dyDescent="0.25">
      <c r="A56" s="60" t="s">
        <v>138</v>
      </c>
      <c r="B56" s="61">
        <f>+B44</f>
        <v>51272.187531237447</v>
      </c>
      <c r="C56" s="61">
        <f t="shared" ref="C56:I56" si="22">+C44</f>
        <v>51803.059043462184</v>
      </c>
      <c r="D56" s="61">
        <f t="shared" si="22"/>
        <v>52329.710818779437</v>
      </c>
      <c r="E56" s="61">
        <f t="shared" si="22"/>
        <v>54095.134919342818</v>
      </c>
      <c r="F56" s="61">
        <f t="shared" si="22"/>
        <v>55917.432398443125</v>
      </c>
      <c r="G56" s="61">
        <f t="shared" si="22"/>
        <v>57798.387670546857</v>
      </c>
      <c r="H56" s="61">
        <f t="shared" si="22"/>
        <v>59739.840246816631</v>
      </c>
      <c r="I56" s="61">
        <f t="shared" si="22"/>
        <v>61743.686419297679</v>
      </c>
    </row>
    <row r="57" spans="1:9" x14ac:dyDescent="0.25">
      <c r="C57" s="1"/>
    </row>
    <row r="58" spans="1:9" x14ac:dyDescent="0.25">
      <c r="C58" s="1"/>
    </row>
    <row r="59" spans="1:9" x14ac:dyDescent="0.25">
      <c r="C59" s="1"/>
    </row>
    <row r="60" spans="1:9" x14ac:dyDescent="0.25">
      <c r="C60" s="1"/>
    </row>
    <row r="61" spans="1:9" x14ac:dyDescent="0.25">
      <c r="C61" s="1"/>
    </row>
    <row r="62" spans="1:9" x14ac:dyDescent="0.25">
      <c r="C62" s="1"/>
    </row>
    <row r="63" spans="1:9" x14ac:dyDescent="0.25">
      <c r="C63" s="1"/>
    </row>
    <row r="64" spans="1:9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hidden="1" x14ac:dyDescent="0.25">
      <c r="C96" s="1"/>
    </row>
    <row r="97" spans="3:3" hidden="1" x14ac:dyDescent="0.25">
      <c r="C97" s="1"/>
    </row>
    <row r="98" spans="3:3" hidden="1" x14ac:dyDescent="0.25">
      <c r="C98" s="1"/>
    </row>
    <row r="99" spans="3:3" hidden="1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</sheetData>
  <sheetProtection selectLockedCells="1"/>
  <phoneticPr fontId="7" type="noConversion"/>
  <pageMargins left="0.17" right="0.17" top="0.43" bottom="0.6" header="0.17" footer="0.22"/>
  <pageSetup paperSize="9" scale="78" orientation="portrait" r:id="rId1"/>
  <headerFooter alignWithMargins="0">
    <oddHeader xml:space="preserve">&amp;R&amp;"Arial,Gras"&amp;18PREVISION 
</oddHeader>
    <oddFooter>&amp;L&amp;8Document non contractuel
Charges personnelles de l'exploitant non inclus
Les chiffres et les informations ci-dessus sont données à titre indicatifs et restent à être validés par un Expert Comptable
&amp;R&amp;P/&amp;N
&amp;"Arial,Gras"&amp;12&amp;A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  <pageSetUpPr fitToPage="1"/>
  </sheetPr>
  <dimension ref="A1:K99"/>
  <sheetViews>
    <sheetView topLeftCell="A2" workbookViewId="0">
      <selection activeCell="E17" sqref="E17"/>
    </sheetView>
  </sheetViews>
  <sheetFormatPr baseColWidth="10" defaultRowHeight="13.2" x14ac:dyDescent="0.25"/>
  <cols>
    <col min="1" max="1" width="19.109375" style="185" customWidth="1"/>
    <col min="2" max="2" width="14.5546875" customWidth="1"/>
    <col min="3" max="3" width="12.44140625" style="174" customWidth="1"/>
    <col min="4" max="4" width="8.6640625" bestFit="1" customWidth="1"/>
    <col min="5" max="5" width="12.109375" bestFit="1" customWidth="1"/>
    <col min="6" max="6" width="11.44140625" style="174" bestFit="1" customWidth="1"/>
    <col min="7" max="7" width="11.109375" style="174" bestFit="1" customWidth="1"/>
    <col min="8" max="8" width="13.5546875" style="175" bestFit="1" customWidth="1"/>
    <col min="9" max="9" width="11.109375" style="175" bestFit="1" customWidth="1"/>
    <col min="10" max="10" width="10.109375" bestFit="1" customWidth="1"/>
    <col min="11" max="11" width="11.109375" bestFit="1" customWidth="1"/>
  </cols>
  <sheetData>
    <row r="1" spans="1:11" x14ac:dyDescent="0.25">
      <c r="A1" s="146" t="s">
        <v>257</v>
      </c>
      <c r="B1" s="174"/>
      <c r="C1"/>
      <c r="E1" s="174"/>
    </row>
    <row r="2" spans="1:11" x14ac:dyDescent="0.25">
      <c r="A2"/>
      <c r="B2" s="174"/>
      <c r="C2"/>
      <c r="E2" s="174"/>
    </row>
    <row r="3" spans="1:11" x14ac:dyDescent="0.25">
      <c r="A3" s="176" t="s">
        <v>233</v>
      </c>
      <c r="B3" s="177" t="s">
        <v>142</v>
      </c>
      <c r="C3" s="178">
        <f>+'A SAISIR'!F89</f>
        <v>0</v>
      </c>
      <c r="E3" s="179" t="s">
        <v>258</v>
      </c>
      <c r="F3" s="180">
        <f>+'A SAISIR'!F91</f>
        <v>0</v>
      </c>
    </row>
    <row r="4" spans="1:11" x14ac:dyDescent="0.25">
      <c r="A4" s="176" t="s">
        <v>259</v>
      </c>
      <c r="B4" s="177" t="s">
        <v>260</v>
      </c>
      <c r="C4" s="236">
        <f>+'A SAISIR'!F90</f>
        <v>0</v>
      </c>
      <c r="E4" s="174"/>
    </row>
    <row r="5" spans="1:11" ht="14.4" x14ac:dyDescent="0.3">
      <c r="A5" s="176" t="s">
        <v>261</v>
      </c>
      <c r="B5" s="177" t="s">
        <v>262</v>
      </c>
      <c r="C5" s="236">
        <f>+'A SAISIR'!F88</f>
        <v>0</v>
      </c>
      <c r="E5" s="395" t="s">
        <v>263</v>
      </c>
      <c r="F5" s="395"/>
    </row>
    <row r="6" spans="1:11" hidden="1" x14ac:dyDescent="0.25">
      <c r="A6" s="182"/>
      <c r="B6" s="177" t="s">
        <v>264</v>
      </c>
      <c r="C6" s="237"/>
      <c r="E6" s="174"/>
    </row>
    <row r="7" spans="1:11" hidden="1" x14ac:dyDescent="0.25">
      <c r="A7" s="182"/>
      <c r="B7" s="177" t="s">
        <v>212</v>
      </c>
      <c r="C7" s="237"/>
      <c r="E7" s="174"/>
    </row>
    <row r="8" spans="1:11" x14ac:dyDescent="0.25">
      <c r="A8" s="182"/>
      <c r="B8" s="177" t="s">
        <v>265</v>
      </c>
      <c r="C8" s="237">
        <v>3</v>
      </c>
      <c r="E8" s="174"/>
    </row>
    <row r="9" spans="1:11" x14ac:dyDescent="0.25">
      <c r="A9" s="176" t="s">
        <v>266</v>
      </c>
      <c r="B9" s="177" t="s">
        <v>267</v>
      </c>
      <c r="C9" s="238" t="e">
        <f>+PMT(C3/12,C4,C5)</f>
        <v>#NUM!</v>
      </c>
      <c r="E9" s="174"/>
    </row>
    <row r="10" spans="1:11" hidden="1" x14ac:dyDescent="0.25">
      <c r="C10" s="186" t="s">
        <v>268</v>
      </c>
      <c r="D10" s="187"/>
    </row>
    <row r="11" spans="1:11" hidden="1" x14ac:dyDescent="0.25">
      <c r="C11" s="186" t="s">
        <v>269</v>
      </c>
      <c r="D11">
        <v>1</v>
      </c>
    </row>
    <row r="12" spans="1:11" hidden="1" x14ac:dyDescent="0.25">
      <c r="C12" s="186" t="s">
        <v>270</v>
      </c>
      <c r="D12">
        <v>24</v>
      </c>
    </row>
    <row r="13" spans="1:11" x14ac:dyDescent="0.25">
      <c r="B13" s="188">
        <f>+F3-1</f>
        <v>-1</v>
      </c>
      <c r="I13" s="396" t="s">
        <v>271</v>
      </c>
      <c r="J13" s="396"/>
      <c r="K13" s="396"/>
    </row>
    <row r="14" spans="1:11" x14ac:dyDescent="0.25">
      <c r="C14" s="397" t="s">
        <v>267</v>
      </c>
      <c r="D14" s="398"/>
      <c r="E14" s="399"/>
      <c r="I14" s="189">
        <f>SUM(I16:I99)</f>
        <v>0</v>
      </c>
      <c r="J14" s="189">
        <f t="shared" ref="J14:K14" si="0">SUM(J16:J99)</f>
        <v>0</v>
      </c>
      <c r="K14" s="189">
        <f t="shared" si="0"/>
        <v>0</v>
      </c>
    </row>
    <row r="15" spans="1:11" x14ac:dyDescent="0.25">
      <c r="A15" s="190" t="s">
        <v>272</v>
      </c>
      <c r="B15" s="176" t="s">
        <v>265</v>
      </c>
      <c r="C15" s="191" t="s">
        <v>273</v>
      </c>
      <c r="D15" s="191" t="s">
        <v>274</v>
      </c>
      <c r="E15" s="191" t="s">
        <v>275</v>
      </c>
      <c r="F15" s="191" t="s">
        <v>276</v>
      </c>
      <c r="G15" s="191" t="s">
        <v>217</v>
      </c>
      <c r="H15" s="192" t="s">
        <v>277</v>
      </c>
      <c r="I15" s="193" t="s">
        <v>278</v>
      </c>
      <c r="J15" s="194" t="s">
        <v>279</v>
      </c>
      <c r="K15" s="194" t="s">
        <v>280</v>
      </c>
    </row>
    <row r="16" spans="1:11" ht="14.4" x14ac:dyDescent="0.3">
      <c r="A16" s="195" t="e">
        <f t="shared" ref="A16:A79" si="1">+EOMONTH(B$13,B16)</f>
        <v>#NUM!</v>
      </c>
      <c r="B16" s="196">
        <v>1</v>
      </c>
      <c r="C16" s="197" t="str">
        <f t="shared" ref="C16:C47" si="2">+IF(B16&gt;C$4,"",CUMPRINC(C$3/12,C$4,C$5,B16,B16,0))</f>
        <v/>
      </c>
      <c r="D16" s="197" t="str">
        <f>+IF(C16="","",E16-C16)</f>
        <v/>
      </c>
      <c r="E16" s="197" t="str">
        <f t="shared" ref="E16:E47" si="3">+IF(B16&gt;C$4,"",C$9)</f>
        <v/>
      </c>
      <c r="F16" s="197" t="str">
        <f>+IF(C16="","",C5+C16)</f>
        <v/>
      </c>
      <c r="G16" s="197" t="str">
        <f>+D16</f>
        <v/>
      </c>
      <c r="H16" s="198" t="str">
        <f>+C16</f>
        <v/>
      </c>
      <c r="I16" s="392">
        <f>SUM(C16:C27)</f>
        <v>0</v>
      </c>
      <c r="J16" s="392">
        <f>SUM(D16:D27)</f>
        <v>0</v>
      </c>
      <c r="K16" s="392">
        <f>SUM(E16:E27)</f>
        <v>0</v>
      </c>
    </row>
    <row r="17" spans="1:11" ht="14.4" x14ac:dyDescent="0.3">
      <c r="A17" s="195" t="e">
        <f t="shared" si="1"/>
        <v>#NUM!</v>
      </c>
      <c r="B17" s="196">
        <f>+B16+1</f>
        <v>2</v>
      </c>
      <c r="C17" s="197" t="str">
        <f t="shared" si="2"/>
        <v/>
      </c>
      <c r="D17" s="197" t="str">
        <f t="shared" ref="D17:D80" si="4">+IF(C17="","",E17-C17)</f>
        <v/>
      </c>
      <c r="E17" s="197" t="str">
        <f t="shared" si="3"/>
        <v/>
      </c>
      <c r="F17" s="197" t="str">
        <f>+IF(C17="","",F16+C17)</f>
        <v/>
      </c>
      <c r="G17" s="197" t="str">
        <f>+IF(D17="","",G16+D17)</f>
        <v/>
      </c>
      <c r="H17" s="198" t="str">
        <f>+IF(C17="","",H16+C17)</f>
        <v/>
      </c>
      <c r="I17" s="393"/>
      <c r="J17" s="393"/>
      <c r="K17" s="393"/>
    </row>
    <row r="18" spans="1:11" ht="14.4" x14ac:dyDescent="0.3">
      <c r="A18" s="195" t="e">
        <f t="shared" si="1"/>
        <v>#NUM!</v>
      </c>
      <c r="B18" s="196">
        <f>+B17+1</f>
        <v>3</v>
      </c>
      <c r="C18" s="197" t="str">
        <f t="shared" si="2"/>
        <v/>
      </c>
      <c r="D18" s="197" t="str">
        <f t="shared" si="4"/>
        <v/>
      </c>
      <c r="E18" s="197" t="str">
        <f t="shared" si="3"/>
        <v/>
      </c>
      <c r="F18" s="197" t="str">
        <f t="shared" ref="F18:G33" si="5">+IF(C18="","",F17+C18)</f>
        <v/>
      </c>
      <c r="G18" s="197" t="str">
        <f t="shared" si="5"/>
        <v/>
      </c>
      <c r="H18" s="198" t="str">
        <f t="shared" ref="H18:H81" si="6">+IF(C18="","",H17+C18)</f>
        <v/>
      </c>
      <c r="I18" s="393"/>
      <c r="J18" s="393"/>
      <c r="K18" s="393"/>
    </row>
    <row r="19" spans="1:11" ht="14.4" x14ac:dyDescent="0.3">
      <c r="A19" s="195" t="e">
        <f t="shared" si="1"/>
        <v>#NUM!</v>
      </c>
      <c r="B19" s="196">
        <f t="shared" ref="B19:B82" si="7">+B18+1</f>
        <v>4</v>
      </c>
      <c r="C19" s="197" t="str">
        <f t="shared" si="2"/>
        <v/>
      </c>
      <c r="D19" s="197" t="str">
        <f t="shared" si="4"/>
        <v/>
      </c>
      <c r="E19" s="197" t="str">
        <f t="shared" si="3"/>
        <v/>
      </c>
      <c r="F19" s="197" t="str">
        <f t="shared" si="5"/>
        <v/>
      </c>
      <c r="G19" s="197" t="str">
        <f t="shared" si="5"/>
        <v/>
      </c>
      <c r="H19" s="198" t="str">
        <f t="shared" si="6"/>
        <v/>
      </c>
      <c r="I19" s="393"/>
      <c r="J19" s="393"/>
      <c r="K19" s="393"/>
    </row>
    <row r="20" spans="1:11" ht="14.4" x14ac:dyDescent="0.3">
      <c r="A20" s="195" t="e">
        <f t="shared" si="1"/>
        <v>#NUM!</v>
      </c>
      <c r="B20" s="196">
        <f t="shared" si="7"/>
        <v>5</v>
      </c>
      <c r="C20" s="197" t="str">
        <f t="shared" si="2"/>
        <v/>
      </c>
      <c r="D20" s="197" t="str">
        <f t="shared" si="4"/>
        <v/>
      </c>
      <c r="E20" s="197" t="str">
        <f t="shared" si="3"/>
        <v/>
      </c>
      <c r="F20" s="197" t="str">
        <f t="shared" si="5"/>
        <v/>
      </c>
      <c r="G20" s="197" t="str">
        <f t="shared" si="5"/>
        <v/>
      </c>
      <c r="H20" s="198" t="str">
        <f t="shared" si="6"/>
        <v/>
      </c>
      <c r="I20" s="393"/>
      <c r="J20" s="393"/>
      <c r="K20" s="393"/>
    </row>
    <row r="21" spans="1:11" ht="14.4" x14ac:dyDescent="0.3">
      <c r="A21" s="195" t="e">
        <f t="shared" si="1"/>
        <v>#NUM!</v>
      </c>
      <c r="B21" s="196">
        <f t="shared" si="7"/>
        <v>6</v>
      </c>
      <c r="C21" s="197" t="str">
        <f t="shared" si="2"/>
        <v/>
      </c>
      <c r="D21" s="197" t="str">
        <f t="shared" si="4"/>
        <v/>
      </c>
      <c r="E21" s="197" t="str">
        <f t="shared" si="3"/>
        <v/>
      </c>
      <c r="F21" s="197" t="str">
        <f t="shared" si="5"/>
        <v/>
      </c>
      <c r="G21" s="197" t="str">
        <f t="shared" si="5"/>
        <v/>
      </c>
      <c r="H21" s="198" t="str">
        <f t="shared" si="6"/>
        <v/>
      </c>
      <c r="I21" s="393"/>
      <c r="J21" s="393"/>
      <c r="K21" s="393"/>
    </row>
    <row r="22" spans="1:11" ht="14.4" x14ac:dyDescent="0.3">
      <c r="A22" s="195" t="e">
        <f t="shared" si="1"/>
        <v>#NUM!</v>
      </c>
      <c r="B22" s="196">
        <f t="shared" si="7"/>
        <v>7</v>
      </c>
      <c r="C22" s="197" t="str">
        <f t="shared" si="2"/>
        <v/>
      </c>
      <c r="D22" s="197" t="str">
        <f t="shared" si="4"/>
        <v/>
      </c>
      <c r="E22" s="197" t="str">
        <f t="shared" si="3"/>
        <v/>
      </c>
      <c r="F22" s="197" t="str">
        <f t="shared" si="5"/>
        <v/>
      </c>
      <c r="G22" s="197" t="str">
        <f t="shared" si="5"/>
        <v/>
      </c>
      <c r="H22" s="198" t="str">
        <f t="shared" si="6"/>
        <v/>
      </c>
      <c r="I22" s="393"/>
      <c r="J22" s="393"/>
      <c r="K22" s="393"/>
    </row>
    <row r="23" spans="1:11" ht="14.4" x14ac:dyDescent="0.3">
      <c r="A23" s="195" t="e">
        <f t="shared" si="1"/>
        <v>#NUM!</v>
      </c>
      <c r="B23" s="196">
        <f t="shared" si="7"/>
        <v>8</v>
      </c>
      <c r="C23" s="197" t="str">
        <f t="shared" si="2"/>
        <v/>
      </c>
      <c r="D23" s="197" t="str">
        <f t="shared" si="4"/>
        <v/>
      </c>
      <c r="E23" s="197" t="str">
        <f t="shared" si="3"/>
        <v/>
      </c>
      <c r="F23" s="197" t="str">
        <f t="shared" si="5"/>
        <v/>
      </c>
      <c r="G23" s="197" t="str">
        <f t="shared" si="5"/>
        <v/>
      </c>
      <c r="H23" s="198" t="str">
        <f t="shared" si="6"/>
        <v/>
      </c>
      <c r="I23" s="393"/>
      <c r="J23" s="393"/>
      <c r="K23" s="393"/>
    </row>
    <row r="24" spans="1:11" ht="14.4" x14ac:dyDescent="0.3">
      <c r="A24" s="195" t="e">
        <f t="shared" si="1"/>
        <v>#NUM!</v>
      </c>
      <c r="B24" s="196">
        <f t="shared" si="7"/>
        <v>9</v>
      </c>
      <c r="C24" s="197" t="str">
        <f t="shared" si="2"/>
        <v/>
      </c>
      <c r="D24" s="197" t="str">
        <f t="shared" si="4"/>
        <v/>
      </c>
      <c r="E24" s="197" t="str">
        <f t="shared" si="3"/>
        <v/>
      </c>
      <c r="F24" s="197" t="str">
        <f t="shared" si="5"/>
        <v/>
      </c>
      <c r="G24" s="197" t="str">
        <f t="shared" si="5"/>
        <v/>
      </c>
      <c r="H24" s="198" t="str">
        <f t="shared" si="6"/>
        <v/>
      </c>
      <c r="I24" s="393"/>
      <c r="J24" s="393"/>
      <c r="K24" s="393"/>
    </row>
    <row r="25" spans="1:11" ht="14.4" x14ac:dyDescent="0.3">
      <c r="A25" s="195" t="e">
        <f t="shared" si="1"/>
        <v>#NUM!</v>
      </c>
      <c r="B25" s="196">
        <f t="shared" si="7"/>
        <v>10</v>
      </c>
      <c r="C25" s="197" t="str">
        <f t="shared" si="2"/>
        <v/>
      </c>
      <c r="D25" s="197" t="str">
        <f t="shared" si="4"/>
        <v/>
      </c>
      <c r="E25" s="197" t="str">
        <f t="shared" si="3"/>
        <v/>
      </c>
      <c r="F25" s="197" t="str">
        <f t="shared" si="5"/>
        <v/>
      </c>
      <c r="G25" s="197" t="str">
        <f t="shared" si="5"/>
        <v/>
      </c>
      <c r="H25" s="198" t="str">
        <f t="shared" si="6"/>
        <v/>
      </c>
      <c r="I25" s="393"/>
      <c r="J25" s="393"/>
      <c r="K25" s="393"/>
    </row>
    <row r="26" spans="1:11" ht="14.4" x14ac:dyDescent="0.3">
      <c r="A26" s="195" t="e">
        <f t="shared" si="1"/>
        <v>#NUM!</v>
      </c>
      <c r="B26" s="196">
        <f t="shared" si="7"/>
        <v>11</v>
      </c>
      <c r="C26" s="197" t="str">
        <f t="shared" si="2"/>
        <v/>
      </c>
      <c r="D26" s="197" t="str">
        <f t="shared" si="4"/>
        <v/>
      </c>
      <c r="E26" s="197" t="str">
        <f t="shared" si="3"/>
        <v/>
      </c>
      <c r="F26" s="197" t="str">
        <f t="shared" si="5"/>
        <v/>
      </c>
      <c r="G26" s="197" t="str">
        <f t="shared" si="5"/>
        <v/>
      </c>
      <c r="H26" s="198" t="str">
        <f t="shared" si="6"/>
        <v/>
      </c>
      <c r="I26" s="393"/>
      <c r="J26" s="393"/>
      <c r="K26" s="393"/>
    </row>
    <row r="27" spans="1:11" ht="14.4" x14ac:dyDescent="0.3">
      <c r="A27" s="195" t="e">
        <f t="shared" si="1"/>
        <v>#NUM!</v>
      </c>
      <c r="B27" s="196">
        <f t="shared" si="7"/>
        <v>12</v>
      </c>
      <c r="C27" s="197" t="str">
        <f t="shared" si="2"/>
        <v/>
      </c>
      <c r="D27" s="197" t="str">
        <f t="shared" si="4"/>
        <v/>
      </c>
      <c r="E27" s="197" t="str">
        <f t="shared" si="3"/>
        <v/>
      </c>
      <c r="F27" s="197" t="str">
        <f t="shared" si="5"/>
        <v/>
      </c>
      <c r="G27" s="197" t="str">
        <f t="shared" si="5"/>
        <v/>
      </c>
      <c r="H27" s="198" t="str">
        <f t="shared" si="6"/>
        <v/>
      </c>
      <c r="I27" s="394"/>
      <c r="J27" s="394"/>
      <c r="K27" s="394"/>
    </row>
    <row r="28" spans="1:11" ht="14.4" x14ac:dyDescent="0.3">
      <c r="A28" s="195" t="e">
        <f t="shared" si="1"/>
        <v>#NUM!</v>
      </c>
      <c r="B28" s="196">
        <f t="shared" si="7"/>
        <v>13</v>
      </c>
      <c r="C28" s="197" t="str">
        <f t="shared" si="2"/>
        <v/>
      </c>
      <c r="D28" s="197" t="str">
        <f t="shared" si="4"/>
        <v/>
      </c>
      <c r="E28" s="197" t="str">
        <f t="shared" si="3"/>
        <v/>
      </c>
      <c r="F28" s="197" t="str">
        <f t="shared" si="5"/>
        <v/>
      </c>
      <c r="G28" s="197" t="str">
        <f t="shared" si="5"/>
        <v/>
      </c>
      <c r="H28" s="198" t="str">
        <f t="shared" si="6"/>
        <v/>
      </c>
      <c r="I28" s="392">
        <f>SUM(C28:C39)</f>
        <v>0</v>
      </c>
      <c r="J28" s="392">
        <f>SUM(D28:D39)</f>
        <v>0</v>
      </c>
      <c r="K28" s="392">
        <f>SUM(E28:E39)</f>
        <v>0</v>
      </c>
    </row>
    <row r="29" spans="1:11" ht="14.4" x14ac:dyDescent="0.3">
      <c r="A29" s="195" t="e">
        <f t="shared" si="1"/>
        <v>#NUM!</v>
      </c>
      <c r="B29" s="196">
        <f t="shared" si="7"/>
        <v>14</v>
      </c>
      <c r="C29" s="197" t="str">
        <f t="shared" si="2"/>
        <v/>
      </c>
      <c r="D29" s="197" t="str">
        <f t="shared" si="4"/>
        <v/>
      </c>
      <c r="E29" s="197" t="str">
        <f t="shared" si="3"/>
        <v/>
      </c>
      <c r="F29" s="197" t="str">
        <f t="shared" si="5"/>
        <v/>
      </c>
      <c r="G29" s="197" t="str">
        <f t="shared" si="5"/>
        <v/>
      </c>
      <c r="H29" s="198" t="str">
        <f t="shared" si="6"/>
        <v/>
      </c>
      <c r="I29" s="393"/>
      <c r="J29" s="393"/>
      <c r="K29" s="393"/>
    </row>
    <row r="30" spans="1:11" ht="14.4" x14ac:dyDescent="0.3">
      <c r="A30" s="195" t="e">
        <f t="shared" si="1"/>
        <v>#NUM!</v>
      </c>
      <c r="B30" s="196">
        <f t="shared" si="7"/>
        <v>15</v>
      </c>
      <c r="C30" s="197" t="str">
        <f t="shared" si="2"/>
        <v/>
      </c>
      <c r="D30" s="197" t="str">
        <f t="shared" si="4"/>
        <v/>
      </c>
      <c r="E30" s="197" t="str">
        <f t="shared" si="3"/>
        <v/>
      </c>
      <c r="F30" s="197" t="str">
        <f t="shared" si="5"/>
        <v/>
      </c>
      <c r="G30" s="197" t="str">
        <f t="shared" si="5"/>
        <v/>
      </c>
      <c r="H30" s="198" t="str">
        <f t="shared" si="6"/>
        <v/>
      </c>
      <c r="I30" s="393"/>
      <c r="J30" s="393"/>
      <c r="K30" s="393"/>
    </row>
    <row r="31" spans="1:11" ht="14.4" x14ac:dyDescent="0.3">
      <c r="A31" s="195" t="e">
        <f t="shared" si="1"/>
        <v>#NUM!</v>
      </c>
      <c r="B31" s="196">
        <f t="shared" si="7"/>
        <v>16</v>
      </c>
      <c r="C31" s="197" t="str">
        <f t="shared" si="2"/>
        <v/>
      </c>
      <c r="D31" s="197" t="str">
        <f t="shared" si="4"/>
        <v/>
      </c>
      <c r="E31" s="197" t="str">
        <f t="shared" si="3"/>
        <v/>
      </c>
      <c r="F31" s="197" t="str">
        <f t="shared" si="5"/>
        <v/>
      </c>
      <c r="G31" s="197" t="str">
        <f t="shared" si="5"/>
        <v/>
      </c>
      <c r="H31" s="198" t="str">
        <f t="shared" si="6"/>
        <v/>
      </c>
      <c r="I31" s="393"/>
      <c r="J31" s="393"/>
      <c r="K31" s="393"/>
    </row>
    <row r="32" spans="1:11" ht="14.4" x14ac:dyDescent="0.3">
      <c r="A32" s="195" t="e">
        <f t="shared" si="1"/>
        <v>#NUM!</v>
      </c>
      <c r="B32" s="196">
        <f t="shared" si="7"/>
        <v>17</v>
      </c>
      <c r="C32" s="197" t="str">
        <f t="shared" si="2"/>
        <v/>
      </c>
      <c r="D32" s="197" t="str">
        <f t="shared" si="4"/>
        <v/>
      </c>
      <c r="E32" s="197" t="str">
        <f t="shared" si="3"/>
        <v/>
      </c>
      <c r="F32" s="197" t="str">
        <f t="shared" si="5"/>
        <v/>
      </c>
      <c r="G32" s="197" t="str">
        <f t="shared" si="5"/>
        <v/>
      </c>
      <c r="H32" s="198" t="str">
        <f t="shared" si="6"/>
        <v/>
      </c>
      <c r="I32" s="393"/>
      <c r="J32" s="393"/>
      <c r="K32" s="393"/>
    </row>
    <row r="33" spans="1:11" ht="14.4" x14ac:dyDescent="0.3">
      <c r="A33" s="195" t="e">
        <f t="shared" si="1"/>
        <v>#NUM!</v>
      </c>
      <c r="B33" s="196">
        <f t="shared" si="7"/>
        <v>18</v>
      </c>
      <c r="C33" s="197" t="str">
        <f t="shared" si="2"/>
        <v/>
      </c>
      <c r="D33" s="197" t="str">
        <f t="shared" si="4"/>
        <v/>
      </c>
      <c r="E33" s="197" t="str">
        <f t="shared" si="3"/>
        <v/>
      </c>
      <c r="F33" s="197" t="str">
        <f t="shared" si="5"/>
        <v/>
      </c>
      <c r="G33" s="197" t="str">
        <f t="shared" si="5"/>
        <v/>
      </c>
      <c r="H33" s="198" t="str">
        <f t="shared" si="6"/>
        <v/>
      </c>
      <c r="I33" s="393"/>
      <c r="J33" s="393"/>
      <c r="K33" s="393"/>
    </row>
    <row r="34" spans="1:11" ht="14.4" x14ac:dyDescent="0.3">
      <c r="A34" s="195" t="e">
        <f t="shared" si="1"/>
        <v>#NUM!</v>
      </c>
      <c r="B34" s="196">
        <f t="shared" si="7"/>
        <v>19</v>
      </c>
      <c r="C34" s="197" t="str">
        <f t="shared" si="2"/>
        <v/>
      </c>
      <c r="D34" s="197" t="str">
        <f t="shared" si="4"/>
        <v/>
      </c>
      <c r="E34" s="197" t="str">
        <f t="shared" si="3"/>
        <v/>
      </c>
      <c r="F34" s="197" t="str">
        <f t="shared" ref="F34:G49" si="8">+IF(C34="","",F33+C34)</f>
        <v/>
      </c>
      <c r="G34" s="197" t="str">
        <f t="shared" si="8"/>
        <v/>
      </c>
      <c r="H34" s="198" t="str">
        <f t="shared" si="6"/>
        <v/>
      </c>
      <c r="I34" s="393"/>
      <c r="J34" s="393"/>
      <c r="K34" s="393"/>
    </row>
    <row r="35" spans="1:11" ht="14.4" x14ac:dyDescent="0.3">
      <c r="A35" s="195" t="e">
        <f t="shared" si="1"/>
        <v>#NUM!</v>
      </c>
      <c r="B35" s="196">
        <f t="shared" si="7"/>
        <v>20</v>
      </c>
      <c r="C35" s="197" t="str">
        <f t="shared" si="2"/>
        <v/>
      </c>
      <c r="D35" s="197" t="str">
        <f t="shared" si="4"/>
        <v/>
      </c>
      <c r="E35" s="197" t="str">
        <f t="shared" si="3"/>
        <v/>
      </c>
      <c r="F35" s="197" t="str">
        <f t="shared" si="8"/>
        <v/>
      </c>
      <c r="G35" s="197" t="str">
        <f t="shared" si="8"/>
        <v/>
      </c>
      <c r="H35" s="198" t="str">
        <f t="shared" si="6"/>
        <v/>
      </c>
      <c r="I35" s="393"/>
      <c r="J35" s="393"/>
      <c r="K35" s="393"/>
    </row>
    <row r="36" spans="1:11" ht="14.4" x14ac:dyDescent="0.3">
      <c r="A36" s="195" t="e">
        <f t="shared" si="1"/>
        <v>#NUM!</v>
      </c>
      <c r="B36" s="196">
        <f t="shared" si="7"/>
        <v>21</v>
      </c>
      <c r="C36" s="197" t="str">
        <f t="shared" si="2"/>
        <v/>
      </c>
      <c r="D36" s="197" t="str">
        <f t="shared" si="4"/>
        <v/>
      </c>
      <c r="E36" s="197" t="str">
        <f t="shared" si="3"/>
        <v/>
      </c>
      <c r="F36" s="197" t="str">
        <f t="shared" si="8"/>
        <v/>
      </c>
      <c r="G36" s="197" t="str">
        <f t="shared" si="8"/>
        <v/>
      </c>
      <c r="H36" s="198" t="str">
        <f t="shared" si="6"/>
        <v/>
      </c>
      <c r="I36" s="393"/>
      <c r="J36" s="393"/>
      <c r="K36" s="393"/>
    </row>
    <row r="37" spans="1:11" ht="14.4" x14ac:dyDescent="0.3">
      <c r="A37" s="195" t="e">
        <f t="shared" si="1"/>
        <v>#NUM!</v>
      </c>
      <c r="B37" s="196">
        <f t="shared" si="7"/>
        <v>22</v>
      </c>
      <c r="C37" s="197" t="str">
        <f t="shared" si="2"/>
        <v/>
      </c>
      <c r="D37" s="197" t="str">
        <f t="shared" si="4"/>
        <v/>
      </c>
      <c r="E37" s="197" t="str">
        <f t="shared" si="3"/>
        <v/>
      </c>
      <c r="F37" s="197" t="str">
        <f t="shared" si="8"/>
        <v/>
      </c>
      <c r="G37" s="197" t="str">
        <f t="shared" si="8"/>
        <v/>
      </c>
      <c r="H37" s="198" t="str">
        <f t="shared" si="6"/>
        <v/>
      </c>
      <c r="I37" s="393"/>
      <c r="J37" s="393"/>
      <c r="K37" s="393"/>
    </row>
    <row r="38" spans="1:11" ht="14.4" x14ac:dyDescent="0.3">
      <c r="A38" s="195" t="e">
        <f t="shared" si="1"/>
        <v>#NUM!</v>
      </c>
      <c r="B38" s="196">
        <f t="shared" si="7"/>
        <v>23</v>
      </c>
      <c r="C38" s="197" t="str">
        <f t="shared" si="2"/>
        <v/>
      </c>
      <c r="D38" s="197" t="str">
        <f t="shared" si="4"/>
        <v/>
      </c>
      <c r="E38" s="197" t="str">
        <f t="shared" si="3"/>
        <v/>
      </c>
      <c r="F38" s="197" t="str">
        <f t="shared" si="8"/>
        <v/>
      </c>
      <c r="G38" s="197" t="str">
        <f t="shared" si="8"/>
        <v/>
      </c>
      <c r="H38" s="198" t="str">
        <f t="shared" si="6"/>
        <v/>
      </c>
      <c r="I38" s="393"/>
      <c r="J38" s="393"/>
      <c r="K38" s="393"/>
    </row>
    <row r="39" spans="1:11" ht="14.4" x14ac:dyDescent="0.3">
      <c r="A39" s="195" t="e">
        <f t="shared" si="1"/>
        <v>#NUM!</v>
      </c>
      <c r="B39" s="196">
        <f t="shared" si="7"/>
        <v>24</v>
      </c>
      <c r="C39" s="197" t="str">
        <f t="shared" si="2"/>
        <v/>
      </c>
      <c r="D39" s="197" t="str">
        <f t="shared" si="4"/>
        <v/>
      </c>
      <c r="E39" s="197" t="str">
        <f t="shared" si="3"/>
        <v/>
      </c>
      <c r="F39" s="197" t="str">
        <f t="shared" si="8"/>
        <v/>
      </c>
      <c r="G39" s="197" t="str">
        <f t="shared" si="8"/>
        <v/>
      </c>
      <c r="H39" s="198" t="str">
        <f t="shared" si="6"/>
        <v/>
      </c>
      <c r="I39" s="394"/>
      <c r="J39" s="394"/>
      <c r="K39" s="394"/>
    </row>
    <row r="40" spans="1:11" ht="14.4" x14ac:dyDescent="0.3">
      <c r="A40" s="195" t="e">
        <f t="shared" si="1"/>
        <v>#NUM!</v>
      </c>
      <c r="B40" s="196">
        <f t="shared" si="7"/>
        <v>25</v>
      </c>
      <c r="C40" s="197" t="str">
        <f t="shared" si="2"/>
        <v/>
      </c>
      <c r="D40" s="197" t="str">
        <f t="shared" si="4"/>
        <v/>
      </c>
      <c r="E40" s="197" t="str">
        <f t="shared" si="3"/>
        <v/>
      </c>
      <c r="F40" s="197" t="str">
        <f t="shared" si="8"/>
        <v/>
      </c>
      <c r="G40" s="197" t="str">
        <f t="shared" si="8"/>
        <v/>
      </c>
      <c r="H40" s="198" t="str">
        <f t="shared" si="6"/>
        <v/>
      </c>
      <c r="I40" s="392">
        <f>SUM(C40:C51)</f>
        <v>0</v>
      </c>
      <c r="J40" s="392">
        <f>SUM(D40:D51)</f>
        <v>0</v>
      </c>
      <c r="K40" s="392">
        <f>SUM(E40:E51)</f>
        <v>0</v>
      </c>
    </row>
    <row r="41" spans="1:11" ht="14.4" x14ac:dyDescent="0.3">
      <c r="A41" s="195" t="e">
        <f t="shared" si="1"/>
        <v>#NUM!</v>
      </c>
      <c r="B41" s="196">
        <f t="shared" si="7"/>
        <v>26</v>
      </c>
      <c r="C41" s="197" t="str">
        <f t="shared" si="2"/>
        <v/>
      </c>
      <c r="D41" s="197" t="str">
        <f t="shared" si="4"/>
        <v/>
      </c>
      <c r="E41" s="197" t="str">
        <f t="shared" si="3"/>
        <v/>
      </c>
      <c r="F41" s="197" t="str">
        <f t="shared" si="8"/>
        <v/>
      </c>
      <c r="G41" s="197" t="str">
        <f t="shared" si="8"/>
        <v/>
      </c>
      <c r="H41" s="198" t="str">
        <f t="shared" si="6"/>
        <v/>
      </c>
      <c r="I41" s="393"/>
      <c r="J41" s="393"/>
      <c r="K41" s="393"/>
    </row>
    <row r="42" spans="1:11" ht="14.4" x14ac:dyDescent="0.3">
      <c r="A42" s="195" t="e">
        <f t="shared" si="1"/>
        <v>#NUM!</v>
      </c>
      <c r="B42" s="196">
        <f t="shared" si="7"/>
        <v>27</v>
      </c>
      <c r="C42" s="197" t="str">
        <f t="shared" si="2"/>
        <v/>
      </c>
      <c r="D42" s="197" t="str">
        <f t="shared" si="4"/>
        <v/>
      </c>
      <c r="E42" s="197" t="str">
        <f t="shared" si="3"/>
        <v/>
      </c>
      <c r="F42" s="197" t="str">
        <f t="shared" si="8"/>
        <v/>
      </c>
      <c r="G42" s="197" t="str">
        <f t="shared" si="8"/>
        <v/>
      </c>
      <c r="H42" s="198" t="str">
        <f t="shared" si="6"/>
        <v/>
      </c>
      <c r="I42" s="393"/>
      <c r="J42" s="393"/>
      <c r="K42" s="393"/>
    </row>
    <row r="43" spans="1:11" ht="14.4" x14ac:dyDescent="0.3">
      <c r="A43" s="195" t="e">
        <f t="shared" si="1"/>
        <v>#NUM!</v>
      </c>
      <c r="B43" s="196">
        <f t="shared" si="7"/>
        <v>28</v>
      </c>
      <c r="C43" s="197" t="str">
        <f t="shared" si="2"/>
        <v/>
      </c>
      <c r="D43" s="197" t="str">
        <f t="shared" si="4"/>
        <v/>
      </c>
      <c r="E43" s="197" t="str">
        <f t="shared" si="3"/>
        <v/>
      </c>
      <c r="F43" s="197" t="str">
        <f t="shared" si="8"/>
        <v/>
      </c>
      <c r="G43" s="197" t="str">
        <f t="shared" si="8"/>
        <v/>
      </c>
      <c r="H43" s="198" t="str">
        <f t="shared" si="6"/>
        <v/>
      </c>
      <c r="I43" s="393"/>
      <c r="J43" s="393"/>
      <c r="K43" s="393"/>
    </row>
    <row r="44" spans="1:11" ht="14.4" x14ac:dyDescent="0.3">
      <c r="A44" s="195" t="e">
        <f t="shared" si="1"/>
        <v>#NUM!</v>
      </c>
      <c r="B44" s="196">
        <f t="shared" si="7"/>
        <v>29</v>
      </c>
      <c r="C44" s="197" t="str">
        <f t="shared" si="2"/>
        <v/>
      </c>
      <c r="D44" s="197" t="str">
        <f t="shared" si="4"/>
        <v/>
      </c>
      <c r="E44" s="197" t="str">
        <f t="shared" si="3"/>
        <v/>
      </c>
      <c r="F44" s="197" t="str">
        <f t="shared" si="8"/>
        <v/>
      </c>
      <c r="G44" s="197" t="str">
        <f t="shared" si="8"/>
        <v/>
      </c>
      <c r="H44" s="198" t="str">
        <f t="shared" si="6"/>
        <v/>
      </c>
      <c r="I44" s="393"/>
      <c r="J44" s="393"/>
      <c r="K44" s="393"/>
    </row>
    <row r="45" spans="1:11" ht="14.4" x14ac:dyDescent="0.3">
      <c r="A45" s="195" t="e">
        <f t="shared" si="1"/>
        <v>#NUM!</v>
      </c>
      <c r="B45" s="196">
        <f t="shared" si="7"/>
        <v>30</v>
      </c>
      <c r="C45" s="197" t="str">
        <f t="shared" si="2"/>
        <v/>
      </c>
      <c r="D45" s="197" t="str">
        <f t="shared" si="4"/>
        <v/>
      </c>
      <c r="E45" s="197" t="str">
        <f t="shared" si="3"/>
        <v/>
      </c>
      <c r="F45" s="197" t="str">
        <f t="shared" si="8"/>
        <v/>
      </c>
      <c r="G45" s="197" t="str">
        <f t="shared" si="8"/>
        <v/>
      </c>
      <c r="H45" s="198" t="str">
        <f t="shared" si="6"/>
        <v/>
      </c>
      <c r="I45" s="393"/>
      <c r="J45" s="393"/>
      <c r="K45" s="393"/>
    </row>
    <row r="46" spans="1:11" ht="14.4" x14ac:dyDescent="0.3">
      <c r="A46" s="195" t="e">
        <f t="shared" si="1"/>
        <v>#NUM!</v>
      </c>
      <c r="B46" s="196">
        <f t="shared" si="7"/>
        <v>31</v>
      </c>
      <c r="C46" s="197" t="str">
        <f t="shared" si="2"/>
        <v/>
      </c>
      <c r="D46" s="197" t="str">
        <f t="shared" si="4"/>
        <v/>
      </c>
      <c r="E46" s="197" t="str">
        <f t="shared" si="3"/>
        <v/>
      </c>
      <c r="F46" s="197" t="str">
        <f t="shared" si="8"/>
        <v/>
      </c>
      <c r="G46" s="197" t="str">
        <f t="shared" si="8"/>
        <v/>
      </c>
      <c r="H46" s="198" t="str">
        <f t="shared" si="6"/>
        <v/>
      </c>
      <c r="I46" s="393"/>
      <c r="J46" s="393"/>
      <c r="K46" s="393"/>
    </row>
    <row r="47" spans="1:11" ht="14.4" x14ac:dyDescent="0.3">
      <c r="A47" s="195" t="e">
        <f t="shared" si="1"/>
        <v>#NUM!</v>
      </c>
      <c r="B47" s="196">
        <f t="shared" si="7"/>
        <v>32</v>
      </c>
      <c r="C47" s="197" t="str">
        <f t="shared" si="2"/>
        <v/>
      </c>
      <c r="D47" s="197" t="str">
        <f t="shared" si="4"/>
        <v/>
      </c>
      <c r="E47" s="197" t="str">
        <f t="shared" si="3"/>
        <v/>
      </c>
      <c r="F47" s="197" t="str">
        <f t="shared" si="8"/>
        <v/>
      </c>
      <c r="G47" s="197" t="str">
        <f t="shared" si="8"/>
        <v/>
      </c>
      <c r="H47" s="198" t="str">
        <f t="shared" si="6"/>
        <v/>
      </c>
      <c r="I47" s="393"/>
      <c r="J47" s="393"/>
      <c r="K47" s="393"/>
    </row>
    <row r="48" spans="1:11" ht="14.4" x14ac:dyDescent="0.3">
      <c r="A48" s="195" t="e">
        <f t="shared" si="1"/>
        <v>#NUM!</v>
      </c>
      <c r="B48" s="196">
        <f t="shared" si="7"/>
        <v>33</v>
      </c>
      <c r="C48" s="197" t="str">
        <f t="shared" ref="C48:C79" si="9">+IF(B48&gt;C$4,"",CUMPRINC(C$3/12,C$4,C$5,B48,B48,0))</f>
        <v/>
      </c>
      <c r="D48" s="197" t="str">
        <f t="shared" si="4"/>
        <v/>
      </c>
      <c r="E48" s="197" t="str">
        <f t="shared" ref="E48:E79" si="10">+IF(B48&gt;C$4,"",C$9)</f>
        <v/>
      </c>
      <c r="F48" s="197" t="str">
        <f t="shared" si="8"/>
        <v/>
      </c>
      <c r="G48" s="197" t="str">
        <f t="shared" si="8"/>
        <v/>
      </c>
      <c r="H48" s="198" t="str">
        <f t="shared" si="6"/>
        <v/>
      </c>
      <c r="I48" s="393"/>
      <c r="J48" s="393"/>
      <c r="K48" s="393"/>
    </row>
    <row r="49" spans="1:11" ht="14.4" x14ac:dyDescent="0.3">
      <c r="A49" s="195" t="e">
        <f t="shared" si="1"/>
        <v>#NUM!</v>
      </c>
      <c r="B49" s="196">
        <f t="shared" si="7"/>
        <v>34</v>
      </c>
      <c r="C49" s="197" t="str">
        <f t="shared" si="9"/>
        <v/>
      </c>
      <c r="D49" s="197" t="str">
        <f t="shared" si="4"/>
        <v/>
      </c>
      <c r="E49" s="197" t="str">
        <f t="shared" si="10"/>
        <v/>
      </c>
      <c r="F49" s="197" t="str">
        <f t="shared" si="8"/>
        <v/>
      </c>
      <c r="G49" s="197" t="str">
        <f t="shared" si="8"/>
        <v/>
      </c>
      <c r="H49" s="198" t="str">
        <f t="shared" si="6"/>
        <v/>
      </c>
      <c r="I49" s="393"/>
      <c r="J49" s="393"/>
      <c r="K49" s="393"/>
    </row>
    <row r="50" spans="1:11" ht="14.4" x14ac:dyDescent="0.3">
      <c r="A50" s="195" t="e">
        <f t="shared" si="1"/>
        <v>#NUM!</v>
      </c>
      <c r="B50" s="196">
        <f t="shared" si="7"/>
        <v>35</v>
      </c>
      <c r="C50" s="197" t="str">
        <f t="shared" si="9"/>
        <v/>
      </c>
      <c r="D50" s="197" t="str">
        <f t="shared" si="4"/>
        <v/>
      </c>
      <c r="E50" s="197" t="str">
        <f t="shared" si="10"/>
        <v/>
      </c>
      <c r="F50" s="197" t="str">
        <f t="shared" ref="F50:G65" si="11">+IF(C50="","",F49+C50)</f>
        <v/>
      </c>
      <c r="G50" s="197" t="str">
        <f t="shared" si="11"/>
        <v/>
      </c>
      <c r="H50" s="198" t="str">
        <f t="shared" si="6"/>
        <v/>
      </c>
      <c r="I50" s="393"/>
      <c r="J50" s="393"/>
      <c r="K50" s="393"/>
    </row>
    <row r="51" spans="1:11" ht="14.4" x14ac:dyDescent="0.3">
      <c r="A51" s="195" t="e">
        <f t="shared" si="1"/>
        <v>#NUM!</v>
      </c>
      <c r="B51" s="196">
        <f t="shared" si="7"/>
        <v>36</v>
      </c>
      <c r="C51" s="197" t="str">
        <f t="shared" si="9"/>
        <v/>
      </c>
      <c r="D51" s="197" t="str">
        <f t="shared" si="4"/>
        <v/>
      </c>
      <c r="E51" s="197" t="str">
        <f t="shared" si="10"/>
        <v/>
      </c>
      <c r="F51" s="197" t="str">
        <f t="shared" si="11"/>
        <v/>
      </c>
      <c r="G51" s="197" t="str">
        <f t="shared" si="11"/>
        <v/>
      </c>
      <c r="H51" s="198" t="str">
        <f t="shared" si="6"/>
        <v/>
      </c>
      <c r="I51" s="394"/>
      <c r="J51" s="394"/>
      <c r="K51" s="394"/>
    </row>
    <row r="52" spans="1:11" ht="14.4" x14ac:dyDescent="0.3">
      <c r="A52" s="195" t="e">
        <f t="shared" si="1"/>
        <v>#NUM!</v>
      </c>
      <c r="B52" s="196">
        <f t="shared" si="7"/>
        <v>37</v>
      </c>
      <c r="C52" s="197" t="str">
        <f t="shared" si="9"/>
        <v/>
      </c>
      <c r="D52" s="197" t="str">
        <f t="shared" si="4"/>
        <v/>
      </c>
      <c r="E52" s="197" t="str">
        <f t="shared" si="10"/>
        <v/>
      </c>
      <c r="F52" s="197" t="str">
        <f t="shared" si="11"/>
        <v/>
      </c>
      <c r="G52" s="197" t="str">
        <f t="shared" si="11"/>
        <v/>
      </c>
      <c r="H52" s="198" t="str">
        <f t="shared" si="6"/>
        <v/>
      </c>
      <c r="I52" s="392">
        <f>SUM(C52:C63)</f>
        <v>0</v>
      </c>
      <c r="J52" s="392">
        <f>SUM(D52:D63)</f>
        <v>0</v>
      </c>
      <c r="K52" s="392">
        <f>SUM(E52:E63)</f>
        <v>0</v>
      </c>
    </row>
    <row r="53" spans="1:11" ht="14.4" x14ac:dyDescent="0.3">
      <c r="A53" s="195" t="e">
        <f t="shared" si="1"/>
        <v>#NUM!</v>
      </c>
      <c r="B53" s="196">
        <f t="shared" si="7"/>
        <v>38</v>
      </c>
      <c r="C53" s="197" t="str">
        <f t="shared" si="9"/>
        <v/>
      </c>
      <c r="D53" s="197" t="str">
        <f t="shared" si="4"/>
        <v/>
      </c>
      <c r="E53" s="197" t="str">
        <f t="shared" si="10"/>
        <v/>
      </c>
      <c r="F53" s="197" t="str">
        <f t="shared" si="11"/>
        <v/>
      </c>
      <c r="G53" s="197" t="str">
        <f t="shared" si="11"/>
        <v/>
      </c>
      <c r="H53" s="198" t="str">
        <f t="shared" si="6"/>
        <v/>
      </c>
      <c r="I53" s="393"/>
      <c r="J53" s="393"/>
      <c r="K53" s="393"/>
    </row>
    <row r="54" spans="1:11" ht="14.4" x14ac:dyDescent="0.3">
      <c r="A54" s="195" t="e">
        <f t="shared" si="1"/>
        <v>#NUM!</v>
      </c>
      <c r="B54" s="196">
        <f t="shared" si="7"/>
        <v>39</v>
      </c>
      <c r="C54" s="197" t="str">
        <f t="shared" si="9"/>
        <v/>
      </c>
      <c r="D54" s="197" t="str">
        <f t="shared" si="4"/>
        <v/>
      </c>
      <c r="E54" s="197" t="str">
        <f t="shared" si="10"/>
        <v/>
      </c>
      <c r="F54" s="197" t="str">
        <f t="shared" si="11"/>
        <v/>
      </c>
      <c r="G54" s="197" t="str">
        <f t="shared" si="11"/>
        <v/>
      </c>
      <c r="H54" s="198" t="str">
        <f t="shared" si="6"/>
        <v/>
      </c>
      <c r="I54" s="393"/>
      <c r="J54" s="393"/>
      <c r="K54" s="393"/>
    </row>
    <row r="55" spans="1:11" ht="14.4" x14ac:dyDescent="0.3">
      <c r="A55" s="195" t="e">
        <f t="shared" si="1"/>
        <v>#NUM!</v>
      </c>
      <c r="B55" s="196">
        <f t="shared" si="7"/>
        <v>40</v>
      </c>
      <c r="C55" s="197" t="str">
        <f t="shared" si="9"/>
        <v/>
      </c>
      <c r="D55" s="197" t="str">
        <f t="shared" si="4"/>
        <v/>
      </c>
      <c r="E55" s="197" t="str">
        <f t="shared" si="10"/>
        <v/>
      </c>
      <c r="F55" s="197" t="str">
        <f t="shared" si="11"/>
        <v/>
      </c>
      <c r="G55" s="197" t="str">
        <f t="shared" si="11"/>
        <v/>
      </c>
      <c r="H55" s="198" t="str">
        <f t="shared" si="6"/>
        <v/>
      </c>
      <c r="I55" s="393"/>
      <c r="J55" s="393"/>
      <c r="K55" s="393"/>
    </row>
    <row r="56" spans="1:11" ht="14.4" x14ac:dyDescent="0.3">
      <c r="A56" s="195" t="e">
        <f t="shared" si="1"/>
        <v>#NUM!</v>
      </c>
      <c r="B56" s="196">
        <f t="shared" si="7"/>
        <v>41</v>
      </c>
      <c r="C56" s="197" t="str">
        <f t="shared" si="9"/>
        <v/>
      </c>
      <c r="D56" s="197" t="str">
        <f t="shared" si="4"/>
        <v/>
      </c>
      <c r="E56" s="197" t="str">
        <f t="shared" si="10"/>
        <v/>
      </c>
      <c r="F56" s="197" t="str">
        <f t="shared" si="11"/>
        <v/>
      </c>
      <c r="G56" s="197" t="str">
        <f t="shared" si="11"/>
        <v/>
      </c>
      <c r="H56" s="198" t="str">
        <f t="shared" si="6"/>
        <v/>
      </c>
      <c r="I56" s="393"/>
      <c r="J56" s="393"/>
      <c r="K56" s="393"/>
    </row>
    <row r="57" spans="1:11" ht="14.4" x14ac:dyDescent="0.3">
      <c r="A57" s="195" t="e">
        <f t="shared" si="1"/>
        <v>#NUM!</v>
      </c>
      <c r="B57" s="196">
        <f t="shared" si="7"/>
        <v>42</v>
      </c>
      <c r="C57" s="197" t="str">
        <f t="shared" si="9"/>
        <v/>
      </c>
      <c r="D57" s="197" t="str">
        <f t="shared" si="4"/>
        <v/>
      </c>
      <c r="E57" s="197" t="str">
        <f t="shared" si="10"/>
        <v/>
      </c>
      <c r="F57" s="197" t="str">
        <f t="shared" si="11"/>
        <v/>
      </c>
      <c r="G57" s="197" t="str">
        <f t="shared" si="11"/>
        <v/>
      </c>
      <c r="H57" s="198" t="str">
        <f t="shared" si="6"/>
        <v/>
      </c>
      <c r="I57" s="393"/>
      <c r="J57" s="393"/>
      <c r="K57" s="393"/>
    </row>
    <row r="58" spans="1:11" ht="14.4" x14ac:dyDescent="0.3">
      <c r="A58" s="195" t="e">
        <f t="shared" si="1"/>
        <v>#NUM!</v>
      </c>
      <c r="B58" s="196">
        <f t="shared" si="7"/>
        <v>43</v>
      </c>
      <c r="C58" s="197" t="str">
        <f t="shared" si="9"/>
        <v/>
      </c>
      <c r="D58" s="197" t="str">
        <f t="shared" si="4"/>
        <v/>
      </c>
      <c r="E58" s="197" t="str">
        <f t="shared" si="10"/>
        <v/>
      </c>
      <c r="F58" s="197" t="str">
        <f t="shared" si="11"/>
        <v/>
      </c>
      <c r="G58" s="197" t="str">
        <f t="shared" si="11"/>
        <v/>
      </c>
      <c r="H58" s="198" t="str">
        <f t="shared" si="6"/>
        <v/>
      </c>
      <c r="I58" s="393"/>
      <c r="J58" s="393"/>
      <c r="K58" s="393"/>
    </row>
    <row r="59" spans="1:11" ht="14.4" x14ac:dyDescent="0.3">
      <c r="A59" s="195" t="e">
        <f t="shared" si="1"/>
        <v>#NUM!</v>
      </c>
      <c r="B59" s="196">
        <f t="shared" si="7"/>
        <v>44</v>
      </c>
      <c r="C59" s="197" t="str">
        <f t="shared" si="9"/>
        <v/>
      </c>
      <c r="D59" s="197" t="str">
        <f t="shared" si="4"/>
        <v/>
      </c>
      <c r="E59" s="197" t="str">
        <f t="shared" si="10"/>
        <v/>
      </c>
      <c r="F59" s="197" t="str">
        <f t="shared" si="11"/>
        <v/>
      </c>
      <c r="G59" s="197" t="str">
        <f t="shared" si="11"/>
        <v/>
      </c>
      <c r="H59" s="198" t="str">
        <f t="shared" si="6"/>
        <v/>
      </c>
      <c r="I59" s="393"/>
      <c r="J59" s="393"/>
      <c r="K59" s="393"/>
    </row>
    <row r="60" spans="1:11" ht="14.4" x14ac:dyDescent="0.3">
      <c r="A60" s="195" t="e">
        <f t="shared" si="1"/>
        <v>#NUM!</v>
      </c>
      <c r="B60" s="196">
        <f t="shared" si="7"/>
        <v>45</v>
      </c>
      <c r="C60" s="197" t="str">
        <f t="shared" si="9"/>
        <v/>
      </c>
      <c r="D60" s="197" t="str">
        <f t="shared" si="4"/>
        <v/>
      </c>
      <c r="E60" s="197" t="str">
        <f t="shared" si="10"/>
        <v/>
      </c>
      <c r="F60" s="197" t="str">
        <f t="shared" si="11"/>
        <v/>
      </c>
      <c r="G60" s="197" t="str">
        <f t="shared" si="11"/>
        <v/>
      </c>
      <c r="H60" s="198" t="str">
        <f t="shared" si="6"/>
        <v/>
      </c>
      <c r="I60" s="393"/>
      <c r="J60" s="393"/>
      <c r="K60" s="393"/>
    </row>
    <row r="61" spans="1:11" ht="14.4" x14ac:dyDescent="0.3">
      <c r="A61" s="195" t="e">
        <f t="shared" si="1"/>
        <v>#NUM!</v>
      </c>
      <c r="B61" s="196">
        <f t="shared" si="7"/>
        <v>46</v>
      </c>
      <c r="C61" s="197" t="str">
        <f t="shared" si="9"/>
        <v/>
      </c>
      <c r="D61" s="197" t="str">
        <f t="shared" si="4"/>
        <v/>
      </c>
      <c r="E61" s="197" t="str">
        <f t="shared" si="10"/>
        <v/>
      </c>
      <c r="F61" s="197" t="str">
        <f t="shared" si="11"/>
        <v/>
      </c>
      <c r="G61" s="197" t="str">
        <f t="shared" si="11"/>
        <v/>
      </c>
      <c r="H61" s="198" t="str">
        <f t="shared" si="6"/>
        <v/>
      </c>
      <c r="I61" s="393"/>
      <c r="J61" s="393"/>
      <c r="K61" s="393"/>
    </row>
    <row r="62" spans="1:11" ht="14.4" x14ac:dyDescent="0.3">
      <c r="A62" s="195" t="e">
        <f t="shared" si="1"/>
        <v>#NUM!</v>
      </c>
      <c r="B62" s="196">
        <f t="shared" si="7"/>
        <v>47</v>
      </c>
      <c r="C62" s="197" t="str">
        <f t="shared" si="9"/>
        <v/>
      </c>
      <c r="D62" s="197" t="str">
        <f t="shared" si="4"/>
        <v/>
      </c>
      <c r="E62" s="197" t="str">
        <f t="shared" si="10"/>
        <v/>
      </c>
      <c r="F62" s="197" t="str">
        <f t="shared" si="11"/>
        <v/>
      </c>
      <c r="G62" s="197" t="str">
        <f t="shared" si="11"/>
        <v/>
      </c>
      <c r="H62" s="198" t="str">
        <f t="shared" si="6"/>
        <v/>
      </c>
      <c r="I62" s="393"/>
      <c r="J62" s="393"/>
      <c r="K62" s="393"/>
    </row>
    <row r="63" spans="1:11" ht="14.4" x14ac:dyDescent="0.3">
      <c r="A63" s="195" t="e">
        <f t="shared" si="1"/>
        <v>#NUM!</v>
      </c>
      <c r="B63" s="196">
        <f t="shared" si="7"/>
        <v>48</v>
      </c>
      <c r="C63" s="197" t="str">
        <f t="shared" si="9"/>
        <v/>
      </c>
      <c r="D63" s="197" t="str">
        <f t="shared" si="4"/>
        <v/>
      </c>
      <c r="E63" s="197" t="str">
        <f t="shared" si="10"/>
        <v/>
      </c>
      <c r="F63" s="197" t="str">
        <f t="shared" si="11"/>
        <v/>
      </c>
      <c r="G63" s="197" t="str">
        <f t="shared" si="11"/>
        <v/>
      </c>
      <c r="H63" s="198" t="str">
        <f t="shared" si="6"/>
        <v/>
      </c>
      <c r="I63" s="394"/>
      <c r="J63" s="394"/>
      <c r="K63" s="394"/>
    </row>
    <row r="64" spans="1:11" ht="14.4" x14ac:dyDescent="0.3">
      <c r="A64" s="195" t="e">
        <f t="shared" si="1"/>
        <v>#NUM!</v>
      </c>
      <c r="B64" s="196">
        <f t="shared" si="7"/>
        <v>49</v>
      </c>
      <c r="C64" s="197" t="str">
        <f t="shared" si="9"/>
        <v/>
      </c>
      <c r="D64" s="197" t="str">
        <f t="shared" si="4"/>
        <v/>
      </c>
      <c r="E64" s="197" t="str">
        <f t="shared" si="10"/>
        <v/>
      </c>
      <c r="F64" s="197" t="str">
        <f t="shared" si="11"/>
        <v/>
      </c>
      <c r="G64" s="197" t="str">
        <f t="shared" si="11"/>
        <v/>
      </c>
      <c r="H64" s="198" t="str">
        <f t="shared" si="6"/>
        <v/>
      </c>
      <c r="I64" s="392">
        <f>SUM(C64:C75)</f>
        <v>0</v>
      </c>
      <c r="J64" s="392">
        <f>SUM(D64:D75)</f>
        <v>0</v>
      </c>
      <c r="K64" s="392">
        <f>SUM(E64:E75)</f>
        <v>0</v>
      </c>
    </row>
    <row r="65" spans="1:11" ht="14.4" x14ac:dyDescent="0.3">
      <c r="A65" s="195" t="e">
        <f t="shared" si="1"/>
        <v>#NUM!</v>
      </c>
      <c r="B65" s="196">
        <f t="shared" si="7"/>
        <v>50</v>
      </c>
      <c r="C65" s="197" t="str">
        <f t="shared" si="9"/>
        <v/>
      </c>
      <c r="D65" s="197" t="str">
        <f t="shared" si="4"/>
        <v/>
      </c>
      <c r="E65" s="197" t="str">
        <f t="shared" si="10"/>
        <v/>
      </c>
      <c r="F65" s="197" t="str">
        <f t="shared" si="11"/>
        <v/>
      </c>
      <c r="G65" s="197" t="str">
        <f t="shared" si="11"/>
        <v/>
      </c>
      <c r="H65" s="198" t="str">
        <f t="shared" si="6"/>
        <v/>
      </c>
      <c r="I65" s="393"/>
      <c r="J65" s="393"/>
      <c r="K65" s="393"/>
    </row>
    <row r="66" spans="1:11" ht="14.4" x14ac:dyDescent="0.3">
      <c r="A66" s="195" t="e">
        <f t="shared" si="1"/>
        <v>#NUM!</v>
      </c>
      <c r="B66" s="196">
        <f t="shared" si="7"/>
        <v>51</v>
      </c>
      <c r="C66" s="197" t="str">
        <f t="shared" si="9"/>
        <v/>
      </c>
      <c r="D66" s="197" t="str">
        <f t="shared" si="4"/>
        <v/>
      </c>
      <c r="E66" s="197" t="str">
        <f t="shared" si="10"/>
        <v/>
      </c>
      <c r="F66" s="197" t="str">
        <f t="shared" ref="F66:G81" si="12">+IF(C66="","",F65+C66)</f>
        <v/>
      </c>
      <c r="G66" s="197" t="str">
        <f t="shared" si="12"/>
        <v/>
      </c>
      <c r="H66" s="198" t="str">
        <f t="shared" si="6"/>
        <v/>
      </c>
      <c r="I66" s="393"/>
      <c r="J66" s="393"/>
      <c r="K66" s="393"/>
    </row>
    <row r="67" spans="1:11" ht="14.4" x14ac:dyDescent="0.3">
      <c r="A67" s="195" t="e">
        <f t="shared" si="1"/>
        <v>#NUM!</v>
      </c>
      <c r="B67" s="196">
        <f t="shared" si="7"/>
        <v>52</v>
      </c>
      <c r="C67" s="197" t="str">
        <f t="shared" si="9"/>
        <v/>
      </c>
      <c r="D67" s="197" t="str">
        <f t="shared" si="4"/>
        <v/>
      </c>
      <c r="E67" s="197" t="str">
        <f t="shared" si="10"/>
        <v/>
      </c>
      <c r="F67" s="197" t="str">
        <f t="shared" si="12"/>
        <v/>
      </c>
      <c r="G67" s="197" t="str">
        <f t="shared" si="12"/>
        <v/>
      </c>
      <c r="H67" s="198" t="str">
        <f t="shared" si="6"/>
        <v/>
      </c>
      <c r="I67" s="393"/>
      <c r="J67" s="393"/>
      <c r="K67" s="393"/>
    </row>
    <row r="68" spans="1:11" ht="14.4" x14ac:dyDescent="0.3">
      <c r="A68" s="195" t="e">
        <f t="shared" si="1"/>
        <v>#NUM!</v>
      </c>
      <c r="B68" s="196">
        <f t="shared" si="7"/>
        <v>53</v>
      </c>
      <c r="C68" s="197" t="str">
        <f t="shared" si="9"/>
        <v/>
      </c>
      <c r="D68" s="197" t="str">
        <f t="shared" si="4"/>
        <v/>
      </c>
      <c r="E68" s="197" t="str">
        <f t="shared" si="10"/>
        <v/>
      </c>
      <c r="F68" s="197" t="str">
        <f t="shared" si="12"/>
        <v/>
      </c>
      <c r="G68" s="197" t="str">
        <f t="shared" si="12"/>
        <v/>
      </c>
      <c r="H68" s="198" t="str">
        <f t="shared" si="6"/>
        <v/>
      </c>
      <c r="I68" s="393"/>
      <c r="J68" s="393"/>
      <c r="K68" s="393"/>
    </row>
    <row r="69" spans="1:11" ht="14.4" x14ac:dyDescent="0.3">
      <c r="A69" s="195" t="e">
        <f t="shared" si="1"/>
        <v>#NUM!</v>
      </c>
      <c r="B69" s="196">
        <f t="shared" si="7"/>
        <v>54</v>
      </c>
      <c r="C69" s="197" t="str">
        <f t="shared" si="9"/>
        <v/>
      </c>
      <c r="D69" s="197" t="str">
        <f t="shared" si="4"/>
        <v/>
      </c>
      <c r="E69" s="197" t="str">
        <f t="shared" si="10"/>
        <v/>
      </c>
      <c r="F69" s="197" t="str">
        <f t="shared" si="12"/>
        <v/>
      </c>
      <c r="G69" s="197" t="str">
        <f t="shared" si="12"/>
        <v/>
      </c>
      <c r="H69" s="198" t="str">
        <f t="shared" si="6"/>
        <v/>
      </c>
      <c r="I69" s="393"/>
      <c r="J69" s="393"/>
      <c r="K69" s="393"/>
    </row>
    <row r="70" spans="1:11" ht="14.4" x14ac:dyDescent="0.3">
      <c r="A70" s="195" t="e">
        <f t="shared" si="1"/>
        <v>#NUM!</v>
      </c>
      <c r="B70" s="196">
        <f t="shared" si="7"/>
        <v>55</v>
      </c>
      <c r="C70" s="197" t="str">
        <f t="shared" si="9"/>
        <v/>
      </c>
      <c r="D70" s="197" t="str">
        <f t="shared" si="4"/>
        <v/>
      </c>
      <c r="E70" s="197" t="str">
        <f t="shared" si="10"/>
        <v/>
      </c>
      <c r="F70" s="197" t="str">
        <f t="shared" si="12"/>
        <v/>
      </c>
      <c r="G70" s="197" t="str">
        <f t="shared" si="12"/>
        <v/>
      </c>
      <c r="H70" s="198" t="str">
        <f t="shared" si="6"/>
        <v/>
      </c>
      <c r="I70" s="393"/>
      <c r="J70" s="393"/>
      <c r="K70" s="393"/>
    </row>
    <row r="71" spans="1:11" ht="14.4" x14ac:dyDescent="0.3">
      <c r="A71" s="195" t="e">
        <f t="shared" si="1"/>
        <v>#NUM!</v>
      </c>
      <c r="B71" s="196">
        <f t="shared" si="7"/>
        <v>56</v>
      </c>
      <c r="C71" s="197" t="str">
        <f t="shared" si="9"/>
        <v/>
      </c>
      <c r="D71" s="197" t="str">
        <f t="shared" si="4"/>
        <v/>
      </c>
      <c r="E71" s="197" t="str">
        <f t="shared" si="10"/>
        <v/>
      </c>
      <c r="F71" s="197" t="str">
        <f t="shared" si="12"/>
        <v/>
      </c>
      <c r="G71" s="197" t="str">
        <f t="shared" si="12"/>
        <v/>
      </c>
      <c r="H71" s="198" t="str">
        <f t="shared" si="6"/>
        <v/>
      </c>
      <c r="I71" s="393"/>
      <c r="J71" s="393"/>
      <c r="K71" s="393"/>
    </row>
    <row r="72" spans="1:11" ht="14.4" x14ac:dyDescent="0.3">
      <c r="A72" s="195" t="e">
        <f t="shared" si="1"/>
        <v>#NUM!</v>
      </c>
      <c r="B72" s="196">
        <f t="shared" si="7"/>
        <v>57</v>
      </c>
      <c r="C72" s="197" t="str">
        <f t="shared" si="9"/>
        <v/>
      </c>
      <c r="D72" s="197" t="str">
        <f t="shared" si="4"/>
        <v/>
      </c>
      <c r="E72" s="197" t="str">
        <f t="shared" si="10"/>
        <v/>
      </c>
      <c r="F72" s="197" t="str">
        <f t="shared" si="12"/>
        <v/>
      </c>
      <c r="G72" s="197" t="str">
        <f t="shared" si="12"/>
        <v/>
      </c>
      <c r="H72" s="198" t="str">
        <f t="shared" si="6"/>
        <v/>
      </c>
      <c r="I72" s="393"/>
      <c r="J72" s="393"/>
      <c r="K72" s="393"/>
    </row>
    <row r="73" spans="1:11" ht="14.4" x14ac:dyDescent="0.3">
      <c r="A73" s="195" t="e">
        <f t="shared" si="1"/>
        <v>#NUM!</v>
      </c>
      <c r="B73" s="196">
        <f t="shared" si="7"/>
        <v>58</v>
      </c>
      <c r="C73" s="197" t="str">
        <f t="shared" si="9"/>
        <v/>
      </c>
      <c r="D73" s="197" t="str">
        <f t="shared" si="4"/>
        <v/>
      </c>
      <c r="E73" s="197" t="str">
        <f t="shared" si="10"/>
        <v/>
      </c>
      <c r="F73" s="197" t="str">
        <f t="shared" si="12"/>
        <v/>
      </c>
      <c r="G73" s="197" t="str">
        <f t="shared" si="12"/>
        <v/>
      </c>
      <c r="H73" s="198" t="str">
        <f t="shared" si="6"/>
        <v/>
      </c>
      <c r="I73" s="393"/>
      <c r="J73" s="393"/>
      <c r="K73" s="393"/>
    </row>
    <row r="74" spans="1:11" ht="14.4" x14ac:dyDescent="0.3">
      <c r="A74" s="195" t="e">
        <f t="shared" si="1"/>
        <v>#NUM!</v>
      </c>
      <c r="B74" s="196">
        <f t="shared" si="7"/>
        <v>59</v>
      </c>
      <c r="C74" s="197" t="str">
        <f t="shared" si="9"/>
        <v/>
      </c>
      <c r="D74" s="197" t="str">
        <f t="shared" si="4"/>
        <v/>
      </c>
      <c r="E74" s="197" t="str">
        <f t="shared" si="10"/>
        <v/>
      </c>
      <c r="F74" s="197" t="str">
        <f t="shared" si="12"/>
        <v/>
      </c>
      <c r="G74" s="197" t="str">
        <f t="shared" si="12"/>
        <v/>
      </c>
      <c r="H74" s="198" t="str">
        <f t="shared" si="6"/>
        <v/>
      </c>
      <c r="I74" s="393"/>
      <c r="J74" s="393"/>
      <c r="K74" s="393"/>
    </row>
    <row r="75" spans="1:11" ht="14.4" x14ac:dyDescent="0.3">
      <c r="A75" s="195" t="e">
        <f t="shared" si="1"/>
        <v>#NUM!</v>
      </c>
      <c r="B75" s="196">
        <f t="shared" si="7"/>
        <v>60</v>
      </c>
      <c r="C75" s="197" t="str">
        <f t="shared" si="9"/>
        <v/>
      </c>
      <c r="D75" s="197" t="str">
        <f t="shared" si="4"/>
        <v/>
      </c>
      <c r="E75" s="197" t="str">
        <f t="shared" si="10"/>
        <v/>
      </c>
      <c r="F75" s="197" t="str">
        <f t="shared" si="12"/>
        <v/>
      </c>
      <c r="G75" s="197" t="str">
        <f t="shared" si="12"/>
        <v/>
      </c>
      <c r="H75" s="198" t="str">
        <f t="shared" si="6"/>
        <v/>
      </c>
      <c r="I75" s="394"/>
      <c r="J75" s="394"/>
      <c r="K75" s="394"/>
    </row>
    <row r="76" spans="1:11" ht="14.4" x14ac:dyDescent="0.3">
      <c r="A76" s="195" t="e">
        <f t="shared" si="1"/>
        <v>#NUM!</v>
      </c>
      <c r="B76" s="196">
        <f t="shared" si="7"/>
        <v>61</v>
      </c>
      <c r="C76" s="197" t="str">
        <f t="shared" si="9"/>
        <v/>
      </c>
      <c r="D76" s="197" t="str">
        <f t="shared" si="4"/>
        <v/>
      </c>
      <c r="E76" s="197" t="str">
        <f t="shared" si="10"/>
        <v/>
      </c>
      <c r="F76" s="197" t="str">
        <f t="shared" si="12"/>
        <v/>
      </c>
      <c r="G76" s="197" t="str">
        <f t="shared" si="12"/>
        <v/>
      </c>
      <c r="H76" s="198" t="str">
        <f t="shared" si="6"/>
        <v/>
      </c>
      <c r="I76" s="392">
        <f>SUM(C76:C87)</f>
        <v>0</v>
      </c>
      <c r="J76" s="392">
        <f>SUM(D76:D87)</f>
        <v>0</v>
      </c>
      <c r="K76" s="392">
        <f>SUM(E76:E87)</f>
        <v>0</v>
      </c>
    </row>
    <row r="77" spans="1:11" ht="14.4" x14ac:dyDescent="0.3">
      <c r="A77" s="195" t="e">
        <f t="shared" si="1"/>
        <v>#NUM!</v>
      </c>
      <c r="B77" s="196">
        <f t="shared" si="7"/>
        <v>62</v>
      </c>
      <c r="C77" s="197" t="str">
        <f t="shared" si="9"/>
        <v/>
      </c>
      <c r="D77" s="197" t="str">
        <f t="shared" si="4"/>
        <v/>
      </c>
      <c r="E77" s="197" t="str">
        <f t="shared" si="10"/>
        <v/>
      </c>
      <c r="F77" s="197" t="str">
        <f t="shared" si="12"/>
        <v/>
      </c>
      <c r="G77" s="197" t="str">
        <f t="shared" si="12"/>
        <v/>
      </c>
      <c r="H77" s="198" t="str">
        <f t="shared" si="6"/>
        <v/>
      </c>
      <c r="I77" s="393"/>
      <c r="J77" s="393"/>
      <c r="K77" s="393"/>
    </row>
    <row r="78" spans="1:11" ht="14.4" x14ac:dyDescent="0.3">
      <c r="A78" s="195" t="e">
        <f t="shared" si="1"/>
        <v>#NUM!</v>
      </c>
      <c r="B78" s="196">
        <f t="shared" si="7"/>
        <v>63</v>
      </c>
      <c r="C78" s="197" t="str">
        <f t="shared" si="9"/>
        <v/>
      </c>
      <c r="D78" s="197" t="str">
        <f t="shared" si="4"/>
        <v/>
      </c>
      <c r="E78" s="197" t="str">
        <f t="shared" si="10"/>
        <v/>
      </c>
      <c r="F78" s="197" t="str">
        <f t="shared" si="12"/>
        <v/>
      </c>
      <c r="G78" s="197" t="str">
        <f t="shared" si="12"/>
        <v/>
      </c>
      <c r="H78" s="198" t="str">
        <f t="shared" si="6"/>
        <v/>
      </c>
      <c r="I78" s="393"/>
      <c r="J78" s="393"/>
      <c r="K78" s="393"/>
    </row>
    <row r="79" spans="1:11" ht="14.4" x14ac:dyDescent="0.3">
      <c r="A79" s="195" t="e">
        <f t="shared" si="1"/>
        <v>#NUM!</v>
      </c>
      <c r="B79" s="196">
        <f t="shared" si="7"/>
        <v>64</v>
      </c>
      <c r="C79" s="197" t="str">
        <f t="shared" si="9"/>
        <v/>
      </c>
      <c r="D79" s="197" t="str">
        <f t="shared" si="4"/>
        <v/>
      </c>
      <c r="E79" s="197" t="str">
        <f t="shared" si="10"/>
        <v/>
      </c>
      <c r="F79" s="197" t="str">
        <f t="shared" si="12"/>
        <v/>
      </c>
      <c r="G79" s="197" t="str">
        <f t="shared" si="12"/>
        <v/>
      </c>
      <c r="H79" s="198" t="str">
        <f t="shared" si="6"/>
        <v/>
      </c>
      <c r="I79" s="393"/>
      <c r="J79" s="393"/>
      <c r="K79" s="393"/>
    </row>
    <row r="80" spans="1:11" ht="14.4" x14ac:dyDescent="0.3">
      <c r="A80" s="195" t="e">
        <f t="shared" ref="A80:A99" si="13">+EOMONTH(B$13,B80)</f>
        <v>#NUM!</v>
      </c>
      <c r="B80" s="196">
        <f t="shared" si="7"/>
        <v>65</v>
      </c>
      <c r="C80" s="197" t="str">
        <f t="shared" ref="C80:C99" si="14">+IF(B80&gt;C$4,"",CUMPRINC(C$3/12,C$4,C$5,B80,B80,0))</f>
        <v/>
      </c>
      <c r="D80" s="197" t="str">
        <f t="shared" si="4"/>
        <v/>
      </c>
      <c r="E80" s="197" t="str">
        <f t="shared" ref="E80:E99" si="15">+IF(B80&gt;C$4,"",C$9)</f>
        <v/>
      </c>
      <c r="F80" s="197" t="str">
        <f t="shared" si="12"/>
        <v/>
      </c>
      <c r="G80" s="197" t="str">
        <f t="shared" si="12"/>
        <v/>
      </c>
      <c r="H80" s="198" t="str">
        <f t="shared" si="6"/>
        <v/>
      </c>
      <c r="I80" s="393"/>
      <c r="J80" s="393"/>
      <c r="K80" s="393"/>
    </row>
    <row r="81" spans="1:11" ht="14.4" x14ac:dyDescent="0.3">
      <c r="A81" s="195" t="e">
        <f t="shared" si="13"/>
        <v>#NUM!</v>
      </c>
      <c r="B81" s="196">
        <f t="shared" si="7"/>
        <v>66</v>
      </c>
      <c r="C81" s="197" t="str">
        <f t="shared" si="14"/>
        <v/>
      </c>
      <c r="D81" s="197" t="str">
        <f t="shared" ref="D81:D99" si="16">+IF(C81="","",E81-C81)</f>
        <v/>
      </c>
      <c r="E81" s="197" t="str">
        <f t="shared" si="15"/>
        <v/>
      </c>
      <c r="F81" s="197" t="str">
        <f t="shared" si="12"/>
        <v/>
      </c>
      <c r="G81" s="197" t="str">
        <f t="shared" si="12"/>
        <v/>
      </c>
      <c r="H81" s="198" t="str">
        <f t="shared" si="6"/>
        <v/>
      </c>
      <c r="I81" s="393"/>
      <c r="J81" s="393"/>
      <c r="K81" s="393"/>
    </row>
    <row r="82" spans="1:11" ht="14.4" x14ac:dyDescent="0.3">
      <c r="A82" s="195" t="e">
        <f t="shared" si="13"/>
        <v>#NUM!</v>
      </c>
      <c r="B82" s="196">
        <f t="shared" si="7"/>
        <v>67</v>
      </c>
      <c r="C82" s="197" t="str">
        <f t="shared" si="14"/>
        <v/>
      </c>
      <c r="D82" s="197" t="str">
        <f t="shared" si="16"/>
        <v/>
      </c>
      <c r="E82" s="197" t="str">
        <f t="shared" si="15"/>
        <v/>
      </c>
      <c r="F82" s="197" t="str">
        <f t="shared" ref="F82:G97" si="17">+IF(C82="","",F81+C82)</f>
        <v/>
      </c>
      <c r="G82" s="197" t="str">
        <f t="shared" si="17"/>
        <v/>
      </c>
      <c r="H82" s="198" t="str">
        <f t="shared" ref="H82:H99" si="18">+IF(C82="","",H81+C82)</f>
        <v/>
      </c>
      <c r="I82" s="393"/>
      <c r="J82" s="393"/>
      <c r="K82" s="393"/>
    </row>
    <row r="83" spans="1:11" ht="14.4" x14ac:dyDescent="0.3">
      <c r="A83" s="195" t="e">
        <f t="shared" si="13"/>
        <v>#NUM!</v>
      </c>
      <c r="B83" s="196">
        <f t="shared" ref="B83:B99" si="19">+B82+1</f>
        <v>68</v>
      </c>
      <c r="C83" s="197" t="str">
        <f t="shared" si="14"/>
        <v/>
      </c>
      <c r="D83" s="197" t="str">
        <f t="shared" si="16"/>
        <v/>
      </c>
      <c r="E83" s="197" t="str">
        <f t="shared" si="15"/>
        <v/>
      </c>
      <c r="F83" s="197" t="str">
        <f t="shared" si="17"/>
        <v/>
      </c>
      <c r="G83" s="197" t="str">
        <f t="shared" si="17"/>
        <v/>
      </c>
      <c r="H83" s="198" t="str">
        <f t="shared" si="18"/>
        <v/>
      </c>
      <c r="I83" s="393"/>
      <c r="J83" s="393"/>
      <c r="K83" s="393"/>
    </row>
    <row r="84" spans="1:11" ht="14.4" x14ac:dyDescent="0.3">
      <c r="A84" s="195" t="e">
        <f t="shared" si="13"/>
        <v>#NUM!</v>
      </c>
      <c r="B84" s="196">
        <f t="shared" si="19"/>
        <v>69</v>
      </c>
      <c r="C84" s="197" t="str">
        <f t="shared" si="14"/>
        <v/>
      </c>
      <c r="D84" s="197" t="str">
        <f t="shared" si="16"/>
        <v/>
      </c>
      <c r="E84" s="197" t="str">
        <f t="shared" si="15"/>
        <v/>
      </c>
      <c r="F84" s="197" t="str">
        <f t="shared" si="17"/>
        <v/>
      </c>
      <c r="G84" s="197" t="str">
        <f t="shared" si="17"/>
        <v/>
      </c>
      <c r="H84" s="198" t="str">
        <f t="shared" si="18"/>
        <v/>
      </c>
      <c r="I84" s="393"/>
      <c r="J84" s="393"/>
      <c r="K84" s="393"/>
    </row>
    <row r="85" spans="1:11" ht="14.4" x14ac:dyDescent="0.3">
      <c r="A85" s="195" t="e">
        <f t="shared" si="13"/>
        <v>#NUM!</v>
      </c>
      <c r="B85" s="196">
        <f t="shared" si="19"/>
        <v>70</v>
      </c>
      <c r="C85" s="197" t="str">
        <f t="shared" si="14"/>
        <v/>
      </c>
      <c r="D85" s="197" t="str">
        <f t="shared" si="16"/>
        <v/>
      </c>
      <c r="E85" s="197" t="str">
        <f t="shared" si="15"/>
        <v/>
      </c>
      <c r="F85" s="197" t="str">
        <f t="shared" si="17"/>
        <v/>
      </c>
      <c r="G85" s="197" t="str">
        <f t="shared" si="17"/>
        <v/>
      </c>
      <c r="H85" s="198" t="str">
        <f t="shared" si="18"/>
        <v/>
      </c>
      <c r="I85" s="393"/>
      <c r="J85" s="393"/>
      <c r="K85" s="393"/>
    </row>
    <row r="86" spans="1:11" ht="14.4" x14ac:dyDescent="0.3">
      <c r="A86" s="195" t="e">
        <f t="shared" si="13"/>
        <v>#NUM!</v>
      </c>
      <c r="B86" s="196">
        <f t="shared" si="19"/>
        <v>71</v>
      </c>
      <c r="C86" s="197" t="str">
        <f t="shared" si="14"/>
        <v/>
      </c>
      <c r="D86" s="197" t="str">
        <f t="shared" si="16"/>
        <v/>
      </c>
      <c r="E86" s="197" t="str">
        <f t="shared" si="15"/>
        <v/>
      </c>
      <c r="F86" s="197" t="str">
        <f t="shared" si="17"/>
        <v/>
      </c>
      <c r="G86" s="197" t="str">
        <f t="shared" si="17"/>
        <v/>
      </c>
      <c r="H86" s="198" t="str">
        <f t="shared" si="18"/>
        <v/>
      </c>
      <c r="I86" s="393"/>
      <c r="J86" s="393"/>
      <c r="K86" s="393"/>
    </row>
    <row r="87" spans="1:11" ht="14.4" x14ac:dyDescent="0.3">
      <c r="A87" s="195" t="e">
        <f t="shared" si="13"/>
        <v>#NUM!</v>
      </c>
      <c r="B87" s="196">
        <f t="shared" si="19"/>
        <v>72</v>
      </c>
      <c r="C87" s="197" t="str">
        <f t="shared" si="14"/>
        <v/>
      </c>
      <c r="D87" s="197" t="str">
        <f t="shared" si="16"/>
        <v/>
      </c>
      <c r="E87" s="197" t="str">
        <f t="shared" si="15"/>
        <v/>
      </c>
      <c r="F87" s="197" t="str">
        <f t="shared" si="17"/>
        <v/>
      </c>
      <c r="G87" s="197" t="str">
        <f t="shared" si="17"/>
        <v/>
      </c>
      <c r="H87" s="198" t="str">
        <f t="shared" si="18"/>
        <v/>
      </c>
      <c r="I87" s="394"/>
      <c r="J87" s="394"/>
      <c r="K87" s="394"/>
    </row>
    <row r="88" spans="1:11" ht="14.4" x14ac:dyDescent="0.3">
      <c r="A88" s="195" t="e">
        <f t="shared" si="13"/>
        <v>#NUM!</v>
      </c>
      <c r="B88" s="196">
        <f t="shared" si="19"/>
        <v>73</v>
      </c>
      <c r="C88" s="197" t="str">
        <f t="shared" si="14"/>
        <v/>
      </c>
      <c r="D88" s="197" t="str">
        <f t="shared" si="16"/>
        <v/>
      </c>
      <c r="E88" s="197" t="str">
        <f t="shared" si="15"/>
        <v/>
      </c>
      <c r="F88" s="197" t="str">
        <f t="shared" si="17"/>
        <v/>
      </c>
      <c r="G88" s="197" t="str">
        <f t="shared" si="17"/>
        <v/>
      </c>
      <c r="H88" s="198" t="str">
        <f t="shared" si="18"/>
        <v/>
      </c>
      <c r="I88" s="392">
        <f>SUM(C88:C99)</f>
        <v>0</v>
      </c>
      <c r="J88" s="392">
        <f>SUM(D88:D99)</f>
        <v>0</v>
      </c>
      <c r="K88" s="392">
        <f>SUM(E88:E99)</f>
        <v>0</v>
      </c>
    </row>
    <row r="89" spans="1:11" ht="14.4" x14ac:dyDescent="0.3">
      <c r="A89" s="195" t="e">
        <f t="shared" si="13"/>
        <v>#NUM!</v>
      </c>
      <c r="B89" s="196">
        <f t="shared" si="19"/>
        <v>74</v>
      </c>
      <c r="C89" s="197" t="str">
        <f t="shared" si="14"/>
        <v/>
      </c>
      <c r="D89" s="197" t="str">
        <f t="shared" si="16"/>
        <v/>
      </c>
      <c r="E89" s="197" t="str">
        <f t="shared" si="15"/>
        <v/>
      </c>
      <c r="F89" s="197" t="str">
        <f t="shared" si="17"/>
        <v/>
      </c>
      <c r="G89" s="197" t="str">
        <f t="shared" si="17"/>
        <v/>
      </c>
      <c r="H89" s="198" t="str">
        <f t="shared" si="18"/>
        <v/>
      </c>
      <c r="I89" s="393"/>
      <c r="J89" s="393"/>
      <c r="K89" s="393"/>
    </row>
    <row r="90" spans="1:11" ht="14.4" x14ac:dyDescent="0.3">
      <c r="A90" s="195" t="e">
        <f t="shared" si="13"/>
        <v>#NUM!</v>
      </c>
      <c r="B90" s="196">
        <f t="shared" si="19"/>
        <v>75</v>
      </c>
      <c r="C90" s="197" t="str">
        <f t="shared" si="14"/>
        <v/>
      </c>
      <c r="D90" s="197" t="str">
        <f t="shared" si="16"/>
        <v/>
      </c>
      <c r="E90" s="197" t="str">
        <f t="shared" si="15"/>
        <v/>
      </c>
      <c r="F90" s="197" t="str">
        <f t="shared" si="17"/>
        <v/>
      </c>
      <c r="G90" s="197" t="str">
        <f t="shared" si="17"/>
        <v/>
      </c>
      <c r="H90" s="198" t="str">
        <f t="shared" si="18"/>
        <v/>
      </c>
      <c r="I90" s="393"/>
      <c r="J90" s="393"/>
      <c r="K90" s="393"/>
    </row>
    <row r="91" spans="1:11" ht="14.4" x14ac:dyDescent="0.3">
      <c r="A91" s="195" t="e">
        <f t="shared" si="13"/>
        <v>#NUM!</v>
      </c>
      <c r="B91" s="196">
        <f t="shared" si="19"/>
        <v>76</v>
      </c>
      <c r="C91" s="197" t="str">
        <f t="shared" si="14"/>
        <v/>
      </c>
      <c r="D91" s="197" t="str">
        <f t="shared" si="16"/>
        <v/>
      </c>
      <c r="E91" s="197" t="str">
        <f t="shared" si="15"/>
        <v/>
      </c>
      <c r="F91" s="197" t="str">
        <f t="shared" si="17"/>
        <v/>
      </c>
      <c r="G91" s="197" t="str">
        <f t="shared" si="17"/>
        <v/>
      </c>
      <c r="H91" s="198" t="str">
        <f t="shared" si="18"/>
        <v/>
      </c>
      <c r="I91" s="393"/>
      <c r="J91" s="393"/>
      <c r="K91" s="393"/>
    </row>
    <row r="92" spans="1:11" ht="14.4" x14ac:dyDescent="0.3">
      <c r="A92" s="195" t="e">
        <f t="shared" si="13"/>
        <v>#NUM!</v>
      </c>
      <c r="B92" s="196">
        <f t="shared" si="19"/>
        <v>77</v>
      </c>
      <c r="C92" s="197" t="str">
        <f t="shared" si="14"/>
        <v/>
      </c>
      <c r="D92" s="197" t="str">
        <f t="shared" si="16"/>
        <v/>
      </c>
      <c r="E92" s="197" t="str">
        <f t="shared" si="15"/>
        <v/>
      </c>
      <c r="F92" s="197" t="str">
        <f t="shared" si="17"/>
        <v/>
      </c>
      <c r="G92" s="197" t="str">
        <f t="shared" si="17"/>
        <v/>
      </c>
      <c r="H92" s="198" t="str">
        <f t="shared" si="18"/>
        <v/>
      </c>
      <c r="I92" s="393"/>
      <c r="J92" s="393"/>
      <c r="K92" s="393"/>
    </row>
    <row r="93" spans="1:11" ht="14.4" x14ac:dyDescent="0.3">
      <c r="A93" s="195" t="e">
        <f t="shared" si="13"/>
        <v>#NUM!</v>
      </c>
      <c r="B93" s="196">
        <f t="shared" si="19"/>
        <v>78</v>
      </c>
      <c r="C93" s="197" t="str">
        <f t="shared" si="14"/>
        <v/>
      </c>
      <c r="D93" s="197" t="str">
        <f t="shared" si="16"/>
        <v/>
      </c>
      <c r="E93" s="197" t="str">
        <f t="shared" si="15"/>
        <v/>
      </c>
      <c r="F93" s="197" t="str">
        <f t="shared" si="17"/>
        <v/>
      </c>
      <c r="G93" s="197" t="str">
        <f t="shared" si="17"/>
        <v/>
      </c>
      <c r="H93" s="198" t="str">
        <f t="shared" si="18"/>
        <v/>
      </c>
      <c r="I93" s="393"/>
      <c r="J93" s="393"/>
      <c r="K93" s="393"/>
    </row>
    <row r="94" spans="1:11" ht="14.4" x14ac:dyDescent="0.3">
      <c r="A94" s="195" t="e">
        <f t="shared" si="13"/>
        <v>#NUM!</v>
      </c>
      <c r="B94" s="196">
        <f t="shared" si="19"/>
        <v>79</v>
      </c>
      <c r="C94" s="197" t="str">
        <f t="shared" si="14"/>
        <v/>
      </c>
      <c r="D94" s="197" t="str">
        <f t="shared" si="16"/>
        <v/>
      </c>
      <c r="E94" s="197" t="str">
        <f t="shared" si="15"/>
        <v/>
      </c>
      <c r="F94" s="197" t="str">
        <f t="shared" si="17"/>
        <v/>
      </c>
      <c r="G94" s="197" t="str">
        <f t="shared" si="17"/>
        <v/>
      </c>
      <c r="H94" s="198" t="str">
        <f t="shared" si="18"/>
        <v/>
      </c>
      <c r="I94" s="393"/>
      <c r="J94" s="393"/>
      <c r="K94" s="393"/>
    </row>
    <row r="95" spans="1:11" ht="14.4" x14ac:dyDescent="0.3">
      <c r="A95" s="195" t="e">
        <f t="shared" si="13"/>
        <v>#NUM!</v>
      </c>
      <c r="B95" s="196">
        <f t="shared" si="19"/>
        <v>80</v>
      </c>
      <c r="C95" s="197" t="str">
        <f t="shared" si="14"/>
        <v/>
      </c>
      <c r="D95" s="197" t="str">
        <f t="shared" si="16"/>
        <v/>
      </c>
      <c r="E95" s="197" t="str">
        <f t="shared" si="15"/>
        <v/>
      </c>
      <c r="F95" s="197" t="str">
        <f t="shared" si="17"/>
        <v/>
      </c>
      <c r="G95" s="197" t="str">
        <f t="shared" si="17"/>
        <v/>
      </c>
      <c r="H95" s="198" t="str">
        <f t="shared" si="18"/>
        <v/>
      </c>
      <c r="I95" s="393"/>
      <c r="J95" s="393"/>
      <c r="K95" s="393"/>
    </row>
    <row r="96" spans="1:11" ht="14.4" x14ac:dyDescent="0.3">
      <c r="A96" s="195" t="e">
        <f t="shared" si="13"/>
        <v>#NUM!</v>
      </c>
      <c r="B96" s="196">
        <f t="shared" si="19"/>
        <v>81</v>
      </c>
      <c r="C96" s="197" t="str">
        <f t="shared" si="14"/>
        <v/>
      </c>
      <c r="D96" s="197" t="str">
        <f t="shared" si="16"/>
        <v/>
      </c>
      <c r="E96" s="197" t="str">
        <f t="shared" si="15"/>
        <v/>
      </c>
      <c r="F96" s="197" t="str">
        <f t="shared" si="17"/>
        <v/>
      </c>
      <c r="G96" s="197" t="str">
        <f t="shared" si="17"/>
        <v/>
      </c>
      <c r="H96" s="198" t="str">
        <f t="shared" si="18"/>
        <v/>
      </c>
      <c r="I96" s="393"/>
      <c r="J96" s="393"/>
      <c r="K96" s="393"/>
    </row>
    <row r="97" spans="1:11" ht="14.4" x14ac:dyDescent="0.3">
      <c r="A97" s="195" t="e">
        <f t="shared" si="13"/>
        <v>#NUM!</v>
      </c>
      <c r="B97" s="196">
        <f t="shared" si="19"/>
        <v>82</v>
      </c>
      <c r="C97" s="197" t="str">
        <f t="shared" si="14"/>
        <v/>
      </c>
      <c r="D97" s="197" t="str">
        <f t="shared" si="16"/>
        <v/>
      </c>
      <c r="E97" s="197" t="str">
        <f t="shared" si="15"/>
        <v/>
      </c>
      <c r="F97" s="197" t="str">
        <f t="shared" si="17"/>
        <v/>
      </c>
      <c r="G97" s="197" t="str">
        <f t="shared" si="17"/>
        <v/>
      </c>
      <c r="H97" s="198" t="str">
        <f t="shared" si="18"/>
        <v/>
      </c>
      <c r="I97" s="393"/>
      <c r="J97" s="393"/>
      <c r="K97" s="393"/>
    </row>
    <row r="98" spans="1:11" ht="14.4" x14ac:dyDescent="0.3">
      <c r="A98" s="195" t="e">
        <f t="shared" si="13"/>
        <v>#NUM!</v>
      </c>
      <c r="B98" s="196">
        <f t="shared" si="19"/>
        <v>83</v>
      </c>
      <c r="C98" s="197" t="str">
        <f t="shared" si="14"/>
        <v/>
      </c>
      <c r="D98" s="197" t="str">
        <f t="shared" si="16"/>
        <v/>
      </c>
      <c r="E98" s="197" t="str">
        <f t="shared" si="15"/>
        <v/>
      </c>
      <c r="F98" s="197" t="str">
        <f t="shared" ref="F98:G99" si="20">+IF(C98="","",F97+C98)</f>
        <v/>
      </c>
      <c r="G98" s="197" t="str">
        <f t="shared" si="20"/>
        <v/>
      </c>
      <c r="H98" s="198" t="str">
        <f t="shared" si="18"/>
        <v/>
      </c>
      <c r="I98" s="393"/>
      <c r="J98" s="393"/>
      <c r="K98" s="393"/>
    </row>
    <row r="99" spans="1:11" ht="14.4" x14ac:dyDescent="0.3">
      <c r="A99" s="195" t="e">
        <f t="shared" si="13"/>
        <v>#NUM!</v>
      </c>
      <c r="B99" s="196">
        <f t="shared" si="19"/>
        <v>84</v>
      </c>
      <c r="C99" s="197" t="str">
        <f t="shared" si="14"/>
        <v/>
      </c>
      <c r="D99" s="197" t="str">
        <f t="shared" si="16"/>
        <v/>
      </c>
      <c r="E99" s="197" t="str">
        <f t="shared" si="15"/>
        <v/>
      </c>
      <c r="F99" s="197" t="str">
        <f t="shared" si="20"/>
        <v/>
      </c>
      <c r="G99" s="197" t="str">
        <f t="shared" si="20"/>
        <v/>
      </c>
      <c r="H99" s="198" t="str">
        <f t="shared" si="18"/>
        <v/>
      </c>
      <c r="I99" s="394"/>
      <c r="J99" s="394"/>
      <c r="K99" s="394"/>
    </row>
  </sheetData>
  <mergeCells count="24">
    <mergeCell ref="E5:F5"/>
    <mergeCell ref="I13:K13"/>
    <mergeCell ref="C14:E14"/>
    <mergeCell ref="I16:I27"/>
    <mergeCell ref="J16:J27"/>
    <mergeCell ref="K16:K27"/>
    <mergeCell ref="I28:I39"/>
    <mergeCell ref="J28:J39"/>
    <mergeCell ref="K28:K39"/>
    <mergeCell ref="I40:I51"/>
    <mergeCell ref="J40:J51"/>
    <mergeCell ref="K40:K51"/>
    <mergeCell ref="I52:I63"/>
    <mergeCell ref="J52:J63"/>
    <mergeCell ref="K52:K63"/>
    <mergeCell ref="I64:I75"/>
    <mergeCell ref="J64:J75"/>
    <mergeCell ref="K64:K75"/>
    <mergeCell ref="I76:I87"/>
    <mergeCell ref="J76:J87"/>
    <mergeCell ref="K76:K87"/>
    <mergeCell ref="I88:I99"/>
    <mergeCell ref="J88:J99"/>
    <mergeCell ref="K88:K99"/>
  </mergeCells>
  <pageMargins left="0.47244094488188981" right="0.19685039370078741" top="0.59055118110236227" bottom="0.61" header="0.23622047244094491" footer="0.19685039370078741"/>
  <pageSetup paperSize="9" scale="55" orientation="portrait" r:id="rId1"/>
  <headerFooter>
    <oddHeader>&amp;L&amp;D
&amp;T&amp;R&amp;P/&amp;N</oddHeader>
    <oddFooter>&amp;L&amp;7Document non contractuel
Charges personnelles de l'exploitant non inclus
Les chiffres et les informations ci-dessus sont données à titre indicatifs et restent à être validés par un Expert Comptable
&amp;R&amp;P/&amp;N
&amp;D--&amp;T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  <pageSetUpPr fitToPage="1"/>
  </sheetPr>
  <dimension ref="A1:O79"/>
  <sheetViews>
    <sheetView workbookViewId="0">
      <selection activeCell="E17" sqref="E17"/>
    </sheetView>
  </sheetViews>
  <sheetFormatPr baseColWidth="10" defaultRowHeight="13.2" x14ac:dyDescent="0.25"/>
  <cols>
    <col min="1" max="1" width="14" bestFit="1" customWidth="1"/>
    <col min="2" max="2" width="11.6640625" customWidth="1"/>
    <col min="3" max="3" width="12.109375" bestFit="1" customWidth="1"/>
    <col min="4" max="4" width="12.5546875" bestFit="1" customWidth="1"/>
    <col min="5" max="5" width="11.33203125" customWidth="1"/>
    <col min="6" max="6" width="12.33203125" customWidth="1"/>
    <col min="7" max="7" width="11.33203125" customWidth="1"/>
    <col min="8" max="8" width="9.6640625" customWidth="1"/>
    <col min="9" max="9" width="10.44140625" bestFit="1" customWidth="1"/>
    <col min="10" max="15" width="9.6640625" customWidth="1"/>
  </cols>
  <sheetData>
    <row r="1" spans="1:15" x14ac:dyDescent="0.25">
      <c r="A1" s="146" t="s">
        <v>562</v>
      </c>
    </row>
    <row r="3" spans="1:15" x14ac:dyDescent="0.25">
      <c r="A3" s="358" t="s">
        <v>412</v>
      </c>
      <c r="B3" s="196">
        <f>+'A SAISIR'!G6</f>
        <v>0</v>
      </c>
    </row>
    <row r="4" spans="1:15" x14ac:dyDescent="0.25">
      <c r="B4">
        <f>+'A SAISIR'!G7</f>
        <v>0</v>
      </c>
    </row>
    <row r="6" spans="1:15" x14ac:dyDescent="0.25">
      <c r="E6" s="339" t="s">
        <v>517</v>
      </c>
      <c r="F6" s="340" t="s">
        <v>283</v>
      </c>
    </row>
    <row r="7" spans="1:15" s="226" customFormat="1" ht="10.199999999999999" hidden="1" x14ac:dyDescent="0.2">
      <c r="B7" s="227"/>
      <c r="C7" s="331" t="s">
        <v>290</v>
      </c>
      <c r="D7" s="331" t="s">
        <v>291</v>
      </c>
      <c r="E7" s="331" t="s">
        <v>292</v>
      </c>
      <c r="F7" s="331" t="s">
        <v>293</v>
      </c>
      <c r="G7" s="331"/>
      <c r="H7" s="331" t="s">
        <v>294</v>
      </c>
      <c r="I7" s="331" t="s">
        <v>295</v>
      </c>
      <c r="J7" s="331" t="s">
        <v>296</v>
      </c>
      <c r="K7" s="331" t="s">
        <v>297</v>
      </c>
      <c r="L7" s="331" t="s">
        <v>298</v>
      </c>
      <c r="M7" s="331" t="s">
        <v>299</v>
      </c>
      <c r="N7" s="331" t="s">
        <v>300</v>
      </c>
      <c r="O7" s="331" t="s">
        <v>301</v>
      </c>
    </row>
    <row r="8" spans="1:15" hidden="1" x14ac:dyDescent="0.25">
      <c r="A8" s="464" t="s">
        <v>515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</row>
    <row r="9" spans="1:15" hidden="1" x14ac:dyDescent="0.25">
      <c r="A9" s="393"/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</row>
    <row r="10" spans="1:15" hidden="1" x14ac:dyDescent="0.25">
      <c r="A10" s="393"/>
      <c r="B10" s="260" t="s">
        <v>353</v>
      </c>
      <c r="C10" s="198">
        <f>+'A SAISIR'!F85</f>
        <v>0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</row>
    <row r="11" spans="1:15" hidden="1" x14ac:dyDescent="0.25">
      <c r="A11" s="393"/>
      <c r="B11" s="260" t="s">
        <v>355</v>
      </c>
      <c r="C11" s="198">
        <f>+'A SAISIR'!F88</f>
        <v>0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</row>
    <row r="12" spans="1:15" hidden="1" x14ac:dyDescent="0.25">
      <c r="A12" s="393"/>
      <c r="B12" s="182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</row>
    <row r="13" spans="1:15" hidden="1" x14ac:dyDescent="0.25">
      <c r="A13" s="393"/>
      <c r="B13" s="260" t="s">
        <v>312</v>
      </c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</row>
    <row r="14" spans="1:15" hidden="1" x14ac:dyDescent="0.25">
      <c r="A14" s="393"/>
      <c r="B14" s="182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</row>
    <row r="15" spans="1:15" hidden="1" x14ac:dyDescent="0.25">
      <c r="A15" s="393"/>
      <c r="B15" s="182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</row>
    <row r="16" spans="1:15" hidden="1" x14ac:dyDescent="0.25">
      <c r="A16" s="393"/>
      <c r="B16" s="182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</row>
    <row r="17" spans="1:15" hidden="1" x14ac:dyDescent="0.25">
      <c r="A17" s="394"/>
      <c r="B17" s="182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</row>
    <row r="18" spans="1:15" hidden="1" x14ac:dyDescent="0.25">
      <c r="A18" s="464" t="s">
        <v>516</v>
      </c>
      <c r="B18" s="182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</row>
    <row r="19" spans="1:15" hidden="1" x14ac:dyDescent="0.25">
      <c r="A19" s="393"/>
      <c r="B19" s="260" t="s">
        <v>347</v>
      </c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</row>
    <row r="20" spans="1:15" hidden="1" x14ac:dyDescent="0.25">
      <c r="A20" s="393"/>
      <c r="B20" s="249" t="s">
        <v>365</v>
      </c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</row>
    <row r="21" spans="1:15" hidden="1" x14ac:dyDescent="0.25">
      <c r="A21" s="393"/>
      <c r="B21" s="260" t="s">
        <v>518</v>
      </c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</row>
    <row r="22" spans="1:15" hidden="1" x14ac:dyDescent="0.25">
      <c r="A22" s="393"/>
      <c r="B22" s="182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</row>
    <row r="23" spans="1:15" hidden="1" x14ac:dyDescent="0.25">
      <c r="A23" s="393"/>
      <c r="B23" s="260" t="s">
        <v>519</v>
      </c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</row>
    <row r="24" spans="1:15" hidden="1" x14ac:dyDescent="0.25">
      <c r="A24" s="393"/>
      <c r="B24" s="260" t="s">
        <v>520</v>
      </c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</row>
    <row r="25" spans="1:15" hidden="1" x14ac:dyDescent="0.25">
      <c r="A25" s="393"/>
      <c r="B25" s="260" t="s">
        <v>521</v>
      </c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</row>
    <row r="26" spans="1:15" hidden="1" x14ac:dyDescent="0.25">
      <c r="A26" s="393"/>
      <c r="B26" s="182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</row>
    <row r="27" spans="1:15" hidden="1" x14ac:dyDescent="0.25">
      <c r="A27" s="393"/>
      <c r="B27" s="182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</row>
    <row r="28" spans="1:15" hidden="1" x14ac:dyDescent="0.25">
      <c r="A28" s="393"/>
      <c r="B28" s="182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</row>
    <row r="29" spans="1:15" hidden="1" x14ac:dyDescent="0.25">
      <c r="A29" s="393"/>
      <c r="B29" s="182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</row>
    <row r="30" spans="1:15" hidden="1" x14ac:dyDescent="0.25">
      <c r="A30" s="393"/>
      <c r="B30" s="182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</row>
    <row r="31" spans="1:15" hidden="1" x14ac:dyDescent="0.25">
      <c r="A31" s="394"/>
      <c r="B31" s="182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</row>
    <row r="33" spans="1:9" x14ac:dyDescent="0.25">
      <c r="B33" s="355" t="s">
        <v>543</v>
      </c>
      <c r="C33" s="356"/>
      <c r="D33" s="356"/>
      <c r="E33" s="356"/>
      <c r="F33" s="356"/>
      <c r="G33" s="356"/>
      <c r="H33" s="465" t="s">
        <v>547</v>
      </c>
      <c r="I33" s="465"/>
    </row>
    <row r="34" spans="1:9" x14ac:dyDescent="0.25">
      <c r="B34" s="354" t="s">
        <v>312</v>
      </c>
      <c r="C34" s="354" t="s">
        <v>544</v>
      </c>
      <c r="D34" s="354" t="s">
        <v>355</v>
      </c>
      <c r="E34" s="354" t="s">
        <v>545</v>
      </c>
      <c r="F34" s="354" t="s">
        <v>546</v>
      </c>
      <c r="G34" s="354"/>
      <c r="H34" s="354" t="s">
        <v>548</v>
      </c>
      <c r="I34" s="354" t="s">
        <v>549</v>
      </c>
    </row>
    <row r="35" spans="1:9" x14ac:dyDescent="0.25">
      <c r="A35" s="182" t="s">
        <v>522</v>
      </c>
      <c r="B35" s="342">
        <f>+'ca marge mois'!B9</f>
        <v>0</v>
      </c>
      <c r="C35" s="342">
        <f>-('ca marge mois'!B9-'ca marge mois'!B23)</f>
        <v>0</v>
      </c>
      <c r="D35" s="342">
        <f>+emp!C5</f>
        <v>0</v>
      </c>
      <c r="E35" s="342">
        <f>+'A SAISIR'!F84</f>
        <v>0</v>
      </c>
      <c r="F35" s="342"/>
      <c r="G35" s="342"/>
      <c r="H35" s="341">
        <f>+B35+C35+D35+E35+F35</f>
        <v>0</v>
      </c>
      <c r="I35" s="341">
        <f>+H35</f>
        <v>0</v>
      </c>
    </row>
    <row r="36" spans="1:9" x14ac:dyDescent="0.25">
      <c r="A36" s="182" t="s">
        <v>523</v>
      </c>
      <c r="B36" s="342">
        <f>+'ca marge mois'!B10</f>
        <v>0</v>
      </c>
      <c r="C36" s="342">
        <f>-('ca marge mois'!B10-'ca marge mois'!B24)</f>
        <v>0</v>
      </c>
      <c r="D36" s="342"/>
      <c r="E36" s="342"/>
      <c r="F36" s="342"/>
      <c r="G36" s="342"/>
      <c r="H36" s="341">
        <f t="shared" ref="H36:H46" si="0">+B36+C36+D36+E36+F36</f>
        <v>0</v>
      </c>
      <c r="I36" s="341">
        <f>+I35+H36</f>
        <v>0</v>
      </c>
    </row>
    <row r="37" spans="1:9" x14ac:dyDescent="0.25">
      <c r="A37" s="182" t="s">
        <v>524</v>
      </c>
      <c r="B37" s="342">
        <f>+'ca marge mois'!B11</f>
        <v>0</v>
      </c>
      <c r="C37" s="342">
        <f>-('ca marge mois'!B11-'ca marge mois'!B25)</f>
        <v>0</v>
      </c>
      <c r="D37" s="342"/>
      <c r="E37" s="342"/>
      <c r="F37" s="342"/>
      <c r="G37" s="342"/>
      <c r="H37" s="341">
        <f t="shared" si="0"/>
        <v>0</v>
      </c>
      <c r="I37" s="341">
        <f t="shared" ref="I37:I46" si="1">+I36+H37</f>
        <v>0</v>
      </c>
    </row>
    <row r="38" spans="1:9" x14ac:dyDescent="0.25">
      <c r="A38" s="182" t="s">
        <v>525</v>
      </c>
      <c r="B38" s="342">
        <f>+'ca marge mois'!B12</f>
        <v>0</v>
      </c>
      <c r="C38" s="342">
        <f>-('ca marge mois'!B12-'ca marge mois'!B26)</f>
        <v>0</v>
      </c>
      <c r="D38" s="342"/>
      <c r="E38" s="342"/>
      <c r="F38" s="342">
        <f>-'A SAISIR'!F83</f>
        <v>0</v>
      </c>
      <c r="G38" s="342"/>
      <c r="H38" s="341">
        <f t="shared" si="0"/>
        <v>0</v>
      </c>
      <c r="I38" s="341">
        <f t="shared" si="1"/>
        <v>0</v>
      </c>
    </row>
    <row r="39" spans="1:9" x14ac:dyDescent="0.25">
      <c r="A39" s="182" t="s">
        <v>526</v>
      </c>
      <c r="B39" s="342">
        <f>+'ca marge mois'!B13</f>
        <v>0</v>
      </c>
      <c r="C39" s="342">
        <f>-('ca marge mois'!B13-'ca marge mois'!B27)</f>
        <v>0</v>
      </c>
      <c r="D39" s="342"/>
      <c r="E39" s="342"/>
      <c r="F39" s="342"/>
      <c r="G39" s="342"/>
      <c r="H39" s="341">
        <f t="shared" si="0"/>
        <v>0</v>
      </c>
      <c r="I39" s="341">
        <f t="shared" si="1"/>
        <v>0</v>
      </c>
    </row>
    <row r="40" spans="1:9" x14ac:dyDescent="0.25">
      <c r="A40" s="182" t="s">
        <v>527</v>
      </c>
      <c r="B40" s="342">
        <f>+'ca marge mois'!B14</f>
        <v>0</v>
      </c>
      <c r="C40" s="342">
        <f>-('ca marge mois'!B14-'ca marge mois'!B28)</f>
        <v>0</v>
      </c>
      <c r="D40" s="342"/>
      <c r="E40" s="342"/>
      <c r="F40" s="342"/>
      <c r="G40" s="342"/>
      <c r="H40" s="341">
        <f t="shared" si="0"/>
        <v>0</v>
      </c>
      <c r="I40" s="341">
        <f t="shared" si="1"/>
        <v>0</v>
      </c>
    </row>
    <row r="41" spans="1:9" x14ac:dyDescent="0.25">
      <c r="A41" s="182" t="s">
        <v>528</v>
      </c>
      <c r="B41" s="342">
        <f>+'ca marge mois'!B15</f>
        <v>0</v>
      </c>
      <c r="C41" s="342">
        <f>-('ca marge mois'!B15-'ca marge mois'!B29)</f>
        <v>0</v>
      </c>
      <c r="D41" s="342"/>
      <c r="E41" s="342"/>
      <c r="F41" s="342"/>
      <c r="G41" s="342"/>
      <c r="H41" s="341">
        <f t="shared" si="0"/>
        <v>0</v>
      </c>
      <c r="I41" s="341">
        <f t="shared" si="1"/>
        <v>0</v>
      </c>
    </row>
    <row r="42" spans="1:9" x14ac:dyDescent="0.25">
      <c r="A42" s="182" t="s">
        <v>529</v>
      </c>
      <c r="B42" s="342">
        <f>+'ca marge mois'!B16</f>
        <v>0</v>
      </c>
      <c r="C42" s="342">
        <f>-('ca marge mois'!B16-'ca marge mois'!B30)</f>
        <v>0</v>
      </c>
      <c r="D42" s="342"/>
      <c r="E42" s="342"/>
      <c r="F42" s="342"/>
      <c r="G42" s="342"/>
      <c r="H42" s="341">
        <f t="shared" si="0"/>
        <v>0</v>
      </c>
      <c r="I42" s="341">
        <f t="shared" si="1"/>
        <v>0</v>
      </c>
    </row>
    <row r="43" spans="1:9" x14ac:dyDescent="0.25">
      <c r="A43" s="182" t="s">
        <v>530</v>
      </c>
      <c r="B43" s="342">
        <f>+'ca marge mois'!B17</f>
        <v>0</v>
      </c>
      <c r="C43" s="342">
        <f>-('ca marge mois'!B17-'ca marge mois'!B31)</f>
        <v>0</v>
      </c>
      <c r="D43" s="342"/>
      <c r="E43" s="342"/>
      <c r="F43" s="342"/>
      <c r="G43" s="342"/>
      <c r="H43" s="341">
        <f t="shared" si="0"/>
        <v>0</v>
      </c>
      <c r="I43" s="341">
        <f t="shared" si="1"/>
        <v>0</v>
      </c>
    </row>
    <row r="44" spans="1:9" x14ac:dyDescent="0.25">
      <c r="A44" s="182" t="s">
        <v>531</v>
      </c>
      <c r="B44" s="342">
        <f>+'ca marge mois'!B18</f>
        <v>0</v>
      </c>
      <c r="C44" s="342">
        <f>-('ca marge mois'!B18-'ca marge mois'!B32)</f>
        <v>0</v>
      </c>
      <c r="D44" s="342"/>
      <c r="E44" s="342"/>
      <c r="F44" s="342"/>
      <c r="G44" s="342"/>
      <c r="H44" s="341">
        <f t="shared" si="0"/>
        <v>0</v>
      </c>
      <c r="I44" s="341">
        <f t="shared" si="1"/>
        <v>0</v>
      </c>
    </row>
    <row r="45" spans="1:9" x14ac:dyDescent="0.25">
      <c r="A45" s="182" t="s">
        <v>532</v>
      </c>
      <c r="B45" s="342">
        <f>+'ca marge mois'!B19</f>
        <v>0</v>
      </c>
      <c r="C45" s="342">
        <f>-('ca marge mois'!B19-'ca marge mois'!B33)</f>
        <v>0</v>
      </c>
      <c r="D45" s="342"/>
      <c r="E45" s="342"/>
      <c r="F45" s="342"/>
      <c r="G45" s="342"/>
      <c r="H45" s="341">
        <f t="shared" si="0"/>
        <v>0</v>
      </c>
      <c r="I45" s="341">
        <f t="shared" si="1"/>
        <v>0</v>
      </c>
    </row>
    <row r="46" spans="1:9" x14ac:dyDescent="0.25">
      <c r="A46" s="182" t="s">
        <v>533</v>
      </c>
      <c r="B46" s="342">
        <f>+'ca marge mois'!B20</f>
        <v>0</v>
      </c>
      <c r="C46" s="342">
        <f>-('ca marge mois'!B20-'ca marge mois'!B34)</f>
        <v>0</v>
      </c>
      <c r="D46" s="342"/>
      <c r="E46" s="342"/>
      <c r="F46" s="342"/>
      <c r="G46" s="342"/>
      <c r="H46" s="341">
        <f t="shared" si="0"/>
        <v>0</v>
      </c>
      <c r="I46" s="341">
        <f t="shared" si="1"/>
        <v>0</v>
      </c>
    </row>
    <row r="49" spans="1:11" x14ac:dyDescent="0.25">
      <c r="B49" s="355" t="s">
        <v>550</v>
      </c>
      <c r="H49" s="465" t="s">
        <v>550</v>
      </c>
      <c r="I49" s="465"/>
    </row>
    <row r="50" spans="1:11" x14ac:dyDescent="0.25">
      <c r="B50" s="354" t="s">
        <v>346</v>
      </c>
      <c r="C50" s="354" t="s">
        <v>551</v>
      </c>
      <c r="D50" s="354" t="s">
        <v>552</v>
      </c>
      <c r="E50" s="354" t="s">
        <v>553</v>
      </c>
      <c r="F50" s="354" t="s">
        <v>555</v>
      </c>
      <c r="G50" s="354" t="s">
        <v>365</v>
      </c>
      <c r="H50" s="354" t="s">
        <v>548</v>
      </c>
      <c r="I50" s="354" t="s">
        <v>549</v>
      </c>
    </row>
    <row r="51" spans="1:11" x14ac:dyDescent="0.25">
      <c r="A51" s="182" t="s">
        <v>522</v>
      </c>
      <c r="B51" s="341">
        <f>-salaire!B24/12</f>
        <v>0</v>
      </c>
      <c r="C51" s="342">
        <f>-'tab rt'!B22/12</f>
        <v>0</v>
      </c>
      <c r="D51" s="342" t="e">
        <f>+emp!C9</f>
        <v>#NUM!</v>
      </c>
      <c r="E51" s="341" t="e">
        <f>-('tab rt'!B24+'tab rt'!B25+'tab rt'!B26)/12</f>
        <v>#DIV/0!</v>
      </c>
      <c r="F51" s="342">
        <f>-'A SAISIR'!F75-'A SAISIR'!F76-'A SAISIR'!F77-'A SAISIR'!F78-'A SAISIR'!F79</f>
        <v>0</v>
      </c>
      <c r="G51" s="342">
        <f>-'A SAISIR'!F80-'A SAISIR'!F81-'A SAISIR'!F82</f>
        <v>0</v>
      </c>
      <c r="H51" s="341" t="e">
        <f>+B51+C51+D51+E51+F51+G51</f>
        <v>#NUM!</v>
      </c>
      <c r="I51" s="341" t="e">
        <f>+H51</f>
        <v>#NUM!</v>
      </c>
    </row>
    <row r="52" spans="1:11" x14ac:dyDescent="0.25">
      <c r="A52" s="182" t="s">
        <v>523</v>
      </c>
      <c r="B52" s="342">
        <f>+B51</f>
        <v>0</v>
      </c>
      <c r="C52" s="342">
        <f>+C51</f>
        <v>0</v>
      </c>
      <c r="D52" s="342" t="e">
        <f>+D51</f>
        <v>#NUM!</v>
      </c>
      <c r="E52" s="341" t="e">
        <f>+E51</f>
        <v>#DIV/0!</v>
      </c>
      <c r="F52" s="342"/>
      <c r="G52" s="342"/>
      <c r="H52" s="341" t="e">
        <f t="shared" ref="H52:H62" si="2">+B52+C52+D52+E52+F52+G52</f>
        <v>#NUM!</v>
      </c>
      <c r="I52" s="341" t="e">
        <f>+I51+H52</f>
        <v>#NUM!</v>
      </c>
    </row>
    <row r="53" spans="1:11" x14ac:dyDescent="0.25">
      <c r="A53" s="182" t="s">
        <v>524</v>
      </c>
      <c r="B53" s="342">
        <f t="shared" ref="B53:C62" si="3">+B52</f>
        <v>0</v>
      </c>
      <c r="C53" s="342">
        <f t="shared" si="3"/>
        <v>0</v>
      </c>
      <c r="D53" s="342" t="e">
        <f t="shared" ref="D53:D62" si="4">+D52</f>
        <v>#NUM!</v>
      </c>
      <c r="E53" s="341" t="e">
        <f t="shared" ref="E53:E62" si="5">+E52</f>
        <v>#DIV/0!</v>
      </c>
      <c r="F53" s="342"/>
      <c r="G53" s="342"/>
      <c r="H53" s="341" t="e">
        <f t="shared" si="2"/>
        <v>#NUM!</v>
      </c>
      <c r="I53" s="341" t="e">
        <f t="shared" ref="I53:I62" si="6">+I52+H53</f>
        <v>#NUM!</v>
      </c>
    </row>
    <row r="54" spans="1:11" x14ac:dyDescent="0.25">
      <c r="A54" s="182" t="s">
        <v>525</v>
      </c>
      <c r="B54" s="342">
        <f t="shared" si="3"/>
        <v>0</v>
      </c>
      <c r="C54" s="342">
        <f t="shared" si="3"/>
        <v>0</v>
      </c>
      <c r="D54" s="342" t="e">
        <f t="shared" si="4"/>
        <v>#NUM!</v>
      </c>
      <c r="E54" s="341" t="e">
        <f t="shared" si="5"/>
        <v>#DIV/0!</v>
      </c>
      <c r="F54" s="342"/>
      <c r="G54" s="342"/>
      <c r="H54" s="341" t="e">
        <f t="shared" si="2"/>
        <v>#NUM!</v>
      </c>
      <c r="I54" s="341" t="e">
        <f t="shared" si="6"/>
        <v>#NUM!</v>
      </c>
    </row>
    <row r="55" spans="1:11" x14ac:dyDescent="0.25">
      <c r="A55" s="182" t="s">
        <v>526</v>
      </c>
      <c r="B55" s="342">
        <f t="shared" si="3"/>
        <v>0</v>
      </c>
      <c r="C55" s="342">
        <f t="shared" si="3"/>
        <v>0</v>
      </c>
      <c r="D55" s="342" t="e">
        <f t="shared" si="4"/>
        <v>#NUM!</v>
      </c>
      <c r="E55" s="341" t="e">
        <f t="shared" si="5"/>
        <v>#DIV/0!</v>
      </c>
      <c r="F55" s="342"/>
      <c r="G55" s="342"/>
      <c r="H55" s="341" t="e">
        <f t="shared" si="2"/>
        <v>#NUM!</v>
      </c>
      <c r="I55" s="341" t="e">
        <f t="shared" si="6"/>
        <v>#NUM!</v>
      </c>
    </row>
    <row r="56" spans="1:11" x14ac:dyDescent="0.25">
      <c r="A56" s="182" t="s">
        <v>527</v>
      </c>
      <c r="B56" s="342">
        <f t="shared" si="3"/>
        <v>0</v>
      </c>
      <c r="C56" s="342">
        <f t="shared" si="3"/>
        <v>0</v>
      </c>
      <c r="D56" s="342" t="e">
        <f t="shared" si="4"/>
        <v>#NUM!</v>
      </c>
      <c r="E56" s="341" t="e">
        <f t="shared" si="5"/>
        <v>#DIV/0!</v>
      </c>
      <c r="F56" s="342"/>
      <c r="G56" s="342"/>
      <c r="H56" s="341" t="e">
        <f t="shared" si="2"/>
        <v>#NUM!</v>
      </c>
      <c r="I56" s="341" t="e">
        <f t="shared" si="6"/>
        <v>#NUM!</v>
      </c>
    </row>
    <row r="57" spans="1:11" x14ac:dyDescent="0.25">
      <c r="A57" s="182" t="s">
        <v>528</v>
      </c>
      <c r="B57" s="342">
        <f t="shared" si="3"/>
        <v>0</v>
      </c>
      <c r="C57" s="342">
        <f t="shared" si="3"/>
        <v>0</v>
      </c>
      <c r="D57" s="342" t="e">
        <f t="shared" si="4"/>
        <v>#NUM!</v>
      </c>
      <c r="E57" s="341" t="e">
        <f t="shared" si="5"/>
        <v>#DIV/0!</v>
      </c>
      <c r="F57" s="342"/>
      <c r="G57" s="342"/>
      <c r="H57" s="341" t="e">
        <f t="shared" si="2"/>
        <v>#NUM!</v>
      </c>
      <c r="I57" s="341" t="e">
        <f t="shared" si="6"/>
        <v>#NUM!</v>
      </c>
    </row>
    <row r="58" spans="1:11" x14ac:dyDescent="0.25">
      <c r="A58" s="182" t="s">
        <v>529</v>
      </c>
      <c r="B58" s="342">
        <f t="shared" si="3"/>
        <v>0</v>
      </c>
      <c r="C58" s="342">
        <f t="shared" si="3"/>
        <v>0</v>
      </c>
      <c r="D58" s="342" t="e">
        <f t="shared" si="4"/>
        <v>#NUM!</v>
      </c>
      <c r="E58" s="341" t="e">
        <f t="shared" si="5"/>
        <v>#DIV/0!</v>
      </c>
      <c r="F58" s="342"/>
      <c r="G58" s="342"/>
      <c r="H58" s="341" t="e">
        <f t="shared" si="2"/>
        <v>#NUM!</v>
      </c>
      <c r="I58" s="341" t="e">
        <f t="shared" si="6"/>
        <v>#NUM!</v>
      </c>
    </row>
    <row r="59" spans="1:11" x14ac:dyDescent="0.25">
      <c r="A59" s="182" t="s">
        <v>530</v>
      </c>
      <c r="B59" s="342">
        <f t="shared" si="3"/>
        <v>0</v>
      </c>
      <c r="C59" s="342">
        <f t="shared" si="3"/>
        <v>0</v>
      </c>
      <c r="D59" s="342" t="e">
        <f t="shared" si="4"/>
        <v>#NUM!</v>
      </c>
      <c r="E59" s="341" t="e">
        <f t="shared" si="5"/>
        <v>#DIV/0!</v>
      </c>
      <c r="F59" s="342"/>
      <c r="G59" s="342"/>
      <c r="H59" s="341" t="e">
        <f t="shared" si="2"/>
        <v>#NUM!</v>
      </c>
      <c r="I59" s="341" t="e">
        <f t="shared" si="6"/>
        <v>#NUM!</v>
      </c>
    </row>
    <row r="60" spans="1:11" x14ac:dyDescent="0.25">
      <c r="A60" s="182" t="s">
        <v>531</v>
      </c>
      <c r="B60" s="342">
        <f t="shared" si="3"/>
        <v>0</v>
      </c>
      <c r="C60" s="342">
        <f t="shared" si="3"/>
        <v>0</v>
      </c>
      <c r="D60" s="342" t="e">
        <f t="shared" si="4"/>
        <v>#NUM!</v>
      </c>
      <c r="E60" s="341" t="e">
        <f t="shared" si="5"/>
        <v>#DIV/0!</v>
      </c>
      <c r="F60" s="342"/>
      <c r="G60" s="342"/>
      <c r="H60" s="341" t="e">
        <f t="shared" si="2"/>
        <v>#NUM!</v>
      </c>
      <c r="I60" s="341" t="e">
        <f t="shared" si="6"/>
        <v>#NUM!</v>
      </c>
    </row>
    <row r="61" spans="1:11" x14ac:dyDescent="0.25">
      <c r="A61" s="182" t="s">
        <v>532</v>
      </c>
      <c r="B61" s="342">
        <f t="shared" si="3"/>
        <v>0</v>
      </c>
      <c r="C61" s="342">
        <f t="shared" si="3"/>
        <v>0</v>
      </c>
      <c r="D61" s="342" t="e">
        <f t="shared" si="4"/>
        <v>#NUM!</v>
      </c>
      <c r="E61" s="341" t="e">
        <f t="shared" si="5"/>
        <v>#DIV/0!</v>
      </c>
      <c r="F61" s="342"/>
      <c r="G61" s="342"/>
      <c r="H61" s="341" t="e">
        <f t="shared" si="2"/>
        <v>#NUM!</v>
      </c>
      <c r="I61" s="341" t="e">
        <f t="shared" si="6"/>
        <v>#NUM!</v>
      </c>
    </row>
    <row r="62" spans="1:11" x14ac:dyDescent="0.25">
      <c r="A62" s="182" t="s">
        <v>533</v>
      </c>
      <c r="B62" s="342">
        <f t="shared" si="3"/>
        <v>0</v>
      </c>
      <c r="C62" s="342">
        <f t="shared" si="3"/>
        <v>0</v>
      </c>
      <c r="D62" s="342" t="e">
        <f t="shared" si="4"/>
        <v>#NUM!</v>
      </c>
      <c r="E62" s="341" t="e">
        <f t="shared" si="5"/>
        <v>#DIV/0!</v>
      </c>
      <c r="F62" s="342"/>
      <c r="G62" s="342"/>
      <c r="H62" s="341" t="e">
        <f t="shared" si="2"/>
        <v>#NUM!</v>
      </c>
      <c r="I62" s="341" t="e">
        <f t="shared" si="6"/>
        <v>#NUM!</v>
      </c>
      <c r="K62" s="360"/>
    </row>
    <row r="65" spans="1:10" x14ac:dyDescent="0.25">
      <c r="B65" s="357" t="s">
        <v>554</v>
      </c>
      <c r="C65" s="349"/>
      <c r="D65" s="349"/>
      <c r="E65" s="349"/>
      <c r="F65" s="349"/>
      <c r="G65" s="349"/>
      <c r="H65" s="465" t="s">
        <v>563</v>
      </c>
      <c r="I65" s="465"/>
    </row>
    <row r="66" spans="1:10" x14ac:dyDescent="0.25">
      <c r="B66" s="350" t="s">
        <v>556</v>
      </c>
      <c r="C66" s="350" t="s">
        <v>557</v>
      </c>
      <c r="D66" s="308" t="s">
        <v>558</v>
      </c>
      <c r="E66" s="350" t="s">
        <v>559</v>
      </c>
      <c r="F66" s="351" t="s">
        <v>560</v>
      </c>
      <c r="G66" s="352"/>
      <c r="H66" s="353" t="s">
        <v>561</v>
      </c>
      <c r="I66" s="354" t="s">
        <v>271</v>
      </c>
    </row>
    <row r="67" spans="1:10" x14ac:dyDescent="0.25">
      <c r="A67" s="337" t="s">
        <v>522</v>
      </c>
      <c r="B67" s="348">
        <f>+B35*0.196</f>
        <v>0</v>
      </c>
      <c r="C67" s="348">
        <f>-(C35*0.196)+(F35*0.196)</f>
        <v>0</v>
      </c>
      <c r="D67" s="348">
        <f>-C51*0.196</f>
        <v>0</v>
      </c>
      <c r="E67" s="348" t="e">
        <f>+'tab rt'!B25/12*0.196</f>
        <v>#DIV/0!</v>
      </c>
      <c r="F67" s="343" t="e">
        <f>+B67-C67-D67-E67</f>
        <v>#DIV/0!</v>
      </c>
      <c r="G67" s="344"/>
      <c r="H67" s="345" t="e">
        <f>+H35+H51-F67</f>
        <v>#NUM!</v>
      </c>
      <c r="I67" s="341" t="e">
        <f>+H67</f>
        <v>#NUM!</v>
      </c>
    </row>
    <row r="68" spans="1:10" x14ac:dyDescent="0.25">
      <c r="A68" s="337" t="s">
        <v>523</v>
      </c>
      <c r="B68" s="348">
        <f t="shared" ref="B68:B78" si="7">+B36*0.196</f>
        <v>0</v>
      </c>
      <c r="C68" s="348">
        <f t="shared" ref="C68:C78" si="8">-(C36*0.196)+(F36*0.196)</f>
        <v>0</v>
      </c>
      <c r="D68" s="348">
        <f t="shared" ref="D68:D78" si="9">-C52*0.196</f>
        <v>0</v>
      </c>
      <c r="E68" s="348" t="e">
        <f>+E67</f>
        <v>#DIV/0!</v>
      </c>
      <c r="F68" s="343" t="e">
        <f t="shared" ref="F68:F78" si="10">+B68-C68-D68-E68</f>
        <v>#DIV/0!</v>
      </c>
      <c r="G68" s="344"/>
      <c r="H68" s="345" t="e">
        <f t="shared" ref="H68:H78" si="11">+H36+H52-F68</f>
        <v>#NUM!</v>
      </c>
      <c r="I68" s="341" t="e">
        <f>+I67+H68</f>
        <v>#NUM!</v>
      </c>
    </row>
    <row r="69" spans="1:10" x14ac:dyDescent="0.25">
      <c r="A69" s="337" t="s">
        <v>524</v>
      </c>
      <c r="B69" s="348">
        <f t="shared" si="7"/>
        <v>0</v>
      </c>
      <c r="C69" s="348">
        <f t="shared" si="8"/>
        <v>0</v>
      </c>
      <c r="D69" s="348">
        <f t="shared" si="9"/>
        <v>0</v>
      </c>
      <c r="E69" s="348" t="e">
        <f t="shared" ref="E69:E78" si="12">+E68</f>
        <v>#DIV/0!</v>
      </c>
      <c r="F69" s="343" t="e">
        <f t="shared" si="10"/>
        <v>#DIV/0!</v>
      </c>
      <c r="G69" s="344"/>
      <c r="H69" s="345" t="e">
        <f t="shared" si="11"/>
        <v>#NUM!</v>
      </c>
      <c r="I69" s="341" t="e">
        <f t="shared" ref="I69:I78" si="13">+I68+H69</f>
        <v>#NUM!</v>
      </c>
    </row>
    <row r="70" spans="1:10" x14ac:dyDescent="0.25">
      <c r="A70" s="337" t="s">
        <v>525</v>
      </c>
      <c r="B70" s="348">
        <f t="shared" si="7"/>
        <v>0</v>
      </c>
      <c r="C70" s="348">
        <f t="shared" si="8"/>
        <v>0</v>
      </c>
      <c r="D70" s="348">
        <f t="shared" si="9"/>
        <v>0</v>
      </c>
      <c r="E70" s="348" t="e">
        <f t="shared" si="12"/>
        <v>#DIV/0!</v>
      </c>
      <c r="F70" s="343" t="e">
        <f t="shared" si="10"/>
        <v>#DIV/0!</v>
      </c>
      <c r="G70" s="344"/>
      <c r="H70" s="345" t="e">
        <f t="shared" si="11"/>
        <v>#NUM!</v>
      </c>
      <c r="I70" s="341" t="e">
        <f t="shared" si="13"/>
        <v>#NUM!</v>
      </c>
    </row>
    <row r="71" spans="1:10" x14ac:dyDescent="0.25">
      <c r="A71" s="337" t="s">
        <v>526</v>
      </c>
      <c r="B71" s="348">
        <f t="shared" si="7"/>
        <v>0</v>
      </c>
      <c r="C71" s="348">
        <f t="shared" si="8"/>
        <v>0</v>
      </c>
      <c r="D71" s="348">
        <f t="shared" si="9"/>
        <v>0</v>
      </c>
      <c r="E71" s="348" t="e">
        <f t="shared" si="12"/>
        <v>#DIV/0!</v>
      </c>
      <c r="F71" s="343" t="e">
        <f t="shared" si="10"/>
        <v>#DIV/0!</v>
      </c>
      <c r="G71" s="344"/>
      <c r="H71" s="345" t="e">
        <f t="shared" si="11"/>
        <v>#NUM!</v>
      </c>
      <c r="I71" s="341" t="e">
        <f t="shared" si="13"/>
        <v>#NUM!</v>
      </c>
    </row>
    <row r="72" spans="1:10" x14ac:dyDescent="0.25">
      <c r="A72" s="337" t="s">
        <v>527</v>
      </c>
      <c r="B72" s="348">
        <f t="shared" si="7"/>
        <v>0</v>
      </c>
      <c r="C72" s="348">
        <f t="shared" si="8"/>
        <v>0</v>
      </c>
      <c r="D72" s="348">
        <f t="shared" si="9"/>
        <v>0</v>
      </c>
      <c r="E72" s="348" t="e">
        <f t="shared" si="12"/>
        <v>#DIV/0!</v>
      </c>
      <c r="F72" s="343" t="e">
        <f t="shared" si="10"/>
        <v>#DIV/0!</v>
      </c>
      <c r="G72" s="344"/>
      <c r="H72" s="345" t="e">
        <f t="shared" si="11"/>
        <v>#NUM!</v>
      </c>
      <c r="I72" s="341" t="e">
        <f t="shared" si="13"/>
        <v>#NUM!</v>
      </c>
    </row>
    <row r="73" spans="1:10" x14ac:dyDescent="0.25">
      <c r="A73" s="337" t="s">
        <v>528</v>
      </c>
      <c r="B73" s="348">
        <f t="shared" si="7"/>
        <v>0</v>
      </c>
      <c r="C73" s="348">
        <f t="shared" si="8"/>
        <v>0</v>
      </c>
      <c r="D73" s="348">
        <f t="shared" si="9"/>
        <v>0</v>
      </c>
      <c r="E73" s="348" t="e">
        <f t="shared" si="12"/>
        <v>#DIV/0!</v>
      </c>
      <c r="F73" s="343" t="e">
        <f t="shared" si="10"/>
        <v>#DIV/0!</v>
      </c>
      <c r="G73" s="344"/>
      <c r="H73" s="345" t="e">
        <f t="shared" si="11"/>
        <v>#NUM!</v>
      </c>
      <c r="I73" s="341" t="e">
        <f t="shared" si="13"/>
        <v>#NUM!</v>
      </c>
    </row>
    <row r="74" spans="1:10" x14ac:dyDescent="0.25">
      <c r="A74" s="337" t="s">
        <v>529</v>
      </c>
      <c r="B74" s="348">
        <f t="shared" si="7"/>
        <v>0</v>
      </c>
      <c r="C74" s="348">
        <f t="shared" si="8"/>
        <v>0</v>
      </c>
      <c r="D74" s="348">
        <f t="shared" si="9"/>
        <v>0</v>
      </c>
      <c r="E74" s="348" t="e">
        <f t="shared" si="12"/>
        <v>#DIV/0!</v>
      </c>
      <c r="F74" s="343" t="e">
        <f t="shared" si="10"/>
        <v>#DIV/0!</v>
      </c>
      <c r="G74" s="344"/>
      <c r="H74" s="345" t="e">
        <f t="shared" si="11"/>
        <v>#NUM!</v>
      </c>
      <c r="I74" s="341" t="e">
        <f t="shared" si="13"/>
        <v>#NUM!</v>
      </c>
    </row>
    <row r="75" spans="1:10" x14ac:dyDescent="0.25">
      <c r="A75" s="337" t="s">
        <v>530</v>
      </c>
      <c r="B75" s="348">
        <f t="shared" si="7"/>
        <v>0</v>
      </c>
      <c r="C75" s="348">
        <f t="shared" si="8"/>
        <v>0</v>
      </c>
      <c r="D75" s="348">
        <f t="shared" si="9"/>
        <v>0</v>
      </c>
      <c r="E75" s="348" t="e">
        <f t="shared" si="12"/>
        <v>#DIV/0!</v>
      </c>
      <c r="F75" s="343" t="e">
        <f t="shared" si="10"/>
        <v>#DIV/0!</v>
      </c>
      <c r="G75" s="344"/>
      <c r="H75" s="345" t="e">
        <f t="shared" si="11"/>
        <v>#NUM!</v>
      </c>
      <c r="I75" s="341" t="e">
        <f t="shared" si="13"/>
        <v>#NUM!</v>
      </c>
    </row>
    <row r="76" spans="1:10" x14ac:dyDescent="0.25">
      <c r="A76" s="337" t="s">
        <v>531</v>
      </c>
      <c r="B76" s="348">
        <f t="shared" si="7"/>
        <v>0</v>
      </c>
      <c r="C76" s="348">
        <f t="shared" si="8"/>
        <v>0</v>
      </c>
      <c r="D76" s="348">
        <f t="shared" si="9"/>
        <v>0</v>
      </c>
      <c r="E76" s="348" t="e">
        <f t="shared" si="12"/>
        <v>#DIV/0!</v>
      </c>
      <c r="F76" s="343" t="e">
        <f t="shared" si="10"/>
        <v>#DIV/0!</v>
      </c>
      <c r="G76" s="344"/>
      <c r="H76" s="345" t="e">
        <f t="shared" si="11"/>
        <v>#NUM!</v>
      </c>
      <c r="I76" s="341" t="e">
        <f t="shared" si="13"/>
        <v>#NUM!</v>
      </c>
    </row>
    <row r="77" spans="1:10" x14ac:dyDescent="0.25">
      <c r="A77" s="337" t="s">
        <v>532</v>
      </c>
      <c r="B77" s="348">
        <f t="shared" si="7"/>
        <v>0</v>
      </c>
      <c r="C77" s="348">
        <f t="shared" si="8"/>
        <v>0</v>
      </c>
      <c r="D77" s="348">
        <f t="shared" si="9"/>
        <v>0</v>
      </c>
      <c r="E77" s="348" t="e">
        <f t="shared" si="12"/>
        <v>#DIV/0!</v>
      </c>
      <c r="F77" s="343" t="e">
        <f t="shared" si="10"/>
        <v>#DIV/0!</v>
      </c>
      <c r="G77" s="344"/>
      <c r="H77" s="345" t="e">
        <f t="shared" si="11"/>
        <v>#NUM!</v>
      </c>
      <c r="I77" s="341" t="e">
        <f t="shared" si="13"/>
        <v>#NUM!</v>
      </c>
    </row>
    <row r="78" spans="1:10" x14ac:dyDescent="0.25">
      <c r="A78" s="337" t="s">
        <v>533</v>
      </c>
      <c r="B78" s="348">
        <f t="shared" si="7"/>
        <v>0</v>
      </c>
      <c r="C78" s="348">
        <f t="shared" si="8"/>
        <v>0</v>
      </c>
      <c r="D78" s="348">
        <f t="shared" si="9"/>
        <v>0</v>
      </c>
      <c r="E78" s="348" t="e">
        <f t="shared" si="12"/>
        <v>#DIV/0!</v>
      </c>
      <c r="F78" s="343" t="e">
        <f t="shared" si="10"/>
        <v>#DIV/0!</v>
      </c>
      <c r="G78" s="346"/>
      <c r="H78" s="345" t="e">
        <f t="shared" si="11"/>
        <v>#NUM!</v>
      </c>
      <c r="I78" s="347" t="e">
        <f t="shared" si="13"/>
        <v>#NUM!</v>
      </c>
    </row>
    <row r="79" spans="1:10" x14ac:dyDescent="0.25">
      <c r="A79" s="338"/>
      <c r="B79" s="338"/>
      <c r="C79" s="338"/>
      <c r="D79" s="338"/>
      <c r="E79" s="338"/>
      <c r="F79" s="361" t="e">
        <f>SUM(F67:F78)</f>
        <v>#DIV/0!</v>
      </c>
      <c r="G79" s="359"/>
      <c r="H79" s="359"/>
      <c r="I79" s="359"/>
      <c r="J79" s="359"/>
    </row>
  </sheetData>
  <mergeCells count="5">
    <mergeCell ref="A8:A17"/>
    <mergeCell ref="A18:A31"/>
    <mergeCell ref="H33:I33"/>
    <mergeCell ref="H49:I49"/>
    <mergeCell ref="H65:I65"/>
  </mergeCells>
  <pageMargins left="0.47244094488188981" right="0.19685039370078741" top="0.59055118110236227" bottom="0.76" header="0.23622047244094491" footer="0.19685039370078741"/>
  <pageSetup paperSize="9" scale="83" orientation="portrait" r:id="rId1"/>
  <headerFooter>
    <oddHeader>&amp;L&amp;D
&amp;T&amp;R&amp;P/&amp;N</oddHeader>
    <oddFooter>&amp;L&amp;7Document non contractuel
Charges personnelles de l'exploitant non inclus
Les chiffres et les informations ci-dessus sont données à titre indicatifs et restent à être validés par un Expert Comptable
&amp;R&amp;P/&amp;N
&amp;D--&amp;T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11"/>
  <sheetViews>
    <sheetView workbookViewId="0">
      <selection sqref="A1:XFD1048576"/>
    </sheetView>
  </sheetViews>
  <sheetFormatPr baseColWidth="10" defaultColWidth="11.44140625" defaultRowHeight="13.2" x14ac:dyDescent="0.25"/>
  <cols>
    <col min="1" max="1" width="24.6640625" style="1" bestFit="1" customWidth="1"/>
    <col min="2" max="2" width="13.109375" style="38" bestFit="1" customWidth="1"/>
    <col min="3" max="3" width="13" style="2" bestFit="1" customWidth="1"/>
    <col min="4" max="9" width="13" style="1" bestFit="1" customWidth="1"/>
    <col min="10" max="16384" width="11.44140625" style="1"/>
  </cols>
  <sheetData>
    <row r="1" spans="1:9" x14ac:dyDescent="0.25">
      <c r="A1" s="8" t="str">
        <f>+'ca et marge'!A1</f>
        <v>ANGERS</v>
      </c>
      <c r="C1" s="1"/>
    </row>
    <row r="2" spans="1:9" x14ac:dyDescent="0.25">
      <c r="C2" s="1"/>
    </row>
    <row r="3" spans="1:9" x14ac:dyDescent="0.25">
      <c r="C3" s="1"/>
    </row>
    <row r="4" spans="1:9" x14ac:dyDescent="0.25">
      <c r="A4" s="1" t="s">
        <v>152</v>
      </c>
      <c r="B4" s="38" t="s">
        <v>153</v>
      </c>
      <c r="C4" s="1"/>
    </row>
    <row r="5" spans="1:9" x14ac:dyDescent="0.25">
      <c r="A5" s="1" t="s">
        <v>154</v>
      </c>
      <c r="C5" s="1"/>
    </row>
    <row r="6" spans="1:9" x14ac:dyDescent="0.25">
      <c r="A6" s="4"/>
      <c r="B6" s="39">
        <f>+'ca et marge'!B14</f>
        <v>2013</v>
      </c>
      <c r="C6" s="39">
        <f>+'ca et marge'!C14</f>
        <v>2014</v>
      </c>
      <c r="D6" s="39">
        <f>+'ca et marge'!D14</f>
        <v>2015</v>
      </c>
      <c r="E6" s="39">
        <f>+'ca et marge'!E14</f>
        <v>2016</v>
      </c>
      <c r="F6" s="39">
        <f>+'ca et marge'!F14</f>
        <v>2017</v>
      </c>
      <c r="G6" s="39">
        <f>+'ca et marge'!G14</f>
        <v>2018</v>
      </c>
      <c r="H6" s="39">
        <f>+'ca et marge'!H14</f>
        <v>2019</v>
      </c>
      <c r="I6" s="39">
        <f>+'ca et marge'!I14</f>
        <v>2020</v>
      </c>
    </row>
    <row r="7" spans="1:9" s="42" customFormat="1" x14ac:dyDescent="0.25">
      <c r="A7" s="40"/>
      <c r="B7" s="41"/>
      <c r="C7" s="41"/>
      <c r="D7" s="41"/>
      <c r="E7" s="41"/>
      <c r="F7" s="41"/>
      <c r="G7" s="41"/>
      <c r="H7" s="41"/>
      <c r="I7" s="41"/>
    </row>
    <row r="8" spans="1:9" s="42" customFormat="1" x14ac:dyDescent="0.25">
      <c r="A8" s="40"/>
      <c r="B8" s="43"/>
      <c r="C8" s="43"/>
      <c r="D8" s="43"/>
      <c r="E8" s="43"/>
      <c r="F8" s="43"/>
      <c r="G8" s="43"/>
      <c r="H8" s="43"/>
      <c r="I8" s="43"/>
    </row>
    <row r="9" spans="1:9" s="46" customFormat="1" x14ac:dyDescent="0.25">
      <c r="A9" s="44" t="s">
        <v>158</v>
      </c>
      <c r="B9" s="45">
        <f>+B12/B13</f>
        <v>170955.91970681469</v>
      </c>
      <c r="C9" s="45">
        <f t="shared" ref="C9:I9" si="0">+C12/C13</f>
        <v>176485.72898915649</v>
      </c>
      <c r="D9" s="45">
        <f t="shared" si="0"/>
        <v>182174.9005072189</v>
      </c>
      <c r="E9" s="45">
        <f t="shared" si="0"/>
        <v>188442.81370936858</v>
      </c>
      <c r="F9" s="45">
        <f t="shared" si="0"/>
        <v>194900.51877376882</v>
      </c>
      <c r="G9" s="45">
        <f t="shared" si="0"/>
        <v>201553.87931889307</v>
      </c>
      <c r="H9" s="45">
        <f t="shared" si="0"/>
        <v>208408.94306249599</v>
      </c>
      <c r="I9" s="45">
        <f t="shared" si="0"/>
        <v>193544.13590826053</v>
      </c>
    </row>
    <row r="10" spans="1:9" s="42" customFormat="1" x14ac:dyDescent="0.25">
      <c r="A10" s="40"/>
      <c r="B10" s="41"/>
      <c r="C10" s="41"/>
      <c r="D10" s="43"/>
      <c r="E10" s="43"/>
      <c r="F10" s="43"/>
      <c r="G10" s="43"/>
      <c r="H10" s="43"/>
      <c r="I10" s="43"/>
    </row>
    <row r="11" spans="1:9" x14ac:dyDescent="0.25">
      <c r="A11" s="47"/>
      <c r="B11" s="41"/>
      <c r="C11" s="41"/>
      <c r="D11" s="41"/>
      <c r="E11" s="41"/>
      <c r="F11" s="41"/>
      <c r="G11" s="41"/>
      <c r="H11" s="41"/>
      <c r="I11" s="41"/>
    </row>
    <row r="12" spans="1:9" s="42" customFormat="1" x14ac:dyDescent="0.25">
      <c r="A12" s="44" t="s">
        <v>45</v>
      </c>
      <c r="B12" s="48">
        <f>+B21+B23</f>
        <v>96846.528513910496</v>
      </c>
      <c r="C12" s="48">
        <f t="shared" ref="C12:I12" si="1">+C21+C23</f>
        <v>99979.165472357126</v>
      </c>
      <c r="D12" s="48">
        <f t="shared" si="1"/>
        <v>103202.08113733948</v>
      </c>
      <c r="E12" s="48">
        <f t="shared" si="1"/>
        <v>106752.85396635727</v>
      </c>
      <c r="F12" s="48">
        <f t="shared" si="1"/>
        <v>110411.14388534003</v>
      </c>
      <c r="G12" s="48">
        <f t="shared" si="1"/>
        <v>114180.27263415292</v>
      </c>
      <c r="H12" s="48">
        <f t="shared" si="1"/>
        <v>118063.66624490396</v>
      </c>
      <c r="I12" s="48">
        <f t="shared" si="1"/>
        <v>109642.75299202959</v>
      </c>
    </row>
    <row r="13" spans="1:9" x14ac:dyDescent="0.25">
      <c r="A13" s="4" t="s">
        <v>46</v>
      </c>
      <c r="B13" s="49">
        <f>+SYNTHESE!B21</f>
        <v>0.56649999999999989</v>
      </c>
      <c r="C13" s="49">
        <f>+SYNTHESE!C21</f>
        <v>0.56649999999999989</v>
      </c>
      <c r="D13" s="49">
        <f>+SYNTHESE!D21</f>
        <v>0.56649999999999989</v>
      </c>
      <c r="E13" s="49">
        <f>+SYNTHESE!E21</f>
        <v>0.56649999999999989</v>
      </c>
      <c r="F13" s="49">
        <f>+SYNTHESE!F21</f>
        <v>0.5665</v>
      </c>
      <c r="G13" s="49">
        <f>+SYNTHESE!G21</f>
        <v>0.5665</v>
      </c>
      <c r="H13" s="49">
        <f>+SYNTHESE!H21</f>
        <v>0.56649999999999989</v>
      </c>
      <c r="I13" s="49">
        <f>+SYNTHESE!I21</f>
        <v>0.5665</v>
      </c>
    </row>
    <row r="14" spans="1:9" s="42" customFormat="1" x14ac:dyDescent="0.25">
      <c r="A14" s="50"/>
      <c r="B14" s="51"/>
      <c r="C14" s="51"/>
      <c r="D14" s="51"/>
      <c r="E14" s="51"/>
      <c r="F14" s="51"/>
      <c r="G14" s="51"/>
      <c r="H14" s="51"/>
      <c r="I14" s="51"/>
    </row>
    <row r="15" spans="1:9" x14ac:dyDescent="0.25">
      <c r="A15" s="52" t="s">
        <v>47</v>
      </c>
      <c r="B15" s="53"/>
      <c r="C15" s="4"/>
      <c r="D15" s="4"/>
      <c r="E15" s="4"/>
      <c r="F15" s="4"/>
      <c r="G15" s="4"/>
      <c r="H15" s="4"/>
      <c r="I15" s="4"/>
    </row>
    <row r="16" spans="1:9" x14ac:dyDescent="0.25">
      <c r="A16" s="4" t="s">
        <v>48</v>
      </c>
      <c r="B16" s="41">
        <f>+salaires!B37</f>
        <v>49457.223839999991</v>
      </c>
      <c r="C16" s="41">
        <f>+salaires!C37</f>
        <v>50940.940555200003</v>
      </c>
      <c r="D16" s="41">
        <f>+salaires!D37</f>
        <v>52469.168771855999</v>
      </c>
      <c r="E16" s="41">
        <f>+salaires!E37</f>
        <v>54043.243835011686</v>
      </c>
      <c r="F16" s="41">
        <f>+salaires!F37</f>
        <v>55664.541150062039</v>
      </c>
      <c r="G16" s="41">
        <f>+salaires!G37</f>
        <v>57334.477384563892</v>
      </c>
      <c r="H16" s="41">
        <f>+salaires!H37</f>
        <v>59054.511706100813</v>
      </c>
      <c r="I16" s="41">
        <f>+salaires!I37</f>
        <v>60826.147057283837</v>
      </c>
    </row>
    <row r="17" spans="1:9" x14ac:dyDescent="0.25">
      <c r="A17" s="4" t="s">
        <v>49</v>
      </c>
      <c r="B17" s="41">
        <f>+loyer!B17</f>
        <v>18794</v>
      </c>
      <c r="C17" s="41">
        <f>+loyer!C17</f>
        <v>19169.88</v>
      </c>
      <c r="D17" s="41">
        <f>+loyer!D17</f>
        <v>19553.277599999998</v>
      </c>
      <c r="E17" s="41">
        <f>+loyer!E17</f>
        <v>19944.343151999998</v>
      </c>
      <c r="F17" s="41">
        <f>+loyer!F17</f>
        <v>20343.230015039997</v>
      </c>
      <c r="G17" s="41">
        <f>+loyer!G17</f>
        <v>20750.094615340797</v>
      </c>
      <c r="H17" s="41">
        <f>+loyer!H17</f>
        <v>21165.096507647613</v>
      </c>
      <c r="I17" s="41">
        <f>+loyer!I17</f>
        <v>21588.39843780057</v>
      </c>
    </row>
    <row r="18" spans="1:9" ht="13.5" customHeight="1" x14ac:dyDescent="0.25">
      <c r="A18" s="4" t="s">
        <v>50</v>
      </c>
      <c r="B18" s="41">
        <f>+'frais generaux'!B16</f>
        <v>17558.528428093647</v>
      </c>
      <c r="C18" s="41">
        <f>+'frais generaux'!C16</f>
        <v>17909.698996655519</v>
      </c>
      <c r="D18" s="41">
        <f>+'frais generaux'!D16</f>
        <v>18267.892976588631</v>
      </c>
      <c r="E18" s="41">
        <f>+'frais generaux'!E16</f>
        <v>18815.929765886292</v>
      </c>
      <c r="F18" s="41">
        <f>+'frais generaux'!F16</f>
        <v>19380.407658862881</v>
      </c>
      <c r="G18" s="41">
        <f>+'frais generaux'!G16</f>
        <v>19961.819888628772</v>
      </c>
      <c r="H18" s="41">
        <f>+'frais generaux'!H16</f>
        <v>20560.674485287636</v>
      </c>
      <c r="I18" s="41">
        <f>+'frais generaux'!I16</f>
        <v>21177.494719846269</v>
      </c>
    </row>
    <row r="19" spans="1:9" ht="13.5" customHeight="1" x14ac:dyDescent="0.25">
      <c r="A19" s="4" t="s">
        <v>51</v>
      </c>
      <c r="B19" s="41">
        <f>+impots!B16</f>
        <v>5016.7224080267561</v>
      </c>
      <c r="C19" s="41">
        <f>+impots!C16</f>
        <v>5117.0568561872915</v>
      </c>
      <c r="D19" s="41">
        <f>+impots!D16</f>
        <v>5219.3979933110368</v>
      </c>
      <c r="E19" s="41">
        <f>+impots!E16</f>
        <v>5375.9799331103686</v>
      </c>
      <c r="F19" s="41">
        <f>+impots!F16</f>
        <v>5537.2593311036799</v>
      </c>
      <c r="G19" s="41">
        <f>+impots!G16</f>
        <v>5703.3771110367916</v>
      </c>
      <c r="H19" s="41">
        <f>+impots!H16</f>
        <v>5874.4784243678951</v>
      </c>
      <c r="I19" s="41">
        <f>+impots!I16</f>
        <v>6050.7127770989327</v>
      </c>
    </row>
    <row r="20" spans="1:9" ht="13.5" customHeight="1" x14ac:dyDescent="0.25">
      <c r="A20" s="4" t="s">
        <v>52</v>
      </c>
      <c r="B20" s="41">
        <f>+amortissements!B31</f>
        <v>11951.857142857143</v>
      </c>
      <c r="C20" s="41">
        <f>+amortissements!C31</f>
        <v>11951.857142857143</v>
      </c>
      <c r="D20" s="41">
        <f>+amortissements!D31</f>
        <v>11951.857142857143</v>
      </c>
      <c r="E20" s="41">
        <f>+amortissements!E31</f>
        <v>11951.857142857143</v>
      </c>
      <c r="F20" s="41">
        <f>+amortissements!F31</f>
        <v>11951.857142857143</v>
      </c>
      <c r="G20" s="41">
        <f>+amortissements!G31</f>
        <v>11951.857142857143</v>
      </c>
      <c r="H20" s="41">
        <f>+amortissements!H31</f>
        <v>11951.857142857143</v>
      </c>
      <c r="I20" s="41">
        <f>+amortissements!I31</f>
        <v>0</v>
      </c>
    </row>
    <row r="21" spans="1:9" s="55" customFormat="1" ht="13.5" customHeight="1" x14ac:dyDescent="0.2">
      <c r="A21" s="52" t="s">
        <v>53</v>
      </c>
      <c r="B21" s="54">
        <f>SUM(B16:B20)</f>
        <v>102778.33181897755</v>
      </c>
      <c r="C21" s="54">
        <f t="shared" ref="C21:I21" si="2">SUM(C16:C20)</f>
        <v>105089.43355089995</v>
      </c>
      <c r="D21" s="54">
        <f t="shared" si="2"/>
        <v>107461.59448461281</v>
      </c>
      <c r="E21" s="54">
        <f t="shared" si="2"/>
        <v>110131.3538288655</v>
      </c>
      <c r="F21" s="54">
        <f t="shared" si="2"/>
        <v>112877.29529792574</v>
      </c>
      <c r="G21" s="54">
        <f t="shared" si="2"/>
        <v>115701.6261424274</v>
      </c>
      <c r="H21" s="54">
        <f t="shared" si="2"/>
        <v>118606.61826626111</v>
      </c>
      <c r="I21" s="54">
        <f t="shared" si="2"/>
        <v>109642.75299202959</v>
      </c>
    </row>
    <row r="22" spans="1:9" ht="13.5" customHeight="1" x14ac:dyDescent="0.25">
      <c r="A22" s="4"/>
      <c r="B22" s="56">
        <f>+B21/B9</f>
        <v>0.60119785261159675</v>
      </c>
      <c r="C22" s="56">
        <f t="shared" ref="C22:I22" si="3">+C21/C9</f>
        <v>0.59545570144856741</v>
      </c>
      <c r="D22" s="56">
        <f t="shared" si="3"/>
        <v>0.58988145010873505</v>
      </c>
      <c r="E22" s="56">
        <f t="shared" si="3"/>
        <v>0.5844285152668055</v>
      </c>
      <c r="F22" s="56">
        <f t="shared" si="3"/>
        <v>0.57915338557383877</v>
      </c>
      <c r="G22" s="56">
        <f t="shared" si="3"/>
        <v>0.57404812317885201</v>
      </c>
      <c r="H22" s="56">
        <f t="shared" si="3"/>
        <v>0.56910522419709364</v>
      </c>
      <c r="I22" s="56">
        <f t="shared" si="3"/>
        <v>0.5665</v>
      </c>
    </row>
    <row r="23" spans="1:9" ht="13.5" customHeight="1" x14ac:dyDescent="0.25">
      <c r="A23" s="4" t="s">
        <v>54</v>
      </c>
      <c r="B23" s="41">
        <f>+SYNTHESE!B42</f>
        <v>-5931.8033050670529</v>
      </c>
      <c r="C23" s="41">
        <f>+SYNTHESE!C42</f>
        <v>-5110.2680785428165</v>
      </c>
      <c r="D23" s="41">
        <f>+SYNTHESE!D42</f>
        <v>-4259.5133472733314</v>
      </c>
      <c r="E23" s="41">
        <f>+SYNTHESE!E42</f>
        <v>-3378.4998625082253</v>
      </c>
      <c r="F23" s="41">
        <f>+SYNTHESE!F42</f>
        <v>-2466.1514125857111</v>
      </c>
      <c r="G23" s="41">
        <f>+SYNTHESE!G42</f>
        <v>-1521.3535082744752</v>
      </c>
      <c r="H23" s="41">
        <f>+SYNTHESE!H42</f>
        <v>-542.95202135714908</v>
      </c>
      <c r="I23" s="41">
        <f>+SYNTHESE!I42</f>
        <v>0</v>
      </c>
    </row>
    <row r="24" spans="1:9" x14ac:dyDescent="0.25">
      <c r="A24" s="4"/>
      <c r="B24" s="53"/>
      <c r="C24" s="4"/>
      <c r="D24" s="4"/>
      <c r="E24" s="4"/>
      <c r="F24" s="4"/>
      <c r="G24" s="4"/>
      <c r="H24" s="4"/>
      <c r="I24" s="4"/>
    </row>
    <row r="25" spans="1:9" x14ac:dyDescent="0.25">
      <c r="A25" s="57" t="s">
        <v>55</v>
      </c>
      <c r="B25" s="48">
        <f>+B12-B21-B23</f>
        <v>0</v>
      </c>
      <c r="C25" s="48">
        <f t="shared" ref="C25:I25" si="4">+C12-C21-C23</f>
        <v>-7.2759576141834259E-12</v>
      </c>
      <c r="D25" s="48">
        <f t="shared" si="4"/>
        <v>0</v>
      </c>
      <c r="E25" s="48">
        <f t="shared" si="4"/>
        <v>0</v>
      </c>
      <c r="F25" s="48">
        <f t="shared" si="4"/>
        <v>4.5474735088646412E-12</v>
      </c>
      <c r="G25" s="48">
        <f t="shared" si="4"/>
        <v>-3.1832314562052488E-12</v>
      </c>
      <c r="H25" s="48">
        <f t="shared" si="4"/>
        <v>-3.1832314562052488E-12</v>
      </c>
      <c r="I25" s="48">
        <f t="shared" si="4"/>
        <v>0</v>
      </c>
    </row>
    <row r="26" spans="1:9" x14ac:dyDescent="0.25">
      <c r="A26" s="57" t="s">
        <v>136</v>
      </c>
      <c r="B26" s="58">
        <f>+B25/B9</f>
        <v>0</v>
      </c>
      <c r="C26" s="58">
        <f t="shared" ref="C26:I26" si="5">+C25/C9</f>
        <v>-4.1226889311999102E-17</v>
      </c>
      <c r="D26" s="58">
        <f t="shared" si="5"/>
        <v>0</v>
      </c>
      <c r="E26" s="58">
        <f t="shared" si="5"/>
        <v>0</v>
      </c>
      <c r="F26" s="58">
        <f t="shared" si="5"/>
        <v>2.3332280167725619E-17</v>
      </c>
      <c r="G26" s="58">
        <f t="shared" si="5"/>
        <v>-1.579345169124146E-17</v>
      </c>
      <c r="H26" s="58">
        <f t="shared" si="5"/>
        <v>-1.527396765910706E-17</v>
      </c>
      <c r="I26" s="58">
        <f t="shared" si="5"/>
        <v>0</v>
      </c>
    </row>
    <row r="27" spans="1:9" x14ac:dyDescent="0.25">
      <c r="C27" s="1"/>
    </row>
    <row r="28" spans="1:9" x14ac:dyDescent="0.25">
      <c r="C28" s="1"/>
    </row>
    <row r="29" spans="1:9" x14ac:dyDescent="0.25">
      <c r="C29" s="1"/>
    </row>
    <row r="30" spans="1:9" x14ac:dyDescent="0.25">
      <c r="C30" s="1"/>
    </row>
    <row r="31" spans="1:9" s="60" customFormat="1" x14ac:dyDescent="0.25">
      <c r="B31" s="61"/>
      <c r="C31" s="61"/>
      <c r="D31" s="61"/>
      <c r="E31" s="61"/>
      <c r="F31" s="61"/>
      <c r="G31" s="61"/>
      <c r="H31" s="61"/>
      <c r="I31" s="61"/>
    </row>
    <row r="32" spans="1:9" s="60" customFormat="1" x14ac:dyDescent="0.25">
      <c r="B32" s="61"/>
      <c r="C32" s="61"/>
      <c r="D32" s="61"/>
      <c r="E32" s="61"/>
      <c r="F32" s="61"/>
      <c r="G32" s="61"/>
      <c r="H32" s="61"/>
      <c r="I32" s="61"/>
    </row>
    <row r="33" spans="2:9" s="60" customFormat="1" x14ac:dyDescent="0.25">
      <c r="B33" s="61"/>
      <c r="C33" s="61"/>
      <c r="D33" s="61"/>
      <c r="E33" s="61"/>
      <c r="F33" s="61"/>
      <c r="G33" s="61"/>
      <c r="H33" s="61"/>
      <c r="I33" s="61"/>
    </row>
    <row r="34" spans="2:9" s="60" customFormat="1" x14ac:dyDescent="0.25">
      <c r="B34" s="61"/>
      <c r="C34" s="61"/>
      <c r="D34" s="61"/>
      <c r="E34" s="61"/>
      <c r="F34" s="61"/>
      <c r="G34" s="61"/>
      <c r="H34" s="61"/>
      <c r="I34" s="61"/>
    </row>
    <row r="35" spans="2:9" s="60" customFormat="1" x14ac:dyDescent="0.25">
      <c r="B35" s="61"/>
      <c r="C35" s="61"/>
      <c r="D35" s="61"/>
      <c r="E35" s="61"/>
      <c r="F35" s="61"/>
      <c r="G35" s="61"/>
      <c r="H35" s="61"/>
      <c r="I35" s="61"/>
    </row>
    <row r="36" spans="2:9" x14ac:dyDescent="0.25">
      <c r="C36" s="1"/>
    </row>
    <row r="37" spans="2:9" x14ac:dyDescent="0.25">
      <c r="C37" s="1"/>
    </row>
    <row r="38" spans="2:9" x14ac:dyDescent="0.25">
      <c r="C38" s="1"/>
    </row>
    <row r="39" spans="2:9" x14ac:dyDescent="0.25">
      <c r="C39" s="1"/>
    </row>
    <row r="40" spans="2:9" x14ac:dyDescent="0.25">
      <c r="C40" s="1"/>
    </row>
    <row r="41" spans="2:9" x14ac:dyDescent="0.25">
      <c r="C41" s="1"/>
    </row>
    <row r="42" spans="2:9" x14ac:dyDescent="0.25">
      <c r="C42" s="1"/>
    </row>
    <row r="43" spans="2:9" x14ac:dyDescent="0.25">
      <c r="C43" s="1"/>
    </row>
    <row r="44" spans="2:9" x14ac:dyDescent="0.25">
      <c r="C44" s="1"/>
    </row>
    <row r="45" spans="2:9" x14ac:dyDescent="0.25">
      <c r="C45" s="1"/>
    </row>
    <row r="46" spans="2:9" x14ac:dyDescent="0.25">
      <c r="C46" s="1"/>
    </row>
    <row r="47" spans="2:9" x14ac:dyDescent="0.25">
      <c r="C47" s="1"/>
    </row>
    <row r="48" spans="2:9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hidden="1" x14ac:dyDescent="0.25">
      <c r="C75" s="1"/>
    </row>
    <row r="76" spans="3:3" hidden="1" x14ac:dyDescent="0.25">
      <c r="C76" s="1"/>
    </row>
    <row r="77" spans="3:3" hidden="1" x14ac:dyDescent="0.25">
      <c r="C77" s="1"/>
    </row>
    <row r="78" spans="3:3" hidden="1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</sheetData>
  <sheetProtection selectLockedCells="1"/>
  <phoneticPr fontId="7" type="noConversion"/>
  <pageMargins left="0.78740157499999996" right="0.78740157499999996" top="0.984251969" bottom="0.984251969" header="0.4921259845" footer="0.22"/>
  <pageSetup paperSize="9" orientation="landscape" r:id="rId1"/>
  <headerFooter alignWithMargins="0">
    <oddHeader xml:space="preserve">&amp;L&amp;"Lucida Calligraphy,Gras italique"RESERVE NATURELLE&amp;R&amp;"Arial,Gras"&amp;18PREVISION </oddHeader>
    <oddFooter>&amp;L&amp;8Document non contractuel
Charges personnelles de l'exploitant non inclus
Les chiffres et les informations ci-dessus sont données à titre indicatifs et restent à être validés par un Expert Comptable
&amp;R&amp;P/&amp;N
&amp;"Arial,Gras"&amp;12&amp;A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27"/>
  <sheetViews>
    <sheetView topLeftCell="A8" workbookViewId="0">
      <selection sqref="A1:XFD1048576"/>
    </sheetView>
  </sheetViews>
  <sheetFormatPr baseColWidth="10" defaultColWidth="11.44140625" defaultRowHeight="13.2" x14ac:dyDescent="0.25"/>
  <cols>
    <col min="1" max="1" width="24.6640625" style="1" bestFit="1" customWidth="1"/>
    <col min="2" max="2" width="13.109375" style="38" bestFit="1" customWidth="1"/>
    <col min="3" max="3" width="13" style="2" bestFit="1" customWidth="1"/>
    <col min="4" max="9" width="13" style="1" bestFit="1" customWidth="1"/>
    <col min="10" max="10" width="12" style="1" bestFit="1" customWidth="1"/>
    <col min="11" max="16384" width="11.44140625" style="1"/>
  </cols>
  <sheetData>
    <row r="1" spans="1:9" x14ac:dyDescent="0.25">
      <c r="A1" s="62" t="str">
        <f>+SAISIE!D4</f>
        <v>ANGERS</v>
      </c>
      <c r="C1" s="1"/>
    </row>
    <row r="2" spans="1:9" x14ac:dyDescent="0.25">
      <c r="C2" s="1"/>
    </row>
    <row r="3" spans="1:9" x14ac:dyDescent="0.25">
      <c r="C3" s="1"/>
    </row>
    <row r="4" spans="1:9" s="33" customFormat="1" x14ac:dyDescent="0.25">
      <c r="A4" s="63" t="s">
        <v>42</v>
      </c>
      <c r="B4" s="64" t="s">
        <v>84</v>
      </c>
      <c r="C4" s="64" t="s">
        <v>85</v>
      </c>
      <c r="D4" s="64" t="s">
        <v>86</v>
      </c>
      <c r="E4" s="64" t="s">
        <v>87</v>
      </c>
      <c r="F4" s="64" t="s">
        <v>88</v>
      </c>
      <c r="G4" s="64" t="s">
        <v>89</v>
      </c>
      <c r="H4" s="64" t="s">
        <v>90</v>
      </c>
      <c r="I4" s="64" t="s">
        <v>91</v>
      </c>
    </row>
    <row r="5" spans="1:9" x14ac:dyDescent="0.25">
      <c r="A5" s="4" t="s">
        <v>151</v>
      </c>
      <c r="B5" s="65">
        <f>+SAISIE!D21</f>
        <v>300000</v>
      </c>
      <c r="C5" s="65">
        <f>+SAISIE!E21</f>
        <v>306000</v>
      </c>
      <c r="D5" s="65">
        <f>+SAISIE!F21</f>
        <v>312120</v>
      </c>
      <c r="E5" s="65">
        <f>+SAISIE!G21</f>
        <v>321483.60000000003</v>
      </c>
      <c r="F5" s="65">
        <f>+SAISIE!H21</f>
        <v>331128.10800000007</v>
      </c>
      <c r="G5" s="65">
        <f>+SAISIE!I21</f>
        <v>341061.95124000008</v>
      </c>
      <c r="H5" s="65">
        <f>+SAISIE!J21</f>
        <v>351293.80977720011</v>
      </c>
      <c r="I5" s="65">
        <f>+SAISIE!K21</f>
        <v>361832.62407051615</v>
      </c>
    </row>
    <row r="6" spans="1:9" x14ac:dyDescent="0.25">
      <c r="A6" s="4" t="s">
        <v>143</v>
      </c>
      <c r="B6" s="65">
        <f>+SAISIE!D18</f>
        <v>2013</v>
      </c>
      <c r="C6" s="66">
        <f>+B6+1</f>
        <v>2014</v>
      </c>
      <c r="D6" s="66">
        <f t="shared" ref="D6:I6" si="0">+C6+1</f>
        <v>2015</v>
      </c>
      <c r="E6" s="66">
        <f t="shared" si="0"/>
        <v>2016</v>
      </c>
      <c r="F6" s="66">
        <f t="shared" si="0"/>
        <v>2017</v>
      </c>
      <c r="G6" s="66">
        <f t="shared" si="0"/>
        <v>2018</v>
      </c>
      <c r="H6" s="66">
        <f t="shared" si="0"/>
        <v>2019</v>
      </c>
      <c r="I6" s="66">
        <f t="shared" si="0"/>
        <v>2020</v>
      </c>
    </row>
    <row r="7" spans="1:9" x14ac:dyDescent="0.25">
      <c r="A7" s="4" t="s">
        <v>93</v>
      </c>
      <c r="B7" s="67">
        <f>+SAISIE!D19</f>
        <v>12</v>
      </c>
      <c r="C7" s="35"/>
      <c r="D7" s="35"/>
      <c r="E7" s="35"/>
      <c r="F7" s="35"/>
      <c r="G7" s="35"/>
      <c r="H7" s="35"/>
      <c r="I7" s="35"/>
    </row>
    <row r="8" spans="1:9" x14ac:dyDescent="0.25">
      <c r="A8" s="4" t="s">
        <v>32</v>
      </c>
      <c r="B8" s="67">
        <f>+SAISIE!D22</f>
        <v>10</v>
      </c>
      <c r="C8" s="35"/>
      <c r="D8" s="35"/>
      <c r="E8" s="35"/>
      <c r="F8" s="35"/>
      <c r="G8" s="35"/>
      <c r="H8" s="35"/>
      <c r="I8" s="35"/>
    </row>
    <row r="9" spans="1:9" x14ac:dyDescent="0.25">
      <c r="A9" s="4" t="s">
        <v>33</v>
      </c>
      <c r="B9" s="67">
        <f>+SAISIE!D23</f>
        <v>2.4</v>
      </c>
      <c r="C9" s="35"/>
      <c r="D9" s="35"/>
      <c r="E9" s="35"/>
      <c r="F9" s="35" t="s">
        <v>80</v>
      </c>
      <c r="G9" s="35"/>
      <c r="H9" s="35"/>
      <c r="I9" s="35"/>
    </row>
    <row r="10" spans="1:9" x14ac:dyDescent="0.25">
      <c r="A10" s="4" t="s">
        <v>83</v>
      </c>
      <c r="B10" s="68">
        <f>+SAISIE!D24</f>
        <v>0.19600000000000001</v>
      </c>
      <c r="C10" s="35"/>
      <c r="D10" s="35"/>
      <c r="E10" s="35"/>
      <c r="F10" s="35"/>
      <c r="G10" s="35"/>
      <c r="H10" s="35"/>
      <c r="I10" s="35"/>
    </row>
    <row r="11" spans="1:9" x14ac:dyDescent="0.25">
      <c r="A11" s="4" t="s">
        <v>36</v>
      </c>
      <c r="B11" s="68">
        <f>+SAISIE!D25</f>
        <v>0.56999999999999995</v>
      </c>
      <c r="C11" s="68">
        <f>+SAISIE!E25</f>
        <v>0.56999999999999995</v>
      </c>
      <c r="D11" s="68">
        <f>+SAISIE!F25</f>
        <v>0.56999999999999995</v>
      </c>
      <c r="E11" s="68">
        <f>+SAISIE!G25</f>
        <v>0.56999999999999995</v>
      </c>
      <c r="F11" s="68">
        <f>+SAISIE!H25</f>
        <v>0.56999999999999995</v>
      </c>
      <c r="G11" s="68">
        <f>+SAISIE!I25</f>
        <v>0.56999999999999995</v>
      </c>
      <c r="H11" s="68">
        <f>+SAISIE!J25</f>
        <v>0.56999999999999995</v>
      </c>
      <c r="I11" s="68">
        <f>+SAISIE!K25</f>
        <v>0.56999999999999995</v>
      </c>
    </row>
    <row r="12" spans="1:9" x14ac:dyDescent="0.25">
      <c r="A12" s="4" t="s">
        <v>92</v>
      </c>
      <c r="B12" s="68">
        <f>+SAISIE!D26</f>
        <v>2.5000000000000001E-2</v>
      </c>
      <c r="C12" s="68">
        <f>+SAISIE!E26</f>
        <v>2.5000000000000001E-2</v>
      </c>
      <c r="D12" s="68">
        <f>+SAISIE!F26</f>
        <v>2.5000000000000001E-2</v>
      </c>
      <c r="E12" s="68">
        <f>+SAISIE!G26</f>
        <v>2.5000000000000001E-2</v>
      </c>
      <c r="F12" s="68">
        <f>+SAISIE!H26</f>
        <v>2.5000000000000001E-2</v>
      </c>
      <c r="G12" s="68">
        <f>+SAISIE!I26</f>
        <v>2.5000000000000001E-2</v>
      </c>
      <c r="H12" s="68">
        <f>+SAISIE!J26</f>
        <v>2.5000000000000001E-2</v>
      </c>
      <c r="I12" s="68">
        <f>+SAISIE!K26</f>
        <v>2.5000000000000001E-2</v>
      </c>
    </row>
    <row r="13" spans="1:9" x14ac:dyDescent="0.25">
      <c r="C13" s="1"/>
    </row>
    <row r="14" spans="1:9" x14ac:dyDescent="0.25">
      <c r="A14" s="4"/>
      <c r="B14" s="39">
        <f>+B6</f>
        <v>2013</v>
      </c>
      <c r="C14" s="69">
        <f>+B14+1</f>
        <v>2014</v>
      </c>
      <c r="D14" s="69">
        <f t="shared" ref="D14:I14" si="1">+C14+1</f>
        <v>2015</v>
      </c>
      <c r="E14" s="69">
        <f t="shared" si="1"/>
        <v>2016</v>
      </c>
      <c r="F14" s="69">
        <f t="shared" si="1"/>
        <v>2017</v>
      </c>
      <c r="G14" s="69">
        <f t="shared" si="1"/>
        <v>2018</v>
      </c>
      <c r="H14" s="69">
        <f t="shared" si="1"/>
        <v>2019</v>
      </c>
      <c r="I14" s="69">
        <f t="shared" si="1"/>
        <v>2020</v>
      </c>
    </row>
    <row r="15" spans="1:9" s="42" customFormat="1" x14ac:dyDescent="0.25">
      <c r="A15" s="40" t="s">
        <v>5</v>
      </c>
      <c r="B15" s="41">
        <f>+B5*B16/12</f>
        <v>300000</v>
      </c>
      <c r="C15" s="41">
        <f t="shared" ref="C15:I15" si="2">+C5</f>
        <v>306000</v>
      </c>
      <c r="D15" s="41">
        <f t="shared" si="2"/>
        <v>312120</v>
      </c>
      <c r="E15" s="41">
        <f t="shared" si="2"/>
        <v>321483.60000000003</v>
      </c>
      <c r="F15" s="41">
        <f t="shared" si="2"/>
        <v>331128.10800000007</v>
      </c>
      <c r="G15" s="41">
        <f t="shared" si="2"/>
        <v>341061.95124000008</v>
      </c>
      <c r="H15" s="41">
        <f t="shared" si="2"/>
        <v>351293.80977720011</v>
      </c>
      <c r="I15" s="41">
        <f t="shared" si="2"/>
        <v>361832.62407051615</v>
      </c>
    </row>
    <row r="16" spans="1:9" s="46" customFormat="1" x14ac:dyDescent="0.25">
      <c r="A16" s="40" t="s">
        <v>11</v>
      </c>
      <c r="B16" s="70">
        <f>+B7</f>
        <v>12</v>
      </c>
      <c r="C16" s="70">
        <v>12</v>
      </c>
      <c r="D16" s="70">
        <f t="shared" ref="D16:I16" si="3">+C16</f>
        <v>12</v>
      </c>
      <c r="E16" s="70">
        <f t="shared" si="3"/>
        <v>12</v>
      </c>
      <c r="F16" s="70">
        <f t="shared" si="3"/>
        <v>12</v>
      </c>
      <c r="G16" s="70">
        <f t="shared" si="3"/>
        <v>12</v>
      </c>
      <c r="H16" s="70">
        <f t="shared" si="3"/>
        <v>12</v>
      </c>
      <c r="I16" s="70">
        <f t="shared" si="3"/>
        <v>12</v>
      </c>
    </row>
    <row r="17" spans="1:10" s="42" customFormat="1" x14ac:dyDescent="0.25">
      <c r="A17" s="40" t="s">
        <v>94</v>
      </c>
      <c r="B17" s="41"/>
      <c r="C17" s="41"/>
      <c r="D17" s="43">
        <f t="shared" ref="D17:I17" si="4">+(D15-C15)/C15</f>
        <v>0.02</v>
      </c>
      <c r="E17" s="43">
        <f t="shared" si="4"/>
        <v>3.0000000000000113E-2</v>
      </c>
      <c r="F17" s="43">
        <f t="shared" si="4"/>
        <v>3.0000000000000093E-2</v>
      </c>
      <c r="G17" s="43">
        <f t="shared" si="4"/>
        <v>3.0000000000000044E-2</v>
      </c>
      <c r="H17" s="43">
        <f t="shared" si="4"/>
        <v>3.0000000000000061E-2</v>
      </c>
      <c r="I17" s="43">
        <f t="shared" si="4"/>
        <v>3.000000000000011E-2</v>
      </c>
    </row>
    <row r="18" spans="1:10" x14ac:dyDescent="0.25">
      <c r="A18" s="47" t="s">
        <v>34</v>
      </c>
      <c r="B18" s="41">
        <f t="shared" ref="B18:I18" si="5">+B15/mmpo</f>
        <v>125000</v>
      </c>
      <c r="C18" s="41">
        <f t="shared" si="5"/>
        <v>127500</v>
      </c>
      <c r="D18" s="41">
        <f t="shared" si="5"/>
        <v>130050</v>
      </c>
      <c r="E18" s="41">
        <f t="shared" si="5"/>
        <v>133951.50000000003</v>
      </c>
      <c r="F18" s="41">
        <f t="shared" si="5"/>
        <v>137970.04500000004</v>
      </c>
      <c r="G18" s="41">
        <f t="shared" si="5"/>
        <v>142109.14635000005</v>
      </c>
      <c r="H18" s="41">
        <f t="shared" si="5"/>
        <v>146372.42074050006</v>
      </c>
      <c r="I18" s="41">
        <f t="shared" si="5"/>
        <v>150763.59336271507</v>
      </c>
    </row>
    <row r="19" spans="1:10" x14ac:dyDescent="0.25">
      <c r="A19" s="47" t="s">
        <v>60</v>
      </c>
      <c r="B19" s="41">
        <f t="shared" ref="B19:I19" si="6">+B15/cvbn/12</f>
        <v>2500</v>
      </c>
      <c r="C19" s="41">
        <f t="shared" si="6"/>
        <v>2550</v>
      </c>
      <c r="D19" s="41">
        <f t="shared" si="6"/>
        <v>2601</v>
      </c>
      <c r="E19" s="41">
        <f t="shared" si="6"/>
        <v>2679.03</v>
      </c>
      <c r="F19" s="41">
        <f t="shared" si="6"/>
        <v>2759.4009000000005</v>
      </c>
      <c r="G19" s="41">
        <f t="shared" si="6"/>
        <v>2842.1829270000003</v>
      </c>
      <c r="H19" s="41">
        <f t="shared" si="6"/>
        <v>2927.4484148100005</v>
      </c>
      <c r="I19" s="41">
        <f t="shared" si="6"/>
        <v>3015.2718672543015</v>
      </c>
    </row>
    <row r="20" spans="1:10" s="42" customFormat="1" x14ac:dyDescent="0.25">
      <c r="A20" s="40" t="s">
        <v>35</v>
      </c>
      <c r="B20" s="43">
        <f>+B10</f>
        <v>0.19600000000000001</v>
      </c>
      <c r="C20" s="43">
        <f>+B20</f>
        <v>0.19600000000000001</v>
      </c>
      <c r="D20" s="43">
        <f t="shared" ref="D20:I20" si="7">+C20</f>
        <v>0.19600000000000001</v>
      </c>
      <c r="E20" s="43">
        <f t="shared" si="7"/>
        <v>0.19600000000000001</v>
      </c>
      <c r="F20" s="43">
        <f t="shared" si="7"/>
        <v>0.19600000000000001</v>
      </c>
      <c r="G20" s="43">
        <f t="shared" si="7"/>
        <v>0.19600000000000001</v>
      </c>
      <c r="H20" s="43">
        <f t="shared" si="7"/>
        <v>0.19600000000000001</v>
      </c>
      <c r="I20" s="43">
        <f t="shared" si="7"/>
        <v>0.19600000000000001</v>
      </c>
    </row>
    <row r="21" spans="1:10" x14ac:dyDescent="0.25">
      <c r="A21" s="4"/>
      <c r="B21" s="53"/>
      <c r="C21" s="4"/>
      <c r="D21" s="4"/>
      <c r="E21" s="4"/>
      <c r="F21" s="4"/>
      <c r="G21" s="4"/>
      <c r="H21" s="4"/>
      <c r="I21" s="4"/>
    </row>
    <row r="22" spans="1:10" s="42" customFormat="1" x14ac:dyDescent="0.25">
      <c r="A22" s="50" t="s">
        <v>6</v>
      </c>
      <c r="B22" s="51">
        <f>+B15/(1+B20)</f>
        <v>250836.1204013378</v>
      </c>
      <c r="C22" s="51">
        <f t="shared" ref="C22:I22" si="8">+C15/(1+C20)</f>
        <v>255852.84280936455</v>
      </c>
      <c r="D22" s="51">
        <f t="shared" si="8"/>
        <v>260969.89966555184</v>
      </c>
      <c r="E22" s="51">
        <f t="shared" si="8"/>
        <v>268798.99665551842</v>
      </c>
      <c r="F22" s="51">
        <f t="shared" si="8"/>
        <v>276862.96655518399</v>
      </c>
      <c r="G22" s="51">
        <f t="shared" si="8"/>
        <v>285168.85555183957</v>
      </c>
      <c r="H22" s="51">
        <f t="shared" si="8"/>
        <v>293723.92121839477</v>
      </c>
      <c r="I22" s="51">
        <f t="shared" si="8"/>
        <v>302535.63885494665</v>
      </c>
    </row>
    <row r="23" spans="1:10" x14ac:dyDescent="0.25">
      <c r="A23" s="4"/>
      <c r="B23" s="53"/>
      <c r="C23" s="4"/>
      <c r="D23" s="4"/>
      <c r="E23" s="4"/>
      <c r="F23" s="4"/>
      <c r="G23" s="4"/>
      <c r="H23" s="4"/>
      <c r="I23" s="4"/>
    </row>
    <row r="24" spans="1:10" x14ac:dyDescent="0.25">
      <c r="A24" s="4" t="s">
        <v>36</v>
      </c>
      <c r="B24" s="173">
        <f>+B11</f>
        <v>0.56999999999999995</v>
      </c>
      <c r="C24" s="173">
        <f t="shared" ref="C24:I24" si="9">+C11</f>
        <v>0.56999999999999995</v>
      </c>
      <c r="D24" s="173">
        <f t="shared" si="9"/>
        <v>0.56999999999999995</v>
      </c>
      <c r="E24" s="173">
        <f t="shared" si="9"/>
        <v>0.56999999999999995</v>
      </c>
      <c r="F24" s="173">
        <f t="shared" si="9"/>
        <v>0.56999999999999995</v>
      </c>
      <c r="G24" s="173">
        <f t="shared" si="9"/>
        <v>0.56999999999999995</v>
      </c>
      <c r="H24" s="173">
        <f t="shared" si="9"/>
        <v>0.56999999999999995</v>
      </c>
      <c r="I24" s="173">
        <f t="shared" si="9"/>
        <v>0.56999999999999995</v>
      </c>
    </row>
    <row r="25" spans="1:10" x14ac:dyDescent="0.25">
      <c r="A25" s="4" t="s">
        <v>38</v>
      </c>
      <c r="B25" s="41">
        <f>+B22-B29</f>
        <v>107859.53177257525</v>
      </c>
      <c r="C25" s="41">
        <f t="shared" ref="C25:I25" si="10">+C22-C29</f>
        <v>110016.72240802678</v>
      </c>
      <c r="D25" s="41">
        <f t="shared" si="10"/>
        <v>112217.05685618729</v>
      </c>
      <c r="E25" s="41">
        <f t="shared" si="10"/>
        <v>115583.56856187293</v>
      </c>
      <c r="F25" s="41">
        <f t="shared" si="10"/>
        <v>119051.07561872914</v>
      </c>
      <c r="G25" s="41">
        <f t="shared" si="10"/>
        <v>122622.60788729103</v>
      </c>
      <c r="H25" s="41">
        <f t="shared" si="10"/>
        <v>126301.28612390975</v>
      </c>
      <c r="I25" s="41">
        <f t="shared" si="10"/>
        <v>130090.32470762706</v>
      </c>
    </row>
    <row r="26" spans="1:10" x14ac:dyDescent="0.25">
      <c r="A26" s="160" t="s">
        <v>247</v>
      </c>
      <c r="B26" s="41">
        <f>+B25*0.05</f>
        <v>5392.9765886287632</v>
      </c>
      <c r="C26" s="41">
        <f t="shared" ref="C26:I26" si="11">+C25*0.05</f>
        <v>5500.836120401339</v>
      </c>
      <c r="D26" s="41">
        <f t="shared" si="11"/>
        <v>5610.852842809365</v>
      </c>
      <c r="E26" s="41">
        <f t="shared" si="11"/>
        <v>5779.1784280936472</v>
      </c>
      <c r="F26" s="41">
        <f t="shared" si="11"/>
        <v>5952.5537809364578</v>
      </c>
      <c r="G26" s="41">
        <f t="shared" si="11"/>
        <v>6131.1303943645516</v>
      </c>
      <c r="H26" s="41">
        <f t="shared" si="11"/>
        <v>6315.0643061954879</v>
      </c>
      <c r="I26" s="41">
        <f t="shared" si="11"/>
        <v>6504.5162353813539</v>
      </c>
    </row>
    <row r="27" spans="1:10" x14ac:dyDescent="0.25">
      <c r="A27" s="4" t="s">
        <v>40</v>
      </c>
      <c r="B27" s="49">
        <f>+B12</f>
        <v>2.5000000000000001E-2</v>
      </c>
      <c r="C27" s="49">
        <f t="shared" ref="C27:I27" si="12">+C12</f>
        <v>2.5000000000000001E-2</v>
      </c>
      <c r="D27" s="49">
        <f t="shared" si="12"/>
        <v>2.5000000000000001E-2</v>
      </c>
      <c r="E27" s="49">
        <f t="shared" si="12"/>
        <v>2.5000000000000001E-2</v>
      </c>
      <c r="F27" s="49">
        <f t="shared" si="12"/>
        <v>2.5000000000000001E-2</v>
      </c>
      <c r="G27" s="49">
        <f t="shared" si="12"/>
        <v>2.5000000000000001E-2</v>
      </c>
      <c r="H27" s="49">
        <f t="shared" si="12"/>
        <v>2.5000000000000001E-2</v>
      </c>
      <c r="I27" s="49">
        <f t="shared" si="12"/>
        <v>2.5000000000000001E-2</v>
      </c>
    </row>
    <row r="28" spans="1:10" x14ac:dyDescent="0.25">
      <c r="A28" s="160" t="s">
        <v>256</v>
      </c>
      <c r="B28" s="41">
        <f>+B27*B22</f>
        <v>6270.9030100334458</v>
      </c>
      <c r="C28" s="41">
        <f t="shared" ref="C28:I28" si="13">+C27*C22</f>
        <v>6396.3210702341139</v>
      </c>
      <c r="D28" s="41">
        <f t="shared" si="13"/>
        <v>6524.2474916387964</v>
      </c>
      <c r="E28" s="41">
        <f t="shared" si="13"/>
        <v>6719.9749163879605</v>
      </c>
      <c r="F28" s="41">
        <f t="shared" si="13"/>
        <v>6921.5741638795998</v>
      </c>
      <c r="G28" s="41">
        <f t="shared" si="13"/>
        <v>7129.2213887959897</v>
      </c>
      <c r="H28" s="41">
        <f t="shared" si="13"/>
        <v>7343.0980304598697</v>
      </c>
      <c r="I28" s="41">
        <f t="shared" si="13"/>
        <v>7563.3909713736666</v>
      </c>
    </row>
    <row r="29" spans="1:10" x14ac:dyDescent="0.25">
      <c r="A29" s="3" t="s">
        <v>37</v>
      </c>
      <c r="B29" s="51">
        <f>+B22*B24</f>
        <v>142976.58862876255</v>
      </c>
      <c r="C29" s="51">
        <f t="shared" ref="C29:I29" si="14">+C22*C24</f>
        <v>145836.12040133777</v>
      </c>
      <c r="D29" s="51">
        <f t="shared" si="14"/>
        <v>148752.84280936455</v>
      </c>
      <c r="E29" s="51">
        <f t="shared" si="14"/>
        <v>153215.42809364549</v>
      </c>
      <c r="F29" s="51">
        <f t="shared" si="14"/>
        <v>157811.89093645485</v>
      </c>
      <c r="G29" s="51">
        <f t="shared" si="14"/>
        <v>162546.24766454854</v>
      </c>
      <c r="H29" s="51">
        <f t="shared" si="14"/>
        <v>167422.63509448501</v>
      </c>
      <c r="I29" s="51">
        <f t="shared" si="14"/>
        <v>172445.31414731959</v>
      </c>
      <c r="J29" s="150"/>
    </row>
    <row r="30" spans="1:10" x14ac:dyDescent="0.25">
      <c r="A30" s="3" t="s">
        <v>3</v>
      </c>
      <c r="B30" s="51">
        <f>+'frais transport'!B16</f>
        <v>0</v>
      </c>
      <c r="C30" s="51">
        <f>+'frais transport'!C16</f>
        <v>0</v>
      </c>
      <c r="D30" s="51">
        <f>+'frais transport'!D16</f>
        <v>0</v>
      </c>
      <c r="E30" s="51">
        <f>+'frais transport'!E16</f>
        <v>0</v>
      </c>
      <c r="F30" s="51">
        <f>+'frais transport'!F16</f>
        <v>0</v>
      </c>
      <c r="G30" s="51">
        <f>+'frais transport'!G16</f>
        <v>0</v>
      </c>
      <c r="H30" s="51">
        <f>+'frais transport'!H16</f>
        <v>0</v>
      </c>
      <c r="I30" s="51">
        <f>+'frais transport'!I16</f>
        <v>0</v>
      </c>
    </row>
    <row r="31" spans="1:10" x14ac:dyDescent="0.25">
      <c r="A31" s="3" t="s">
        <v>39</v>
      </c>
      <c r="B31" s="51">
        <f>+((B24-B27)*B22)-B30+B26</f>
        <v>142098.66220735785</v>
      </c>
      <c r="C31" s="51">
        <f t="shared" ref="C31:I31" si="15">+((C24-C27)*C22)-C30+C26</f>
        <v>144940.63545150499</v>
      </c>
      <c r="D31" s="51">
        <f t="shared" si="15"/>
        <v>147839.4481605351</v>
      </c>
      <c r="E31" s="51">
        <f t="shared" si="15"/>
        <v>152274.63160535117</v>
      </c>
      <c r="F31" s="51">
        <f t="shared" si="15"/>
        <v>156842.87055351172</v>
      </c>
      <c r="G31" s="51">
        <f t="shared" si="15"/>
        <v>161548.15667011711</v>
      </c>
      <c r="H31" s="51">
        <f t="shared" si="15"/>
        <v>166394.6013702206</v>
      </c>
      <c r="I31" s="51">
        <f t="shared" si="15"/>
        <v>171386.43941132727</v>
      </c>
    </row>
    <row r="32" spans="1:10" x14ac:dyDescent="0.25">
      <c r="A32" s="3" t="s">
        <v>41</v>
      </c>
      <c r="B32" s="172">
        <f>+B31/B22</f>
        <v>0.56649999999999989</v>
      </c>
      <c r="C32" s="172">
        <f t="shared" ref="C32:I32" si="16">+C31/C22</f>
        <v>0.56649999999999989</v>
      </c>
      <c r="D32" s="172">
        <f t="shared" si="16"/>
        <v>0.56649999999999989</v>
      </c>
      <c r="E32" s="172">
        <f t="shared" si="16"/>
        <v>0.56649999999999989</v>
      </c>
      <c r="F32" s="172">
        <f t="shared" si="16"/>
        <v>0.5665</v>
      </c>
      <c r="G32" s="172">
        <f t="shared" si="16"/>
        <v>0.5665</v>
      </c>
      <c r="H32" s="172">
        <f t="shared" si="16"/>
        <v>0.56649999999999989</v>
      </c>
      <c r="I32" s="172">
        <f t="shared" si="16"/>
        <v>0.5665</v>
      </c>
    </row>
    <row r="33" spans="1:9" x14ac:dyDescent="0.25">
      <c r="C33" s="1"/>
    </row>
    <row r="34" spans="1:9" x14ac:dyDescent="0.25">
      <c r="C34" s="1"/>
    </row>
    <row r="35" spans="1:9" x14ac:dyDescent="0.25">
      <c r="C35" s="38"/>
      <c r="D35" s="38"/>
      <c r="E35" s="38"/>
      <c r="F35" s="38"/>
      <c r="G35" s="38"/>
      <c r="H35" s="38"/>
      <c r="I35" s="38"/>
    </row>
    <row r="36" spans="1:9" x14ac:dyDescent="0.25">
      <c r="C36" s="38"/>
      <c r="D36" s="38"/>
      <c r="E36" s="38"/>
      <c r="F36" s="38"/>
      <c r="G36" s="38"/>
      <c r="H36" s="38"/>
      <c r="I36" s="38"/>
    </row>
    <row r="37" spans="1:9" x14ac:dyDescent="0.25">
      <c r="C37" s="1"/>
    </row>
    <row r="38" spans="1:9" x14ac:dyDescent="0.25">
      <c r="C38" s="1"/>
    </row>
    <row r="39" spans="1:9" x14ac:dyDescent="0.25">
      <c r="A39" s="72"/>
      <c r="C39" s="1"/>
    </row>
    <row r="40" spans="1:9" x14ac:dyDescent="0.25">
      <c r="C40" s="1"/>
    </row>
    <row r="41" spans="1:9" x14ac:dyDescent="0.25">
      <c r="C41" s="1"/>
    </row>
    <row r="42" spans="1:9" x14ac:dyDescent="0.25">
      <c r="C42" s="1"/>
    </row>
    <row r="43" spans="1:9" x14ac:dyDescent="0.25">
      <c r="C43" s="1"/>
    </row>
    <row r="44" spans="1:9" x14ac:dyDescent="0.25">
      <c r="C44" s="1"/>
    </row>
    <row r="45" spans="1:9" x14ac:dyDescent="0.25">
      <c r="C45" s="1"/>
    </row>
    <row r="46" spans="1:9" x14ac:dyDescent="0.25">
      <c r="C46" s="1"/>
    </row>
    <row r="47" spans="1:9" x14ac:dyDescent="0.25">
      <c r="C47" s="1"/>
    </row>
    <row r="48" spans="1:9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hidden="1" x14ac:dyDescent="0.25">
      <c r="C91" s="1"/>
    </row>
    <row r="92" spans="3:3" hidden="1" x14ac:dyDescent="0.25">
      <c r="C92" s="1"/>
    </row>
    <row r="93" spans="3:3" hidden="1" x14ac:dyDescent="0.25">
      <c r="C93" s="1"/>
    </row>
    <row r="94" spans="3:3" hidden="1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</sheetData>
  <sheetProtection selectLockedCells="1"/>
  <phoneticPr fontId="7" type="noConversion"/>
  <pageMargins left="0.78740157499999996" right="0.78740157499999996" top="0.984251969" bottom="0.984251969" header="0.4921259845" footer="0.22"/>
  <pageSetup paperSize="9" orientation="landscape" r:id="rId1"/>
  <headerFooter alignWithMargins="0">
    <oddHeader xml:space="preserve">&amp;L&amp;"Lucida Calligraphy,Gras italique"RESERVE NATURELLE&amp;R&amp;"Arial,Gras"&amp;18PREVISION </oddHeader>
    <oddFooter>&amp;L&amp;8Document non contractuel
Charges personnelles de l'exploitant non inclus
Les chiffres et les informations ci-dessus sont données à titre indicatifs et restent à être validés par un Expert Comptable
&amp;R&amp;P/&amp;N
&amp;"Arial,Gras"&amp;12&amp;A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38"/>
  <sheetViews>
    <sheetView topLeftCell="A19" workbookViewId="0">
      <selection sqref="A1:XFD1048576"/>
    </sheetView>
  </sheetViews>
  <sheetFormatPr baseColWidth="10" defaultColWidth="11.44140625" defaultRowHeight="13.2" x14ac:dyDescent="0.25"/>
  <cols>
    <col min="1" max="1" width="21.5546875" style="1" bestFit="1" customWidth="1"/>
    <col min="2" max="2" width="13" style="38" bestFit="1" customWidth="1"/>
    <col min="3" max="3" width="9.44140625" style="2" bestFit="1" customWidth="1"/>
    <col min="4" max="9" width="9.44140625" style="1" bestFit="1" customWidth="1"/>
    <col min="10" max="16384" width="11.44140625" style="1"/>
  </cols>
  <sheetData>
    <row r="1" spans="1:9" x14ac:dyDescent="0.25">
      <c r="A1" s="8" t="str">
        <f>+'ca et marge'!A1</f>
        <v>ANGERS</v>
      </c>
      <c r="C1" s="1"/>
    </row>
    <row r="2" spans="1:9" x14ac:dyDescent="0.25">
      <c r="C2" s="1"/>
    </row>
    <row r="3" spans="1:9" x14ac:dyDescent="0.25">
      <c r="C3" s="1"/>
    </row>
    <row r="4" spans="1:9" x14ac:dyDescent="0.25">
      <c r="A4" s="3" t="s">
        <v>8</v>
      </c>
      <c r="B4" s="64" t="s">
        <v>84</v>
      </c>
      <c r="C4" s="64" t="s">
        <v>85</v>
      </c>
      <c r="D4" s="64" t="s">
        <v>86</v>
      </c>
      <c r="E4" s="64" t="s">
        <v>87</v>
      </c>
      <c r="F4" s="64" t="s">
        <v>88</v>
      </c>
      <c r="G4" s="64" t="s">
        <v>89</v>
      </c>
      <c r="H4" s="64" t="s">
        <v>90</v>
      </c>
      <c r="I4" s="64" t="s">
        <v>91</v>
      </c>
    </row>
    <row r="5" spans="1:9" x14ac:dyDescent="0.25">
      <c r="A5" s="4" t="s">
        <v>96</v>
      </c>
      <c r="B5" s="73">
        <f>+SAISIE!D28</f>
        <v>12</v>
      </c>
      <c r="C5" s="64"/>
      <c r="D5" s="64"/>
      <c r="E5" s="64"/>
      <c r="F5" s="64"/>
      <c r="G5" s="64"/>
      <c r="H5" s="64"/>
      <c r="I5" s="64"/>
    </row>
    <row r="6" spans="1:9" x14ac:dyDescent="0.25">
      <c r="A6" s="4" t="s">
        <v>97</v>
      </c>
      <c r="B6" s="67">
        <f>+SAISIE!D29</f>
        <v>1</v>
      </c>
      <c r="C6" s="67">
        <f>+SAISIE!E29</f>
        <v>1</v>
      </c>
      <c r="D6" s="67">
        <f>+SAISIE!F29</f>
        <v>1</v>
      </c>
      <c r="E6" s="67">
        <f>+SAISIE!G29</f>
        <v>1</v>
      </c>
      <c r="F6" s="67">
        <f>+SAISIE!H29</f>
        <v>1</v>
      </c>
      <c r="G6" s="67">
        <f>+SAISIE!I29</f>
        <v>1</v>
      </c>
      <c r="H6" s="67">
        <f>+SAISIE!J29</f>
        <v>1</v>
      </c>
      <c r="I6" s="67">
        <f>+SAISIE!K29</f>
        <v>1</v>
      </c>
    </row>
    <row r="7" spans="1:9" x14ac:dyDescent="0.25">
      <c r="A7" s="4" t="s">
        <v>98</v>
      </c>
      <c r="B7" s="67">
        <f>+SAISIE!D30</f>
        <v>1</v>
      </c>
      <c r="C7" s="67">
        <f>+SAISIE!E30</f>
        <v>1</v>
      </c>
      <c r="D7" s="67">
        <f>+SAISIE!F30</f>
        <v>1</v>
      </c>
      <c r="E7" s="67">
        <f>+SAISIE!G30</f>
        <v>1</v>
      </c>
      <c r="F7" s="67">
        <f>+SAISIE!H30</f>
        <v>1</v>
      </c>
      <c r="G7" s="67">
        <f>+SAISIE!I30</f>
        <v>1</v>
      </c>
      <c r="H7" s="67">
        <f>+SAISIE!J30</f>
        <v>1</v>
      </c>
      <c r="I7" s="67">
        <f>+SAISIE!K30</f>
        <v>1</v>
      </c>
    </row>
    <row r="8" spans="1:9" x14ac:dyDescent="0.25">
      <c r="A8" s="4" t="s">
        <v>99</v>
      </c>
      <c r="B8" s="67">
        <f>+SAISIE!D31</f>
        <v>10.878881782817961</v>
      </c>
      <c r="C8" s="4"/>
      <c r="D8" s="4"/>
      <c r="E8" s="4"/>
      <c r="F8" s="4"/>
      <c r="G8" s="4"/>
      <c r="H8" s="4"/>
      <c r="I8" s="4"/>
    </row>
    <row r="9" spans="1:9" x14ac:dyDescent="0.25">
      <c r="A9" s="4" t="s">
        <v>100</v>
      </c>
      <c r="B9" s="67">
        <f>+SAISIE!D32</f>
        <v>9.4</v>
      </c>
      <c r="C9" s="4"/>
      <c r="D9" s="4"/>
      <c r="E9" s="4"/>
      <c r="F9" s="4"/>
      <c r="G9" s="4"/>
      <c r="H9" s="4"/>
      <c r="I9" s="4"/>
    </row>
    <row r="10" spans="1:9" x14ac:dyDescent="0.25">
      <c r="A10" s="4" t="s">
        <v>105</v>
      </c>
      <c r="B10" s="74">
        <f>+SAISIE!D33</f>
        <v>0.34</v>
      </c>
      <c r="C10" s="4"/>
      <c r="D10" s="4"/>
      <c r="E10" s="4"/>
      <c r="F10" s="4"/>
      <c r="G10" s="4"/>
      <c r="H10" s="4"/>
      <c r="I10" s="4"/>
    </row>
    <row r="11" spans="1:9" x14ac:dyDescent="0.25">
      <c r="A11" s="4" t="s">
        <v>106</v>
      </c>
      <c r="B11" s="74">
        <f>+SAISIE!D34</f>
        <v>0.34</v>
      </c>
      <c r="C11" s="4"/>
      <c r="D11" s="4"/>
      <c r="E11" s="4"/>
      <c r="F11" s="4"/>
      <c r="G11" s="4"/>
      <c r="H11" s="4"/>
      <c r="I11" s="4"/>
    </row>
    <row r="12" spans="1:9" x14ac:dyDescent="0.25">
      <c r="A12" s="4" t="s">
        <v>95</v>
      </c>
      <c r="B12" s="74">
        <f>+SAISIE!D35</f>
        <v>0.03</v>
      </c>
      <c r="C12" s="74">
        <f>+SAISIE!E35</f>
        <v>0.03</v>
      </c>
      <c r="D12" s="74">
        <f>+SAISIE!F35</f>
        <v>0.03</v>
      </c>
      <c r="E12" s="74">
        <f>+SAISIE!G35</f>
        <v>0.03</v>
      </c>
      <c r="F12" s="74">
        <f>+SAISIE!H35</f>
        <v>0.03</v>
      </c>
      <c r="G12" s="74">
        <f>+SAISIE!I35</f>
        <v>0.03</v>
      </c>
      <c r="H12" s="74">
        <f>+SAISIE!J35</f>
        <v>0.03</v>
      </c>
      <c r="I12" s="74">
        <f>+SAISIE!K35</f>
        <v>0.03</v>
      </c>
    </row>
    <row r="13" spans="1:9" x14ac:dyDescent="0.25">
      <c r="A13" s="4" t="s">
        <v>7</v>
      </c>
      <c r="B13" s="67">
        <f>+SAISIE!D36</f>
        <v>151.66999999999999</v>
      </c>
      <c r="C13" s="4"/>
      <c r="D13" s="4"/>
      <c r="E13" s="4"/>
      <c r="F13" s="4"/>
      <c r="G13" s="4"/>
      <c r="H13" s="4"/>
      <c r="I13" s="4"/>
    </row>
    <row r="14" spans="1:9" x14ac:dyDescent="0.25">
      <c r="C14" s="1"/>
    </row>
    <row r="15" spans="1:9" x14ac:dyDescent="0.25">
      <c r="A15" s="4"/>
      <c r="B15" s="39">
        <f>+'ca et marge'!B14</f>
        <v>2013</v>
      </c>
      <c r="C15" s="39">
        <f>+'ca et marge'!C14</f>
        <v>2014</v>
      </c>
      <c r="D15" s="39">
        <f>+'ca et marge'!D14</f>
        <v>2015</v>
      </c>
      <c r="E15" s="39">
        <f>+'ca et marge'!E14</f>
        <v>2016</v>
      </c>
      <c r="F15" s="39">
        <f>+'ca et marge'!F14</f>
        <v>2017</v>
      </c>
      <c r="G15" s="39">
        <f>+'ca et marge'!G14</f>
        <v>2018</v>
      </c>
      <c r="H15" s="39">
        <f>+'ca et marge'!H14</f>
        <v>2019</v>
      </c>
      <c r="I15" s="39">
        <f>+'ca et marge'!I14</f>
        <v>2020</v>
      </c>
    </row>
    <row r="16" spans="1:9" s="34" customFormat="1" x14ac:dyDescent="0.25">
      <c r="A16" s="35"/>
      <c r="B16" s="75"/>
      <c r="C16" s="76"/>
      <c r="D16" s="76"/>
      <c r="E16" s="76"/>
      <c r="F16" s="76"/>
      <c r="G16" s="76"/>
      <c r="H16" s="76"/>
      <c r="I16" s="76"/>
    </row>
    <row r="17" spans="1:9" x14ac:dyDescent="0.25">
      <c r="A17" s="77" t="s">
        <v>101</v>
      </c>
      <c r="B17" s="53">
        <f>+B8</f>
        <v>10.878881782817961</v>
      </c>
      <c r="C17" s="78">
        <f>+B17*(1+C18)</f>
        <v>11.2052482363025</v>
      </c>
      <c r="D17" s="78">
        <f t="shared" ref="D17:I17" si="0">+C17*(1+D18)</f>
        <v>11.541405683391575</v>
      </c>
      <c r="E17" s="78">
        <f t="shared" si="0"/>
        <v>11.887647853893323</v>
      </c>
      <c r="F17" s="78">
        <f t="shared" si="0"/>
        <v>12.244277289510123</v>
      </c>
      <c r="G17" s="78">
        <f t="shared" si="0"/>
        <v>12.611605608195427</v>
      </c>
      <c r="H17" s="78">
        <f t="shared" si="0"/>
        <v>12.98995377644129</v>
      </c>
      <c r="I17" s="78">
        <f t="shared" si="0"/>
        <v>13.379652389734529</v>
      </c>
    </row>
    <row r="18" spans="1:9" s="9" customFormat="1" x14ac:dyDescent="0.25">
      <c r="A18" s="47" t="s">
        <v>9</v>
      </c>
      <c r="B18" s="79"/>
      <c r="C18" s="80">
        <f>+B12</f>
        <v>0.03</v>
      </c>
      <c r="D18" s="80">
        <f t="shared" ref="D18:I18" si="1">+C12</f>
        <v>0.03</v>
      </c>
      <c r="E18" s="80">
        <f t="shared" si="1"/>
        <v>0.03</v>
      </c>
      <c r="F18" s="80">
        <f t="shared" si="1"/>
        <v>0.03</v>
      </c>
      <c r="G18" s="80">
        <f t="shared" si="1"/>
        <v>0.03</v>
      </c>
      <c r="H18" s="80">
        <f t="shared" si="1"/>
        <v>0.03</v>
      </c>
      <c r="I18" s="80">
        <f t="shared" si="1"/>
        <v>0.03</v>
      </c>
    </row>
    <row r="19" spans="1:9" s="42" customFormat="1" x14ac:dyDescent="0.25">
      <c r="A19" s="40" t="s">
        <v>10</v>
      </c>
      <c r="B19" s="41">
        <f t="shared" ref="B19:I19" si="2">+B17*hmois</f>
        <v>1650</v>
      </c>
      <c r="C19" s="41">
        <f t="shared" si="2"/>
        <v>1699.5</v>
      </c>
      <c r="D19" s="41">
        <f t="shared" si="2"/>
        <v>1750.4850000000001</v>
      </c>
      <c r="E19" s="41">
        <f t="shared" si="2"/>
        <v>1802.9995500000002</v>
      </c>
      <c r="F19" s="41">
        <f t="shared" si="2"/>
        <v>1857.0895365000001</v>
      </c>
      <c r="G19" s="41">
        <f t="shared" si="2"/>
        <v>1912.8022225950003</v>
      </c>
      <c r="H19" s="41">
        <f t="shared" si="2"/>
        <v>1970.1862892728502</v>
      </c>
      <c r="I19" s="41">
        <f t="shared" si="2"/>
        <v>2029.291877951036</v>
      </c>
    </row>
    <row r="20" spans="1:9" x14ac:dyDescent="0.25">
      <c r="A20" s="47" t="s">
        <v>11</v>
      </c>
      <c r="B20" s="41">
        <f>+B5</f>
        <v>12</v>
      </c>
      <c r="C20" s="4">
        <v>12</v>
      </c>
      <c r="D20" s="4">
        <f t="shared" ref="D20:I20" si="3">+C20</f>
        <v>12</v>
      </c>
      <c r="E20" s="4">
        <f t="shared" si="3"/>
        <v>12</v>
      </c>
      <c r="F20" s="4">
        <f t="shared" si="3"/>
        <v>12</v>
      </c>
      <c r="G20" s="4">
        <f t="shared" si="3"/>
        <v>12</v>
      </c>
      <c r="H20" s="4">
        <f t="shared" si="3"/>
        <v>12</v>
      </c>
      <c r="I20" s="4">
        <f t="shared" si="3"/>
        <v>12</v>
      </c>
    </row>
    <row r="21" spans="1:9" s="42" customFormat="1" x14ac:dyDescent="0.25">
      <c r="A21" s="40" t="s">
        <v>12</v>
      </c>
      <c r="B21" s="41">
        <f>+B19*B20</f>
        <v>19800</v>
      </c>
      <c r="C21" s="41">
        <f t="shared" ref="C21:I21" si="4">+C19*C20</f>
        <v>20394</v>
      </c>
      <c r="D21" s="41">
        <f t="shared" si="4"/>
        <v>21005.82</v>
      </c>
      <c r="E21" s="41">
        <f t="shared" si="4"/>
        <v>21635.994600000002</v>
      </c>
      <c r="F21" s="41">
        <f t="shared" si="4"/>
        <v>22285.074438000003</v>
      </c>
      <c r="G21" s="41">
        <f t="shared" si="4"/>
        <v>22953.626671140002</v>
      </c>
      <c r="H21" s="41">
        <f t="shared" si="4"/>
        <v>23642.235471274202</v>
      </c>
      <c r="I21" s="41">
        <f t="shared" si="4"/>
        <v>24351.50253541243</v>
      </c>
    </row>
    <row r="22" spans="1:9" s="42" customFormat="1" x14ac:dyDescent="0.25">
      <c r="A22" s="40" t="s">
        <v>104</v>
      </c>
      <c r="B22" s="81">
        <f>+B6</f>
        <v>1</v>
      </c>
      <c r="C22" s="81">
        <f t="shared" ref="C22:I22" si="5">+C6</f>
        <v>1</v>
      </c>
      <c r="D22" s="81">
        <f t="shared" si="5"/>
        <v>1</v>
      </c>
      <c r="E22" s="81">
        <f t="shared" si="5"/>
        <v>1</v>
      </c>
      <c r="F22" s="81">
        <f t="shared" si="5"/>
        <v>1</v>
      </c>
      <c r="G22" s="81">
        <f t="shared" si="5"/>
        <v>1</v>
      </c>
      <c r="H22" s="81">
        <f t="shared" si="5"/>
        <v>1</v>
      </c>
      <c r="I22" s="81">
        <f t="shared" si="5"/>
        <v>1</v>
      </c>
    </row>
    <row r="23" spans="1:9" s="42" customFormat="1" x14ac:dyDescent="0.25">
      <c r="A23" s="40" t="s">
        <v>103</v>
      </c>
      <c r="B23" s="41">
        <f>+B21*B22</f>
        <v>19800</v>
      </c>
      <c r="C23" s="41">
        <f t="shared" ref="C23:I23" si="6">+C21*C22</f>
        <v>20394</v>
      </c>
      <c r="D23" s="41">
        <f t="shared" si="6"/>
        <v>21005.82</v>
      </c>
      <c r="E23" s="41">
        <f t="shared" si="6"/>
        <v>21635.994600000002</v>
      </c>
      <c r="F23" s="41">
        <f t="shared" si="6"/>
        <v>22285.074438000003</v>
      </c>
      <c r="G23" s="41">
        <f t="shared" si="6"/>
        <v>22953.626671140002</v>
      </c>
      <c r="H23" s="41">
        <f t="shared" si="6"/>
        <v>23642.235471274202</v>
      </c>
      <c r="I23" s="41">
        <f t="shared" si="6"/>
        <v>24351.50253541243</v>
      </c>
    </row>
    <row r="24" spans="1:9" s="42" customFormat="1" x14ac:dyDescent="0.25">
      <c r="A24" s="40" t="s">
        <v>109</v>
      </c>
      <c r="B24" s="41">
        <f t="shared" ref="B24:I24" si="7">+B23*Taux_de_charge_niv_1</f>
        <v>6732.0000000000009</v>
      </c>
      <c r="C24" s="41">
        <f t="shared" si="7"/>
        <v>6933.9600000000009</v>
      </c>
      <c r="D24" s="41">
        <f t="shared" si="7"/>
        <v>7141.9788000000008</v>
      </c>
      <c r="E24" s="41">
        <f t="shared" si="7"/>
        <v>7356.2381640000012</v>
      </c>
      <c r="F24" s="41">
        <f t="shared" si="7"/>
        <v>7576.925308920002</v>
      </c>
      <c r="G24" s="41">
        <f t="shared" si="7"/>
        <v>7804.233068187601</v>
      </c>
      <c r="H24" s="41">
        <f t="shared" si="7"/>
        <v>8038.360060233229</v>
      </c>
      <c r="I24" s="41">
        <f t="shared" si="7"/>
        <v>8279.5108620402261</v>
      </c>
    </row>
    <row r="25" spans="1:9" s="42" customFormat="1" x14ac:dyDescent="0.25">
      <c r="A25" s="82" t="s">
        <v>110</v>
      </c>
      <c r="B25" s="48">
        <f>+B23+B24</f>
        <v>26532</v>
      </c>
      <c r="C25" s="48">
        <f t="shared" ref="C25:I25" si="8">+C23+C24</f>
        <v>27327.96</v>
      </c>
      <c r="D25" s="48">
        <f t="shared" si="8"/>
        <v>28147.7988</v>
      </c>
      <c r="E25" s="48">
        <f t="shared" si="8"/>
        <v>28992.232764000004</v>
      </c>
      <c r="F25" s="48">
        <f t="shared" si="8"/>
        <v>29861.999746920006</v>
      </c>
      <c r="G25" s="48">
        <f t="shared" si="8"/>
        <v>30757.859739327603</v>
      </c>
      <c r="H25" s="48">
        <f t="shared" si="8"/>
        <v>31680.595531507432</v>
      </c>
      <c r="I25" s="48">
        <f t="shared" si="8"/>
        <v>32631.013397452654</v>
      </c>
    </row>
    <row r="26" spans="1:9" s="42" customFormat="1" x14ac:dyDescent="0.25">
      <c r="A26" s="40"/>
      <c r="B26" s="41"/>
      <c r="C26" s="41"/>
      <c r="D26" s="41"/>
      <c r="E26" s="41"/>
      <c r="F26" s="41"/>
      <c r="G26" s="41"/>
      <c r="H26" s="41"/>
      <c r="I26" s="41"/>
    </row>
    <row r="27" spans="1:9" s="42" customFormat="1" x14ac:dyDescent="0.25">
      <c r="A27" s="50" t="s">
        <v>102</v>
      </c>
      <c r="B27" s="83">
        <f>+B9</f>
        <v>9.4</v>
      </c>
      <c r="C27" s="84">
        <f>+B27*(1+C28)</f>
        <v>9.6820000000000004</v>
      </c>
      <c r="D27" s="84">
        <f t="shared" ref="D27:I27" si="9">+C27*(1+D28)</f>
        <v>9.9724599999999999</v>
      </c>
      <c r="E27" s="84">
        <f t="shared" si="9"/>
        <v>10.2716338</v>
      </c>
      <c r="F27" s="84">
        <f t="shared" si="9"/>
        <v>10.579782814</v>
      </c>
      <c r="G27" s="84">
        <f t="shared" si="9"/>
        <v>10.89717629842</v>
      </c>
      <c r="H27" s="84">
        <f t="shared" si="9"/>
        <v>11.2240915873726</v>
      </c>
      <c r="I27" s="84">
        <f t="shared" si="9"/>
        <v>11.560814334993779</v>
      </c>
    </row>
    <row r="28" spans="1:9" s="42" customFormat="1" x14ac:dyDescent="0.25">
      <c r="A28" s="47" t="s">
        <v>9</v>
      </c>
      <c r="B28" s="41"/>
      <c r="C28" s="80">
        <f>+C18</f>
        <v>0.03</v>
      </c>
      <c r="D28" s="80">
        <f t="shared" ref="D28:I28" si="10">+D18</f>
        <v>0.03</v>
      </c>
      <c r="E28" s="80">
        <f t="shared" si="10"/>
        <v>0.03</v>
      </c>
      <c r="F28" s="80">
        <f t="shared" si="10"/>
        <v>0.03</v>
      </c>
      <c r="G28" s="80">
        <f t="shared" si="10"/>
        <v>0.03</v>
      </c>
      <c r="H28" s="80">
        <f t="shared" si="10"/>
        <v>0.03</v>
      </c>
      <c r="I28" s="80">
        <f t="shared" si="10"/>
        <v>0.03</v>
      </c>
    </row>
    <row r="29" spans="1:9" s="42" customFormat="1" x14ac:dyDescent="0.25">
      <c r="A29" s="40" t="s">
        <v>10</v>
      </c>
      <c r="B29" s="41">
        <f t="shared" ref="B29:I29" si="11">+B27*hmois</f>
        <v>1425.6979999999999</v>
      </c>
      <c r="C29" s="41">
        <f t="shared" si="11"/>
        <v>1468.46894</v>
      </c>
      <c r="D29" s="41">
        <f t="shared" si="11"/>
        <v>1512.5230081999998</v>
      </c>
      <c r="E29" s="41">
        <f t="shared" si="11"/>
        <v>1557.8986984459998</v>
      </c>
      <c r="F29" s="41">
        <f t="shared" si="11"/>
        <v>1604.6356593993798</v>
      </c>
      <c r="G29" s="41">
        <f t="shared" si="11"/>
        <v>1652.7747291813612</v>
      </c>
      <c r="H29" s="41">
        <f t="shared" si="11"/>
        <v>1702.3579710568022</v>
      </c>
      <c r="I29" s="41">
        <f t="shared" si="11"/>
        <v>1753.4287101885063</v>
      </c>
    </row>
    <row r="30" spans="1:9" s="42" customFormat="1" x14ac:dyDescent="0.25">
      <c r="A30" s="47" t="s">
        <v>11</v>
      </c>
      <c r="B30" s="41">
        <f>+B20</f>
        <v>12</v>
      </c>
      <c r="C30" s="41">
        <f t="shared" ref="C30:I30" si="12">+C20</f>
        <v>12</v>
      </c>
      <c r="D30" s="41">
        <f t="shared" si="12"/>
        <v>12</v>
      </c>
      <c r="E30" s="41">
        <f t="shared" si="12"/>
        <v>12</v>
      </c>
      <c r="F30" s="41">
        <f t="shared" si="12"/>
        <v>12</v>
      </c>
      <c r="G30" s="41">
        <f t="shared" si="12"/>
        <v>12</v>
      </c>
      <c r="H30" s="41">
        <f t="shared" si="12"/>
        <v>12</v>
      </c>
      <c r="I30" s="41">
        <f t="shared" si="12"/>
        <v>12</v>
      </c>
    </row>
    <row r="31" spans="1:9" s="42" customFormat="1" x14ac:dyDescent="0.25">
      <c r="A31" s="40" t="s">
        <v>12</v>
      </c>
      <c r="B31" s="41">
        <f t="shared" ref="B31:I31" si="13">+B29*B30</f>
        <v>17108.375999999997</v>
      </c>
      <c r="C31" s="41">
        <f t="shared" si="13"/>
        <v>17621.627280000001</v>
      </c>
      <c r="D31" s="41">
        <f t="shared" si="13"/>
        <v>18150.276098399998</v>
      </c>
      <c r="E31" s="41">
        <f t="shared" si="13"/>
        <v>18694.784381351998</v>
      </c>
      <c r="F31" s="41">
        <f t="shared" si="13"/>
        <v>19255.627912792559</v>
      </c>
      <c r="G31" s="41">
        <f t="shared" si="13"/>
        <v>19833.296750176334</v>
      </c>
      <c r="H31" s="41">
        <f t="shared" si="13"/>
        <v>20428.295652681627</v>
      </c>
      <c r="I31" s="41">
        <f t="shared" si="13"/>
        <v>21041.144522262075</v>
      </c>
    </row>
    <row r="32" spans="1:9" s="42" customFormat="1" x14ac:dyDescent="0.25">
      <c r="A32" s="40" t="s">
        <v>107</v>
      </c>
      <c r="B32" s="81">
        <f>+B7</f>
        <v>1</v>
      </c>
      <c r="C32" s="81">
        <f t="shared" ref="C32:I32" si="14">+C7</f>
        <v>1</v>
      </c>
      <c r="D32" s="81">
        <f t="shared" si="14"/>
        <v>1</v>
      </c>
      <c r="E32" s="81">
        <f t="shared" si="14"/>
        <v>1</v>
      </c>
      <c r="F32" s="81">
        <f t="shared" si="14"/>
        <v>1</v>
      </c>
      <c r="G32" s="81">
        <f t="shared" si="14"/>
        <v>1</v>
      </c>
      <c r="H32" s="81">
        <f t="shared" si="14"/>
        <v>1</v>
      </c>
      <c r="I32" s="81">
        <f t="shared" si="14"/>
        <v>1</v>
      </c>
    </row>
    <row r="33" spans="1:9" s="42" customFormat="1" x14ac:dyDescent="0.25">
      <c r="A33" s="40" t="s">
        <v>108</v>
      </c>
      <c r="B33" s="41">
        <f t="shared" ref="B33:I33" si="15">+B31*B32</f>
        <v>17108.375999999997</v>
      </c>
      <c r="C33" s="41">
        <f t="shared" si="15"/>
        <v>17621.627280000001</v>
      </c>
      <c r="D33" s="41">
        <f t="shared" si="15"/>
        <v>18150.276098399998</v>
      </c>
      <c r="E33" s="41">
        <f t="shared" si="15"/>
        <v>18694.784381351998</v>
      </c>
      <c r="F33" s="41">
        <f t="shared" si="15"/>
        <v>19255.627912792559</v>
      </c>
      <c r="G33" s="41">
        <f t="shared" si="15"/>
        <v>19833.296750176334</v>
      </c>
      <c r="H33" s="41">
        <f t="shared" si="15"/>
        <v>20428.295652681627</v>
      </c>
      <c r="I33" s="41">
        <f t="shared" si="15"/>
        <v>21041.144522262075</v>
      </c>
    </row>
    <row r="34" spans="1:9" s="42" customFormat="1" x14ac:dyDescent="0.25">
      <c r="A34" s="40" t="s">
        <v>111</v>
      </c>
      <c r="B34" s="41">
        <f t="shared" ref="B34:I34" si="16">+B33*Taux_de_charge_niv_2</f>
        <v>5816.8478399999995</v>
      </c>
      <c r="C34" s="41">
        <f t="shared" si="16"/>
        <v>5991.353275200001</v>
      </c>
      <c r="D34" s="41">
        <f t="shared" si="16"/>
        <v>6171.0938734559995</v>
      </c>
      <c r="E34" s="41">
        <f t="shared" si="16"/>
        <v>6356.2266896596793</v>
      </c>
      <c r="F34" s="41">
        <f t="shared" si="16"/>
        <v>6546.9134903494705</v>
      </c>
      <c r="G34" s="41">
        <f t="shared" si="16"/>
        <v>6743.3208950599537</v>
      </c>
      <c r="H34" s="41">
        <f t="shared" si="16"/>
        <v>6945.6205219117537</v>
      </c>
      <c r="I34" s="41">
        <f t="shared" si="16"/>
        <v>7153.9891375691059</v>
      </c>
    </row>
    <row r="35" spans="1:9" s="42" customFormat="1" x14ac:dyDescent="0.25">
      <c r="A35" s="82" t="s">
        <v>112</v>
      </c>
      <c r="B35" s="48">
        <f>+B33+B34</f>
        <v>22925.223839999995</v>
      </c>
      <c r="C35" s="48">
        <f t="shared" ref="C35:I35" si="17">+C33+C34</f>
        <v>23612.980555200003</v>
      </c>
      <c r="D35" s="48">
        <f t="shared" si="17"/>
        <v>24321.369971855998</v>
      </c>
      <c r="E35" s="48">
        <f t="shared" si="17"/>
        <v>25051.011071011679</v>
      </c>
      <c r="F35" s="48">
        <f t="shared" si="17"/>
        <v>25802.54140314203</v>
      </c>
      <c r="G35" s="48">
        <f t="shared" si="17"/>
        <v>26576.617645236289</v>
      </c>
      <c r="H35" s="48">
        <f t="shared" si="17"/>
        <v>27373.916174593382</v>
      </c>
      <c r="I35" s="48">
        <f t="shared" si="17"/>
        <v>28195.133659831183</v>
      </c>
    </row>
    <row r="36" spans="1:9" x14ac:dyDescent="0.25">
      <c r="A36" s="4"/>
      <c r="B36" s="53"/>
      <c r="C36" s="4"/>
      <c r="D36" s="4"/>
      <c r="E36" s="4"/>
      <c r="F36" s="4"/>
      <c r="G36" s="4"/>
      <c r="H36" s="4"/>
      <c r="I36" s="4"/>
    </row>
    <row r="37" spans="1:9" s="42" customFormat="1" x14ac:dyDescent="0.25">
      <c r="A37" s="50" t="s">
        <v>14</v>
      </c>
      <c r="B37" s="51">
        <f>+B25+B35</f>
        <v>49457.223839999991</v>
      </c>
      <c r="C37" s="51">
        <f t="shared" ref="C37:I37" si="18">+C25+C35</f>
        <v>50940.940555200003</v>
      </c>
      <c r="D37" s="51">
        <f t="shared" si="18"/>
        <v>52469.168771855999</v>
      </c>
      <c r="E37" s="51">
        <f t="shared" si="18"/>
        <v>54043.243835011686</v>
      </c>
      <c r="F37" s="51">
        <f t="shared" si="18"/>
        <v>55664.541150062039</v>
      </c>
      <c r="G37" s="51">
        <f t="shared" si="18"/>
        <v>57334.477384563892</v>
      </c>
      <c r="H37" s="51">
        <f t="shared" si="18"/>
        <v>59054.511706100813</v>
      </c>
      <c r="I37" s="51">
        <f t="shared" si="18"/>
        <v>60826.147057283837</v>
      </c>
    </row>
    <row r="38" spans="1:9" s="87" customFormat="1" ht="10.199999999999999" x14ac:dyDescent="0.2">
      <c r="A38" s="85" t="s">
        <v>113</v>
      </c>
      <c r="B38" s="86">
        <f>+'ca et marge'!B22</f>
        <v>250836.1204013378</v>
      </c>
      <c r="C38" s="86">
        <f>+'ca et marge'!C22</f>
        <v>255852.84280936455</v>
      </c>
      <c r="D38" s="86">
        <f>+'ca et marge'!D22</f>
        <v>260969.89966555184</v>
      </c>
      <c r="E38" s="86">
        <f>+'ca et marge'!E22</f>
        <v>268798.99665551842</v>
      </c>
      <c r="F38" s="86">
        <f>+'ca et marge'!F22</f>
        <v>276862.96655518399</v>
      </c>
      <c r="G38" s="86">
        <f>+'ca et marge'!G22</f>
        <v>285168.85555183957</v>
      </c>
      <c r="H38" s="86">
        <f>+'ca et marge'!H22</f>
        <v>293723.92121839477</v>
      </c>
      <c r="I38" s="86">
        <f>+'ca et marge'!I22</f>
        <v>302535.63885494665</v>
      </c>
    </row>
    <row r="39" spans="1:9" s="87" customFormat="1" ht="10.199999999999999" x14ac:dyDescent="0.2">
      <c r="A39" s="85" t="s">
        <v>114</v>
      </c>
      <c r="B39" s="88">
        <f t="shared" ref="B39:I39" si="19">+B37/B38</f>
        <v>0.19716946570879995</v>
      </c>
      <c r="C39" s="88">
        <f t="shared" si="19"/>
        <v>0.19910249968633725</v>
      </c>
      <c r="D39" s="88">
        <f t="shared" si="19"/>
        <v>0.20105448497737977</v>
      </c>
      <c r="E39" s="88">
        <f t="shared" si="19"/>
        <v>0.20105448497737979</v>
      </c>
      <c r="F39" s="88">
        <f t="shared" si="19"/>
        <v>0.20105448497737979</v>
      </c>
      <c r="G39" s="88">
        <f t="shared" si="19"/>
        <v>0.20105448497737971</v>
      </c>
      <c r="H39" s="88">
        <f t="shared" si="19"/>
        <v>0.20105448497737971</v>
      </c>
      <c r="I39" s="88">
        <f t="shared" si="19"/>
        <v>0.20105448497737968</v>
      </c>
    </row>
    <row r="40" spans="1:9" x14ac:dyDescent="0.25">
      <c r="C40" s="1"/>
    </row>
    <row r="41" spans="1:9" x14ac:dyDescent="0.25">
      <c r="C41" s="1"/>
    </row>
    <row r="42" spans="1:9" x14ac:dyDescent="0.25">
      <c r="C42" s="1"/>
    </row>
    <row r="43" spans="1:9" x14ac:dyDescent="0.25">
      <c r="C43" s="1"/>
    </row>
    <row r="44" spans="1:9" x14ac:dyDescent="0.25">
      <c r="C44" s="1"/>
    </row>
    <row r="45" spans="1:9" x14ac:dyDescent="0.25">
      <c r="C45" s="1"/>
    </row>
    <row r="46" spans="1:9" x14ac:dyDescent="0.25">
      <c r="C46" s="1"/>
    </row>
    <row r="47" spans="1:9" x14ac:dyDescent="0.25">
      <c r="C47" s="1"/>
    </row>
    <row r="48" spans="1:9" x14ac:dyDescent="0.25">
      <c r="C48" s="1"/>
    </row>
    <row r="49" spans="1:3" x14ac:dyDescent="0.25">
      <c r="C49" s="1"/>
    </row>
    <row r="50" spans="1:3" x14ac:dyDescent="0.25">
      <c r="A50" s="72"/>
      <c r="C50" s="1"/>
    </row>
    <row r="51" spans="1:3" x14ac:dyDescent="0.25">
      <c r="C51" s="1"/>
    </row>
    <row r="52" spans="1:3" x14ac:dyDescent="0.25">
      <c r="C52" s="1"/>
    </row>
    <row r="53" spans="1:3" x14ac:dyDescent="0.25">
      <c r="C53" s="1"/>
    </row>
    <row r="54" spans="1:3" x14ac:dyDescent="0.25">
      <c r="C54" s="1"/>
    </row>
    <row r="55" spans="1:3" x14ac:dyDescent="0.25">
      <c r="C55" s="1"/>
    </row>
    <row r="56" spans="1:3" x14ac:dyDescent="0.25">
      <c r="C56" s="1"/>
    </row>
    <row r="57" spans="1:3" x14ac:dyDescent="0.25">
      <c r="C57" s="1"/>
    </row>
    <row r="58" spans="1:3" x14ac:dyDescent="0.25">
      <c r="C58" s="1"/>
    </row>
    <row r="59" spans="1:3" x14ac:dyDescent="0.25">
      <c r="C59" s="1"/>
    </row>
    <row r="60" spans="1:3" x14ac:dyDescent="0.25">
      <c r="C60" s="1"/>
    </row>
    <row r="61" spans="1:3" x14ac:dyDescent="0.25">
      <c r="C61" s="1"/>
    </row>
    <row r="62" spans="1:3" x14ac:dyDescent="0.25">
      <c r="C62" s="1"/>
    </row>
    <row r="63" spans="1:3" x14ac:dyDescent="0.25">
      <c r="C63" s="1"/>
    </row>
    <row r="64" spans="1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hidden="1" x14ac:dyDescent="0.25">
      <c r="C102" s="1"/>
    </row>
    <row r="103" spans="3:3" hidden="1" x14ac:dyDescent="0.25">
      <c r="C103" s="1"/>
    </row>
    <row r="104" spans="3:3" hidden="1" x14ac:dyDescent="0.25">
      <c r="C104" s="1"/>
    </row>
    <row r="105" spans="3:3" hidden="1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</sheetData>
  <sheetProtection selectLockedCells="1"/>
  <phoneticPr fontId="0" type="noConversion"/>
  <pageMargins left="0.78740157499999996" right="0.78740157499999996" top="0.81" bottom="0.91" header="0.4921259845" footer="0.22"/>
  <pageSetup paperSize="9" scale="96" orientation="landscape" r:id="rId1"/>
  <headerFooter alignWithMargins="0">
    <oddHeader xml:space="preserve">&amp;L&amp;"Lucida Calligraphy,Gras italique"RESERVE NATURELLE&amp;R&amp;"Arial,Gras"&amp;18PREVISION </oddHeader>
    <oddFooter>&amp;L&amp;8Document non contractuel
Charges personnelles de l'exploitant non inclus
Les chiffres et les informations ci-dessus sont données à titre indicatifs et restent à être validés par un Expert Comptable
&amp;R&amp;P/&amp;N
&amp;"Arial,Gras"&amp;12&amp;A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18"/>
  <sheetViews>
    <sheetView workbookViewId="0">
      <selection sqref="A1:XFD1048576"/>
    </sheetView>
  </sheetViews>
  <sheetFormatPr baseColWidth="10" defaultColWidth="11.44140625" defaultRowHeight="13.2" x14ac:dyDescent="0.25"/>
  <cols>
    <col min="1" max="1" width="20.88671875" style="1" customWidth="1"/>
    <col min="2" max="2" width="12.33203125" style="38" customWidth="1"/>
    <col min="3" max="3" width="12.33203125" style="2" customWidth="1"/>
    <col min="4" max="9" width="12.33203125" style="1" customWidth="1"/>
    <col min="10" max="16384" width="11.44140625" style="1"/>
  </cols>
  <sheetData>
    <row r="1" spans="1:9" x14ac:dyDescent="0.25">
      <c r="A1" s="8" t="str">
        <f>+'ca et marge'!A1</f>
        <v>ANGERS</v>
      </c>
      <c r="C1" s="1"/>
    </row>
    <row r="2" spans="1:9" x14ac:dyDescent="0.25">
      <c r="C2" s="1"/>
    </row>
    <row r="3" spans="1:9" x14ac:dyDescent="0.25">
      <c r="C3" s="1"/>
    </row>
    <row r="4" spans="1:9" x14ac:dyDescent="0.25">
      <c r="A4" s="3" t="s">
        <v>15</v>
      </c>
      <c r="C4" s="1"/>
    </row>
    <row r="5" spans="1:9" x14ac:dyDescent="0.25">
      <c r="A5" s="4" t="s">
        <v>17</v>
      </c>
      <c r="B5" s="65">
        <f>+SAISIE!D38</f>
        <v>12</v>
      </c>
      <c r="C5" s="1"/>
    </row>
    <row r="6" spans="1:9" x14ac:dyDescent="0.25">
      <c r="A6" s="4" t="s">
        <v>18</v>
      </c>
      <c r="B6" s="65">
        <f>+SAISIE!D39</f>
        <v>1425</v>
      </c>
      <c r="C6" s="1"/>
    </row>
    <row r="7" spans="1:9" x14ac:dyDescent="0.25">
      <c r="A7" s="4" t="s">
        <v>20</v>
      </c>
      <c r="B7" s="68">
        <f>+SAISIE!D40</f>
        <v>0.02</v>
      </c>
      <c r="C7" s="1"/>
      <c r="F7" s="1" t="s">
        <v>80</v>
      </c>
    </row>
    <row r="8" spans="1:9" x14ac:dyDescent="0.25">
      <c r="A8" s="4" t="s">
        <v>115</v>
      </c>
      <c r="B8" s="65">
        <f>+SAISIE!D41</f>
        <v>141.16666666666666</v>
      </c>
      <c r="C8" s="1"/>
    </row>
    <row r="9" spans="1:9" x14ac:dyDescent="0.25">
      <c r="C9" s="1"/>
    </row>
    <row r="10" spans="1:9" x14ac:dyDescent="0.25">
      <c r="A10" s="4"/>
      <c r="B10" s="39">
        <f>+'ca et marge'!B14</f>
        <v>2013</v>
      </c>
      <c r="C10" s="39">
        <f>+'ca et marge'!C14</f>
        <v>2014</v>
      </c>
      <c r="D10" s="39">
        <f>+'ca et marge'!D14</f>
        <v>2015</v>
      </c>
      <c r="E10" s="39">
        <f>+'ca et marge'!E14</f>
        <v>2016</v>
      </c>
      <c r="F10" s="39">
        <f>+'ca et marge'!F14</f>
        <v>2017</v>
      </c>
      <c r="G10" s="39">
        <f>+'ca et marge'!G14</f>
        <v>2018</v>
      </c>
      <c r="H10" s="39">
        <f>+'ca et marge'!H14</f>
        <v>2019</v>
      </c>
      <c r="I10" s="39">
        <f>+'ca et marge'!I14</f>
        <v>2020</v>
      </c>
    </row>
    <row r="11" spans="1:9" s="42" customFormat="1" x14ac:dyDescent="0.25">
      <c r="A11" s="40" t="s">
        <v>21</v>
      </c>
      <c r="B11" s="41">
        <f>+B6</f>
        <v>1425</v>
      </c>
      <c r="C11" s="41">
        <f>+B11*(1+C13)</f>
        <v>1453.5</v>
      </c>
      <c r="D11" s="41">
        <f t="shared" ref="D11:I11" si="0">+C11*(1+D13)</f>
        <v>1482.57</v>
      </c>
      <c r="E11" s="41">
        <f t="shared" si="0"/>
        <v>1512.2213999999999</v>
      </c>
      <c r="F11" s="41">
        <f t="shared" si="0"/>
        <v>1542.4658279999999</v>
      </c>
      <c r="G11" s="41">
        <f t="shared" si="0"/>
        <v>1573.3151445599999</v>
      </c>
      <c r="H11" s="41">
        <f t="shared" si="0"/>
        <v>1604.7814474511999</v>
      </c>
      <c r="I11" s="41">
        <f t="shared" si="0"/>
        <v>1636.877076400224</v>
      </c>
    </row>
    <row r="12" spans="1:9" s="42" customFormat="1" x14ac:dyDescent="0.25">
      <c r="A12" s="40" t="s">
        <v>116</v>
      </c>
      <c r="B12" s="41">
        <f>+B8</f>
        <v>141.16666666666666</v>
      </c>
      <c r="C12" s="41">
        <f>+B12*(1+C13)</f>
        <v>143.98999999999998</v>
      </c>
      <c r="D12" s="41">
        <f t="shared" ref="D12:I12" si="1">+C12*(1+D13)</f>
        <v>146.86979999999997</v>
      </c>
      <c r="E12" s="41">
        <f t="shared" si="1"/>
        <v>149.80719599999998</v>
      </c>
      <c r="F12" s="41">
        <f t="shared" si="1"/>
        <v>152.80333991999998</v>
      </c>
      <c r="G12" s="41">
        <f t="shared" si="1"/>
        <v>155.85940671839998</v>
      </c>
      <c r="H12" s="41">
        <f t="shared" si="1"/>
        <v>158.97659485276799</v>
      </c>
      <c r="I12" s="41">
        <f t="shared" si="1"/>
        <v>162.15612674982336</v>
      </c>
    </row>
    <row r="13" spans="1:9" s="9" customFormat="1" x14ac:dyDescent="0.25">
      <c r="A13" s="47" t="s">
        <v>9</v>
      </c>
      <c r="B13" s="79"/>
      <c r="C13" s="80">
        <f>+B7</f>
        <v>0.02</v>
      </c>
      <c r="D13" s="89">
        <f t="shared" ref="D13:I14" si="2">+C13</f>
        <v>0.02</v>
      </c>
      <c r="E13" s="89">
        <f t="shared" si="2"/>
        <v>0.02</v>
      </c>
      <c r="F13" s="89">
        <f t="shared" si="2"/>
        <v>0.02</v>
      </c>
      <c r="G13" s="89">
        <f t="shared" si="2"/>
        <v>0.02</v>
      </c>
      <c r="H13" s="89">
        <f t="shared" si="2"/>
        <v>0.02</v>
      </c>
      <c r="I13" s="89">
        <f t="shared" si="2"/>
        <v>0.02</v>
      </c>
    </row>
    <row r="14" spans="1:9" x14ac:dyDescent="0.25">
      <c r="A14" s="47" t="s">
        <v>16</v>
      </c>
      <c r="B14" s="41">
        <f>+B5</f>
        <v>12</v>
      </c>
      <c r="C14" s="4">
        <v>12</v>
      </c>
      <c r="D14" s="4">
        <f t="shared" si="2"/>
        <v>12</v>
      </c>
      <c r="E14" s="4">
        <f t="shared" si="2"/>
        <v>12</v>
      </c>
      <c r="F14" s="4">
        <f t="shared" si="2"/>
        <v>12</v>
      </c>
      <c r="G14" s="4">
        <f t="shared" si="2"/>
        <v>12</v>
      </c>
      <c r="H14" s="4">
        <f t="shared" si="2"/>
        <v>12</v>
      </c>
      <c r="I14" s="4">
        <f t="shared" si="2"/>
        <v>12</v>
      </c>
    </row>
    <row r="15" spans="1:9" s="42" customFormat="1" x14ac:dyDescent="0.25">
      <c r="A15" s="40" t="s">
        <v>19</v>
      </c>
      <c r="B15" s="41">
        <f>+(B11+B12)*B14</f>
        <v>18794</v>
      </c>
      <c r="C15" s="41">
        <f t="shared" ref="C15:I15" si="3">+(C11+C12)*C14</f>
        <v>19169.88</v>
      </c>
      <c r="D15" s="41">
        <f t="shared" si="3"/>
        <v>19553.277599999998</v>
      </c>
      <c r="E15" s="41">
        <f t="shared" si="3"/>
        <v>19944.343151999998</v>
      </c>
      <c r="F15" s="41">
        <f t="shared" si="3"/>
        <v>20343.230015039997</v>
      </c>
      <c r="G15" s="41">
        <f t="shared" si="3"/>
        <v>20750.094615340797</v>
      </c>
      <c r="H15" s="41">
        <f t="shared" si="3"/>
        <v>21165.096507647613</v>
      </c>
      <c r="I15" s="41">
        <f t="shared" si="3"/>
        <v>21588.39843780057</v>
      </c>
    </row>
    <row r="16" spans="1:9" x14ac:dyDescent="0.25">
      <c r="A16" s="4"/>
      <c r="B16" s="53"/>
      <c r="C16" s="4"/>
      <c r="D16" s="4"/>
      <c r="E16" s="4"/>
      <c r="F16" s="4"/>
      <c r="G16" s="4"/>
      <c r="H16" s="4"/>
      <c r="I16" s="4"/>
    </row>
    <row r="17" spans="1:9" s="42" customFormat="1" x14ac:dyDescent="0.25">
      <c r="A17" s="50" t="s">
        <v>22</v>
      </c>
      <c r="B17" s="51">
        <f>+B15</f>
        <v>18794</v>
      </c>
      <c r="C17" s="51">
        <f t="shared" ref="C17:I17" si="4">+C15</f>
        <v>19169.88</v>
      </c>
      <c r="D17" s="51">
        <f t="shared" si="4"/>
        <v>19553.277599999998</v>
      </c>
      <c r="E17" s="51">
        <f t="shared" si="4"/>
        <v>19944.343151999998</v>
      </c>
      <c r="F17" s="51">
        <f t="shared" si="4"/>
        <v>20343.230015039997</v>
      </c>
      <c r="G17" s="51">
        <f t="shared" si="4"/>
        <v>20750.094615340797</v>
      </c>
      <c r="H17" s="51">
        <f t="shared" si="4"/>
        <v>21165.096507647613</v>
      </c>
      <c r="I17" s="51">
        <f t="shared" si="4"/>
        <v>21588.39843780057</v>
      </c>
    </row>
    <row r="18" spans="1:9" x14ac:dyDescent="0.25">
      <c r="A18" s="4"/>
      <c r="B18" s="53"/>
      <c r="C18" s="4"/>
      <c r="D18" s="4"/>
      <c r="E18" s="4"/>
      <c r="F18" s="4"/>
      <c r="G18" s="4"/>
      <c r="H18" s="4"/>
      <c r="I18" s="4"/>
    </row>
    <row r="19" spans="1:9" x14ac:dyDescent="0.25">
      <c r="C19" s="1"/>
    </row>
    <row r="20" spans="1:9" x14ac:dyDescent="0.25">
      <c r="C20" s="1"/>
    </row>
    <row r="21" spans="1:9" x14ac:dyDescent="0.25">
      <c r="C21" s="1"/>
    </row>
    <row r="22" spans="1:9" x14ac:dyDescent="0.25">
      <c r="C22" s="1"/>
    </row>
    <row r="23" spans="1:9" x14ac:dyDescent="0.25">
      <c r="C23" s="1"/>
    </row>
    <row r="24" spans="1:9" x14ac:dyDescent="0.25">
      <c r="C24" s="1"/>
    </row>
    <row r="25" spans="1:9" x14ac:dyDescent="0.25">
      <c r="C25" s="1"/>
    </row>
    <row r="26" spans="1:9" x14ac:dyDescent="0.25">
      <c r="C26" s="1"/>
    </row>
    <row r="27" spans="1:9" x14ac:dyDescent="0.25">
      <c r="C27" s="1"/>
    </row>
    <row r="28" spans="1:9" x14ac:dyDescent="0.25">
      <c r="C28" s="1"/>
    </row>
    <row r="29" spans="1:9" x14ac:dyDescent="0.25">
      <c r="C29" s="1"/>
    </row>
    <row r="30" spans="1:9" x14ac:dyDescent="0.25">
      <c r="A30" s="72"/>
      <c r="C30" s="1"/>
    </row>
    <row r="31" spans="1:9" x14ac:dyDescent="0.25">
      <c r="C31" s="1"/>
    </row>
    <row r="32" spans="1:9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hidden="1" x14ac:dyDescent="0.25">
      <c r="C82" s="1"/>
    </row>
    <row r="83" spans="3:3" hidden="1" x14ac:dyDescent="0.25">
      <c r="C83" s="1"/>
    </row>
    <row r="84" spans="3:3" hidden="1" x14ac:dyDescent="0.25">
      <c r="C84" s="1"/>
    </row>
    <row r="85" spans="3:3" hidden="1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</sheetData>
  <sheetProtection selectLockedCells="1"/>
  <phoneticPr fontId="0" type="noConversion"/>
  <pageMargins left="0.78740157499999996" right="0.78740157499999996" top="0.984251969" bottom="0.984251969" header="0.4921259845" footer="0.22"/>
  <pageSetup paperSize="9" orientation="landscape" r:id="rId1"/>
  <headerFooter alignWithMargins="0">
    <oddHeader xml:space="preserve">&amp;L&amp;"Lucida Calligraphy,Gras italique"RESERVE NATURELLE&amp;R&amp;"Arial,Gras"&amp;18PREVISION </oddHeader>
    <oddFooter>&amp;L&amp;8Document non contractuel
Charges personnelles de l'exploitant non inclus
Les chiffres et les informations ci-dessus sont données à titre indicatifs et restent à être validés par un Expert Comptable
&amp;R&amp;P/&amp;N
&amp;"Arial,Gras"&amp;12&amp;A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17"/>
  <sheetViews>
    <sheetView workbookViewId="0">
      <selection sqref="A1:XFD1048576"/>
    </sheetView>
  </sheetViews>
  <sheetFormatPr baseColWidth="10" defaultColWidth="11.44140625" defaultRowHeight="13.2" x14ac:dyDescent="0.25"/>
  <cols>
    <col min="1" max="1" width="24.88671875" style="1" bestFit="1" customWidth="1"/>
    <col min="2" max="2" width="13" style="38" customWidth="1"/>
    <col min="3" max="3" width="13" style="2" customWidth="1"/>
    <col min="4" max="9" width="13" style="1" customWidth="1"/>
    <col min="10" max="16384" width="11.44140625" style="1"/>
  </cols>
  <sheetData>
    <row r="1" spans="1:9" x14ac:dyDescent="0.25">
      <c r="A1" s="8" t="str">
        <f>+'ca et marge'!A1</f>
        <v>ANGERS</v>
      </c>
      <c r="C1" s="1"/>
    </row>
    <row r="2" spans="1:9" x14ac:dyDescent="0.25">
      <c r="C2" s="1"/>
    </row>
    <row r="3" spans="1:9" x14ac:dyDescent="0.25">
      <c r="C3" s="1"/>
    </row>
    <row r="4" spans="1:9" x14ac:dyDescent="0.25">
      <c r="A4" s="3" t="s">
        <v>23</v>
      </c>
      <c r="B4" s="64" t="s">
        <v>84</v>
      </c>
      <c r="C4" s="64" t="s">
        <v>85</v>
      </c>
      <c r="D4" s="64" t="s">
        <v>86</v>
      </c>
      <c r="E4" s="64" t="s">
        <v>87</v>
      </c>
      <c r="F4" s="64" t="s">
        <v>88</v>
      </c>
      <c r="G4" s="64" t="s">
        <v>89</v>
      </c>
      <c r="H4" s="64" t="s">
        <v>90</v>
      </c>
      <c r="I4" s="64" t="s">
        <v>91</v>
      </c>
    </row>
    <row r="5" spans="1:9" x14ac:dyDescent="0.25">
      <c r="A5" s="4" t="s">
        <v>17</v>
      </c>
      <c r="B5" s="65">
        <f>+SAISIE!D43</f>
        <v>12</v>
      </c>
      <c r="C5" s="1"/>
    </row>
    <row r="6" spans="1:9" x14ac:dyDescent="0.25">
      <c r="A6" s="4" t="s">
        <v>117</v>
      </c>
      <c r="B6" s="68">
        <f>+SAISIE!D44</f>
        <v>7.0000000000000007E-2</v>
      </c>
      <c r="C6" s="68">
        <f>+SAISIE!E44</f>
        <v>7.0000000000000007E-2</v>
      </c>
      <c r="D6" s="68">
        <f>+SAISIE!F44</f>
        <v>7.0000000000000007E-2</v>
      </c>
      <c r="E6" s="68">
        <f>+SAISIE!G44</f>
        <v>7.0000000000000007E-2</v>
      </c>
      <c r="F6" s="68">
        <f>+SAISIE!H44</f>
        <v>7.0000000000000007E-2</v>
      </c>
      <c r="G6" s="68">
        <f>+SAISIE!I44</f>
        <v>7.0000000000000007E-2</v>
      </c>
      <c r="H6" s="68">
        <f>+SAISIE!J44</f>
        <v>7.0000000000000007E-2</v>
      </c>
      <c r="I6" s="68">
        <f>+SAISIE!K44</f>
        <v>7.0000000000000007E-2</v>
      </c>
    </row>
    <row r="7" spans="1:9" x14ac:dyDescent="0.25">
      <c r="B7" s="42"/>
      <c r="C7" s="1"/>
    </row>
    <row r="8" spans="1:9" x14ac:dyDescent="0.25">
      <c r="B8" s="90"/>
      <c r="C8" s="1"/>
      <c r="F8" s="1" t="s">
        <v>80</v>
      </c>
    </row>
    <row r="9" spans="1:9" x14ac:dyDescent="0.25">
      <c r="C9" s="1"/>
    </row>
    <row r="10" spans="1:9" x14ac:dyDescent="0.25">
      <c r="C10" s="1"/>
    </row>
    <row r="11" spans="1:9" x14ac:dyDescent="0.25">
      <c r="A11" s="4"/>
      <c r="B11" s="39">
        <f>+'ca et marge'!B14</f>
        <v>2013</v>
      </c>
      <c r="C11" s="39">
        <f>+'ca et marge'!C14</f>
        <v>2014</v>
      </c>
      <c r="D11" s="39">
        <f>+'ca et marge'!D14</f>
        <v>2015</v>
      </c>
      <c r="E11" s="39">
        <f>+'ca et marge'!E14</f>
        <v>2016</v>
      </c>
      <c r="F11" s="39">
        <f>+'ca et marge'!F14</f>
        <v>2017</v>
      </c>
      <c r="G11" s="39">
        <f>+'ca et marge'!G14</f>
        <v>2018</v>
      </c>
      <c r="H11" s="39">
        <f>+'ca et marge'!H14</f>
        <v>2019</v>
      </c>
      <c r="I11" s="39">
        <f>+'ca et marge'!I14</f>
        <v>2020</v>
      </c>
    </row>
    <row r="12" spans="1:9" s="42" customFormat="1" x14ac:dyDescent="0.25">
      <c r="A12" s="40" t="s">
        <v>24</v>
      </c>
      <c r="B12" s="41">
        <f>+'ca et marge'!B22</f>
        <v>250836.1204013378</v>
      </c>
      <c r="C12" s="41">
        <f>+'ca et marge'!C22</f>
        <v>255852.84280936455</v>
      </c>
      <c r="D12" s="41">
        <f>+'ca et marge'!D22</f>
        <v>260969.89966555184</v>
      </c>
      <c r="E12" s="41">
        <f>+'ca et marge'!E22</f>
        <v>268798.99665551842</v>
      </c>
      <c r="F12" s="41">
        <f>+'ca et marge'!F22</f>
        <v>276862.96655518399</v>
      </c>
      <c r="G12" s="41">
        <f>+'ca et marge'!G22</f>
        <v>285168.85555183957</v>
      </c>
      <c r="H12" s="41">
        <f>+'ca et marge'!H22</f>
        <v>293723.92121839477</v>
      </c>
      <c r="I12" s="41">
        <f>+'ca et marge'!I22</f>
        <v>302535.63885494665</v>
      </c>
    </row>
    <row r="13" spans="1:9" s="9" customFormat="1" x14ac:dyDescent="0.25">
      <c r="A13" s="47" t="s">
        <v>13</v>
      </c>
      <c r="B13" s="80">
        <f>+B6</f>
        <v>7.0000000000000007E-2</v>
      </c>
      <c r="C13" s="80">
        <f t="shared" ref="C13:I13" si="0">+C6</f>
        <v>7.0000000000000007E-2</v>
      </c>
      <c r="D13" s="80">
        <f t="shared" si="0"/>
        <v>7.0000000000000007E-2</v>
      </c>
      <c r="E13" s="80">
        <f t="shared" si="0"/>
        <v>7.0000000000000007E-2</v>
      </c>
      <c r="F13" s="80">
        <f t="shared" si="0"/>
        <v>7.0000000000000007E-2</v>
      </c>
      <c r="G13" s="80">
        <f t="shared" si="0"/>
        <v>7.0000000000000007E-2</v>
      </c>
      <c r="H13" s="80">
        <f t="shared" si="0"/>
        <v>7.0000000000000007E-2</v>
      </c>
      <c r="I13" s="80">
        <f t="shared" si="0"/>
        <v>7.0000000000000007E-2</v>
      </c>
    </row>
    <row r="14" spans="1:9" x14ac:dyDescent="0.25">
      <c r="A14" s="47" t="s">
        <v>16</v>
      </c>
      <c r="B14" s="41">
        <f>+B5</f>
        <v>12</v>
      </c>
      <c r="C14" s="4">
        <v>12</v>
      </c>
      <c r="D14" s="4">
        <f t="shared" ref="D14:I14" si="1">+C14</f>
        <v>12</v>
      </c>
      <c r="E14" s="4">
        <f t="shared" si="1"/>
        <v>12</v>
      </c>
      <c r="F14" s="4">
        <f t="shared" si="1"/>
        <v>12</v>
      </c>
      <c r="G14" s="4">
        <f t="shared" si="1"/>
        <v>12</v>
      </c>
      <c r="H14" s="4">
        <f t="shared" si="1"/>
        <v>12</v>
      </c>
      <c r="I14" s="4">
        <f t="shared" si="1"/>
        <v>12</v>
      </c>
    </row>
    <row r="15" spans="1:9" x14ac:dyDescent="0.25">
      <c r="A15" s="4"/>
      <c r="B15" s="53"/>
      <c r="C15" s="4"/>
      <c r="D15" s="4"/>
      <c r="E15" s="4"/>
      <c r="F15" s="4"/>
      <c r="G15" s="4"/>
      <c r="H15" s="4"/>
      <c r="I15" s="4"/>
    </row>
    <row r="16" spans="1:9" s="42" customFormat="1" x14ac:dyDescent="0.25">
      <c r="A16" s="50" t="s">
        <v>25</v>
      </c>
      <c r="B16" s="51">
        <f>+B12*B13</f>
        <v>17558.528428093647</v>
      </c>
      <c r="C16" s="51">
        <f t="shared" ref="C16:I16" si="2">+C12*C13</f>
        <v>17909.698996655519</v>
      </c>
      <c r="D16" s="51">
        <f t="shared" si="2"/>
        <v>18267.892976588631</v>
      </c>
      <c r="E16" s="51">
        <f t="shared" si="2"/>
        <v>18815.929765886292</v>
      </c>
      <c r="F16" s="51">
        <f t="shared" si="2"/>
        <v>19380.407658862881</v>
      </c>
      <c r="G16" s="51">
        <f t="shared" si="2"/>
        <v>19961.819888628772</v>
      </c>
      <c r="H16" s="51">
        <f t="shared" si="2"/>
        <v>20560.674485287636</v>
      </c>
      <c r="I16" s="51">
        <f t="shared" si="2"/>
        <v>21177.494719846269</v>
      </c>
    </row>
    <row r="17" spans="1:9" x14ac:dyDescent="0.25">
      <c r="A17" s="4"/>
      <c r="B17" s="53"/>
      <c r="C17" s="4"/>
      <c r="D17" s="4"/>
      <c r="E17" s="4"/>
      <c r="F17" s="4"/>
      <c r="G17" s="4"/>
      <c r="H17" s="4"/>
      <c r="I17" s="4"/>
    </row>
    <row r="18" spans="1:9" x14ac:dyDescent="0.25">
      <c r="C18" s="1"/>
    </row>
    <row r="19" spans="1:9" x14ac:dyDescent="0.25">
      <c r="C19" s="1"/>
    </row>
    <row r="20" spans="1:9" x14ac:dyDescent="0.25">
      <c r="C20" s="1"/>
    </row>
    <row r="21" spans="1:9" x14ac:dyDescent="0.25">
      <c r="C21" s="1"/>
    </row>
    <row r="22" spans="1:9" x14ac:dyDescent="0.25">
      <c r="C22" s="1"/>
    </row>
    <row r="23" spans="1:9" x14ac:dyDescent="0.25">
      <c r="C23" s="1"/>
    </row>
    <row r="24" spans="1:9" x14ac:dyDescent="0.25">
      <c r="C24" s="1"/>
    </row>
    <row r="25" spans="1:9" x14ac:dyDescent="0.25">
      <c r="C25" s="1"/>
    </row>
    <row r="26" spans="1:9" x14ac:dyDescent="0.25">
      <c r="C26" s="1"/>
    </row>
    <row r="27" spans="1:9" x14ac:dyDescent="0.25">
      <c r="C27" s="1"/>
    </row>
    <row r="28" spans="1:9" x14ac:dyDescent="0.25">
      <c r="C28" s="1"/>
    </row>
    <row r="29" spans="1:9" x14ac:dyDescent="0.25">
      <c r="A29" s="72"/>
      <c r="C29" s="1"/>
    </row>
    <row r="30" spans="1:9" x14ac:dyDescent="0.25">
      <c r="C30" s="1"/>
    </row>
    <row r="31" spans="1:9" x14ac:dyDescent="0.25">
      <c r="C31" s="1"/>
    </row>
    <row r="32" spans="1:9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hidden="1" x14ac:dyDescent="0.25">
      <c r="C81" s="1"/>
    </row>
    <row r="82" spans="3:3" hidden="1" x14ac:dyDescent="0.25">
      <c r="C82" s="1"/>
    </row>
    <row r="83" spans="3:3" hidden="1" x14ac:dyDescent="0.25">
      <c r="C83" s="1"/>
    </row>
    <row r="84" spans="3:3" hidden="1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</sheetData>
  <sheetProtection selectLockedCells="1"/>
  <phoneticPr fontId="7" type="noConversion"/>
  <pageMargins left="0.78740157499999996" right="0.78740157499999996" top="0.984251969" bottom="0.984251969" header="0.4921259845" footer="0.22"/>
  <pageSetup paperSize="9" orientation="landscape" r:id="rId1"/>
  <headerFooter alignWithMargins="0">
    <oddHeader xml:space="preserve">&amp;L&amp;"Lucida Calligraphy,Gras italique"RESERVE NATURELLE&amp;R&amp;"Arial,Gras"&amp;18PREVISION </oddHeader>
    <oddFooter>&amp;L&amp;8Document non contractuel
Charges personnelles de l'exploitant non inclus
Les chiffres et les informations ci-dessus sont données à titre indicatifs et restent à être validés par un Expert Comptable
&amp;R&amp;P/&amp;N
&amp;"Arial,Gras"&amp;12&amp;A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17"/>
  <sheetViews>
    <sheetView workbookViewId="0">
      <selection sqref="A1:XFD1048576"/>
    </sheetView>
  </sheetViews>
  <sheetFormatPr baseColWidth="10" defaultColWidth="11.44140625" defaultRowHeight="13.2" x14ac:dyDescent="0.25"/>
  <cols>
    <col min="1" max="1" width="24.88671875" style="1" bestFit="1" customWidth="1"/>
    <col min="2" max="2" width="10.44140625" style="38" bestFit="1" customWidth="1"/>
    <col min="3" max="3" width="10.44140625" style="2" bestFit="1" customWidth="1"/>
    <col min="4" max="9" width="10.44140625" style="1" bestFit="1" customWidth="1"/>
    <col min="10" max="16384" width="11.44140625" style="1"/>
  </cols>
  <sheetData>
    <row r="1" spans="1:9" x14ac:dyDescent="0.25">
      <c r="A1" s="8" t="str">
        <f>+'ca et marge'!A1</f>
        <v>ANGERS</v>
      </c>
      <c r="C1" s="1"/>
    </row>
    <row r="2" spans="1:9" x14ac:dyDescent="0.25">
      <c r="C2" s="1"/>
    </row>
    <row r="3" spans="1:9" x14ac:dyDescent="0.25">
      <c r="C3" s="1"/>
    </row>
    <row r="4" spans="1:9" x14ac:dyDescent="0.25">
      <c r="A4" s="3" t="s">
        <v>43</v>
      </c>
      <c r="C4" s="1"/>
    </row>
    <row r="5" spans="1:9" x14ac:dyDescent="0.25">
      <c r="A5" s="4" t="s">
        <v>17</v>
      </c>
      <c r="B5" s="65">
        <f>+SAISIE!D46</f>
        <v>12</v>
      </c>
      <c r="C5" s="1"/>
    </row>
    <row r="6" spans="1:9" x14ac:dyDescent="0.25">
      <c r="A6" s="4" t="s">
        <v>13</v>
      </c>
      <c r="B6" s="68">
        <f>+SAISIE!D47</f>
        <v>0.02</v>
      </c>
      <c r="C6" s="1"/>
    </row>
    <row r="7" spans="1:9" x14ac:dyDescent="0.25">
      <c r="B7" s="42"/>
      <c r="C7" s="1"/>
    </row>
    <row r="8" spans="1:9" x14ac:dyDescent="0.25">
      <c r="B8" s="90"/>
      <c r="C8" s="1"/>
      <c r="F8" s="1" t="s">
        <v>80</v>
      </c>
    </row>
    <row r="9" spans="1:9" x14ac:dyDescent="0.25">
      <c r="C9" s="1"/>
    </row>
    <row r="10" spans="1:9" x14ac:dyDescent="0.25">
      <c r="C10" s="1"/>
    </row>
    <row r="11" spans="1:9" x14ac:dyDescent="0.25">
      <c r="A11" s="4"/>
      <c r="B11" s="39">
        <f>+'ca et marge'!B14</f>
        <v>2013</v>
      </c>
      <c r="C11" s="39">
        <f>+'ca et marge'!C14</f>
        <v>2014</v>
      </c>
      <c r="D11" s="39">
        <f>+'ca et marge'!D14</f>
        <v>2015</v>
      </c>
      <c r="E11" s="39">
        <f>+'ca et marge'!E14</f>
        <v>2016</v>
      </c>
      <c r="F11" s="39">
        <f>+'ca et marge'!F14</f>
        <v>2017</v>
      </c>
      <c r="G11" s="39">
        <f>+'ca et marge'!G14</f>
        <v>2018</v>
      </c>
      <c r="H11" s="39">
        <f>+'ca et marge'!H14</f>
        <v>2019</v>
      </c>
      <c r="I11" s="39">
        <f>+'ca et marge'!I14</f>
        <v>2020</v>
      </c>
    </row>
    <row r="12" spans="1:9" s="42" customFormat="1" x14ac:dyDescent="0.25">
      <c r="A12" s="40" t="s">
        <v>24</v>
      </c>
      <c r="B12" s="41">
        <f>+'ca et marge'!B22</f>
        <v>250836.1204013378</v>
      </c>
      <c r="C12" s="41">
        <f>+'ca et marge'!C22</f>
        <v>255852.84280936455</v>
      </c>
      <c r="D12" s="41">
        <f>+'ca et marge'!D22</f>
        <v>260969.89966555184</v>
      </c>
      <c r="E12" s="41">
        <f>+'ca et marge'!E22</f>
        <v>268798.99665551842</v>
      </c>
      <c r="F12" s="41">
        <f>+'ca et marge'!F22</f>
        <v>276862.96655518399</v>
      </c>
      <c r="G12" s="41">
        <f>+'ca et marge'!G22</f>
        <v>285168.85555183957</v>
      </c>
      <c r="H12" s="41">
        <f>+'ca et marge'!H22</f>
        <v>293723.92121839477</v>
      </c>
      <c r="I12" s="41">
        <f>+'ca et marge'!I22</f>
        <v>302535.63885494665</v>
      </c>
    </row>
    <row r="13" spans="1:9" s="9" customFormat="1" x14ac:dyDescent="0.25">
      <c r="A13" s="47" t="s">
        <v>13</v>
      </c>
      <c r="B13" s="91">
        <f>+B6</f>
        <v>0.02</v>
      </c>
      <c r="C13" s="91">
        <f>+B13</f>
        <v>0.02</v>
      </c>
      <c r="D13" s="91">
        <f t="shared" ref="D13:I14" si="0">+C13</f>
        <v>0.02</v>
      </c>
      <c r="E13" s="91">
        <f t="shared" si="0"/>
        <v>0.02</v>
      </c>
      <c r="F13" s="91">
        <f t="shared" si="0"/>
        <v>0.02</v>
      </c>
      <c r="G13" s="91">
        <f t="shared" si="0"/>
        <v>0.02</v>
      </c>
      <c r="H13" s="91">
        <f t="shared" si="0"/>
        <v>0.02</v>
      </c>
      <c r="I13" s="91">
        <f t="shared" si="0"/>
        <v>0.02</v>
      </c>
    </row>
    <row r="14" spans="1:9" x14ac:dyDescent="0.25">
      <c r="A14" s="47" t="s">
        <v>16</v>
      </c>
      <c r="B14" s="53">
        <f>+B5</f>
        <v>12</v>
      </c>
      <c r="C14" s="4">
        <v>12</v>
      </c>
      <c r="D14" s="4">
        <f>+C14</f>
        <v>12</v>
      </c>
      <c r="E14" s="4">
        <f t="shared" si="0"/>
        <v>12</v>
      </c>
      <c r="F14" s="4">
        <f t="shared" si="0"/>
        <v>12</v>
      </c>
      <c r="G14" s="4">
        <f t="shared" si="0"/>
        <v>12</v>
      </c>
      <c r="H14" s="4">
        <f t="shared" si="0"/>
        <v>12</v>
      </c>
      <c r="I14" s="4">
        <f t="shared" si="0"/>
        <v>12</v>
      </c>
    </row>
    <row r="15" spans="1:9" x14ac:dyDescent="0.25">
      <c r="A15" s="4"/>
      <c r="B15" s="53"/>
      <c r="C15" s="4"/>
      <c r="D15" s="4"/>
      <c r="E15" s="4"/>
      <c r="F15" s="4"/>
      <c r="G15" s="4"/>
      <c r="H15" s="4"/>
      <c r="I15" s="4"/>
    </row>
    <row r="16" spans="1:9" s="42" customFormat="1" x14ac:dyDescent="0.25">
      <c r="A16" s="50" t="s">
        <v>25</v>
      </c>
      <c r="B16" s="51">
        <f>+B12*B13</f>
        <v>5016.7224080267561</v>
      </c>
      <c r="C16" s="51">
        <f t="shared" ref="C16:I16" si="1">+C12*C13</f>
        <v>5117.0568561872915</v>
      </c>
      <c r="D16" s="51">
        <f t="shared" si="1"/>
        <v>5219.3979933110368</v>
      </c>
      <c r="E16" s="51">
        <f t="shared" si="1"/>
        <v>5375.9799331103686</v>
      </c>
      <c r="F16" s="51">
        <f t="shared" si="1"/>
        <v>5537.2593311036799</v>
      </c>
      <c r="G16" s="51">
        <f t="shared" si="1"/>
        <v>5703.3771110367916</v>
      </c>
      <c r="H16" s="51">
        <f t="shared" si="1"/>
        <v>5874.4784243678951</v>
      </c>
      <c r="I16" s="51">
        <f t="shared" si="1"/>
        <v>6050.7127770989327</v>
      </c>
    </row>
    <row r="17" spans="1:9" x14ac:dyDescent="0.25">
      <c r="A17" s="4"/>
      <c r="B17" s="53"/>
      <c r="C17" s="4"/>
      <c r="D17" s="4"/>
      <c r="E17" s="4"/>
      <c r="F17" s="4"/>
      <c r="G17" s="4"/>
      <c r="H17" s="4"/>
      <c r="I17" s="4"/>
    </row>
    <row r="18" spans="1:9" x14ac:dyDescent="0.25">
      <c r="C18" s="1"/>
    </row>
    <row r="19" spans="1:9" x14ac:dyDescent="0.25">
      <c r="C19" s="1"/>
    </row>
    <row r="20" spans="1:9" x14ac:dyDescent="0.25">
      <c r="C20" s="1"/>
    </row>
    <row r="21" spans="1:9" x14ac:dyDescent="0.25">
      <c r="C21" s="1"/>
    </row>
    <row r="22" spans="1:9" x14ac:dyDescent="0.25">
      <c r="C22" s="1"/>
    </row>
    <row r="23" spans="1:9" x14ac:dyDescent="0.25">
      <c r="C23" s="1"/>
    </row>
    <row r="24" spans="1:9" x14ac:dyDescent="0.25">
      <c r="C24" s="1"/>
    </row>
    <row r="25" spans="1:9" x14ac:dyDescent="0.25">
      <c r="C25" s="1"/>
    </row>
    <row r="26" spans="1:9" x14ac:dyDescent="0.25">
      <c r="C26" s="1"/>
    </row>
    <row r="27" spans="1:9" x14ac:dyDescent="0.25">
      <c r="C27" s="1"/>
    </row>
    <row r="28" spans="1:9" x14ac:dyDescent="0.25">
      <c r="C28" s="1"/>
    </row>
    <row r="29" spans="1:9" x14ac:dyDescent="0.25">
      <c r="A29" s="72"/>
      <c r="C29" s="1"/>
    </row>
    <row r="30" spans="1:9" x14ac:dyDescent="0.25">
      <c r="C30" s="1"/>
    </row>
    <row r="31" spans="1:9" x14ac:dyDescent="0.25">
      <c r="C31" s="1"/>
    </row>
    <row r="32" spans="1:9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hidden="1" x14ac:dyDescent="0.25">
      <c r="C81" s="1"/>
    </row>
    <row r="82" spans="3:3" hidden="1" x14ac:dyDescent="0.25">
      <c r="C82" s="1"/>
    </row>
    <row r="83" spans="3:3" hidden="1" x14ac:dyDescent="0.25">
      <c r="C83" s="1"/>
    </row>
    <row r="84" spans="3:3" hidden="1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</sheetData>
  <sheetProtection selectLockedCells="1"/>
  <phoneticPr fontId="7" type="noConversion"/>
  <pageMargins left="0.78740157499999996" right="0.78740157499999996" top="0.984251969" bottom="0.984251969" header="0.4921259845" footer="0.22"/>
  <pageSetup paperSize="9" orientation="landscape" r:id="rId1"/>
  <headerFooter alignWithMargins="0">
    <oddHeader xml:space="preserve">&amp;L&amp;"Lucida Calligraphy,Gras italique"RESERVE NATURELLE&amp;R&amp;"Arial,Gras"&amp;18PREVISION </oddHeader>
    <oddFooter>&amp;L&amp;8Document non contractuel
Charges personnelles de l'exploitant non inclus
Les chiffres et les informations ci-dessus sont données à titre indicatifs et restent à être validés par un Expert Comptable
&amp;R&amp;P/&amp;N
&amp;"Arial,Gras"&amp;12&amp;A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31</vt:i4>
      </vt:variant>
      <vt:variant>
        <vt:lpstr>Plages nommées</vt:lpstr>
      </vt:variant>
      <vt:variant>
        <vt:i4>6</vt:i4>
      </vt:variant>
    </vt:vector>
  </HeadingPairs>
  <TitlesOfParts>
    <vt:vector size="37" baseType="lpstr">
      <vt:lpstr>entete</vt:lpstr>
      <vt:lpstr>Feuil3</vt:lpstr>
      <vt:lpstr>SYNTHESE</vt:lpstr>
      <vt:lpstr>point mort</vt:lpstr>
      <vt:lpstr>ca et marge</vt:lpstr>
      <vt:lpstr>salaires</vt:lpstr>
      <vt:lpstr>loyer</vt:lpstr>
      <vt:lpstr>frais generaux</vt:lpstr>
      <vt:lpstr>impots</vt:lpstr>
      <vt:lpstr>amortissements</vt:lpstr>
      <vt:lpstr>SAISIE</vt:lpstr>
      <vt:lpstr>frais transport</vt:lpstr>
      <vt:lpstr>INVESTISSEMENT</vt:lpstr>
      <vt:lpstr>calcul emprunt</vt:lpstr>
      <vt:lpstr>note ne pas éditer</vt:lpstr>
      <vt:lpstr>menu</vt:lpstr>
      <vt:lpstr>A SAISIR</vt:lpstr>
      <vt:lpstr>tab rt</vt:lpstr>
      <vt:lpstr>point mrt</vt:lpstr>
      <vt:lpstr>ca marge in</vt:lpstr>
      <vt:lpstr>ca marge mois</vt:lpstr>
      <vt:lpstr>salaire</vt:lpstr>
      <vt:lpstr>location</vt:lpstr>
      <vt:lpstr>frais gnx</vt:lpstr>
      <vt:lpstr>impot</vt:lpstr>
      <vt:lpstr>autres</vt:lpstr>
      <vt:lpstr>dap</vt:lpstr>
      <vt:lpstr>frais fi</vt:lpstr>
      <vt:lpstr>invest</vt:lpstr>
      <vt:lpstr>emp</vt:lpstr>
      <vt:lpstr>trésorerie N</vt:lpstr>
      <vt:lpstr>cvbn</vt:lpstr>
      <vt:lpstr>hmois</vt:lpstr>
      <vt:lpstr>'A SAISIR'!Impression_des_titres</vt:lpstr>
      <vt:lpstr>mmpo</vt:lpstr>
      <vt:lpstr>Taux_de_charge_niv_1</vt:lpstr>
      <vt:lpstr>Taux_de_charge_niv_2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2018-01-16T09:21:58Z</dcterms:created>
  <dcterms:modified xsi:type="dcterms:W3CDTF">2018-04-25T08:00:47Z</dcterms:modified>
</cp:coreProperties>
</file>