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GENIE CIVIL\EXCEL FILES\NETA\"/>
    </mc:Choice>
  </mc:AlternateContent>
  <bookViews>
    <workbookView xWindow="240" yWindow="120" windowWidth="18720" windowHeight="7365" tabRatio="816"/>
  </bookViews>
  <sheets>
    <sheet name="RADIER NERVURE" sheetId="7" r:id="rId1"/>
    <sheet name="DIMENSIONNEMENT ELU (2)" sheetId="8" state="hidden" r:id="rId2"/>
  </sheets>
  <externalReferences>
    <externalReference r:id="rId3"/>
  </externalReferences>
  <definedNames>
    <definedName name="bars" localSheetId="1">#REF!</definedName>
    <definedName name="bars">#REF!</definedName>
    <definedName name="beam" localSheetId="1">#REF!</definedName>
    <definedName name="beam">#REF!</definedName>
    <definedName name="beton">[1]Feuil2!$E$3:$G$3</definedName>
    <definedName name="column" localSheetId="1">#REF!</definedName>
    <definedName name="column">#REF!</definedName>
    <definedName name="mrdbeam" localSheetId="1">#REF!</definedName>
    <definedName name="mrdbeam">#REF!</definedName>
    <definedName name="mrdcolumn" localSheetId="1">#REF!</definedName>
    <definedName name="mrdcolumn">#REF!</definedName>
    <definedName name="nombres">[1]Feuil2!$H$4:$H$12</definedName>
    <definedName name="numbers" localSheetId="1">#REF!</definedName>
    <definedName name="numbers">#REF!</definedName>
    <definedName name="rep.o.n">[1]Feuil2!$B$4:$B$5</definedName>
    <definedName name="select" localSheetId="1">#REF!</definedName>
    <definedName name="select">#REF!</definedName>
  </definedNames>
  <calcPr calcId="152511"/>
</workbook>
</file>

<file path=xl/calcChain.xml><?xml version="1.0" encoding="utf-8"?>
<calcChain xmlns="http://schemas.openxmlformats.org/spreadsheetml/2006/main">
  <c r="G21" i="7" l="1"/>
  <c r="G22" i="7"/>
  <c r="G20" i="7" l="1"/>
  <c r="G19" i="7"/>
  <c r="T74" i="7" l="1"/>
  <c r="K26" i="7"/>
  <c r="E68" i="7"/>
  <c r="E70" i="7" s="1"/>
  <c r="C69" i="7"/>
  <c r="D68" i="7"/>
  <c r="G60" i="7"/>
  <c r="C60" i="7"/>
  <c r="K48" i="7"/>
  <c r="K33" i="7"/>
  <c r="E69" i="7" l="1"/>
  <c r="D69" i="7" s="1"/>
  <c r="C70" i="7"/>
  <c r="D70" i="7" s="1"/>
  <c r="K49" i="7"/>
  <c r="K27" i="7"/>
  <c r="H28" i="7" s="1"/>
  <c r="J17" i="7"/>
  <c r="M58" i="8" l="1"/>
  <c r="L58" i="8"/>
  <c r="M52" i="8"/>
  <c r="L52" i="8"/>
  <c r="M51" i="8"/>
  <c r="M50" i="8" s="1"/>
  <c r="L53" i="8" s="1"/>
  <c r="L51" i="8"/>
  <c r="L50" i="8"/>
  <c r="Q54" i="8" s="1"/>
  <c r="G40" i="8"/>
  <c r="E36" i="8"/>
  <c r="G36" i="8" s="1"/>
  <c r="E35" i="8"/>
  <c r="G41" i="8" s="1"/>
  <c r="G42" i="8" s="1"/>
  <c r="G43" i="8" s="1"/>
  <c r="G45" i="8" s="1"/>
  <c r="E34" i="8"/>
  <c r="P43" i="8" s="1"/>
  <c r="E19" i="8"/>
  <c r="O16" i="8"/>
  <c r="O14" i="8"/>
  <c r="G44" i="8" s="1"/>
  <c r="E14" i="8"/>
  <c r="O13" i="8"/>
  <c r="Q12" i="7"/>
  <c r="K42" i="7" s="1"/>
  <c r="J37" i="7" s="1"/>
  <c r="Q15" i="7"/>
  <c r="Q13" i="7"/>
  <c r="P45" i="8" l="1"/>
  <c r="P46" i="8" s="1"/>
  <c r="P40" i="8"/>
  <c r="Q55" i="8"/>
  <c r="J55" i="8"/>
  <c r="D37" i="8"/>
  <c r="G37" i="8" l="1"/>
  <c r="E58" i="8"/>
  <c r="O58" i="8" s="1"/>
  <c r="E50" i="8"/>
  <c r="J54" i="8" s="1"/>
  <c r="P47" i="8"/>
  <c r="P44" i="8"/>
  <c r="K50" i="7"/>
  <c r="K41" i="7"/>
  <c r="K31" i="7"/>
  <c r="K32" i="7"/>
  <c r="B58" i="7" l="1"/>
  <c r="H58" i="7" s="1"/>
  <c r="D81" i="7"/>
  <c r="D84" i="7" s="1"/>
  <c r="J44" i="7"/>
  <c r="D82" i="7"/>
  <c r="D85" i="7" s="1"/>
  <c r="H35" i="7"/>
  <c r="H36" i="7"/>
  <c r="B60" i="7"/>
  <c r="D58" i="7" l="1"/>
  <c r="F58" i="7" s="1"/>
  <c r="H85" i="7"/>
  <c r="L85" i="7"/>
  <c r="H84" i="7"/>
  <c r="L84" i="7"/>
  <c r="H60" i="7"/>
  <c r="D60" i="7"/>
  <c r="J58" i="7"/>
  <c r="I58" i="7"/>
  <c r="E58" i="7"/>
  <c r="J60" i="7" l="1"/>
  <c r="I60" i="7"/>
  <c r="E60" i="7"/>
  <c r="F60" i="7"/>
</calcChain>
</file>

<file path=xl/sharedStrings.xml><?xml version="1.0" encoding="utf-8"?>
<sst xmlns="http://schemas.openxmlformats.org/spreadsheetml/2006/main" count="385" uniqueCount="252">
  <si>
    <t>Mpa</t>
  </si>
  <si>
    <t>d</t>
  </si>
  <si>
    <t>d'</t>
  </si>
  <si>
    <t>m</t>
  </si>
  <si>
    <t>A propos:</t>
  </si>
  <si>
    <t>Mode d'emploi:</t>
  </si>
  <si>
    <t>L=</t>
  </si>
  <si>
    <t>h=</t>
  </si>
  <si>
    <t>kN.m</t>
  </si>
  <si>
    <t>CALCUL POUTRE RECTNGULAIRE BA -  FLEXION SIMPLE</t>
  </si>
  <si>
    <t>Références:</t>
  </si>
  <si>
    <t>"Pratique du BAEL 91 - cours avec exercices corrigés"</t>
  </si>
  <si>
    <t>DONNEES :</t>
  </si>
  <si>
    <t>bo =</t>
  </si>
  <si>
    <t>d=</t>
  </si>
  <si>
    <t>d'=</t>
  </si>
  <si>
    <t>Mu=</t>
  </si>
  <si>
    <t>Mser=</t>
  </si>
  <si>
    <t>fbu=</t>
  </si>
  <si>
    <t>fed=</t>
  </si>
  <si>
    <t>fc28=</t>
  </si>
  <si>
    <t>fe=</t>
  </si>
  <si>
    <t>béton</t>
  </si>
  <si>
    <t>acier</t>
  </si>
  <si>
    <t>ft28=</t>
  </si>
  <si>
    <t>FISS=</t>
  </si>
  <si>
    <t>c=</t>
  </si>
  <si>
    <t>ubu=Mu / (bo x d² x fbu)</t>
  </si>
  <si>
    <t>ubu=</t>
  </si>
  <si>
    <t>uLu=</t>
  </si>
  <si>
    <t>x 10^-4=</t>
  </si>
  <si>
    <t>conclusion:</t>
  </si>
  <si>
    <t>A'</t>
  </si>
  <si>
    <t>Zb=</t>
  </si>
  <si>
    <t>Au=Mu/(Zb x fed)</t>
  </si>
  <si>
    <t>Au=</t>
  </si>
  <si>
    <t>cm</t>
  </si>
  <si>
    <t>cm²</t>
  </si>
  <si>
    <t xml:space="preserve">ubu&lt;=uLu ? </t>
  </si>
  <si>
    <t>Amin=</t>
  </si>
  <si>
    <t>Amin=0.23 x ft28 x bo x d / fe</t>
  </si>
  <si>
    <t>A=</t>
  </si>
  <si>
    <t>Mlu=</t>
  </si>
  <si>
    <t>Mlu=uLu / (bo x d² x fbu)</t>
  </si>
  <si>
    <t>d'/d=</t>
  </si>
  <si>
    <t>Dimensions</t>
  </si>
  <si>
    <t>ELS</t>
  </si>
  <si>
    <t>9c x fc28 - 0.9xd'/d (13 fc28 +415) k &lt;=348MPa pour fe400</t>
  </si>
  <si>
    <t>c9c x fc28 - d'/d (13 fc28 +415) k &lt;=435MPa pour fe500</t>
  </si>
  <si>
    <t>csce=</t>
  </si>
  <si>
    <t>A'u=</t>
  </si>
  <si>
    <t>A'u=(Mu-Mlu) / [(d-d') x csce]</t>
  </si>
  <si>
    <t>a=1.25x[1-racine(1-2 x ubu)]</t>
  </si>
  <si>
    <t>a=</t>
  </si>
  <si>
    <t>Zb=d / (1-0.4 x a)</t>
  </si>
  <si>
    <t>aL=1.25x[1-racine(1-2 x uLu)]</t>
  </si>
  <si>
    <t>aL=</t>
  </si>
  <si>
    <t>ZbL=d / (1-0.4 x aL)</t>
  </si>
  <si>
    <t>ZbL=</t>
  </si>
  <si>
    <t>A= max(Au,Amin)</t>
  </si>
  <si>
    <t>bo</t>
  </si>
  <si>
    <t>h</t>
  </si>
  <si>
    <t>A</t>
  </si>
  <si>
    <t>moments ELU</t>
  </si>
  <si>
    <t>Les données sont les  cases en jaune. NE PAS MODIFIER LES FORMULES.</t>
  </si>
  <si>
    <t>γ=</t>
  </si>
  <si>
    <r>
      <t>γ</t>
    </r>
    <r>
      <rPr>
        <sz val="9"/>
        <color theme="1"/>
        <rFont val="Century Gothic"/>
        <family val="2"/>
      </rPr>
      <t>=Mu / Mser</t>
    </r>
  </si>
  <si>
    <t>CALCUL DES ACIERS THEORIQUES:</t>
  </si>
  <si>
    <t>uLu *</t>
  </si>
  <si>
    <t>cas 1: sans les aciers comprimés (A'=0)</t>
  </si>
  <si>
    <t>cas 2: avec les aciers comprimés (A'&gt;0)</t>
  </si>
  <si>
    <t>A'=</t>
  </si>
  <si>
    <t>Aciers tendus:</t>
  </si>
  <si>
    <t>Aciers comprimés:</t>
  </si>
  <si>
    <r>
      <rPr>
        <sz val="11"/>
        <color theme="1"/>
        <rFont val="Calibri"/>
        <family val="2"/>
      </rPr>
      <t>θ</t>
    </r>
    <r>
      <rPr>
        <i/>
        <sz val="11"/>
        <color theme="1"/>
        <rFont val="Calibri"/>
        <family val="2"/>
      </rPr>
      <t>=</t>
    </r>
  </si>
  <si>
    <t>A=Mlu/(ZbL x fed) + A'u x csce/fed</t>
  </si>
  <si>
    <t>TABLEAU DES MOMENTS REDUITS</t>
  </si>
  <si>
    <t>Fe E 215</t>
  </si>
  <si>
    <t>γ</t>
  </si>
  <si>
    <t>θ</t>
  </si>
  <si>
    <t>*uLu se lit dans les tables des moments réduits</t>
  </si>
  <si>
    <t>Fe E 400</t>
  </si>
  <si>
    <t>Fe E 500</t>
  </si>
  <si>
    <t xml:space="preserve">ubu&lt;=0.275 ? </t>
  </si>
  <si>
    <t>1er lit:</t>
  </si>
  <si>
    <t>2e lit:</t>
  </si>
  <si>
    <t>3e lit:</t>
  </si>
  <si>
    <t>di (cm)</t>
  </si>
  <si>
    <t>Asi</t>
  </si>
  <si>
    <t>lit équivalent:</t>
  </si>
  <si>
    <t>Asi = section des aciers du lit n°i</t>
  </si>
  <si>
    <t>Disposer les armatures tendues dans chaque lit</t>
  </si>
  <si>
    <t>Enrobage:</t>
  </si>
  <si>
    <t>espacement 1er-2e lit</t>
  </si>
  <si>
    <t>espacement 2e-3e lit</t>
  </si>
  <si>
    <t>cadres</t>
  </si>
  <si>
    <t>RL</t>
  </si>
  <si>
    <t>di = distance des aciers du lit n°i à la fibre inférieure</t>
  </si>
  <si>
    <t>Conclusions:</t>
  </si>
  <si>
    <t>CHOIX DES ACIERS TENDUS</t>
  </si>
  <si>
    <t>CHOIX DES ACIERS COMPRIMES</t>
  </si>
  <si>
    <t>un seul lit:</t>
  </si>
  <si>
    <t>x HA</t>
  </si>
  <si>
    <t>n</t>
  </si>
  <si>
    <t>NOTA:</t>
  </si>
  <si>
    <t>Ast=</t>
  </si>
  <si>
    <t>Par NETACivil,    Version 1,0, (C)2018</t>
  </si>
  <si>
    <t>Cette feuille réalise le dimensionnement en flexion simple</t>
  </si>
  <si>
    <t>500 ou 400 MPa</t>
  </si>
  <si>
    <t>&lt; 50 MPa</t>
  </si>
  <si>
    <t>d'une section rectangulaire à base des moments ELU et ELS.</t>
  </si>
  <si>
    <t>L'auteur n'est pas responsable de l'utilisation par un tiers de ce classeur.</t>
  </si>
  <si>
    <t>non préjudiciable</t>
  </si>
  <si>
    <t>K=</t>
  </si>
  <si>
    <t>b</t>
  </si>
  <si>
    <t>b =</t>
  </si>
  <si>
    <t>Nelu=</t>
  </si>
  <si>
    <t>Nels=</t>
  </si>
  <si>
    <t>kN</t>
  </si>
  <si>
    <t>Matériaux:</t>
  </si>
  <si>
    <t>Surface de l'emprise du bâtiment:</t>
  </si>
  <si>
    <t>S=</t>
  </si>
  <si>
    <t>m²</t>
  </si>
  <si>
    <t>périmètre feuillet moyen:</t>
  </si>
  <si>
    <t>Uc=</t>
  </si>
  <si>
    <t>a =</t>
  </si>
  <si>
    <t>a</t>
  </si>
  <si>
    <t>Uc = 2 x (a + h + b+ h)</t>
  </si>
  <si>
    <r>
      <t xml:space="preserve">Nelu </t>
    </r>
    <r>
      <rPr>
        <sz val="9"/>
        <color theme="1"/>
        <rFont val="Calibri"/>
        <family val="2"/>
      </rPr>
      <t>≤</t>
    </r>
    <r>
      <rPr>
        <sz val="9"/>
        <color theme="1"/>
        <rFont val="Century Gothic"/>
        <family val="2"/>
      </rPr>
      <t xml:space="preserve"> N = 0.045 x Uc x h x fc28 / 1.5</t>
    </r>
  </si>
  <si>
    <t>N=</t>
  </si>
  <si>
    <t>Vérification au poinçonnement:</t>
  </si>
  <si>
    <t>Données batiment:</t>
  </si>
  <si>
    <t>fe =400 ou 500 Mpa !</t>
  </si>
  <si>
    <t>Prédimensionnement de l'épaisseur du radier:</t>
  </si>
  <si>
    <t>réaction du sol sous chargement ELU:</t>
  </si>
  <si>
    <t>réaction du sol sous chargement ELS:</t>
  </si>
  <si>
    <t>qELU=</t>
  </si>
  <si>
    <t>kPa</t>
  </si>
  <si>
    <t>qELS=</t>
  </si>
  <si>
    <t>charge permanente sur radier:</t>
  </si>
  <si>
    <t>charge d'exploitation sur radier:</t>
  </si>
  <si>
    <t>poids propre radier</t>
  </si>
  <si>
    <t>G1=</t>
  </si>
  <si>
    <t>G2=</t>
  </si>
  <si>
    <t>Q=</t>
  </si>
  <si>
    <t>Epaisseur du radier:</t>
  </si>
  <si>
    <t>Débord du radier:</t>
  </si>
  <si>
    <t>qa=</t>
  </si>
  <si>
    <t>qu=</t>
  </si>
  <si>
    <r>
      <t xml:space="preserve">Condition: qELS </t>
    </r>
    <r>
      <rPr>
        <sz val="9"/>
        <color theme="1"/>
        <rFont val="Calibri"/>
        <family val="2"/>
      </rPr>
      <t xml:space="preserve">≤ </t>
    </r>
    <r>
      <rPr>
        <sz val="9"/>
        <color theme="1"/>
        <rFont val="Century Gothic"/>
        <family val="2"/>
      </rPr>
      <t>qa</t>
    </r>
  </si>
  <si>
    <r>
      <t xml:space="preserve">Condition: qELU </t>
    </r>
    <r>
      <rPr>
        <sz val="9"/>
        <color theme="1"/>
        <rFont val="Calibri"/>
        <family val="2"/>
      </rPr>
      <t xml:space="preserve">≤ </t>
    </r>
    <r>
      <rPr>
        <sz val="9"/>
        <color theme="1"/>
        <rFont val="Century Gothic"/>
        <family val="2"/>
      </rPr>
      <t>qu</t>
    </r>
  </si>
  <si>
    <t>contrainte admissible sous radier:</t>
  </si>
  <si>
    <t>contrainte de rupture sous radier:</t>
  </si>
  <si>
    <t>CALCUL RADIER NERVURE</t>
  </si>
  <si>
    <t>Cette feuille réalise le dimensionnement d'un radier nervuré</t>
  </si>
  <si>
    <r>
      <t xml:space="preserve">fc28 doit être </t>
    </r>
    <r>
      <rPr>
        <sz val="9"/>
        <rFont val="Calibri"/>
        <family val="2"/>
      </rPr>
      <t>≤</t>
    </r>
    <r>
      <rPr>
        <sz val="9"/>
        <rFont val="Century Gothic"/>
        <family val="2"/>
      </rPr>
      <t xml:space="preserve"> 30 Mpa !</t>
    </r>
  </si>
  <si>
    <t>contrainte tangente</t>
  </si>
  <si>
    <t>contrainte tangente limite</t>
  </si>
  <si>
    <t>tu_lim=</t>
  </si>
  <si>
    <t>tu=</t>
  </si>
  <si>
    <t>On choisit le panneau de dalle le plus grand:</t>
  </si>
  <si>
    <t>Lmax=</t>
  </si>
  <si>
    <t>largeur forfaitaire du panneau</t>
  </si>
  <si>
    <t>b=</t>
  </si>
  <si>
    <t>Vérification de la contrainte tangente sur panneaux:</t>
  </si>
  <si>
    <t>longueur max de travée du panneau:</t>
  </si>
  <si>
    <t>Vérification de l'effet de sous-pression hydrostatique:</t>
  </si>
  <si>
    <t>poids volumique de l'eau:</t>
  </si>
  <si>
    <t>γw=</t>
  </si>
  <si>
    <t>kN/m3</t>
  </si>
  <si>
    <t>profondeur du radier (par rapport au niveau du sol)</t>
  </si>
  <si>
    <t>hw=</t>
  </si>
  <si>
    <t>coefficient de sécurité:</t>
  </si>
  <si>
    <r>
      <rPr>
        <sz val="11"/>
        <color theme="1"/>
        <rFont val="Calibri"/>
        <family val="2"/>
      </rPr>
      <t>α</t>
    </r>
    <r>
      <rPr>
        <i/>
        <sz val="11"/>
        <color theme="1"/>
        <rFont val="Calibri"/>
        <family val="2"/>
      </rPr>
      <t>=</t>
    </r>
  </si>
  <si>
    <t>descente de charge sous radier ELS</t>
  </si>
  <si>
    <t>W=</t>
  </si>
  <si>
    <t>Poussée hydrostatique:</t>
  </si>
  <si>
    <t>Weau=</t>
  </si>
  <si>
    <t>qELU</t>
  </si>
  <si>
    <t>Lx/Ly</t>
  </si>
  <si>
    <t>Mtx</t>
  </si>
  <si>
    <t>Max</t>
  </si>
  <si>
    <t>Mty</t>
  </si>
  <si>
    <t>May</t>
  </si>
  <si>
    <t>qELS</t>
  </si>
  <si>
    <t>Ferraillage des panneaux de dalle:</t>
  </si>
  <si>
    <t>On choisit le panneau de dalle le plus sollicité. Le panneau est appuyé sur 4 côtés.</t>
  </si>
  <si>
    <t>Calcul des moments:</t>
  </si>
  <si>
    <t>Les conditions d'encastrement donnent:</t>
  </si>
  <si>
    <t>Mt=</t>
  </si>
  <si>
    <t>Mo</t>
  </si>
  <si>
    <t>Ma=</t>
  </si>
  <si>
    <t>Mox</t>
  </si>
  <si>
    <t>Moy</t>
  </si>
  <si>
    <r>
      <rPr>
        <sz val="9"/>
        <color theme="1"/>
        <rFont val="Calibri"/>
        <family val="2"/>
      </rPr>
      <t>µ</t>
    </r>
    <r>
      <rPr>
        <sz val="9"/>
        <color theme="1"/>
        <rFont val="Century Gothic"/>
        <family val="2"/>
      </rPr>
      <t>x=</t>
    </r>
  </si>
  <si>
    <r>
      <rPr>
        <sz val="9"/>
        <color theme="1"/>
        <rFont val="Calibri"/>
        <family val="2"/>
      </rPr>
      <t>µy</t>
    </r>
    <r>
      <rPr>
        <sz val="9"/>
        <color theme="1"/>
        <rFont val="Century Gothic"/>
        <family val="2"/>
      </rPr>
      <t>=</t>
    </r>
  </si>
  <si>
    <t>Ly &gt; Lx =</t>
  </si>
  <si>
    <t>Lx =</t>
  </si>
  <si>
    <t>µx</t>
  </si>
  <si>
    <t>µy</t>
  </si>
  <si>
    <t>Tableau des coefficients:</t>
  </si>
  <si>
    <t>Interpolation:</t>
  </si>
  <si>
    <t>N'entrer dans le tableau d'interpolation que les valeurs du tableau des coefficients qui encadrent strictement la valeur Lx/Ly</t>
  </si>
  <si>
    <t>surface augmentée du débord:</t>
  </si>
  <si>
    <t>S2=</t>
  </si>
  <si>
    <t>Amorce du poteau le plus chargé:</t>
  </si>
  <si>
    <t>Vérification de l'hypothèse de rigidité du radier:</t>
  </si>
  <si>
    <t>Tableau de ferraillage</t>
  </si>
  <si>
    <t>longitudinales</t>
  </si>
  <si>
    <t>transversales</t>
  </si>
  <si>
    <t>théoriques</t>
  </si>
  <si>
    <t>armatures</t>
  </si>
  <si>
    <t>6HA12 e=16.5</t>
  </si>
  <si>
    <t>5.88 cm²</t>
  </si>
  <si>
    <t>Les cases à modifier sont les  cases en jaune. NE PAS MODIFIER LES CASES BLANCHES !!!</t>
  </si>
  <si>
    <t>Hypothèses:</t>
  </si>
  <si>
    <t>radier bétonné sur toute sa hauteur</t>
  </si>
  <si>
    <t>sol uniforme sous radier</t>
  </si>
  <si>
    <t>nappe</t>
  </si>
  <si>
    <t>sup</t>
  </si>
  <si>
    <t>inf</t>
  </si>
  <si>
    <t>Ferraillage des nervures du radier:</t>
  </si>
  <si>
    <t>On choisit la nervure la plus sollicitée.</t>
  </si>
  <si>
    <t>Les charges à l'ELU et 'ELS sont:</t>
  </si>
  <si>
    <t xml:space="preserve">La longueur max est: </t>
  </si>
  <si>
    <t>Lmax =</t>
  </si>
  <si>
    <t>Melu=</t>
  </si>
  <si>
    <t>Et donc les sollicitations sont:</t>
  </si>
  <si>
    <t>Mt_elu=</t>
  </si>
  <si>
    <t>Mt_els=</t>
  </si>
  <si>
    <t>Mels=</t>
  </si>
  <si>
    <t>Ma_elu=</t>
  </si>
  <si>
    <t>Ma_els=</t>
  </si>
  <si>
    <t>5.71 cm²</t>
  </si>
  <si>
    <t>3.75 cm²</t>
  </si>
  <si>
    <t>On dimensionne lesesction à l'ELS en fissuration non préjudiciable</t>
  </si>
  <si>
    <t>e = 15 cm</t>
  </si>
  <si>
    <t>1 cadre HA12</t>
  </si>
  <si>
    <t>4 HA 14</t>
  </si>
  <si>
    <t>4 HA 12</t>
  </si>
  <si>
    <t>Descente de charge totale:</t>
  </si>
  <si>
    <t>poids propre</t>
  </si>
  <si>
    <t>permanente</t>
  </si>
  <si>
    <t>exploitation</t>
  </si>
  <si>
    <t>Npp=</t>
  </si>
  <si>
    <t>Nperm=</t>
  </si>
  <si>
    <t>Nexpl=</t>
  </si>
  <si>
    <t xml:space="preserve"> ELU:</t>
  </si>
  <si>
    <t xml:space="preserve"> ELS:</t>
  </si>
  <si>
    <t>supérieures</t>
  </si>
  <si>
    <t>inférieures</t>
  </si>
  <si>
    <t>NOTA:  charges en kN, Moments en kN.m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</si>
</sst>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2"/>
      <name val="Times New Roman"/>
      <family val="1"/>
    </font>
    <font>
      <i/>
      <sz val="11"/>
      <color theme="1"/>
      <name val="Calibri"/>
      <family val="2"/>
      <scheme val="minor"/>
    </font>
    <font>
      <i/>
      <sz val="12"/>
      <color rgb="FF000000"/>
      <name val="Times New Roman"/>
      <family val="1"/>
    </font>
    <font>
      <sz val="10"/>
      <color theme="1"/>
      <name val="Century Gothic"/>
      <family val="2"/>
    </font>
    <font>
      <b/>
      <u/>
      <sz val="10"/>
      <color theme="1"/>
      <name val="Century Gothic"/>
      <family val="2"/>
    </font>
    <font>
      <u/>
      <sz val="9"/>
      <color theme="1"/>
      <name val="Century Gothic"/>
      <family val="2"/>
    </font>
    <font>
      <sz val="9"/>
      <color theme="1"/>
      <name val="Century Gothic"/>
      <family val="2"/>
    </font>
    <font>
      <sz val="11"/>
      <name val="Century Gothic"/>
      <family val="2"/>
    </font>
    <font>
      <sz val="9"/>
      <color theme="1"/>
      <name val="Cambria"/>
      <family val="1"/>
      <scheme val="major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u/>
      <sz val="10"/>
      <color theme="1"/>
      <name val="Century Gothic"/>
      <family val="2"/>
    </font>
    <font>
      <sz val="10"/>
      <color theme="1"/>
      <name val="Cambria"/>
      <family val="1"/>
      <scheme val="major"/>
    </font>
    <font>
      <b/>
      <sz val="9"/>
      <color rgb="FFFF0000"/>
      <name val="Century Gothic"/>
      <family val="2"/>
    </font>
    <font>
      <b/>
      <u/>
      <sz val="9"/>
      <color rgb="FFFF0000"/>
      <name val="Century Gothic"/>
      <family val="2"/>
    </font>
    <font>
      <b/>
      <u/>
      <sz val="10"/>
      <name val="Century Gothic"/>
      <family val="2"/>
    </font>
    <font>
      <sz val="9"/>
      <color theme="1"/>
      <name val="Calibri"/>
      <family val="2"/>
    </font>
    <font>
      <sz val="9"/>
      <color rgb="FFFF0000"/>
      <name val="Century Gothic"/>
      <family val="2"/>
    </font>
    <font>
      <sz val="9"/>
      <name val="Century Gothic"/>
      <family val="2"/>
    </font>
    <font>
      <sz val="9"/>
      <name val="Calibri"/>
      <family val="2"/>
    </font>
    <font>
      <b/>
      <sz val="9"/>
      <color theme="1"/>
      <name val="Century Gothic"/>
      <family val="2"/>
    </font>
    <font>
      <sz val="10"/>
      <color rgb="FFFF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wrapText="1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center" vertical="center"/>
    </xf>
    <xf numFmtId="0" fontId="6" fillId="0" borderId="6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9" xfId="0" applyFont="1" applyBorder="1" applyAlignment="1" applyProtection="1">
      <alignment vertical="center"/>
    </xf>
    <xf numFmtId="0" fontId="6" fillId="0" borderId="10" xfId="0" applyFont="1" applyBorder="1" applyAlignment="1" applyProtection="1">
      <alignment vertical="center"/>
    </xf>
    <xf numFmtId="0" fontId="9" fillId="0" borderId="9" xfId="0" applyFont="1" applyBorder="1" applyAlignment="1" applyProtection="1">
      <alignment vertical="center"/>
    </xf>
    <xf numFmtId="0" fontId="6" fillId="0" borderId="7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horizontal="left" vertical="center"/>
    </xf>
    <xf numFmtId="0" fontId="7" fillId="0" borderId="6" xfId="0" applyFont="1" applyBorder="1" applyAlignment="1" applyProtection="1">
      <alignment vertical="center"/>
    </xf>
    <xf numFmtId="0" fontId="10" fillId="0" borderId="9" xfId="0" applyFont="1" applyBorder="1" applyAlignment="1" applyProtection="1">
      <alignment horizontal="left" vertical="center" indent="1"/>
    </xf>
    <xf numFmtId="0" fontId="1" fillId="0" borderId="0" xfId="0" applyFont="1" applyFill="1" applyAlignment="1">
      <alignment horizontal="center" vertical="center"/>
    </xf>
    <xf numFmtId="0" fontId="9" fillId="0" borderId="0" xfId="0" applyFont="1" applyAlignment="1" applyProtection="1">
      <alignment horizontal="right" vertical="center"/>
    </xf>
    <xf numFmtId="0" fontId="9" fillId="0" borderId="0" xfId="0" applyFont="1" applyAlignment="1" applyProtection="1">
      <alignment horizontal="left" vertical="center"/>
    </xf>
    <xf numFmtId="2" fontId="9" fillId="0" borderId="0" xfId="0" applyNumberFormat="1" applyFont="1" applyAlignment="1" applyProtection="1">
      <alignment horizontal="right" vertical="center"/>
    </xf>
    <xf numFmtId="0" fontId="4" fillId="0" borderId="1" xfId="0" applyFont="1" applyBorder="1" applyAlignment="1">
      <alignment vertical="center"/>
    </xf>
    <xf numFmtId="0" fontId="9" fillId="0" borderId="1" xfId="0" applyFont="1" applyBorder="1" applyAlignment="1" applyProtection="1">
      <alignment horizontal="right" vertical="center"/>
    </xf>
    <xf numFmtId="164" fontId="9" fillId="0" borderId="0" xfId="0" applyNumberFormat="1" applyFont="1" applyAlignment="1" applyProtection="1">
      <alignment horizontal="right" vertical="center"/>
    </xf>
    <xf numFmtId="0" fontId="9" fillId="0" borderId="0" xfId="0" applyFont="1" applyAlignment="1" applyProtection="1">
      <alignment horizontal="center" vertical="center"/>
    </xf>
    <xf numFmtId="0" fontId="9" fillId="0" borderId="1" xfId="0" applyFont="1" applyBorder="1" applyAlignment="1" applyProtection="1">
      <alignment horizontal="left" vertical="center"/>
    </xf>
    <xf numFmtId="0" fontId="9" fillId="2" borderId="0" xfId="0" applyFont="1" applyFill="1" applyAlignment="1" applyProtection="1">
      <alignment horizontal="right" vertical="center"/>
    </xf>
    <xf numFmtId="0" fontId="9" fillId="2" borderId="1" xfId="0" applyFont="1" applyFill="1" applyBorder="1" applyAlignment="1" applyProtection="1">
      <alignment horizontal="right" vertical="center"/>
    </xf>
    <xf numFmtId="2" fontId="9" fillId="0" borderId="1" xfId="0" applyNumberFormat="1" applyFont="1" applyBorder="1" applyAlignment="1" applyProtection="1">
      <alignment horizontal="right" vertical="center"/>
    </xf>
    <xf numFmtId="0" fontId="11" fillId="0" borderId="0" xfId="0" applyFont="1" applyAlignment="1" applyProtection="1">
      <alignment horizontal="right" vertical="center"/>
    </xf>
    <xf numFmtId="0" fontId="8" fillId="0" borderId="0" xfId="0" applyFont="1" applyAlignment="1" applyProtection="1">
      <alignment horizontal="left" vertical="center"/>
    </xf>
    <xf numFmtId="2" fontId="9" fillId="2" borderId="0" xfId="0" applyNumberFormat="1" applyFont="1" applyFill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right" vertical="center"/>
    </xf>
    <xf numFmtId="0" fontId="14" fillId="0" borderId="6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right" vertical="center"/>
    </xf>
    <xf numFmtId="0" fontId="9" fillId="2" borderId="0" xfId="0" applyFont="1" applyFill="1" applyBorder="1" applyAlignment="1" applyProtection="1">
      <alignment horizontal="right" vertical="center"/>
    </xf>
    <xf numFmtId="0" fontId="9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0" fontId="9" fillId="0" borderId="8" xfId="0" applyFont="1" applyBorder="1" applyAlignment="1" applyProtection="1">
      <alignment horizontal="right" vertical="center"/>
    </xf>
    <xf numFmtId="0" fontId="9" fillId="0" borderId="12" xfId="0" applyFont="1" applyBorder="1" applyAlignment="1" applyProtection="1">
      <alignment horizontal="right" vertical="center"/>
    </xf>
    <xf numFmtId="0" fontId="9" fillId="0" borderId="14" xfId="0" applyFont="1" applyBorder="1" applyAlignment="1" applyProtection="1">
      <alignment horizontal="right" vertical="center"/>
    </xf>
    <xf numFmtId="0" fontId="9" fillId="0" borderId="13" xfId="0" applyFont="1" applyBorder="1" applyAlignment="1" applyProtection="1">
      <alignment horizontal="right" vertical="center"/>
    </xf>
    <xf numFmtId="0" fontId="12" fillId="0" borderId="8" xfId="0" applyFont="1" applyBorder="1" applyAlignment="1" applyProtection="1">
      <alignment horizontal="center" vertical="center"/>
    </xf>
    <xf numFmtId="0" fontId="15" fillId="0" borderId="8" xfId="0" applyFont="1" applyBorder="1" applyAlignment="1" applyProtection="1">
      <alignment horizontal="center" vertical="center"/>
    </xf>
    <xf numFmtId="0" fontId="16" fillId="0" borderId="0" xfId="0" applyFont="1" applyAlignment="1" applyProtection="1">
      <alignment horizontal="left" vertical="center"/>
    </xf>
    <xf numFmtId="2" fontId="9" fillId="0" borderId="12" xfId="0" applyNumberFormat="1" applyFont="1" applyBorder="1" applyAlignment="1" applyProtection="1">
      <alignment horizontal="right" vertical="center"/>
    </xf>
    <xf numFmtId="2" fontId="9" fillId="0" borderId="14" xfId="0" applyNumberFormat="1" applyFont="1" applyBorder="1" applyAlignment="1" applyProtection="1">
      <alignment horizontal="right" vertical="center"/>
    </xf>
    <xf numFmtId="2" fontId="9" fillId="0" borderId="13" xfId="0" applyNumberFormat="1" applyFont="1" applyBorder="1" applyAlignment="1" applyProtection="1">
      <alignment horizontal="right" vertical="center"/>
    </xf>
    <xf numFmtId="0" fontId="16" fillId="0" borderId="0" xfId="0" applyFont="1" applyAlignment="1" applyProtection="1">
      <alignment horizontal="right" vertical="center"/>
    </xf>
    <xf numFmtId="0" fontId="17" fillId="0" borderId="0" xfId="0" applyFont="1" applyAlignment="1" applyProtection="1">
      <alignment horizontal="right" vertical="center"/>
    </xf>
    <xf numFmtId="0" fontId="8" fillId="2" borderId="0" xfId="0" applyFont="1" applyFill="1" applyBorder="1" applyAlignment="1" applyProtection="1">
      <alignment horizontal="right" vertical="center"/>
    </xf>
    <xf numFmtId="164" fontId="9" fillId="0" borderId="1" xfId="0" applyNumberFormat="1" applyFont="1" applyBorder="1" applyAlignment="1" applyProtection="1">
      <alignment horizontal="right" vertical="center"/>
    </xf>
    <xf numFmtId="0" fontId="9" fillId="0" borderId="2" xfId="0" applyFont="1" applyBorder="1" applyAlignment="1" applyProtection="1">
      <alignment horizontal="right" vertical="center"/>
    </xf>
    <xf numFmtId="164" fontId="9" fillId="0" borderId="2" xfId="0" applyNumberFormat="1" applyFont="1" applyBorder="1" applyAlignment="1" applyProtection="1">
      <alignment horizontal="right" vertical="center"/>
    </xf>
    <xf numFmtId="0" fontId="9" fillId="0" borderId="1" xfId="0" applyFont="1" applyBorder="1" applyAlignment="1" applyProtection="1">
      <alignment horizontal="center" vertical="center"/>
    </xf>
    <xf numFmtId="2" fontId="16" fillId="0" borderId="0" xfId="0" applyNumberFormat="1" applyFont="1" applyAlignment="1" applyProtection="1">
      <alignment horizontal="right" vertical="center"/>
    </xf>
    <xf numFmtId="164" fontId="16" fillId="0" borderId="0" xfId="0" applyNumberFormat="1" applyFont="1" applyAlignment="1" applyProtection="1">
      <alignment horizontal="right" vertical="center"/>
    </xf>
    <xf numFmtId="0" fontId="18" fillId="0" borderId="9" xfId="0" applyFont="1" applyBorder="1" applyAlignment="1" applyProtection="1">
      <alignment horizontal="left" vertical="center" indent="1"/>
    </xf>
    <xf numFmtId="0" fontId="9" fillId="0" borderId="7" xfId="0" applyFont="1" applyBorder="1" applyAlignment="1" applyProtection="1">
      <alignment vertical="center"/>
    </xf>
    <xf numFmtId="0" fontId="9" fillId="0" borderId="2" xfId="0" applyFont="1" applyBorder="1" applyAlignment="1" applyProtection="1">
      <alignment horizontal="left" vertical="center"/>
    </xf>
    <xf numFmtId="164" fontId="9" fillId="0" borderId="0" xfId="0" applyNumberFormat="1" applyFont="1" applyFill="1" applyAlignment="1" applyProtection="1">
      <alignment horizontal="right" vertical="center"/>
    </xf>
    <xf numFmtId="0" fontId="21" fillId="0" borderId="0" xfId="0" applyFont="1" applyAlignment="1" applyProtection="1">
      <alignment horizontal="left" vertical="center"/>
    </xf>
    <xf numFmtId="0" fontId="23" fillId="0" borderId="1" xfId="0" applyFont="1" applyBorder="1" applyAlignment="1" applyProtection="1">
      <alignment horizontal="left" vertical="center"/>
    </xf>
    <xf numFmtId="164" fontId="9" fillId="0" borderId="0" xfId="0" applyNumberFormat="1" applyFont="1" applyFill="1" applyBorder="1" applyAlignment="1" applyProtection="1">
      <alignment horizontal="right" vertical="center"/>
    </xf>
    <xf numFmtId="0" fontId="20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right" vertical="center"/>
    </xf>
    <xf numFmtId="0" fontId="7" fillId="0" borderId="2" xfId="0" applyFont="1" applyBorder="1" applyAlignment="1" applyProtection="1">
      <alignment vertical="center"/>
    </xf>
    <xf numFmtId="0" fontId="9" fillId="0" borderId="2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horizontal="right" vertical="center"/>
    </xf>
    <xf numFmtId="2" fontId="9" fillId="0" borderId="0" xfId="0" applyNumberFormat="1" applyFont="1" applyFill="1" applyBorder="1" applyAlignment="1" applyProtection="1">
      <alignment horizontal="right" vertical="center"/>
    </xf>
    <xf numFmtId="165" fontId="9" fillId="0" borderId="0" xfId="0" applyNumberFormat="1" applyFont="1" applyFill="1" applyBorder="1" applyAlignment="1" applyProtection="1">
      <alignment horizontal="right" vertical="center"/>
    </xf>
    <xf numFmtId="0" fontId="9" fillId="0" borderId="0" xfId="0" applyFont="1" applyBorder="1" applyAlignment="1" applyProtection="1">
      <alignment horizontal="center" vertical="center"/>
    </xf>
    <xf numFmtId="164" fontId="9" fillId="0" borderId="0" xfId="0" applyNumberFormat="1" applyFont="1" applyBorder="1" applyAlignment="1" applyProtection="1">
      <alignment horizontal="right" vertical="center"/>
    </xf>
    <xf numFmtId="2" fontId="9" fillId="0" borderId="0" xfId="0" applyNumberFormat="1" applyFont="1" applyBorder="1" applyAlignment="1" applyProtection="1">
      <alignment horizontal="right" vertical="center"/>
    </xf>
    <xf numFmtId="0" fontId="9" fillId="3" borderId="1" xfId="0" applyFont="1" applyFill="1" applyBorder="1" applyAlignment="1" applyProtection="1">
      <alignment horizontal="right" vertical="center"/>
    </xf>
    <xf numFmtId="2" fontId="9" fillId="3" borderId="1" xfId="0" applyNumberFormat="1" applyFont="1" applyFill="1" applyBorder="1" applyAlignment="1" applyProtection="1">
      <alignment horizontal="right" vertical="center"/>
    </xf>
    <xf numFmtId="0" fontId="9" fillId="0" borderId="1" xfId="0" applyFont="1" applyFill="1" applyBorder="1" applyAlignment="1" applyProtection="1">
      <alignment horizontal="right" vertical="center"/>
    </xf>
    <xf numFmtId="2" fontId="9" fillId="0" borderId="1" xfId="0" applyNumberFormat="1" applyFont="1" applyFill="1" applyBorder="1" applyAlignment="1" applyProtection="1">
      <alignment horizontal="right" vertical="center"/>
    </xf>
    <xf numFmtId="2" fontId="9" fillId="0" borderId="8" xfId="0" applyNumberFormat="1" applyFont="1" applyBorder="1" applyAlignment="1" applyProtection="1">
      <alignment horizontal="right" vertical="center"/>
    </xf>
    <xf numFmtId="165" fontId="9" fillId="0" borderId="8" xfId="0" applyNumberFormat="1" applyFont="1" applyBorder="1" applyAlignment="1" applyProtection="1">
      <alignment horizontal="right" vertical="center"/>
    </xf>
    <xf numFmtId="165" fontId="9" fillId="4" borderId="8" xfId="0" applyNumberFormat="1" applyFont="1" applyFill="1" applyBorder="1" applyAlignment="1" applyProtection="1">
      <alignment horizontal="right" vertical="center"/>
    </xf>
    <xf numFmtId="165" fontId="9" fillId="0" borderId="8" xfId="0" applyNumberFormat="1" applyFont="1" applyFill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165" fontId="9" fillId="0" borderId="1" xfId="0" applyNumberFormat="1" applyFont="1" applyFill="1" applyBorder="1" applyAlignment="1" applyProtection="1">
      <alignment horizontal="right" vertical="center"/>
    </xf>
    <xf numFmtId="0" fontId="24" fillId="0" borderId="1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right" vertical="center"/>
    </xf>
    <xf numFmtId="164" fontId="9" fillId="0" borderId="0" xfId="0" applyNumberFormat="1" applyFont="1" applyAlignment="1" applyProtection="1">
      <alignment horizontal="center" vertical="center"/>
    </xf>
    <xf numFmtId="0" fontId="19" fillId="0" borderId="1" xfId="0" applyFont="1" applyBorder="1" applyAlignment="1" applyProtection="1">
      <alignment horizontal="right" vertical="center"/>
    </xf>
    <xf numFmtId="0" fontId="4" fillId="5" borderId="1" xfId="0" applyFont="1" applyFill="1" applyBorder="1" applyAlignment="1">
      <alignment vertical="center"/>
    </xf>
    <xf numFmtId="0" fontId="9" fillId="5" borderId="1" xfId="0" applyFont="1" applyFill="1" applyBorder="1" applyAlignment="1" applyProtection="1">
      <alignment horizontal="right" vertical="center"/>
    </xf>
    <xf numFmtId="164" fontId="23" fillId="0" borderId="0" xfId="0" applyNumberFormat="1" applyFont="1" applyBorder="1" applyAlignment="1" applyProtection="1">
      <alignment horizontal="left" vertical="center"/>
    </xf>
    <xf numFmtId="2" fontId="9" fillId="0" borderId="0" xfId="0" applyNumberFormat="1" applyFont="1" applyBorder="1" applyAlignment="1" applyProtection="1">
      <alignment horizontal="center" vertical="center"/>
    </xf>
    <xf numFmtId="165" fontId="9" fillId="0" borderId="2" xfId="0" applyNumberFormat="1" applyFont="1" applyBorder="1" applyAlignment="1" applyProtection="1">
      <alignment horizontal="right" vertical="center"/>
    </xf>
    <xf numFmtId="165" fontId="9" fillId="0" borderId="0" xfId="0" applyNumberFormat="1" applyFont="1" applyBorder="1" applyAlignment="1" applyProtection="1">
      <alignment horizontal="right" vertical="center"/>
    </xf>
    <xf numFmtId="2" fontId="9" fillId="0" borderId="1" xfId="0" applyNumberFormat="1" applyFont="1" applyBorder="1" applyAlignment="1" applyProtection="1">
      <alignment horizontal="right" vertical="center"/>
    </xf>
    <xf numFmtId="2" fontId="9" fillId="0" borderId="2" xfId="0" applyNumberFormat="1" applyFont="1" applyBorder="1" applyAlignment="1" applyProtection="1">
      <alignment horizontal="right" vertical="center"/>
    </xf>
    <xf numFmtId="2" fontId="9" fillId="0" borderId="0" xfId="0" applyNumberFormat="1" applyFont="1" applyBorder="1" applyAlignment="1" applyProtection="1">
      <alignment horizontal="right" vertical="center"/>
    </xf>
    <xf numFmtId="2" fontId="9" fillId="5" borderId="1" xfId="0" applyNumberFormat="1" applyFont="1" applyFill="1" applyBorder="1" applyAlignment="1" applyProtection="1">
      <alignment horizontal="right" vertical="center"/>
    </xf>
    <xf numFmtId="2" fontId="9" fillId="0" borderId="11" xfId="0" applyNumberFormat="1" applyFont="1" applyBorder="1" applyAlignment="1" applyProtection="1">
      <alignment horizontal="center" vertical="center"/>
    </xf>
    <xf numFmtId="2" fontId="9" fillId="0" borderId="15" xfId="0" applyNumberFormat="1" applyFont="1" applyBorder="1" applyAlignment="1" applyProtection="1">
      <alignment horizontal="center" vertical="center"/>
    </xf>
    <xf numFmtId="2" fontId="9" fillId="0" borderId="5" xfId="0" applyNumberFormat="1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right" vertical="center" wrapText="1"/>
    </xf>
    <xf numFmtId="0" fontId="9" fillId="0" borderId="14" xfId="0" applyFont="1" applyBorder="1" applyAlignment="1" applyProtection="1">
      <alignment horizontal="right" vertical="center" wrapText="1"/>
    </xf>
    <xf numFmtId="0" fontId="9" fillId="0" borderId="13" xfId="0" applyFont="1" applyBorder="1" applyAlignment="1" applyProtection="1">
      <alignment horizontal="right" vertical="center" wrapText="1"/>
    </xf>
    <xf numFmtId="2" fontId="9" fillId="0" borderId="8" xfId="0" applyNumberFormat="1" applyFont="1" applyBorder="1" applyAlignment="1" applyProtection="1">
      <alignment horizontal="center" vertical="center"/>
    </xf>
    <xf numFmtId="2" fontId="9" fillId="2" borderId="0" xfId="0" applyNumberFormat="1" applyFont="1" applyFill="1" applyBorder="1" applyAlignment="1" applyProtection="1">
      <alignment horizontal="right" vertical="center"/>
      <protection locked="0"/>
    </xf>
    <xf numFmtId="164" fontId="9" fillId="2" borderId="0" xfId="0" applyNumberFormat="1" applyFont="1" applyFill="1" applyBorder="1" applyAlignment="1" applyProtection="1">
      <alignment horizontal="right" vertical="center"/>
      <protection locked="0"/>
    </xf>
    <xf numFmtId="2" fontId="9" fillId="2" borderId="0" xfId="0" applyNumberFormat="1" applyFont="1" applyFill="1" applyAlignment="1" applyProtection="1">
      <alignment horizontal="right" vertical="center"/>
      <protection locked="0"/>
    </xf>
    <xf numFmtId="164" fontId="9" fillId="2" borderId="0" xfId="0" applyNumberFormat="1" applyFont="1" applyFill="1" applyAlignment="1" applyProtection="1">
      <alignment horizontal="right" vertical="center"/>
      <protection locked="0"/>
    </xf>
    <xf numFmtId="0" fontId="9" fillId="2" borderId="0" xfId="0" applyFont="1" applyFill="1" applyBorder="1" applyAlignment="1" applyProtection="1">
      <alignment horizontal="right" vertical="center"/>
      <protection locked="0"/>
    </xf>
    <xf numFmtId="0" fontId="9" fillId="2" borderId="2" xfId="0" applyFont="1" applyFill="1" applyBorder="1" applyAlignment="1" applyProtection="1">
      <alignment horizontal="right" vertical="center"/>
      <protection locked="0"/>
    </xf>
    <xf numFmtId="2" fontId="9" fillId="2" borderId="0" xfId="0" applyNumberFormat="1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center" vertical="center"/>
      <protection locked="0"/>
    </xf>
    <xf numFmtId="165" fontId="9" fillId="2" borderId="0" xfId="0" applyNumberFormat="1" applyFont="1" applyFill="1" applyBorder="1" applyAlignment="1" applyProtection="1">
      <alignment horizontal="right" vertical="center"/>
      <protection locked="0"/>
    </xf>
    <xf numFmtId="2" fontId="9" fillId="2" borderId="8" xfId="0" applyNumberFormat="1" applyFont="1" applyFill="1" applyBorder="1" applyAlignment="1" applyProtection="1">
      <alignment horizontal="right" vertical="center"/>
      <protection locked="0"/>
    </xf>
    <xf numFmtId="165" fontId="9" fillId="2" borderId="2" xfId="0" applyNumberFormat="1" applyFont="1" applyFill="1" applyBorder="1" applyAlignment="1" applyProtection="1">
      <alignment horizontal="right" vertical="center"/>
      <protection locked="0"/>
    </xf>
    <xf numFmtId="2" fontId="9" fillId="2" borderId="2" xfId="0" applyNumberFormat="1" applyFont="1" applyFill="1" applyBorder="1" applyAlignment="1" applyProtection="1">
      <alignment horizontal="right" vertical="center"/>
      <protection locked="0"/>
    </xf>
    <xf numFmtId="165" fontId="9" fillId="2" borderId="1" xfId="0" applyNumberFormat="1" applyFont="1" applyFill="1" applyBorder="1" applyAlignment="1" applyProtection="1">
      <alignment horizontal="right" vertical="center"/>
      <protection locked="0"/>
    </xf>
    <xf numFmtId="2" fontId="9" fillId="2" borderId="1" xfId="0" applyNumberFormat="1" applyFont="1" applyFill="1" applyBorder="1" applyAlignment="1" applyProtection="1">
      <alignment horizontal="right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1D0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161926</xdr:rowOff>
    </xdr:from>
    <xdr:to>
      <xdr:col>1</xdr:col>
      <xdr:colOff>514275</xdr:colOff>
      <xdr:row>3</xdr:row>
      <xdr:rowOff>66675</xdr:rowOff>
    </xdr:to>
    <xdr:pic>
      <xdr:nvPicPr>
        <xdr:cNvPr id="12" name="Imag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61926"/>
          <a:ext cx="885750" cy="466724"/>
        </a:xfrm>
        <a:prstGeom prst="rect">
          <a:avLst/>
        </a:prstGeom>
      </xdr:spPr>
    </xdr:pic>
    <xdr:clientData/>
  </xdr:twoCellAnchor>
  <xdr:twoCellAnchor>
    <xdr:from>
      <xdr:col>10</xdr:col>
      <xdr:colOff>466725</xdr:colOff>
      <xdr:row>11</xdr:row>
      <xdr:rowOff>152400</xdr:rowOff>
    </xdr:from>
    <xdr:to>
      <xdr:col>12</xdr:col>
      <xdr:colOff>161925</xdr:colOff>
      <xdr:row>16</xdr:row>
      <xdr:rowOff>180975</xdr:rowOff>
    </xdr:to>
    <xdr:sp macro="" textlink="">
      <xdr:nvSpPr>
        <xdr:cNvPr id="2" name="Rectangle 1"/>
        <xdr:cNvSpPr/>
      </xdr:nvSpPr>
      <xdr:spPr>
        <a:xfrm>
          <a:off x="5505450" y="2000250"/>
          <a:ext cx="752475" cy="1038225"/>
        </a:xfrm>
        <a:prstGeom prst="rect">
          <a:avLst/>
        </a:prstGeom>
        <a:pattFill prst="ltDnDiag">
          <a:fgClr>
            <a:schemeClr val="tx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10</xdr:col>
      <xdr:colOff>428625</xdr:colOff>
      <xdr:row>11</xdr:row>
      <xdr:rowOff>9525</xdr:rowOff>
    </xdr:from>
    <xdr:to>
      <xdr:col>12</xdr:col>
      <xdr:colOff>190500</xdr:colOff>
      <xdr:row>11</xdr:row>
      <xdr:rowOff>9525</xdr:rowOff>
    </xdr:to>
    <xdr:cxnSp macro="">
      <xdr:nvCxnSpPr>
        <xdr:cNvPr id="14" name="Connecteur droit avec flèche 13"/>
        <xdr:cNvCxnSpPr/>
      </xdr:nvCxnSpPr>
      <xdr:spPr>
        <a:xfrm>
          <a:off x="5467350" y="1857375"/>
          <a:ext cx="819150" cy="0"/>
        </a:xfrm>
        <a:prstGeom prst="straightConnector1">
          <a:avLst/>
        </a:prstGeom>
        <a:ln>
          <a:solidFill>
            <a:sysClr val="windowText" lastClr="00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333375</xdr:colOff>
      <xdr:row>11</xdr:row>
      <xdr:rowOff>139066</xdr:rowOff>
    </xdr:from>
    <xdr:to>
      <xdr:col>12</xdr:col>
      <xdr:colOff>335280</xdr:colOff>
      <xdr:row>16</xdr:row>
      <xdr:rowOff>171450</xdr:rowOff>
    </xdr:to>
    <xdr:cxnSp macro="">
      <xdr:nvCxnSpPr>
        <xdr:cNvPr id="15" name="Connecteur droit avec flèche 14"/>
        <xdr:cNvCxnSpPr/>
      </xdr:nvCxnSpPr>
      <xdr:spPr>
        <a:xfrm flipV="1">
          <a:off x="6429375" y="1986916"/>
          <a:ext cx="1905" cy="1042034"/>
        </a:xfrm>
        <a:prstGeom prst="straightConnector1">
          <a:avLst/>
        </a:prstGeom>
        <a:ln>
          <a:solidFill>
            <a:sysClr val="windowText" lastClr="00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352426</xdr:colOff>
      <xdr:row>54</xdr:row>
      <xdr:rowOff>152400</xdr:rowOff>
    </xdr:from>
    <xdr:to>
      <xdr:col>17</xdr:col>
      <xdr:colOff>161926</xdr:colOff>
      <xdr:row>59</xdr:row>
      <xdr:rowOff>180975</xdr:rowOff>
    </xdr:to>
    <xdr:sp macro="" textlink="">
      <xdr:nvSpPr>
        <xdr:cNvPr id="7" name="Rectangle 6"/>
        <xdr:cNvSpPr/>
      </xdr:nvSpPr>
      <xdr:spPr>
        <a:xfrm>
          <a:off x="6705601" y="10658475"/>
          <a:ext cx="1733550" cy="1009650"/>
        </a:xfrm>
        <a:prstGeom prst="rect">
          <a:avLst/>
        </a:prstGeom>
        <a:pattFill prst="ltDnDiag">
          <a:fgClr>
            <a:schemeClr val="tx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361950</xdr:colOff>
      <xdr:row>54</xdr:row>
      <xdr:rowOff>47625</xdr:rowOff>
    </xdr:from>
    <xdr:to>
      <xdr:col>17</xdr:col>
      <xdr:colOff>171450</xdr:colOff>
      <xdr:row>54</xdr:row>
      <xdr:rowOff>47625</xdr:rowOff>
    </xdr:to>
    <xdr:cxnSp macro="">
      <xdr:nvCxnSpPr>
        <xdr:cNvPr id="8" name="Connecteur droit avec flèche 7"/>
        <xdr:cNvCxnSpPr/>
      </xdr:nvCxnSpPr>
      <xdr:spPr>
        <a:xfrm>
          <a:off x="6715125" y="10553700"/>
          <a:ext cx="1733550" cy="0"/>
        </a:xfrm>
        <a:prstGeom prst="straightConnector1">
          <a:avLst/>
        </a:prstGeom>
        <a:ln>
          <a:solidFill>
            <a:sysClr val="windowText" lastClr="00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304800</xdr:colOff>
      <xdr:row>54</xdr:row>
      <xdr:rowOff>139066</xdr:rowOff>
    </xdr:from>
    <xdr:to>
      <xdr:col>17</xdr:col>
      <xdr:colOff>306705</xdr:colOff>
      <xdr:row>59</xdr:row>
      <xdr:rowOff>171450</xdr:rowOff>
    </xdr:to>
    <xdr:cxnSp macro="">
      <xdr:nvCxnSpPr>
        <xdr:cNvPr id="9" name="Connecteur droit avec flèche 8"/>
        <xdr:cNvCxnSpPr/>
      </xdr:nvCxnSpPr>
      <xdr:spPr>
        <a:xfrm flipV="1">
          <a:off x="8582025" y="10645141"/>
          <a:ext cx="1905" cy="1013459"/>
        </a:xfrm>
        <a:prstGeom prst="straightConnector1">
          <a:avLst/>
        </a:prstGeom>
        <a:ln>
          <a:solidFill>
            <a:sysClr val="windowText" lastClr="00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85665</xdr:colOff>
      <xdr:row>50</xdr:row>
      <xdr:rowOff>105417</xdr:rowOff>
    </xdr:from>
    <xdr:to>
      <xdr:col>18</xdr:col>
      <xdr:colOff>103841</xdr:colOff>
      <xdr:row>62</xdr:row>
      <xdr:rowOff>181474</xdr:rowOff>
    </xdr:to>
    <xdr:sp macro="" textlink="">
      <xdr:nvSpPr>
        <xdr:cNvPr id="5" name="Arc 4"/>
        <xdr:cNvSpPr/>
      </xdr:nvSpPr>
      <xdr:spPr>
        <a:xfrm rot="8128578">
          <a:off x="6410265" y="9849492"/>
          <a:ext cx="2389901" cy="2390632"/>
        </a:xfrm>
        <a:prstGeom prst="arc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419101</xdr:colOff>
      <xdr:row>62</xdr:row>
      <xdr:rowOff>28575</xdr:rowOff>
    </xdr:from>
    <xdr:to>
      <xdr:col>17</xdr:col>
      <xdr:colOff>228601</xdr:colOff>
      <xdr:row>62</xdr:row>
      <xdr:rowOff>28575</xdr:rowOff>
    </xdr:to>
    <xdr:cxnSp macro="">
      <xdr:nvCxnSpPr>
        <xdr:cNvPr id="11" name="Connecteur droit 10"/>
        <xdr:cNvCxnSpPr/>
      </xdr:nvCxnSpPr>
      <xdr:spPr>
        <a:xfrm>
          <a:off x="6743701" y="12087225"/>
          <a:ext cx="17335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344412</xdr:colOff>
      <xdr:row>53</xdr:row>
      <xdr:rowOff>174745</xdr:rowOff>
    </xdr:from>
    <xdr:to>
      <xdr:col>15</xdr:col>
      <xdr:colOff>208949</xdr:colOff>
      <xdr:row>61</xdr:row>
      <xdr:rowOff>92728</xdr:rowOff>
    </xdr:to>
    <xdr:sp macro="" textlink="">
      <xdr:nvSpPr>
        <xdr:cNvPr id="16" name="Arc 15"/>
        <xdr:cNvSpPr/>
      </xdr:nvSpPr>
      <xdr:spPr>
        <a:xfrm rot="13663604">
          <a:off x="6094602" y="10569430"/>
          <a:ext cx="1470558" cy="1312337"/>
        </a:xfrm>
        <a:prstGeom prst="arc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419101</xdr:colOff>
      <xdr:row>54</xdr:row>
      <xdr:rowOff>152400</xdr:rowOff>
    </xdr:from>
    <xdr:to>
      <xdr:col>12</xdr:col>
      <xdr:colOff>419101</xdr:colOff>
      <xdr:row>59</xdr:row>
      <xdr:rowOff>180975</xdr:rowOff>
    </xdr:to>
    <xdr:cxnSp macro="">
      <xdr:nvCxnSpPr>
        <xdr:cNvPr id="18" name="Connecteur droit 17"/>
        <xdr:cNvCxnSpPr/>
      </xdr:nvCxnSpPr>
      <xdr:spPr>
        <a:xfrm>
          <a:off x="6248401" y="10658475"/>
          <a:ext cx="0" cy="10096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142874</xdr:colOff>
      <xdr:row>72</xdr:row>
      <xdr:rowOff>114300</xdr:rowOff>
    </xdr:from>
    <xdr:to>
      <xdr:col>18</xdr:col>
      <xdr:colOff>257174</xdr:colOff>
      <xdr:row>74</xdr:row>
      <xdr:rowOff>57150</xdr:rowOff>
    </xdr:to>
    <xdr:sp macro="" textlink="">
      <xdr:nvSpPr>
        <xdr:cNvPr id="20" name="Rectangle 19"/>
        <xdr:cNvSpPr/>
      </xdr:nvSpPr>
      <xdr:spPr>
        <a:xfrm>
          <a:off x="7419974" y="14068425"/>
          <a:ext cx="1533525" cy="333375"/>
        </a:xfrm>
        <a:prstGeom prst="rect">
          <a:avLst/>
        </a:prstGeom>
        <a:pattFill prst="ltDnDiag">
          <a:fgClr>
            <a:schemeClr val="tx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15</xdr:col>
      <xdr:colOff>152400</xdr:colOff>
      <xdr:row>72</xdr:row>
      <xdr:rowOff>9525</xdr:rowOff>
    </xdr:from>
    <xdr:to>
      <xdr:col>18</xdr:col>
      <xdr:colOff>247650</xdr:colOff>
      <xdr:row>72</xdr:row>
      <xdr:rowOff>19050</xdr:rowOff>
    </xdr:to>
    <xdr:cxnSp macro="">
      <xdr:nvCxnSpPr>
        <xdr:cNvPr id="21" name="Connecteur droit avec flèche 20"/>
        <xdr:cNvCxnSpPr/>
      </xdr:nvCxnSpPr>
      <xdr:spPr>
        <a:xfrm flipV="1">
          <a:off x="7429500" y="13963650"/>
          <a:ext cx="1514475" cy="9525"/>
        </a:xfrm>
        <a:prstGeom prst="straightConnector1">
          <a:avLst/>
        </a:prstGeom>
        <a:ln>
          <a:solidFill>
            <a:sysClr val="windowText" lastClr="00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373380</xdr:colOff>
      <xdr:row>72</xdr:row>
      <xdr:rowOff>53342</xdr:rowOff>
    </xdr:from>
    <xdr:to>
      <xdr:col>19</xdr:col>
      <xdr:colOff>0</xdr:colOff>
      <xdr:row>74</xdr:row>
      <xdr:rowOff>76200</xdr:rowOff>
    </xdr:to>
    <xdr:cxnSp macro="">
      <xdr:nvCxnSpPr>
        <xdr:cNvPr id="22" name="Connecteur droit avec flèche 21"/>
        <xdr:cNvCxnSpPr/>
      </xdr:nvCxnSpPr>
      <xdr:spPr>
        <a:xfrm flipH="1" flipV="1">
          <a:off x="9069705" y="14007467"/>
          <a:ext cx="7620" cy="413383"/>
        </a:xfrm>
        <a:prstGeom prst="straightConnector1">
          <a:avLst/>
        </a:prstGeom>
        <a:ln>
          <a:solidFill>
            <a:sysClr val="windowText" lastClr="00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114301</xdr:rowOff>
    </xdr:from>
    <xdr:to>
      <xdr:col>1</xdr:col>
      <xdr:colOff>497541</xdr:colOff>
      <xdr:row>3</xdr:row>
      <xdr:rowOff>100574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14301"/>
          <a:ext cx="1030941" cy="548248"/>
        </a:xfrm>
        <a:prstGeom prst="rect">
          <a:avLst/>
        </a:prstGeom>
      </xdr:spPr>
    </xdr:pic>
    <xdr:clientData/>
  </xdr:twoCellAnchor>
  <xdr:twoCellAnchor editAs="absolute">
    <xdr:from>
      <xdr:col>15</xdr:col>
      <xdr:colOff>254945</xdr:colOff>
      <xdr:row>84</xdr:row>
      <xdr:rowOff>114301</xdr:rowOff>
    </xdr:from>
    <xdr:to>
      <xdr:col>26</xdr:col>
      <xdr:colOff>57927</xdr:colOff>
      <xdr:row>103</xdr:row>
      <xdr:rowOff>142287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17720" y="16802101"/>
          <a:ext cx="6070432" cy="3666536"/>
        </a:xfrm>
        <a:prstGeom prst="rect">
          <a:avLst/>
        </a:prstGeom>
      </xdr:spPr>
    </xdr:pic>
    <xdr:clientData/>
  </xdr:twoCellAnchor>
  <xdr:twoCellAnchor>
    <xdr:from>
      <xdr:col>7</xdr:col>
      <xdr:colOff>285750</xdr:colOff>
      <xdr:row>9</xdr:row>
      <xdr:rowOff>161925</xdr:rowOff>
    </xdr:from>
    <xdr:to>
      <xdr:col>9</xdr:col>
      <xdr:colOff>228600</xdr:colOff>
      <xdr:row>16</xdr:row>
      <xdr:rowOff>0</xdr:rowOff>
    </xdr:to>
    <xdr:sp macro="" textlink="">
      <xdr:nvSpPr>
        <xdr:cNvPr id="4" name="Rectangle 3"/>
        <xdr:cNvSpPr/>
      </xdr:nvSpPr>
      <xdr:spPr>
        <a:xfrm>
          <a:off x="3724275" y="1828800"/>
          <a:ext cx="876300" cy="12477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</xdr:col>
      <xdr:colOff>485776</xdr:colOff>
      <xdr:row>10</xdr:row>
      <xdr:rowOff>190500</xdr:rowOff>
    </xdr:from>
    <xdr:to>
      <xdr:col>9</xdr:col>
      <xdr:colOff>57151</xdr:colOff>
      <xdr:row>11</xdr:row>
      <xdr:rowOff>17144</xdr:rowOff>
    </xdr:to>
    <xdr:sp macro="" textlink="">
      <xdr:nvSpPr>
        <xdr:cNvPr id="5" name="Rectangle 4"/>
        <xdr:cNvSpPr/>
      </xdr:nvSpPr>
      <xdr:spPr>
        <a:xfrm>
          <a:off x="3914776" y="2057400"/>
          <a:ext cx="514350" cy="45719"/>
        </a:xfrm>
        <a:prstGeom prst="rect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</xdr:col>
      <xdr:colOff>457201</xdr:colOff>
      <xdr:row>15</xdr:row>
      <xdr:rowOff>0</xdr:rowOff>
    </xdr:from>
    <xdr:to>
      <xdr:col>9</xdr:col>
      <xdr:colOff>66676</xdr:colOff>
      <xdr:row>15</xdr:row>
      <xdr:rowOff>57150</xdr:rowOff>
    </xdr:to>
    <xdr:sp macro="" textlink="">
      <xdr:nvSpPr>
        <xdr:cNvPr id="6" name="Rectangle 5"/>
        <xdr:cNvSpPr/>
      </xdr:nvSpPr>
      <xdr:spPr>
        <a:xfrm>
          <a:off x="3895726" y="2876550"/>
          <a:ext cx="542925" cy="57150"/>
        </a:xfrm>
        <a:prstGeom prst="rect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</xdr:col>
      <xdr:colOff>276225</xdr:colOff>
      <xdr:row>9</xdr:row>
      <xdr:rowOff>38100</xdr:rowOff>
    </xdr:from>
    <xdr:to>
      <xdr:col>9</xdr:col>
      <xdr:colOff>257175</xdr:colOff>
      <xdr:row>9</xdr:row>
      <xdr:rowOff>38100</xdr:rowOff>
    </xdr:to>
    <xdr:cxnSp macro="">
      <xdr:nvCxnSpPr>
        <xdr:cNvPr id="7" name="Connecteur droit avec flèche 6"/>
        <xdr:cNvCxnSpPr/>
      </xdr:nvCxnSpPr>
      <xdr:spPr>
        <a:xfrm>
          <a:off x="3714750" y="1704975"/>
          <a:ext cx="914400" cy="0"/>
        </a:xfrm>
        <a:prstGeom prst="straightConnector1">
          <a:avLst/>
        </a:prstGeom>
        <a:ln>
          <a:solidFill>
            <a:sysClr val="windowText" lastClr="00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411480</xdr:colOff>
      <xdr:row>9</xdr:row>
      <xdr:rowOff>148590</xdr:rowOff>
    </xdr:from>
    <xdr:to>
      <xdr:col>9</xdr:col>
      <xdr:colOff>419100</xdr:colOff>
      <xdr:row>16</xdr:row>
      <xdr:rowOff>19050</xdr:rowOff>
    </xdr:to>
    <xdr:cxnSp macro="">
      <xdr:nvCxnSpPr>
        <xdr:cNvPr id="8" name="Connecteur droit avec flèche 7"/>
        <xdr:cNvCxnSpPr/>
      </xdr:nvCxnSpPr>
      <xdr:spPr>
        <a:xfrm flipH="1" flipV="1">
          <a:off x="4783455" y="1815465"/>
          <a:ext cx="7620" cy="1280160"/>
        </a:xfrm>
        <a:prstGeom prst="straightConnector1">
          <a:avLst/>
        </a:prstGeom>
        <a:ln>
          <a:solidFill>
            <a:sysClr val="windowText" lastClr="00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406445</xdr:colOff>
      <xdr:row>9</xdr:row>
      <xdr:rowOff>163830</xdr:rowOff>
    </xdr:from>
    <xdr:to>
      <xdr:col>6</xdr:col>
      <xdr:colOff>407670</xdr:colOff>
      <xdr:row>11</xdr:row>
      <xdr:rowOff>6804</xdr:rowOff>
    </xdr:to>
    <xdr:cxnSp macro="">
      <xdr:nvCxnSpPr>
        <xdr:cNvPr id="9" name="Connecteur droit avec flèche 8"/>
        <xdr:cNvCxnSpPr/>
      </xdr:nvCxnSpPr>
      <xdr:spPr>
        <a:xfrm flipV="1">
          <a:off x="3378245" y="1830705"/>
          <a:ext cx="1225" cy="262074"/>
        </a:xfrm>
        <a:prstGeom prst="straightConnector1">
          <a:avLst/>
        </a:prstGeom>
        <a:ln>
          <a:solidFill>
            <a:sysClr val="windowText" lastClr="00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152400</xdr:colOff>
      <xdr:row>9</xdr:row>
      <xdr:rowOff>161926</xdr:rowOff>
    </xdr:from>
    <xdr:to>
      <xdr:col>7</xdr:col>
      <xdr:colOff>152400</xdr:colOff>
      <xdr:row>15</xdr:row>
      <xdr:rowOff>66675</xdr:rowOff>
    </xdr:to>
    <xdr:cxnSp macro="">
      <xdr:nvCxnSpPr>
        <xdr:cNvPr id="10" name="Connecteur droit avec flèche 9"/>
        <xdr:cNvCxnSpPr/>
      </xdr:nvCxnSpPr>
      <xdr:spPr>
        <a:xfrm flipV="1">
          <a:off x="3590925" y="1828801"/>
          <a:ext cx="0" cy="1114424"/>
        </a:xfrm>
        <a:prstGeom prst="straightConnector1">
          <a:avLst/>
        </a:prstGeom>
        <a:ln>
          <a:solidFill>
            <a:sysClr val="windowText" lastClr="00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CHIERS%20JOE\FICHIERS%20EXCEL\dimensionnement\poteaux%20iso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 refreshError="1"/>
      <sheetData sheetId="1">
        <row r="3">
          <cell r="E3" t="str">
            <v>C 25 30</v>
          </cell>
          <cell r="F3" t="str">
            <v>C 30 35</v>
          </cell>
        </row>
        <row r="4">
          <cell r="B4" t="str">
            <v>oui</v>
          </cell>
          <cell r="H4">
            <v>6</v>
          </cell>
        </row>
        <row r="5">
          <cell r="B5" t="str">
            <v>non</v>
          </cell>
          <cell r="H5">
            <v>8</v>
          </cell>
        </row>
        <row r="6">
          <cell r="H6">
            <v>10</v>
          </cell>
        </row>
        <row r="7">
          <cell r="H7">
            <v>12</v>
          </cell>
        </row>
        <row r="8">
          <cell r="H8">
            <v>14</v>
          </cell>
        </row>
        <row r="9">
          <cell r="H9">
            <v>16</v>
          </cell>
        </row>
        <row r="10">
          <cell r="H10">
            <v>20</v>
          </cell>
        </row>
        <row r="11">
          <cell r="H11">
            <v>22</v>
          </cell>
        </row>
        <row r="12">
          <cell r="H12">
            <v>24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U93"/>
  <sheetViews>
    <sheetView showGridLines="0" tabSelected="1" view="pageLayout" zoomScaleNormal="100" workbookViewId="0">
      <selection activeCell="E68" sqref="E68"/>
    </sheetView>
  </sheetViews>
  <sheetFormatPr baseColWidth="10" defaultRowHeight="15" x14ac:dyDescent="0.25"/>
  <cols>
    <col min="1" max="1" width="5.7109375" style="1" customWidth="1"/>
    <col min="2" max="2" width="7.7109375" style="1" customWidth="1"/>
    <col min="3" max="3" width="6.42578125" style="1" customWidth="1"/>
    <col min="4" max="5" width="6.7109375" style="1" customWidth="1"/>
    <col min="6" max="6" width="7" style="1" customWidth="1"/>
    <col min="7" max="7" width="8.42578125" style="1" customWidth="1"/>
    <col min="8" max="8" width="6.7109375" style="1" customWidth="1"/>
    <col min="9" max="9" width="6" style="1" customWidth="1"/>
    <col min="10" max="10" width="5.85546875" style="1" customWidth="1"/>
    <col min="11" max="11" width="9.140625" style="1" customWidth="1"/>
    <col min="12" max="12" width="6" style="1" customWidth="1"/>
    <col min="13" max="13" width="6.85546875" style="1" customWidth="1"/>
    <col min="14" max="14" width="6.42578125" style="1" customWidth="1"/>
    <col min="15" max="15" width="6.85546875" style="1" customWidth="1"/>
    <col min="16" max="16" width="7.140625" style="1" customWidth="1"/>
    <col min="17" max="17" width="6.42578125" style="1" customWidth="1"/>
    <col min="18" max="18" width="6.28515625" style="1" customWidth="1"/>
    <col min="19" max="19" width="5.28515625" style="1" customWidth="1"/>
    <col min="20" max="20" width="6.28515625" style="1" customWidth="1"/>
    <col min="21" max="21" width="6" style="1" customWidth="1"/>
    <col min="22" max="22" width="4.42578125" style="1" customWidth="1"/>
    <col min="23" max="16384" width="11.42578125" style="1"/>
  </cols>
  <sheetData>
    <row r="1" spans="1:21" s="16" customFormat="1" ht="13.5" x14ac:dyDescent="0.25">
      <c r="A1" s="12"/>
      <c r="B1" s="13"/>
      <c r="C1" s="29"/>
      <c r="D1" s="14"/>
      <c r="E1" s="14"/>
      <c r="F1" s="14"/>
      <c r="G1" s="14"/>
      <c r="H1" s="14"/>
      <c r="I1" s="14"/>
      <c r="J1" s="47" t="s">
        <v>4</v>
      </c>
      <c r="K1" s="14"/>
      <c r="L1" s="14"/>
      <c r="M1" s="14"/>
      <c r="N1" s="14"/>
      <c r="O1" s="14"/>
      <c r="P1" s="14"/>
      <c r="Q1" s="14"/>
      <c r="R1" s="14"/>
      <c r="S1" s="14"/>
      <c r="T1" s="14"/>
      <c r="U1" s="15"/>
    </row>
    <row r="2" spans="1:21" s="16" customFormat="1" ht="14.25" x14ac:dyDescent="0.25">
      <c r="A2" s="18"/>
      <c r="B2" s="19"/>
      <c r="C2" s="71" t="s">
        <v>153</v>
      </c>
      <c r="D2" s="17"/>
      <c r="E2" s="17"/>
      <c r="F2" s="17"/>
      <c r="G2" s="17"/>
      <c r="H2" s="17"/>
      <c r="I2" s="17"/>
      <c r="J2" s="20" t="s">
        <v>154</v>
      </c>
      <c r="K2" s="17"/>
      <c r="L2" s="17"/>
      <c r="M2" s="17"/>
      <c r="N2" s="17"/>
      <c r="O2" s="17"/>
      <c r="P2" s="17"/>
      <c r="Q2" s="17"/>
      <c r="R2" s="17"/>
      <c r="S2" s="17"/>
      <c r="T2" s="17"/>
      <c r="U2" s="19"/>
    </row>
    <row r="3" spans="1:21" s="16" customFormat="1" ht="16.5" x14ac:dyDescent="0.25">
      <c r="A3" s="18"/>
      <c r="B3" s="19"/>
      <c r="C3" s="30" t="s">
        <v>106</v>
      </c>
      <c r="D3" s="17"/>
      <c r="E3" s="17"/>
      <c r="F3" s="17"/>
      <c r="G3" s="17"/>
      <c r="H3" s="17"/>
      <c r="I3" s="17"/>
      <c r="J3" s="20"/>
      <c r="K3" s="17"/>
      <c r="L3" s="17"/>
      <c r="M3" s="17"/>
      <c r="N3" s="17"/>
      <c r="O3" s="17"/>
      <c r="P3" s="17"/>
      <c r="Q3" s="17"/>
      <c r="R3" s="17"/>
      <c r="S3" s="17"/>
      <c r="T3" s="17"/>
      <c r="U3" s="19"/>
    </row>
    <row r="4" spans="1:21" s="16" customFormat="1" ht="14.25" x14ac:dyDescent="0.25">
      <c r="A4" s="21"/>
      <c r="B4" s="27"/>
      <c r="C4" s="21"/>
      <c r="D4" s="22"/>
      <c r="E4" s="22"/>
      <c r="F4" s="22"/>
      <c r="G4" s="22"/>
      <c r="H4" s="22"/>
      <c r="I4" s="22"/>
      <c r="J4" s="72" t="s">
        <v>111</v>
      </c>
      <c r="K4" s="22"/>
      <c r="L4" s="22"/>
      <c r="M4" s="22"/>
      <c r="N4" s="22"/>
      <c r="O4" s="22"/>
      <c r="P4" s="22"/>
      <c r="Q4" s="22"/>
      <c r="R4" s="22"/>
      <c r="S4" s="22"/>
      <c r="T4" s="22"/>
      <c r="U4" s="23"/>
    </row>
    <row r="5" spans="1:21" s="16" customFormat="1" ht="9.75" customHeight="1" x14ac:dyDescent="0.25">
      <c r="B5" s="24"/>
      <c r="G5" s="25"/>
    </row>
    <row r="6" spans="1:21" s="16" customFormat="1" ht="14.25" x14ac:dyDescent="0.25">
      <c r="A6" s="14"/>
      <c r="B6" s="85" t="s">
        <v>5</v>
      </c>
      <c r="C6" s="14"/>
      <c r="D6" s="86" t="s">
        <v>214</v>
      </c>
      <c r="E6" s="14"/>
      <c r="F6" s="14"/>
      <c r="G6" s="87"/>
      <c r="H6" s="14"/>
      <c r="I6" s="14"/>
      <c r="J6" s="14"/>
      <c r="K6" s="14"/>
      <c r="L6" s="14"/>
      <c r="M6" s="87"/>
      <c r="N6" s="14"/>
      <c r="O6" s="14"/>
      <c r="P6" s="14"/>
      <c r="Q6" s="14"/>
      <c r="R6" s="14"/>
      <c r="S6" s="14"/>
      <c r="T6" s="14"/>
      <c r="U6" s="14"/>
    </row>
    <row r="7" spans="1:21" s="16" customFormat="1" ht="14.25" x14ac:dyDescent="0.25">
      <c r="A7" s="17"/>
      <c r="B7" s="79" t="s">
        <v>215</v>
      </c>
      <c r="C7" s="17"/>
      <c r="D7" s="80" t="s">
        <v>216</v>
      </c>
      <c r="E7" s="17"/>
      <c r="F7" s="17"/>
      <c r="G7" s="81"/>
      <c r="H7" s="17"/>
      <c r="I7" s="17"/>
      <c r="J7" s="17"/>
      <c r="K7" s="17"/>
      <c r="L7" s="17"/>
      <c r="M7" s="81"/>
      <c r="N7" s="17"/>
      <c r="O7" s="17"/>
      <c r="P7" s="17"/>
      <c r="Q7" s="17"/>
      <c r="R7" s="17"/>
      <c r="S7" s="17"/>
      <c r="T7" s="17"/>
      <c r="U7" s="17"/>
    </row>
    <row r="8" spans="1:21" s="16" customFormat="1" ht="14.25" x14ac:dyDescent="0.25">
      <c r="A8" s="22"/>
      <c r="B8" s="82"/>
      <c r="C8" s="22"/>
      <c r="D8" s="83" t="s">
        <v>217</v>
      </c>
      <c r="E8" s="22"/>
      <c r="F8" s="22"/>
      <c r="G8" s="84"/>
      <c r="H8" s="22"/>
      <c r="I8" s="22"/>
      <c r="J8" s="22"/>
      <c r="K8" s="22"/>
      <c r="L8" s="22"/>
      <c r="M8" s="84"/>
      <c r="N8" s="22"/>
      <c r="O8" s="22"/>
      <c r="P8" s="22"/>
      <c r="Q8" s="22"/>
      <c r="R8" s="22"/>
      <c r="S8" s="22"/>
      <c r="T8" s="22"/>
      <c r="U8" s="22"/>
    </row>
    <row r="9" spans="1:21" s="16" customFormat="1" ht="6" customHeight="1" x14ac:dyDescent="0.25">
      <c r="B9" s="24"/>
      <c r="D9" s="1"/>
      <c r="G9" s="25"/>
      <c r="M9" s="25"/>
    </row>
    <row r="10" spans="1:21" ht="15.75" x14ac:dyDescent="0.25">
      <c r="B10" s="28" t="s">
        <v>131</v>
      </c>
      <c r="C10" s="28"/>
      <c r="I10" s="28" t="s">
        <v>205</v>
      </c>
      <c r="O10" s="28" t="s">
        <v>119</v>
      </c>
      <c r="R10" s="6"/>
      <c r="S10" s="6"/>
      <c r="T10" s="33"/>
    </row>
    <row r="11" spans="1:21" x14ac:dyDescent="0.25">
      <c r="B11" s="33" t="s">
        <v>120</v>
      </c>
      <c r="C11" s="33"/>
      <c r="D11" s="33"/>
      <c r="E11" s="33"/>
      <c r="F11" s="32" t="s">
        <v>121</v>
      </c>
      <c r="G11" s="124">
        <v>270</v>
      </c>
      <c r="H11" s="33" t="s">
        <v>122</v>
      </c>
      <c r="J11" s="28"/>
      <c r="K11" s="28"/>
      <c r="L11" s="38" t="s">
        <v>126</v>
      </c>
      <c r="M11" s="38"/>
      <c r="O11" s="66" t="s">
        <v>22</v>
      </c>
      <c r="P11" s="66" t="s">
        <v>20</v>
      </c>
      <c r="Q11" s="129">
        <v>20</v>
      </c>
      <c r="R11" s="73" t="s">
        <v>0</v>
      </c>
    </row>
    <row r="12" spans="1:21" ht="17.25" customHeight="1" x14ac:dyDescent="0.25">
      <c r="B12" s="50" t="s">
        <v>145</v>
      </c>
      <c r="F12" s="48" t="s">
        <v>7</v>
      </c>
      <c r="G12" s="125">
        <v>45</v>
      </c>
      <c r="H12" s="50" t="s">
        <v>36</v>
      </c>
      <c r="I12" s="32" t="s">
        <v>125</v>
      </c>
      <c r="J12" s="127">
        <v>20</v>
      </c>
      <c r="K12" s="33" t="s">
        <v>36</v>
      </c>
      <c r="M12" s="2"/>
      <c r="O12" s="32"/>
      <c r="P12" s="32" t="s">
        <v>18</v>
      </c>
      <c r="Q12" s="34">
        <f>0.85*Q11/(J16*1.5)</f>
        <v>11.333333333333334</v>
      </c>
      <c r="R12" s="33" t="s">
        <v>0</v>
      </c>
    </row>
    <row r="13" spans="1:21" x14ac:dyDescent="0.25">
      <c r="B13" s="50" t="s">
        <v>146</v>
      </c>
      <c r="F13" s="48" t="s">
        <v>14</v>
      </c>
      <c r="G13" s="125">
        <v>30</v>
      </c>
      <c r="H13" s="50" t="s">
        <v>36</v>
      </c>
      <c r="I13" s="32" t="s">
        <v>115</v>
      </c>
      <c r="J13" s="127">
        <v>30</v>
      </c>
      <c r="K13" s="33" t="s">
        <v>36</v>
      </c>
      <c r="M13" s="38"/>
      <c r="O13" s="35"/>
      <c r="P13" s="36" t="s">
        <v>24</v>
      </c>
      <c r="Q13" s="42">
        <f>0.6+0.06*Q11</f>
        <v>1.7999999999999998</v>
      </c>
      <c r="R13" s="39" t="s">
        <v>0</v>
      </c>
    </row>
    <row r="14" spans="1:21" ht="15.75" x14ac:dyDescent="0.25">
      <c r="B14" s="50" t="s">
        <v>203</v>
      </c>
      <c r="F14" s="48" t="s">
        <v>204</v>
      </c>
      <c r="G14" s="126">
        <v>294</v>
      </c>
      <c r="H14" s="50" t="s">
        <v>122</v>
      </c>
      <c r="I14" s="48" t="s">
        <v>116</v>
      </c>
      <c r="J14" s="128">
        <v>707</v>
      </c>
      <c r="K14" s="50" t="s">
        <v>118</v>
      </c>
      <c r="M14" s="2"/>
      <c r="O14" s="66" t="s">
        <v>23</v>
      </c>
      <c r="P14" s="66" t="s">
        <v>21</v>
      </c>
      <c r="Q14" s="129">
        <v>400</v>
      </c>
      <c r="R14" s="73" t="s">
        <v>0</v>
      </c>
    </row>
    <row r="15" spans="1:21" x14ac:dyDescent="0.25">
      <c r="B15" s="50" t="s">
        <v>240</v>
      </c>
      <c r="C15" s="50"/>
      <c r="H15" s="33"/>
      <c r="I15" s="48" t="s">
        <v>117</v>
      </c>
      <c r="J15" s="128">
        <v>519</v>
      </c>
      <c r="K15" s="50" t="s">
        <v>118</v>
      </c>
      <c r="L15" s="33"/>
      <c r="M15" s="32" t="s">
        <v>114</v>
      </c>
      <c r="O15" s="36"/>
      <c r="P15" s="36" t="s">
        <v>19</v>
      </c>
      <c r="Q15" s="36">
        <f>Q14/1.15</f>
        <v>347.82608695652175</v>
      </c>
      <c r="R15" s="39" t="s">
        <v>0</v>
      </c>
    </row>
    <row r="16" spans="1:21" ht="15.75" x14ac:dyDescent="0.25">
      <c r="B16" s="50"/>
      <c r="C16" s="50"/>
      <c r="D16" s="33" t="s">
        <v>241</v>
      </c>
      <c r="F16" s="32" t="s">
        <v>244</v>
      </c>
      <c r="G16" s="127">
        <v>4155</v>
      </c>
      <c r="H16" s="33" t="s">
        <v>118</v>
      </c>
      <c r="I16" s="32" t="s">
        <v>74</v>
      </c>
      <c r="J16" s="126">
        <v>1</v>
      </c>
      <c r="K16" s="32"/>
      <c r="M16" s="2"/>
      <c r="O16" s="75" t="s">
        <v>104</v>
      </c>
    </row>
    <row r="17" spans="2:21" x14ac:dyDescent="0.25">
      <c r="B17" s="50"/>
      <c r="C17" s="50"/>
      <c r="D17" s="33" t="s">
        <v>242</v>
      </c>
      <c r="F17" s="32" t="s">
        <v>245</v>
      </c>
      <c r="G17" s="127">
        <v>7416</v>
      </c>
      <c r="H17" s="33" t="s">
        <v>118</v>
      </c>
      <c r="I17" s="32" t="s">
        <v>113</v>
      </c>
      <c r="J17" s="34">
        <f>IF(J16=1,1,IF(J16=0.9,1.02,IF(J16=0.85,1.04,"")))</f>
        <v>1</v>
      </c>
      <c r="M17" s="38"/>
      <c r="O17" s="75" t="s">
        <v>155</v>
      </c>
    </row>
    <row r="18" spans="2:21" x14ac:dyDescent="0.25">
      <c r="B18" s="50"/>
      <c r="C18" s="50"/>
      <c r="D18" s="33" t="s">
        <v>243</v>
      </c>
      <c r="F18" s="32" t="s">
        <v>246</v>
      </c>
      <c r="G18" s="127">
        <v>3005</v>
      </c>
      <c r="H18" s="33" t="s">
        <v>118</v>
      </c>
      <c r="I18" s="32"/>
      <c r="J18" s="34"/>
      <c r="M18" s="38"/>
      <c r="O18" s="75" t="s">
        <v>132</v>
      </c>
    </row>
    <row r="19" spans="2:21" x14ac:dyDescent="0.25">
      <c r="C19" s="33"/>
      <c r="D19" s="33" t="s">
        <v>247</v>
      </c>
      <c r="F19" s="32" t="s">
        <v>116</v>
      </c>
      <c r="G19" s="74">
        <f>1.35*(G16+G17)+1.5*G18</f>
        <v>20128.349999999999</v>
      </c>
      <c r="H19" s="33" t="s">
        <v>118</v>
      </c>
      <c r="I19" s="32"/>
      <c r="J19" s="34"/>
      <c r="M19" s="38"/>
      <c r="O19" s="75"/>
    </row>
    <row r="20" spans="2:21" x14ac:dyDescent="0.25">
      <c r="C20" s="33"/>
      <c r="D20" s="33" t="s">
        <v>248</v>
      </c>
      <c r="F20" s="32" t="s">
        <v>117</v>
      </c>
      <c r="G20" s="74">
        <f>SUM(G16:G18)</f>
        <v>14576</v>
      </c>
      <c r="H20" s="33" t="s">
        <v>118</v>
      </c>
      <c r="I20" s="32"/>
      <c r="J20" s="34"/>
      <c r="M20" s="38"/>
      <c r="O20" s="75"/>
    </row>
    <row r="21" spans="2:21" x14ac:dyDescent="0.25">
      <c r="B21" s="33" t="s">
        <v>141</v>
      </c>
      <c r="C21" s="33"/>
      <c r="D21" s="33"/>
      <c r="E21" s="33"/>
      <c r="F21" s="32" t="s">
        <v>142</v>
      </c>
      <c r="G21" s="74">
        <f>G12*25/100</f>
        <v>11.25</v>
      </c>
      <c r="H21" s="33" t="s">
        <v>137</v>
      </c>
      <c r="I21" s="32"/>
      <c r="J21" s="34"/>
      <c r="M21" s="38"/>
      <c r="O21" s="75"/>
    </row>
    <row r="22" spans="2:21" ht="17.25" customHeight="1" x14ac:dyDescent="0.25">
      <c r="B22" s="33" t="s">
        <v>139</v>
      </c>
      <c r="C22" s="33"/>
      <c r="D22" s="33"/>
      <c r="E22" s="33"/>
      <c r="F22" s="32" t="s">
        <v>143</v>
      </c>
      <c r="G22" s="126">
        <f>20*0+0.12*25+1.1</f>
        <v>4.0999999999999996</v>
      </c>
      <c r="H22" s="33" t="s">
        <v>137</v>
      </c>
      <c r="M22" s="2"/>
    </row>
    <row r="23" spans="2:21" x14ac:dyDescent="0.25">
      <c r="B23" s="33" t="s">
        <v>140</v>
      </c>
      <c r="C23" s="33"/>
      <c r="D23" s="33"/>
      <c r="E23" s="33"/>
      <c r="F23" s="32" t="s">
        <v>144</v>
      </c>
      <c r="G23" s="126">
        <v>2.5</v>
      </c>
      <c r="H23" s="33" t="s">
        <v>137</v>
      </c>
      <c r="I23" s="33"/>
      <c r="J23" s="33"/>
    </row>
    <row r="24" spans="2:21" x14ac:dyDescent="0.25">
      <c r="I24" s="33"/>
      <c r="J24" s="33"/>
    </row>
    <row r="25" spans="2:21" x14ac:dyDescent="0.25">
      <c r="B25" s="76" t="s">
        <v>133</v>
      </c>
      <c r="C25" s="39"/>
      <c r="D25" s="39"/>
      <c r="E25" s="39"/>
      <c r="F25" s="39"/>
      <c r="G25" s="39"/>
      <c r="H25" s="35"/>
      <c r="I25" s="39"/>
      <c r="J25" s="39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</row>
    <row r="26" spans="2:21" x14ac:dyDescent="0.25">
      <c r="B26" s="33" t="s">
        <v>123</v>
      </c>
      <c r="C26" s="33"/>
      <c r="D26" s="33"/>
      <c r="F26" s="33" t="s">
        <v>127</v>
      </c>
      <c r="J26" s="32" t="s">
        <v>124</v>
      </c>
      <c r="K26" s="74">
        <f>2*(J12+G12+J13+G12)</f>
        <v>280</v>
      </c>
      <c r="L26" s="33" t="s">
        <v>36</v>
      </c>
    </row>
    <row r="27" spans="2:21" x14ac:dyDescent="0.25">
      <c r="B27" s="33" t="s">
        <v>130</v>
      </c>
      <c r="C27" s="33"/>
      <c r="D27" s="33"/>
      <c r="E27" s="33"/>
      <c r="F27" s="33" t="s">
        <v>128</v>
      </c>
      <c r="J27" s="32" t="s">
        <v>129</v>
      </c>
      <c r="K27" s="74">
        <f>0.045*K26*G12*Q11/1.5/10</f>
        <v>756</v>
      </c>
      <c r="L27" s="33" t="s">
        <v>118</v>
      </c>
    </row>
    <row r="28" spans="2:21" x14ac:dyDescent="0.25">
      <c r="B28" s="3"/>
      <c r="C28" s="50"/>
      <c r="D28" s="50"/>
      <c r="E28" s="50"/>
      <c r="F28" s="50" t="s">
        <v>31</v>
      </c>
      <c r="G28" s="3"/>
      <c r="H28" s="78" t="str">
        <f>IF(J14&lt;K27,"épaisseur du radier OK","augmenter l'épaisseur du radier ou les dimensions du poteau")</f>
        <v>épaisseur du radier OK</v>
      </c>
      <c r="I28" s="3"/>
      <c r="J28" s="3"/>
      <c r="K28" s="3"/>
      <c r="L28" s="48"/>
      <c r="M28" s="77"/>
      <c r="N28" s="50"/>
      <c r="O28" s="3"/>
      <c r="P28" s="3"/>
      <c r="Q28" s="3"/>
      <c r="R28" s="3"/>
      <c r="S28" s="3"/>
      <c r="T28" s="3"/>
      <c r="U28" s="3"/>
    </row>
    <row r="29" spans="2:21" x14ac:dyDescent="0.25">
      <c r="C29" s="33"/>
      <c r="D29" s="33"/>
      <c r="E29" s="33"/>
    </row>
    <row r="30" spans="2:21" x14ac:dyDescent="0.25">
      <c r="B30" s="76" t="s">
        <v>206</v>
      </c>
      <c r="C30" s="39"/>
      <c r="D30" s="39"/>
      <c r="E30" s="39"/>
      <c r="F30" s="39"/>
      <c r="G30" s="39"/>
      <c r="H30" s="35"/>
      <c r="I30" s="39"/>
      <c r="J30" s="39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</row>
    <row r="31" spans="2:21" x14ac:dyDescent="0.25">
      <c r="B31" s="50" t="s">
        <v>134</v>
      </c>
      <c r="C31" s="50"/>
      <c r="D31" s="50"/>
      <c r="E31" s="50"/>
      <c r="F31" s="3"/>
      <c r="G31" s="3"/>
      <c r="H31" s="3"/>
      <c r="I31" s="3"/>
      <c r="J31" s="48" t="s">
        <v>136</v>
      </c>
      <c r="K31" s="77">
        <f>G19/G14+1.35*(G21+G22)+1.5*G23</f>
        <v>92.936275510204069</v>
      </c>
      <c r="L31" s="50" t="s">
        <v>137</v>
      </c>
    </row>
    <row r="32" spans="2:21" x14ac:dyDescent="0.25">
      <c r="B32" s="50" t="s">
        <v>135</v>
      </c>
      <c r="J32" s="48" t="s">
        <v>138</v>
      </c>
      <c r="K32" s="77">
        <f>G20/G14+G21+G22+G23</f>
        <v>67.428231292517012</v>
      </c>
      <c r="L32" s="50" t="s">
        <v>137</v>
      </c>
    </row>
    <row r="33" spans="1:21" x14ac:dyDescent="0.25">
      <c r="B33" s="50" t="s">
        <v>152</v>
      </c>
      <c r="J33" s="48" t="s">
        <v>148</v>
      </c>
      <c r="K33" s="125">
        <f>K34*2</f>
        <v>200</v>
      </c>
      <c r="L33" s="50" t="s">
        <v>137</v>
      </c>
    </row>
    <row r="34" spans="1:21" x14ac:dyDescent="0.25">
      <c r="B34" s="50" t="s">
        <v>151</v>
      </c>
      <c r="J34" s="48" t="s">
        <v>147</v>
      </c>
      <c r="K34" s="125">
        <v>100</v>
      </c>
      <c r="L34" s="50" t="s">
        <v>137</v>
      </c>
    </row>
    <row r="35" spans="1:21" x14ac:dyDescent="0.25">
      <c r="B35" s="50" t="s">
        <v>150</v>
      </c>
      <c r="F35" s="50" t="s">
        <v>31</v>
      </c>
      <c r="G35" s="3"/>
      <c r="H35" s="78" t="str">
        <f>IF(K31&lt;K33,"surface du radier OK","augmenter la surface du radier")</f>
        <v>surface du radier OK</v>
      </c>
      <c r="J35" s="48"/>
      <c r="K35" s="50"/>
      <c r="L35" s="50"/>
    </row>
    <row r="36" spans="1:21" x14ac:dyDescent="0.25">
      <c r="B36" s="50" t="s">
        <v>149</v>
      </c>
      <c r="C36" s="3"/>
      <c r="D36" s="3"/>
      <c r="E36" s="3"/>
      <c r="F36" s="50" t="s">
        <v>31</v>
      </c>
      <c r="G36" s="3"/>
      <c r="H36" s="78" t="str">
        <f>IF(K32&lt;K34,"surface du radier OK","augmenter la surface du radier")</f>
        <v>surface du radier OK</v>
      </c>
      <c r="I36" s="3"/>
      <c r="J36" s="48"/>
      <c r="K36" s="77"/>
      <c r="L36" s="50"/>
      <c r="M36" s="3"/>
      <c r="N36" s="3"/>
      <c r="O36" s="3"/>
      <c r="P36" s="3"/>
      <c r="Q36" s="3"/>
      <c r="R36" s="3"/>
      <c r="S36" s="3"/>
      <c r="T36" s="3"/>
      <c r="U36" s="3"/>
    </row>
    <row r="37" spans="1:21" s="3" customFormat="1" x14ac:dyDescent="0.25">
      <c r="A37" s="35"/>
      <c r="B37" s="76" t="s">
        <v>164</v>
      </c>
      <c r="C37" s="39"/>
      <c r="D37" s="39"/>
      <c r="E37" s="39"/>
      <c r="F37" s="39"/>
      <c r="G37" s="39"/>
      <c r="H37" s="39" t="s">
        <v>31</v>
      </c>
      <c r="I37" s="39"/>
      <c r="J37" s="103" t="str">
        <f>IF(K39&lt;K42,"contrainte OK","contrainte non OK")</f>
        <v>contrainte OK</v>
      </c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</row>
    <row r="38" spans="1:21" x14ac:dyDescent="0.25">
      <c r="B38" s="50" t="s">
        <v>160</v>
      </c>
      <c r="C38" s="50"/>
      <c r="D38" s="50"/>
      <c r="E38" s="50"/>
      <c r="F38" s="50"/>
      <c r="G38" s="50"/>
      <c r="H38" s="3"/>
      <c r="I38" s="50"/>
      <c r="J38" s="50"/>
      <c r="K38" s="50"/>
      <c r="L38" s="3"/>
    </row>
    <row r="39" spans="1:21" x14ac:dyDescent="0.25">
      <c r="B39" s="50" t="s">
        <v>165</v>
      </c>
      <c r="C39" s="50"/>
      <c r="D39" s="50"/>
      <c r="E39" s="50"/>
      <c r="F39" s="50"/>
      <c r="G39" s="50"/>
      <c r="H39" s="3"/>
      <c r="I39" s="50"/>
      <c r="J39" s="50" t="s">
        <v>161</v>
      </c>
      <c r="K39" s="124">
        <v>3.8</v>
      </c>
      <c r="L39" s="50" t="s">
        <v>3</v>
      </c>
    </row>
    <row r="40" spans="1:21" x14ac:dyDescent="0.25">
      <c r="B40" s="50" t="s">
        <v>162</v>
      </c>
      <c r="C40" s="50"/>
      <c r="D40" s="50"/>
      <c r="E40" s="50"/>
      <c r="F40" s="50"/>
      <c r="G40" s="50"/>
      <c r="H40" s="3"/>
      <c r="I40" s="50"/>
      <c r="J40" s="48" t="s">
        <v>163</v>
      </c>
      <c r="K40" s="88">
        <v>1</v>
      </c>
      <c r="L40" s="50" t="s">
        <v>3</v>
      </c>
    </row>
    <row r="41" spans="1:21" x14ac:dyDescent="0.25">
      <c r="B41" s="50" t="s">
        <v>156</v>
      </c>
      <c r="C41" s="50"/>
      <c r="D41" s="50"/>
      <c r="E41" s="50"/>
      <c r="F41" s="3"/>
      <c r="G41" s="3"/>
      <c r="H41" s="3"/>
      <c r="I41" s="3"/>
      <c r="J41" s="48" t="s">
        <v>159</v>
      </c>
      <c r="K41" s="77">
        <f>(G19/G14)*K39/2/(K40*0.9*G12/100)</f>
        <v>321.18808264046351</v>
      </c>
      <c r="L41" s="50" t="s">
        <v>137</v>
      </c>
    </row>
    <row r="42" spans="1:21" x14ac:dyDescent="0.25">
      <c r="B42" s="50" t="s">
        <v>157</v>
      </c>
      <c r="J42" s="48" t="s">
        <v>158</v>
      </c>
      <c r="K42" s="77">
        <f>0.07*Q12*1000</f>
        <v>793.33333333333348</v>
      </c>
      <c r="L42" s="50" t="s">
        <v>137</v>
      </c>
    </row>
    <row r="44" spans="1:21" x14ac:dyDescent="0.25">
      <c r="B44" s="76" t="s">
        <v>166</v>
      </c>
      <c r="C44" s="39"/>
      <c r="D44" s="39"/>
      <c r="E44" s="39"/>
      <c r="F44" s="39"/>
      <c r="G44" s="39"/>
      <c r="H44" s="39" t="s">
        <v>31</v>
      </c>
      <c r="I44" s="39"/>
      <c r="J44" s="103" t="str">
        <f>IF(K47&lt;K49,"vérification OK","vérification non OK")</f>
        <v>vérification OK</v>
      </c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</row>
    <row r="45" spans="1:21" x14ac:dyDescent="0.25">
      <c r="B45" s="50" t="s">
        <v>160</v>
      </c>
      <c r="C45" s="50"/>
      <c r="D45" s="50"/>
      <c r="E45" s="50"/>
      <c r="F45" s="50"/>
      <c r="G45" s="50"/>
      <c r="H45" s="3"/>
      <c r="I45" s="50"/>
      <c r="J45" s="50"/>
      <c r="K45" s="50"/>
      <c r="L45" s="3"/>
    </row>
    <row r="46" spans="1:21" x14ac:dyDescent="0.25">
      <c r="B46" s="50" t="s">
        <v>167</v>
      </c>
      <c r="C46" s="50"/>
      <c r="D46" s="50"/>
      <c r="E46" s="50"/>
      <c r="F46" s="50"/>
      <c r="G46" s="50"/>
      <c r="H46" s="3"/>
      <c r="I46" s="50"/>
      <c r="J46" s="48" t="s">
        <v>168</v>
      </c>
      <c r="K46" s="124">
        <v>9.81</v>
      </c>
      <c r="L46" s="50" t="s">
        <v>169</v>
      </c>
    </row>
    <row r="47" spans="1:21" x14ac:dyDescent="0.25">
      <c r="B47" s="50" t="s">
        <v>170</v>
      </c>
      <c r="C47" s="50"/>
      <c r="D47" s="50"/>
      <c r="E47" s="50"/>
      <c r="F47" s="50"/>
      <c r="G47" s="50"/>
      <c r="H47" s="3"/>
      <c r="I47" s="50"/>
      <c r="J47" s="48" t="s">
        <v>171</v>
      </c>
      <c r="K47" s="124">
        <v>1.5</v>
      </c>
      <c r="L47" s="50" t="s">
        <v>3</v>
      </c>
    </row>
    <row r="48" spans="1:21" x14ac:dyDescent="0.25">
      <c r="B48" s="50" t="s">
        <v>172</v>
      </c>
      <c r="C48" s="50"/>
      <c r="D48" s="50"/>
      <c r="E48" s="50"/>
      <c r="F48" s="50"/>
      <c r="G48" s="50"/>
      <c r="H48" s="3"/>
      <c r="I48" s="50"/>
      <c r="J48" s="48" t="s">
        <v>173</v>
      </c>
      <c r="K48" s="124">
        <f>1.5</f>
        <v>1.5</v>
      </c>
      <c r="L48" s="50"/>
    </row>
    <row r="49" spans="1:21" x14ac:dyDescent="0.25">
      <c r="B49" s="50" t="s">
        <v>174</v>
      </c>
      <c r="C49" s="50"/>
      <c r="D49" s="50"/>
      <c r="E49" s="50"/>
      <c r="F49" s="50"/>
      <c r="G49" s="50"/>
      <c r="H49" s="3"/>
      <c r="I49" s="50"/>
      <c r="J49" s="48" t="s">
        <v>175</v>
      </c>
      <c r="K49" s="77">
        <f>(G16+G17+G21+G22)</f>
        <v>11586.35</v>
      </c>
      <c r="L49" s="50" t="s">
        <v>118</v>
      </c>
    </row>
    <row r="50" spans="1:21" x14ac:dyDescent="0.25">
      <c r="B50" s="50" t="s">
        <v>176</v>
      </c>
      <c r="C50" s="50"/>
      <c r="D50" s="50"/>
      <c r="E50" s="50"/>
      <c r="F50" s="50"/>
      <c r="G50" s="50"/>
      <c r="H50" s="3"/>
      <c r="I50" s="50"/>
      <c r="J50" s="48" t="s">
        <v>177</v>
      </c>
      <c r="K50" s="88">
        <f>K48*K46*K47*G14</f>
        <v>6489.3149999999996</v>
      </c>
      <c r="L50" s="50" t="s">
        <v>118</v>
      </c>
    </row>
    <row r="51" spans="1:21" x14ac:dyDescent="0.25">
      <c r="B51" s="3"/>
      <c r="C51" s="3"/>
      <c r="D51" s="3"/>
      <c r="E51" s="3"/>
      <c r="F51" s="50"/>
      <c r="G51" s="3"/>
      <c r="H51" s="78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1" x14ac:dyDescent="0.25">
      <c r="B52" s="76" t="s">
        <v>185</v>
      </c>
      <c r="C52" s="39"/>
      <c r="D52" s="39"/>
      <c r="E52" s="39"/>
      <c r="F52" s="39"/>
      <c r="G52" s="39"/>
      <c r="H52" s="35"/>
      <c r="I52" s="39"/>
      <c r="J52" s="39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</row>
    <row r="53" spans="1:21" x14ac:dyDescent="0.25">
      <c r="B53" s="50" t="s">
        <v>186</v>
      </c>
      <c r="C53" s="50"/>
      <c r="D53" s="50"/>
      <c r="E53" s="50"/>
      <c r="F53" s="50"/>
      <c r="G53" s="50"/>
      <c r="H53" s="3"/>
      <c r="I53" s="50"/>
      <c r="J53" s="50"/>
      <c r="K53" s="50"/>
      <c r="L53" s="3"/>
    </row>
    <row r="54" spans="1:21" x14ac:dyDescent="0.25">
      <c r="A54" s="50"/>
      <c r="B54" s="50" t="s">
        <v>188</v>
      </c>
      <c r="C54" s="50"/>
      <c r="D54" s="50"/>
      <c r="E54" s="50"/>
      <c r="F54" s="50"/>
      <c r="G54" s="50"/>
      <c r="H54" s="50"/>
      <c r="I54" s="50"/>
      <c r="J54" s="50"/>
      <c r="K54" s="50"/>
      <c r="L54" s="50"/>
      <c r="O54" s="38" t="s">
        <v>196</v>
      </c>
      <c r="P54" s="124">
        <v>3.85</v>
      </c>
      <c r="Q54" s="33" t="s">
        <v>3</v>
      </c>
    </row>
    <row r="55" spans="1:21" ht="15.75" x14ac:dyDescent="0.25">
      <c r="A55" s="50"/>
      <c r="B55" s="48" t="s">
        <v>189</v>
      </c>
      <c r="C55" s="131">
        <v>0.75</v>
      </c>
      <c r="D55" s="50" t="s">
        <v>190</v>
      </c>
      <c r="E55" s="50"/>
      <c r="G55" s="48" t="s">
        <v>191</v>
      </c>
      <c r="H55" s="130">
        <v>0.5</v>
      </c>
      <c r="I55" s="50" t="s">
        <v>190</v>
      </c>
      <c r="J55" s="50"/>
      <c r="K55" s="50"/>
      <c r="P55" s="33"/>
      <c r="R55" s="2"/>
    </row>
    <row r="56" spans="1:21" x14ac:dyDescent="0.25">
      <c r="B56" s="50" t="s">
        <v>187</v>
      </c>
      <c r="M56" s="50" t="s">
        <v>181</v>
      </c>
      <c r="P56" s="33"/>
      <c r="R56" s="38"/>
    </row>
    <row r="57" spans="1:21" ht="15.75" x14ac:dyDescent="0.25">
      <c r="B57" s="95" t="s">
        <v>178</v>
      </c>
      <c r="C57" s="95" t="s">
        <v>198</v>
      </c>
      <c r="D57" s="95" t="s">
        <v>192</v>
      </c>
      <c r="E57" s="93" t="s">
        <v>180</v>
      </c>
      <c r="F57" s="93" t="s">
        <v>181</v>
      </c>
      <c r="G57" s="95" t="s">
        <v>199</v>
      </c>
      <c r="H57" s="95" t="s">
        <v>193</v>
      </c>
      <c r="I57" s="93" t="s">
        <v>182</v>
      </c>
      <c r="J57" s="93" t="s">
        <v>183</v>
      </c>
      <c r="M57" s="50"/>
      <c r="P57" s="50"/>
      <c r="R57" s="2"/>
    </row>
    <row r="58" spans="1:21" x14ac:dyDescent="0.25">
      <c r="B58" s="91">
        <f>K31</f>
        <v>92.936275510204069</v>
      </c>
      <c r="C58" s="128">
        <v>3.7999999999999999E-2</v>
      </c>
      <c r="D58" s="92">
        <f>C58*B58*T58^2</f>
        <v>14.126313877551018</v>
      </c>
      <c r="E58" s="92">
        <f>C55*D58</f>
        <v>10.594735408163263</v>
      </c>
      <c r="F58" s="92">
        <f>H55*D58</f>
        <v>7.0631569387755091</v>
      </c>
      <c r="G58" s="132">
        <v>0.97099999999999997</v>
      </c>
      <c r="H58" s="92">
        <f>G58*C58*B58*P54^2</f>
        <v>50.828764028487498</v>
      </c>
      <c r="I58" s="92">
        <f>C55*H58</f>
        <v>38.12157302136562</v>
      </c>
      <c r="J58" s="92">
        <f>H55*H58</f>
        <v>25.414382014243749</v>
      </c>
      <c r="M58" s="50" t="s">
        <v>180</v>
      </c>
      <c r="P58" s="50"/>
      <c r="Q58" s="33"/>
      <c r="S58" s="32" t="s">
        <v>197</v>
      </c>
      <c r="T58" s="124">
        <v>2</v>
      </c>
      <c r="U58" s="33" t="s">
        <v>3</v>
      </c>
    </row>
    <row r="59" spans="1:21" ht="15.75" x14ac:dyDescent="0.25">
      <c r="B59" s="95" t="s">
        <v>184</v>
      </c>
      <c r="C59" s="95" t="s">
        <v>198</v>
      </c>
      <c r="D59" s="96" t="s">
        <v>192</v>
      </c>
      <c r="E59" s="93" t="s">
        <v>180</v>
      </c>
      <c r="F59" s="93" t="s">
        <v>181</v>
      </c>
      <c r="G59" s="102" t="s">
        <v>199</v>
      </c>
      <c r="H59" s="96" t="s">
        <v>193</v>
      </c>
      <c r="I59" s="94" t="s">
        <v>182</v>
      </c>
      <c r="J59" s="94" t="s">
        <v>183</v>
      </c>
      <c r="M59" s="50"/>
      <c r="P59" s="32"/>
      <c r="R59" s="2"/>
    </row>
    <row r="60" spans="1:21" x14ac:dyDescent="0.25">
      <c r="B60" s="91">
        <f>K32</f>
        <v>67.428231292517012</v>
      </c>
      <c r="C60" s="46">
        <f>C58</f>
        <v>3.7999999999999999E-2</v>
      </c>
      <c r="D60" s="92">
        <f>C60*B60*T58^2</f>
        <v>10.249091156462585</v>
      </c>
      <c r="E60" s="92">
        <f>C55*D60</f>
        <v>7.6868183673469392</v>
      </c>
      <c r="F60" s="92">
        <f>H55*D60</f>
        <v>5.1245455782312925</v>
      </c>
      <c r="G60" s="89">
        <f>G58</f>
        <v>0.97099999999999997</v>
      </c>
      <c r="H60" s="92">
        <f>G60*C60*B60*P54^2</f>
        <v>36.877889052583342</v>
      </c>
      <c r="I60" s="92">
        <f>C55*H60</f>
        <v>27.658416789437506</v>
      </c>
      <c r="J60" s="92">
        <f>H55*H60</f>
        <v>18.438944526291671</v>
      </c>
      <c r="M60" s="50" t="s">
        <v>181</v>
      </c>
      <c r="R60" s="38"/>
    </row>
    <row r="61" spans="1:21" ht="18.75" customHeight="1" x14ac:dyDescent="0.25">
      <c r="B61" s="109" t="s">
        <v>251</v>
      </c>
      <c r="C61" s="46"/>
      <c r="D61" s="92"/>
      <c r="E61" s="92"/>
      <c r="F61" s="92"/>
      <c r="G61" s="89"/>
      <c r="H61" s="92"/>
      <c r="I61" s="92"/>
      <c r="J61" s="92"/>
      <c r="N61" s="48" t="s">
        <v>183</v>
      </c>
      <c r="O61" s="50"/>
      <c r="Q61" s="50"/>
      <c r="R61" s="50" t="s">
        <v>183</v>
      </c>
    </row>
    <row r="62" spans="1:21" x14ac:dyDescent="0.25">
      <c r="P62" s="90" t="s">
        <v>182</v>
      </c>
    </row>
    <row r="63" spans="1:21" x14ac:dyDescent="0.25">
      <c r="B63" s="50" t="s">
        <v>200</v>
      </c>
    </row>
    <row r="64" spans="1:21" x14ac:dyDescent="0.25">
      <c r="B64" s="52" t="s">
        <v>179</v>
      </c>
      <c r="C64" s="97">
        <v>0.4</v>
      </c>
      <c r="D64" s="97">
        <v>0.45</v>
      </c>
      <c r="E64" s="97">
        <v>0.5</v>
      </c>
      <c r="F64" s="97">
        <v>0.55000000000000004</v>
      </c>
      <c r="G64" s="97">
        <v>0.6</v>
      </c>
      <c r="H64" s="97">
        <v>0.65</v>
      </c>
      <c r="I64" s="97">
        <v>0.7</v>
      </c>
      <c r="J64" s="97">
        <v>0.75</v>
      </c>
      <c r="K64" s="97">
        <v>0.8</v>
      </c>
      <c r="L64" s="97">
        <v>0.85</v>
      </c>
      <c r="M64" s="97">
        <v>0.9</v>
      </c>
      <c r="N64" s="97">
        <v>0.95</v>
      </c>
      <c r="O64" s="97">
        <v>1</v>
      </c>
    </row>
    <row r="65" spans="1:21" x14ac:dyDescent="0.25">
      <c r="B65" s="52" t="s">
        <v>194</v>
      </c>
      <c r="C65" s="98">
        <v>0.11</v>
      </c>
      <c r="D65" s="98">
        <v>0.10199999999999999</v>
      </c>
      <c r="E65" s="98">
        <v>9.5000000000000001E-2</v>
      </c>
      <c r="F65" s="98">
        <v>8.7999999999999995E-2</v>
      </c>
      <c r="G65" s="98">
        <v>8.1000000000000003E-2</v>
      </c>
      <c r="H65" s="98">
        <v>7.4499999999999997E-2</v>
      </c>
      <c r="I65" s="98">
        <v>6.8000000000000005E-2</v>
      </c>
      <c r="J65" s="98">
        <v>6.2E-2</v>
      </c>
      <c r="K65" s="98">
        <v>5.6000000000000001E-2</v>
      </c>
      <c r="L65" s="98">
        <v>5.0999999999999997E-2</v>
      </c>
      <c r="M65" s="98">
        <v>4.5999999999999999E-2</v>
      </c>
      <c r="N65" s="98">
        <v>4.1000000000000002E-2</v>
      </c>
      <c r="O65" s="98">
        <v>3.6999999999999998E-2</v>
      </c>
    </row>
    <row r="66" spans="1:21" x14ac:dyDescent="0.25">
      <c r="B66" s="52" t="s">
        <v>195</v>
      </c>
      <c r="C66" s="52"/>
      <c r="D66" s="52"/>
      <c r="E66" s="52"/>
      <c r="F66" s="52"/>
      <c r="G66" s="98">
        <v>0.30499999999999999</v>
      </c>
      <c r="H66" s="98">
        <v>0.38900000000000001</v>
      </c>
      <c r="I66" s="98">
        <v>0.436</v>
      </c>
      <c r="J66" s="98">
        <v>0.50900000000000001</v>
      </c>
      <c r="K66" s="98">
        <v>0.59499999999999997</v>
      </c>
      <c r="L66" s="98">
        <v>0.68500000000000005</v>
      </c>
      <c r="M66" s="98">
        <v>0.77800000000000002</v>
      </c>
      <c r="N66" s="98">
        <v>0.88700000000000001</v>
      </c>
      <c r="O66" s="98">
        <v>1</v>
      </c>
    </row>
    <row r="67" spans="1:21" x14ac:dyDescent="0.25">
      <c r="B67" s="50" t="s">
        <v>201</v>
      </c>
      <c r="C67" s="50"/>
      <c r="D67" s="50"/>
      <c r="E67" s="50"/>
      <c r="G67" s="101" t="s">
        <v>104</v>
      </c>
    </row>
    <row r="68" spans="1:21" x14ac:dyDescent="0.25">
      <c r="B68" s="52" t="s">
        <v>179</v>
      </c>
      <c r="C68" s="133">
        <v>0.95</v>
      </c>
      <c r="D68" s="100">
        <f>T58/P54</f>
        <v>0.51948051948051943</v>
      </c>
      <c r="E68" s="133">
        <f>O64</f>
        <v>1</v>
      </c>
      <c r="G68" s="50" t="s">
        <v>202</v>
      </c>
      <c r="N68" s="50"/>
      <c r="O68" s="50"/>
      <c r="P68" s="50"/>
      <c r="Q68" s="50"/>
      <c r="R68" s="50"/>
    </row>
    <row r="69" spans="1:21" x14ac:dyDescent="0.25">
      <c r="B69" s="52" t="s">
        <v>194</v>
      </c>
      <c r="C69" s="98">
        <f>LOOKUP(C68,C64:O64,C65:O65)</f>
        <v>4.1000000000000002E-2</v>
      </c>
      <c r="D69" s="99">
        <f>C69+(E69-C69)*(D68-C68)/(E68-C68)</f>
        <v>7.5441558441558448E-2</v>
      </c>
      <c r="E69" s="98">
        <f>LOOKUP(E68,C64:O64,C65:O65)</f>
        <v>3.6999999999999998E-2</v>
      </c>
      <c r="G69" s="50"/>
      <c r="N69" s="50"/>
      <c r="O69" s="50"/>
      <c r="P69" s="50"/>
      <c r="Q69" s="50"/>
      <c r="R69" s="50"/>
    </row>
    <row r="70" spans="1:21" x14ac:dyDescent="0.25">
      <c r="B70" s="52" t="s">
        <v>195</v>
      </c>
      <c r="C70" s="98">
        <f>LOOKUP(C68,C64:O64,C66:O66)</f>
        <v>0.88700000000000001</v>
      </c>
      <c r="D70" s="99">
        <f>C70+(E70-C70)*(D68-C68)/(E68-C68)</f>
        <v>-8.5974025974025037E-2</v>
      </c>
      <c r="E70" s="98">
        <f>LOOKUP(E68,C64:O64,C66:O66)</f>
        <v>1</v>
      </c>
      <c r="M70" s="50"/>
      <c r="N70" s="50"/>
      <c r="O70" s="50"/>
      <c r="P70" s="50"/>
      <c r="Q70" s="50"/>
      <c r="R70" s="50"/>
    </row>
    <row r="72" spans="1:21" x14ac:dyDescent="0.25">
      <c r="B72" s="50" t="s">
        <v>207</v>
      </c>
      <c r="E72" s="50"/>
      <c r="G72" s="110" t="s">
        <v>211</v>
      </c>
      <c r="H72" s="110"/>
      <c r="I72" s="110"/>
      <c r="J72" s="110"/>
      <c r="K72" s="110"/>
      <c r="L72" s="110"/>
      <c r="P72" s="28"/>
      <c r="Q72" s="37">
        <v>100</v>
      </c>
      <c r="R72" s="38"/>
    </row>
    <row r="73" spans="1:21" ht="15.75" x14ac:dyDescent="0.25">
      <c r="D73" s="3"/>
      <c r="E73" s="35"/>
      <c r="F73" s="36" t="s">
        <v>218</v>
      </c>
      <c r="G73" s="113" t="s">
        <v>210</v>
      </c>
      <c r="H73" s="113"/>
      <c r="I73" s="113" t="s">
        <v>208</v>
      </c>
      <c r="J73" s="113"/>
      <c r="K73" s="113" t="s">
        <v>209</v>
      </c>
      <c r="L73" s="113"/>
      <c r="M73" s="35"/>
      <c r="N73" s="35"/>
      <c r="P73" s="33"/>
      <c r="R73" s="2"/>
    </row>
    <row r="74" spans="1:21" x14ac:dyDescent="0.25">
      <c r="D74" s="3"/>
      <c r="E74" s="3"/>
      <c r="F74" s="104" t="s">
        <v>219</v>
      </c>
      <c r="G74" s="111" t="s">
        <v>213</v>
      </c>
      <c r="H74" s="111"/>
      <c r="I74" s="114" t="s">
        <v>212</v>
      </c>
      <c r="J74" s="114"/>
      <c r="K74" s="114" t="s">
        <v>212</v>
      </c>
      <c r="L74" s="114"/>
      <c r="M74" s="3"/>
      <c r="P74" s="33"/>
      <c r="R74" s="38"/>
      <c r="T74" s="105">
        <f>G12</f>
        <v>45</v>
      </c>
    </row>
    <row r="75" spans="1:21" ht="15.75" x14ac:dyDescent="0.25">
      <c r="A75" s="50"/>
      <c r="D75" s="3"/>
      <c r="E75" s="3"/>
      <c r="F75" s="104" t="s">
        <v>220</v>
      </c>
      <c r="G75" s="112" t="s">
        <v>213</v>
      </c>
      <c r="H75" s="112"/>
      <c r="I75" s="115" t="s">
        <v>212</v>
      </c>
      <c r="J75" s="115"/>
      <c r="K75" s="115" t="s">
        <v>212</v>
      </c>
      <c r="L75" s="115"/>
      <c r="M75" s="3"/>
      <c r="P75" s="50"/>
      <c r="R75" s="2"/>
    </row>
    <row r="76" spans="1:21" x14ac:dyDescent="0.25">
      <c r="A76" s="50"/>
      <c r="P76" s="50"/>
      <c r="Q76" s="33"/>
    </row>
    <row r="77" spans="1:21" ht="15.75" x14ac:dyDescent="0.25">
      <c r="P77" s="32"/>
      <c r="R77" s="2"/>
    </row>
    <row r="78" spans="1:21" x14ac:dyDescent="0.25">
      <c r="B78" s="76" t="s">
        <v>221</v>
      </c>
      <c r="C78" s="39"/>
      <c r="D78" s="39"/>
      <c r="E78" s="39"/>
      <c r="F78" s="39"/>
      <c r="G78" s="39"/>
      <c r="H78" s="35"/>
      <c r="I78" s="39"/>
      <c r="J78" s="39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</row>
    <row r="79" spans="1:21" x14ac:dyDescent="0.25">
      <c r="B79" s="50" t="s">
        <v>222</v>
      </c>
      <c r="C79" s="50"/>
      <c r="D79" s="50"/>
      <c r="E79" s="50"/>
      <c r="F79" s="50"/>
      <c r="G79" s="50" t="s">
        <v>224</v>
      </c>
      <c r="H79" s="3"/>
      <c r="I79" s="50"/>
      <c r="J79" s="48" t="s">
        <v>225</v>
      </c>
      <c r="K79" s="131">
        <v>3.85</v>
      </c>
      <c r="L79" s="50" t="s">
        <v>3</v>
      </c>
    </row>
    <row r="80" spans="1:21" ht="15.75" x14ac:dyDescent="0.25">
      <c r="A80" s="50"/>
      <c r="B80" s="50" t="s">
        <v>223</v>
      </c>
      <c r="C80" s="50"/>
      <c r="D80" s="50"/>
      <c r="E80" s="50"/>
      <c r="F80" s="50"/>
      <c r="G80" s="50"/>
      <c r="H80" s="50"/>
      <c r="I80" s="50"/>
      <c r="J80" s="50"/>
      <c r="K80" s="50"/>
      <c r="L80" s="50"/>
      <c r="P80" s="33"/>
      <c r="R80" s="2"/>
    </row>
    <row r="81" spans="1:19" ht="15.75" x14ac:dyDescent="0.25">
      <c r="A81" s="50"/>
      <c r="C81" s="48" t="s">
        <v>136</v>
      </c>
      <c r="D81" s="77">
        <f>K31</f>
        <v>92.936275510204069</v>
      </c>
      <c r="E81" s="50" t="s">
        <v>137</v>
      </c>
      <c r="F81" s="50"/>
      <c r="G81" s="3"/>
      <c r="H81" s="3"/>
      <c r="I81" s="3"/>
      <c r="J81" s="3"/>
      <c r="P81" s="33"/>
      <c r="R81" s="2"/>
    </row>
    <row r="82" spans="1:19" x14ac:dyDescent="0.25">
      <c r="C82" s="48" t="s">
        <v>138</v>
      </c>
      <c r="D82" s="77">
        <f>K32</f>
        <v>67.428231292517012</v>
      </c>
      <c r="E82" s="50" t="s">
        <v>137</v>
      </c>
    </row>
    <row r="83" spans="1:19" x14ac:dyDescent="0.25">
      <c r="B83" s="50" t="s">
        <v>227</v>
      </c>
      <c r="C83" s="50"/>
      <c r="D83" s="50"/>
      <c r="E83" s="50"/>
    </row>
    <row r="84" spans="1:19" x14ac:dyDescent="0.25">
      <c r="C84" s="48" t="s">
        <v>226</v>
      </c>
      <c r="D84" s="77">
        <f>D81*K79^2/8</f>
        <v>172.19349296875001</v>
      </c>
      <c r="E84" s="50" t="s">
        <v>8</v>
      </c>
      <c r="G84" s="48" t="s">
        <v>228</v>
      </c>
      <c r="H84" s="77">
        <f>D84*C55</f>
        <v>129.14511972656251</v>
      </c>
      <c r="I84" s="50" t="s">
        <v>8</v>
      </c>
      <c r="K84" s="48" t="s">
        <v>231</v>
      </c>
      <c r="L84" s="77">
        <f>D84*H55</f>
        <v>86.096746484375004</v>
      </c>
      <c r="M84" s="50" t="s">
        <v>8</v>
      </c>
    </row>
    <row r="85" spans="1:19" x14ac:dyDescent="0.25">
      <c r="C85" s="48" t="s">
        <v>230</v>
      </c>
      <c r="D85" s="77">
        <f>D82*K79^2/8</f>
        <v>124.93186979166668</v>
      </c>
      <c r="E85" s="50" t="s">
        <v>8</v>
      </c>
      <c r="G85" s="48" t="s">
        <v>229</v>
      </c>
      <c r="H85" s="77">
        <f>D85*C55</f>
        <v>93.698902343750007</v>
      </c>
      <c r="I85" s="50" t="s">
        <v>8</v>
      </c>
      <c r="K85" s="48" t="s">
        <v>232</v>
      </c>
      <c r="L85" s="77">
        <f>D85*H55</f>
        <v>62.465934895833342</v>
      </c>
      <c r="M85" s="50" t="s">
        <v>8</v>
      </c>
    </row>
    <row r="86" spans="1:19" x14ac:dyDescent="0.25">
      <c r="B86" s="50" t="s">
        <v>235</v>
      </c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</row>
    <row r="87" spans="1:19" x14ac:dyDescent="0.25">
      <c r="B87" s="50" t="s">
        <v>207</v>
      </c>
      <c r="E87" s="50"/>
      <c r="G87" s="110" t="s">
        <v>211</v>
      </c>
      <c r="H87" s="110"/>
      <c r="I87" s="110"/>
      <c r="J87" s="110"/>
      <c r="K87" s="110"/>
      <c r="L87" s="110"/>
      <c r="M87" s="50"/>
      <c r="N87" s="50"/>
      <c r="O87" s="50"/>
      <c r="P87" s="50"/>
      <c r="Q87" s="50"/>
      <c r="R87" s="50"/>
      <c r="S87" s="50"/>
    </row>
    <row r="88" spans="1:19" x14ac:dyDescent="0.25">
      <c r="D88" s="3"/>
      <c r="E88" s="107"/>
      <c r="F88" s="108" t="s">
        <v>211</v>
      </c>
      <c r="G88" s="116" t="s">
        <v>210</v>
      </c>
      <c r="H88" s="116"/>
      <c r="I88" s="116" t="s">
        <v>208</v>
      </c>
      <c r="J88" s="116"/>
      <c r="K88" s="116" t="s">
        <v>209</v>
      </c>
      <c r="L88" s="116"/>
      <c r="M88" s="50"/>
      <c r="N88" s="50"/>
      <c r="O88" s="50"/>
      <c r="P88" s="50"/>
      <c r="Q88" s="50"/>
      <c r="R88" s="50"/>
      <c r="S88" s="50"/>
    </row>
    <row r="89" spans="1:19" x14ac:dyDescent="0.25">
      <c r="D89" s="3"/>
      <c r="E89" s="3"/>
      <c r="F89" s="104" t="s">
        <v>249</v>
      </c>
      <c r="G89" s="134" t="s">
        <v>233</v>
      </c>
      <c r="H89" s="134"/>
      <c r="I89" s="135" t="s">
        <v>238</v>
      </c>
      <c r="J89" s="135"/>
      <c r="K89" s="135" t="s">
        <v>237</v>
      </c>
      <c r="L89" s="135"/>
      <c r="M89" s="50"/>
      <c r="N89" s="50"/>
      <c r="O89" s="50"/>
      <c r="P89" s="50"/>
      <c r="Q89" s="50"/>
      <c r="R89" s="50"/>
      <c r="S89" s="50"/>
    </row>
    <row r="90" spans="1:19" x14ac:dyDescent="0.25">
      <c r="D90" s="3"/>
      <c r="E90" s="35"/>
      <c r="F90" s="106" t="s">
        <v>250</v>
      </c>
      <c r="G90" s="136" t="s">
        <v>234</v>
      </c>
      <c r="H90" s="136"/>
      <c r="I90" s="137" t="s">
        <v>239</v>
      </c>
      <c r="J90" s="137"/>
      <c r="K90" s="137" t="s">
        <v>236</v>
      </c>
      <c r="L90" s="137"/>
      <c r="M90" s="50"/>
      <c r="N90" s="50"/>
      <c r="O90" s="50"/>
      <c r="P90" s="50"/>
      <c r="Q90" s="50"/>
      <c r="R90" s="50"/>
      <c r="S90" s="50"/>
    </row>
    <row r="91" spans="1:19" x14ac:dyDescent="0.25"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</row>
    <row r="92" spans="1:19" x14ac:dyDescent="0.25"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</row>
    <row r="93" spans="1:19" x14ac:dyDescent="0.25"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</row>
  </sheetData>
  <sheetProtection algorithmName="SHA-512" hashValue="GQnEVkDcrcRrDJtLcwd7Q/3GhMR3roGxXyEylGv/ZDSEKiT8RwhOrWCFNQALoCoiVIa421JAN7fJz0WMca46Og==" saltValue="n19g4DdT2sQYgAKi1GucVg==" spinCount="100000" sheet="1" objects="1" scenarios="1" selectLockedCells="1"/>
  <dataConsolidate/>
  <mergeCells count="20">
    <mergeCell ref="G90:H90"/>
    <mergeCell ref="I90:J90"/>
    <mergeCell ref="K90:L90"/>
    <mergeCell ref="K75:L75"/>
    <mergeCell ref="G87:L87"/>
    <mergeCell ref="G88:H88"/>
    <mergeCell ref="I88:J88"/>
    <mergeCell ref="K88:L88"/>
    <mergeCell ref="G89:H89"/>
    <mergeCell ref="I89:J89"/>
    <mergeCell ref="K89:L89"/>
    <mergeCell ref="G72:L72"/>
    <mergeCell ref="G74:H74"/>
    <mergeCell ref="G75:H75"/>
    <mergeCell ref="G73:H73"/>
    <mergeCell ref="I73:J73"/>
    <mergeCell ref="I74:J74"/>
    <mergeCell ref="I75:J75"/>
    <mergeCell ref="K73:L73"/>
    <mergeCell ref="K74:L74"/>
  </mergeCells>
  <dataValidations count="1">
    <dataValidation type="list" allowBlank="1" showInputMessage="1" showErrorMessage="1" sqref="J16">
      <formula1>"1,0.9,0.85"</formula1>
    </dataValidation>
  </dataValidations>
  <pageMargins left="0.31496062992125984" right="0.31496062992125984" top="0.55118110236220474" bottom="0.55118110236220474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7"/>
  <sheetViews>
    <sheetView showGridLines="0" view="pageLayout" topLeftCell="A17" zoomScaleNormal="100" workbookViewId="0">
      <selection activeCell="C26" sqref="C26"/>
    </sheetView>
  </sheetViews>
  <sheetFormatPr baseColWidth="10" defaultRowHeight="15" x14ac:dyDescent="0.25"/>
  <cols>
    <col min="1" max="1" width="7.7109375" style="1" customWidth="1"/>
    <col min="2" max="2" width="7" style="1" customWidth="1"/>
    <col min="3" max="3" width="6.42578125" style="1" customWidth="1"/>
    <col min="4" max="5" width="6.7109375" style="1" customWidth="1"/>
    <col min="6" max="6" width="7" style="1" customWidth="1"/>
    <col min="7" max="7" width="6.5703125" style="1" customWidth="1"/>
    <col min="8" max="8" width="6.7109375" style="1" customWidth="1"/>
    <col min="9" max="9" width="6.42578125" style="1" customWidth="1"/>
    <col min="10" max="10" width="6" style="1" customWidth="1"/>
    <col min="11" max="11" width="5.140625" style="1" customWidth="1"/>
    <col min="12" max="12" width="5.7109375" style="1" customWidth="1"/>
    <col min="13" max="13" width="6" style="1" customWidth="1"/>
    <col min="14" max="14" width="6.85546875" style="1" customWidth="1"/>
    <col min="15" max="15" width="6.42578125" style="1" customWidth="1"/>
    <col min="16" max="16" width="6.85546875" style="1" customWidth="1"/>
    <col min="17" max="17" width="7.140625" style="1" customWidth="1"/>
    <col min="18" max="18" width="6.42578125" style="1" customWidth="1"/>
    <col min="19" max="19" width="6.28515625" style="1" customWidth="1"/>
    <col min="20" max="20" width="5.28515625" style="1" customWidth="1"/>
    <col min="21" max="21" width="6.28515625" style="1" customWidth="1"/>
    <col min="22" max="22" width="3.42578125" style="1" customWidth="1"/>
    <col min="23" max="16384" width="11.42578125" style="1"/>
  </cols>
  <sheetData>
    <row r="1" spans="1:20" s="16" customFormat="1" ht="13.5" x14ac:dyDescent="0.25">
      <c r="A1" s="12"/>
      <c r="B1" s="13"/>
      <c r="C1" s="29"/>
      <c r="D1" s="14"/>
      <c r="E1" s="14"/>
      <c r="F1" s="14"/>
      <c r="G1" s="14"/>
      <c r="H1" s="14"/>
      <c r="I1" s="14"/>
      <c r="J1" s="14"/>
      <c r="K1" s="47" t="s">
        <v>4</v>
      </c>
      <c r="L1" s="14"/>
      <c r="M1" s="14"/>
      <c r="N1" s="14"/>
      <c r="O1" s="14"/>
      <c r="P1" s="14"/>
      <c r="Q1" s="14"/>
      <c r="R1" s="14"/>
      <c r="S1" s="14"/>
      <c r="T1" s="15"/>
    </row>
    <row r="2" spans="1:20" s="16" customFormat="1" ht="14.25" x14ac:dyDescent="0.25">
      <c r="A2" s="18"/>
      <c r="B2" s="19"/>
      <c r="C2" s="71" t="s">
        <v>9</v>
      </c>
      <c r="D2" s="17"/>
      <c r="E2" s="17"/>
      <c r="F2" s="17"/>
      <c r="G2" s="17"/>
      <c r="H2" s="17"/>
      <c r="I2" s="17"/>
      <c r="J2" s="17"/>
      <c r="K2" s="20" t="s">
        <v>107</v>
      </c>
      <c r="L2" s="17"/>
      <c r="M2" s="17"/>
      <c r="N2" s="17"/>
      <c r="O2" s="17"/>
      <c r="P2" s="17"/>
      <c r="Q2" s="17"/>
      <c r="R2" s="17"/>
      <c r="S2" s="17"/>
      <c r="T2" s="19"/>
    </row>
    <row r="3" spans="1:20" s="16" customFormat="1" ht="16.5" x14ac:dyDescent="0.25">
      <c r="A3" s="18"/>
      <c r="B3" s="19"/>
      <c r="C3" s="30" t="s">
        <v>106</v>
      </c>
      <c r="D3" s="17"/>
      <c r="E3" s="17"/>
      <c r="F3" s="17"/>
      <c r="G3" s="17"/>
      <c r="H3" s="17"/>
      <c r="I3" s="17"/>
      <c r="J3" s="17"/>
      <c r="K3" s="20" t="s">
        <v>110</v>
      </c>
      <c r="L3" s="17"/>
      <c r="M3" s="17"/>
      <c r="N3" s="17"/>
      <c r="O3" s="17"/>
      <c r="P3" s="17"/>
      <c r="Q3" s="17"/>
      <c r="R3" s="17"/>
      <c r="S3" s="17"/>
      <c r="T3" s="19"/>
    </row>
    <row r="4" spans="1:20" s="16" customFormat="1" ht="14.25" x14ac:dyDescent="0.25">
      <c r="A4" s="21"/>
      <c r="B4" s="27"/>
      <c r="C4" s="21"/>
      <c r="D4" s="22"/>
      <c r="E4" s="22"/>
      <c r="F4" s="22"/>
      <c r="G4" s="22"/>
      <c r="H4" s="22"/>
      <c r="I4" s="22"/>
      <c r="J4" s="22"/>
      <c r="K4" s="72" t="s">
        <v>111</v>
      </c>
      <c r="L4" s="22"/>
      <c r="M4" s="22"/>
      <c r="N4" s="22"/>
      <c r="O4" s="22"/>
      <c r="P4" s="22"/>
      <c r="Q4" s="22"/>
      <c r="R4" s="22"/>
      <c r="S4" s="22"/>
      <c r="T4" s="23"/>
    </row>
    <row r="5" spans="1:20" s="16" customFormat="1" ht="13.5" x14ac:dyDescent="0.25">
      <c r="B5" s="24"/>
      <c r="G5" s="25"/>
    </row>
    <row r="6" spans="1:20" s="16" customFormat="1" ht="14.25" x14ac:dyDescent="0.25">
      <c r="B6" s="24" t="s">
        <v>5</v>
      </c>
      <c r="D6" s="26" t="s">
        <v>64</v>
      </c>
      <c r="G6" s="25"/>
      <c r="N6" s="25"/>
    </row>
    <row r="7" spans="1:20" s="16" customFormat="1" ht="14.25" x14ac:dyDescent="0.25">
      <c r="B7" s="24" t="s">
        <v>10</v>
      </c>
      <c r="D7" s="26" t="s">
        <v>11</v>
      </c>
      <c r="G7" s="25"/>
      <c r="N7" s="25"/>
    </row>
    <row r="8" spans="1:20" s="16" customFormat="1" x14ac:dyDescent="0.25">
      <c r="B8" s="24"/>
      <c r="D8" s="1"/>
      <c r="G8" s="25"/>
      <c r="N8" s="25"/>
    </row>
    <row r="9" spans="1:20" ht="15.75" x14ac:dyDescent="0.25">
      <c r="B9" s="28" t="s">
        <v>12</v>
      </c>
      <c r="C9" s="28"/>
      <c r="E9" s="28"/>
      <c r="F9" s="28"/>
      <c r="G9" s="28"/>
      <c r="I9" s="38" t="s">
        <v>60</v>
      </c>
      <c r="P9" s="31"/>
      <c r="Q9" s="31"/>
      <c r="R9" s="31"/>
      <c r="S9" s="28"/>
    </row>
    <row r="10" spans="1:20" ht="15.75" x14ac:dyDescent="0.25">
      <c r="C10" s="32" t="s">
        <v>45</v>
      </c>
      <c r="D10" s="32" t="s">
        <v>13</v>
      </c>
      <c r="E10" s="40">
        <v>30</v>
      </c>
      <c r="F10" s="33" t="s">
        <v>36</v>
      </c>
      <c r="G10" s="28"/>
      <c r="I10" s="2"/>
      <c r="M10" s="32" t="s">
        <v>63</v>
      </c>
      <c r="N10" s="32" t="s">
        <v>16</v>
      </c>
      <c r="O10" s="40">
        <v>80</v>
      </c>
      <c r="P10" s="33" t="s">
        <v>8</v>
      </c>
    </row>
    <row r="11" spans="1:20" ht="17.25" customHeight="1" x14ac:dyDescent="0.25">
      <c r="C11" s="32"/>
      <c r="D11" s="32" t="s">
        <v>7</v>
      </c>
      <c r="E11" s="40">
        <v>60</v>
      </c>
      <c r="F11" s="33" t="s">
        <v>36</v>
      </c>
      <c r="G11" s="38" t="s">
        <v>2</v>
      </c>
      <c r="I11" s="38" t="s">
        <v>32</v>
      </c>
      <c r="L11" s="35"/>
      <c r="M11" s="36" t="s">
        <v>46</v>
      </c>
      <c r="N11" s="36" t="s">
        <v>17</v>
      </c>
      <c r="O11" s="41">
        <v>60</v>
      </c>
      <c r="P11" s="39" t="s">
        <v>8</v>
      </c>
    </row>
    <row r="12" spans="1:20" ht="15.75" x14ac:dyDescent="0.25">
      <c r="C12" s="32"/>
      <c r="D12" s="32" t="s">
        <v>14</v>
      </c>
      <c r="E12" s="40">
        <v>55</v>
      </c>
      <c r="F12" s="33" t="s">
        <v>36</v>
      </c>
      <c r="G12" s="28"/>
      <c r="I12" s="2"/>
      <c r="M12" s="32" t="s">
        <v>22</v>
      </c>
      <c r="N12" s="32" t="s">
        <v>20</v>
      </c>
      <c r="O12" s="40">
        <v>20</v>
      </c>
      <c r="P12" s="33" t="s">
        <v>0</v>
      </c>
      <c r="Q12" s="33" t="s">
        <v>109</v>
      </c>
    </row>
    <row r="13" spans="1:20" ht="15.75" x14ac:dyDescent="0.25">
      <c r="B13" s="3"/>
      <c r="C13" s="32"/>
      <c r="D13" s="32" t="s">
        <v>15</v>
      </c>
      <c r="E13" s="40">
        <v>5</v>
      </c>
      <c r="F13" s="33" t="s">
        <v>36</v>
      </c>
      <c r="G13" s="28"/>
      <c r="H13" s="33" t="s">
        <v>1</v>
      </c>
      <c r="I13" s="2"/>
      <c r="K13" s="33" t="s">
        <v>61</v>
      </c>
      <c r="M13" s="32"/>
      <c r="N13" s="32" t="s">
        <v>18</v>
      </c>
      <c r="O13" s="34">
        <f>0.85*O12/(E18*1.5)</f>
        <v>11.333333333333334</v>
      </c>
      <c r="P13" s="33" t="s">
        <v>0</v>
      </c>
    </row>
    <row r="14" spans="1:20" ht="15.75" x14ac:dyDescent="0.25">
      <c r="B14" s="3"/>
      <c r="C14" s="32"/>
      <c r="D14" s="32" t="s">
        <v>44</v>
      </c>
      <c r="E14" s="34">
        <f>E13/E12</f>
        <v>9.0909090909090912E-2</v>
      </c>
      <c r="F14" s="33"/>
      <c r="G14" s="28"/>
      <c r="I14" s="2"/>
      <c r="L14" s="35"/>
      <c r="M14" s="35"/>
      <c r="N14" s="36" t="s">
        <v>24</v>
      </c>
      <c r="O14" s="42">
        <f>0.6+0.06*O12</f>
        <v>1.7999999999999998</v>
      </c>
      <c r="P14" s="39" t="s">
        <v>0</v>
      </c>
    </row>
    <row r="15" spans="1:20" x14ac:dyDescent="0.25">
      <c r="B15" s="3"/>
      <c r="C15" s="48"/>
      <c r="D15" s="48" t="s">
        <v>6</v>
      </c>
      <c r="E15" s="49">
        <v>6.85</v>
      </c>
      <c r="F15" s="50" t="s">
        <v>3</v>
      </c>
      <c r="G15" s="51"/>
      <c r="I15" s="38" t="s">
        <v>62</v>
      </c>
      <c r="K15" s="25"/>
      <c r="M15" s="32" t="s">
        <v>23</v>
      </c>
      <c r="N15" s="32" t="s">
        <v>21</v>
      </c>
      <c r="O15" s="40">
        <v>400</v>
      </c>
      <c r="P15" s="33" t="s">
        <v>0</v>
      </c>
      <c r="Q15" s="33" t="s">
        <v>108</v>
      </c>
    </row>
    <row r="16" spans="1:20" ht="15.75" x14ac:dyDescent="0.25">
      <c r="B16" s="3"/>
      <c r="G16" s="32"/>
      <c r="I16" s="2"/>
      <c r="M16" s="32"/>
      <c r="N16" s="32" t="s">
        <v>19</v>
      </c>
      <c r="O16" s="32">
        <f>O15/1.15</f>
        <v>347.82608695652175</v>
      </c>
      <c r="P16" s="33" t="s">
        <v>0</v>
      </c>
    </row>
    <row r="17" spans="1:21" ht="17.25" customHeight="1" x14ac:dyDescent="0.25">
      <c r="D17" s="32" t="s">
        <v>25</v>
      </c>
      <c r="E17" s="33" t="s">
        <v>112</v>
      </c>
      <c r="F17" s="32"/>
      <c r="G17" s="32"/>
      <c r="H17" s="3"/>
      <c r="I17" s="28"/>
      <c r="K17" s="2"/>
    </row>
    <row r="18" spans="1:21" ht="17.25" customHeight="1" x14ac:dyDescent="0.25">
      <c r="D18" s="32" t="s">
        <v>74</v>
      </c>
      <c r="E18" s="45">
        <v>1</v>
      </c>
      <c r="F18" s="32"/>
      <c r="G18" s="32"/>
      <c r="H18" s="3"/>
      <c r="I18" s="28"/>
      <c r="K18" s="2"/>
      <c r="M18" s="32"/>
    </row>
    <row r="19" spans="1:21" ht="17.25" customHeight="1" x14ac:dyDescent="0.25">
      <c r="D19" s="32" t="s">
        <v>113</v>
      </c>
      <c r="E19" s="34">
        <f>IF(E18=1,1,IF(E18=0.9,1.02,IF(E18=0.85,1.04,"")))</f>
        <v>1</v>
      </c>
      <c r="F19" s="32"/>
      <c r="G19" s="32"/>
      <c r="H19" s="3"/>
      <c r="I19" s="28"/>
      <c r="K19" s="2"/>
      <c r="M19" s="32"/>
    </row>
    <row r="20" spans="1:21" ht="17.25" customHeight="1" x14ac:dyDescent="0.25">
      <c r="D20" s="32"/>
      <c r="E20" s="32"/>
      <c r="F20" s="32"/>
      <c r="G20" s="32"/>
      <c r="H20" s="3"/>
      <c r="I20" s="28"/>
      <c r="K20" s="2"/>
      <c r="M20" s="32"/>
    </row>
    <row r="21" spans="1:21" ht="17.25" customHeight="1" x14ac:dyDescent="0.25">
      <c r="B21" s="28" t="s">
        <v>76</v>
      </c>
      <c r="D21" s="32"/>
      <c r="E21" s="32"/>
      <c r="F21" s="32"/>
      <c r="G21" s="32"/>
      <c r="H21" s="3"/>
      <c r="I21" s="28"/>
      <c r="K21" s="2"/>
      <c r="M21" s="32"/>
      <c r="N21" s="32"/>
      <c r="O21" s="33"/>
    </row>
    <row r="22" spans="1:21" ht="17.25" customHeight="1" x14ac:dyDescent="0.25">
      <c r="A22" s="32"/>
      <c r="B22" s="56" t="s">
        <v>79</v>
      </c>
      <c r="C22" s="123">
        <v>0.85</v>
      </c>
      <c r="D22" s="123"/>
      <c r="E22" s="123"/>
      <c r="F22" s="123">
        <v>0.9</v>
      </c>
      <c r="G22" s="123"/>
      <c r="H22" s="123"/>
      <c r="I22" s="123">
        <v>1</v>
      </c>
      <c r="J22" s="123"/>
      <c r="K22" s="123"/>
      <c r="M22" s="117">
        <v>0.85</v>
      </c>
      <c r="N22" s="118"/>
      <c r="O22" s="119"/>
      <c r="P22" s="117">
        <v>0.9</v>
      </c>
      <c r="Q22" s="118"/>
      <c r="R22" s="119"/>
      <c r="S22" s="117">
        <v>1</v>
      </c>
      <c r="T22" s="118"/>
      <c r="U22" s="119"/>
    </row>
    <row r="23" spans="1:21" ht="17.25" customHeight="1" x14ac:dyDescent="0.25">
      <c r="A23" s="32" t="s">
        <v>20</v>
      </c>
      <c r="B23" s="57" t="s">
        <v>78</v>
      </c>
      <c r="C23" s="52">
        <v>20</v>
      </c>
      <c r="D23" s="52">
        <v>25</v>
      </c>
      <c r="E23" s="52">
        <v>30</v>
      </c>
      <c r="F23" s="52">
        <v>20</v>
      </c>
      <c r="G23" s="52">
        <v>25</v>
      </c>
      <c r="H23" s="52">
        <v>30</v>
      </c>
      <c r="I23" s="52">
        <v>20</v>
      </c>
      <c r="J23" s="52">
        <v>25</v>
      </c>
      <c r="K23" s="52">
        <v>30</v>
      </c>
      <c r="L23" s="32" t="s">
        <v>20</v>
      </c>
      <c r="M23" s="52">
        <v>20</v>
      </c>
      <c r="N23" s="52">
        <v>25</v>
      </c>
      <c r="O23" s="52">
        <v>30</v>
      </c>
      <c r="P23" s="52">
        <v>20</v>
      </c>
      <c r="Q23" s="52">
        <v>25</v>
      </c>
      <c r="R23" s="52">
        <v>30</v>
      </c>
      <c r="S23" s="52">
        <v>20</v>
      </c>
      <c r="T23" s="52">
        <v>25</v>
      </c>
      <c r="U23" s="52">
        <v>30</v>
      </c>
    </row>
    <row r="24" spans="1:21" ht="17.25" customHeight="1" x14ac:dyDescent="0.25">
      <c r="A24" s="120" t="s">
        <v>77</v>
      </c>
      <c r="B24" s="59">
        <v>1.35</v>
      </c>
      <c r="C24" s="53">
        <v>2763</v>
      </c>
      <c r="D24" s="53">
        <v>2960</v>
      </c>
      <c r="E24" s="53">
        <v>3106</v>
      </c>
      <c r="F24" s="53">
        <v>2940</v>
      </c>
      <c r="G24" s="53">
        <v>3149</v>
      </c>
      <c r="H24" s="53">
        <v>3304</v>
      </c>
      <c r="I24" s="53">
        <v>3303</v>
      </c>
      <c r="J24" s="53">
        <v>3538</v>
      </c>
      <c r="K24" s="53">
        <v>3710</v>
      </c>
      <c r="L24" s="120" t="s">
        <v>82</v>
      </c>
      <c r="M24" s="53">
        <v>1903</v>
      </c>
      <c r="N24" s="53">
        <v>2139</v>
      </c>
      <c r="O24" s="53">
        <v>2330</v>
      </c>
      <c r="P24" s="53">
        <v>2024</v>
      </c>
      <c r="Q24" s="53">
        <v>2275</v>
      </c>
      <c r="R24" s="53">
        <v>2479</v>
      </c>
      <c r="S24" s="53">
        <v>2270</v>
      </c>
      <c r="T24" s="53">
        <v>2554</v>
      </c>
      <c r="U24" s="53">
        <v>2784</v>
      </c>
    </row>
    <row r="25" spans="1:21" ht="17.25" customHeight="1" x14ac:dyDescent="0.25">
      <c r="A25" s="121"/>
      <c r="B25" s="60">
        <v>1.4</v>
      </c>
      <c r="C25" s="54">
        <v>2909</v>
      </c>
      <c r="D25" s="54">
        <v>3110</v>
      </c>
      <c r="E25" s="54">
        <v>3259</v>
      </c>
      <c r="F25" s="54">
        <v>3097</v>
      </c>
      <c r="G25" s="54">
        <v>3311</v>
      </c>
      <c r="H25" s="54">
        <v>3468</v>
      </c>
      <c r="I25" s="54">
        <v>3483</v>
      </c>
      <c r="J25" s="54">
        <v>3723</v>
      </c>
      <c r="K25" s="54">
        <v>3899</v>
      </c>
      <c r="L25" s="121"/>
      <c r="M25" s="54">
        <v>2019</v>
      </c>
      <c r="N25" s="54">
        <v>2265</v>
      </c>
      <c r="O25" s="54">
        <v>2463</v>
      </c>
      <c r="P25" s="54">
        <v>2148</v>
      </c>
      <c r="Q25" s="54">
        <v>2410</v>
      </c>
      <c r="R25" s="54">
        <v>2621</v>
      </c>
      <c r="S25" s="54">
        <v>2412</v>
      </c>
      <c r="T25" s="54">
        <v>2708</v>
      </c>
      <c r="U25" s="54">
        <v>2947</v>
      </c>
    </row>
    <row r="26" spans="1:21" ht="17.25" customHeight="1" x14ac:dyDescent="0.25">
      <c r="A26" s="121"/>
      <c r="B26" s="60">
        <v>1.45</v>
      </c>
      <c r="C26" s="54">
        <v>3057</v>
      </c>
      <c r="D26" s="54">
        <v>3262</v>
      </c>
      <c r="E26" s="54">
        <v>3262</v>
      </c>
      <c r="F26" s="54">
        <v>3256</v>
      </c>
      <c r="G26" s="54">
        <v>3474</v>
      </c>
      <c r="H26" s="54">
        <v>3634</v>
      </c>
      <c r="I26" s="54">
        <v>3666</v>
      </c>
      <c r="J26" s="54">
        <v>3912</v>
      </c>
      <c r="K26" s="54">
        <v>4093</v>
      </c>
      <c r="L26" s="121"/>
      <c r="M26" s="54">
        <v>2138</v>
      </c>
      <c r="N26" s="54">
        <v>2393</v>
      </c>
      <c r="O26" s="54">
        <v>2598</v>
      </c>
      <c r="P26" s="54">
        <v>2275</v>
      </c>
      <c r="Q26" s="54">
        <v>2548</v>
      </c>
      <c r="R26" s="54">
        <v>2767</v>
      </c>
      <c r="S26" s="54">
        <v>2556</v>
      </c>
      <c r="T26" s="54">
        <v>2865</v>
      </c>
      <c r="U26" s="54">
        <v>3113</v>
      </c>
    </row>
    <row r="27" spans="1:21" ht="17.25" customHeight="1" x14ac:dyDescent="0.25">
      <c r="A27" s="122"/>
      <c r="B27" s="61">
        <v>1.5</v>
      </c>
      <c r="C27" s="55">
        <v>3207</v>
      </c>
      <c r="D27" s="55">
        <v>3416</v>
      </c>
      <c r="E27" s="55">
        <v>3569</v>
      </c>
      <c r="F27" s="55">
        <v>3417</v>
      </c>
      <c r="G27" s="55">
        <v>3640</v>
      </c>
      <c r="H27" s="55">
        <v>3802</v>
      </c>
      <c r="I27" s="55">
        <v>3854</v>
      </c>
      <c r="J27" s="55">
        <v>4106</v>
      </c>
      <c r="K27" s="55">
        <v>4288</v>
      </c>
      <c r="L27" s="122"/>
      <c r="M27" s="55">
        <v>2258</v>
      </c>
      <c r="N27" s="55">
        <v>2523</v>
      </c>
      <c r="O27" s="55">
        <v>2735</v>
      </c>
      <c r="P27" s="55">
        <v>2404</v>
      </c>
      <c r="Q27" s="55">
        <v>2688</v>
      </c>
      <c r="R27" s="55">
        <v>2914</v>
      </c>
      <c r="S27" s="55">
        <v>2704</v>
      </c>
      <c r="T27" s="55">
        <v>3025</v>
      </c>
      <c r="U27" s="55">
        <v>3283</v>
      </c>
    </row>
    <row r="28" spans="1:21" ht="17.25" customHeight="1" x14ac:dyDescent="0.25">
      <c r="A28" s="120" t="s">
        <v>81</v>
      </c>
      <c r="B28" s="59">
        <v>1.35</v>
      </c>
      <c r="C28" s="53">
        <v>2139</v>
      </c>
      <c r="D28" s="53">
        <v>2372</v>
      </c>
      <c r="E28" s="53">
        <v>2557</v>
      </c>
      <c r="F28" s="53">
        <v>2275</v>
      </c>
      <c r="G28" s="53">
        <v>2524</v>
      </c>
      <c r="H28" s="53">
        <v>2721</v>
      </c>
      <c r="I28" s="53">
        <v>2554</v>
      </c>
      <c r="J28" s="53">
        <v>2835</v>
      </c>
      <c r="K28" s="53">
        <v>3056</v>
      </c>
      <c r="L28" s="32"/>
      <c r="M28" s="32"/>
      <c r="N28" s="32"/>
      <c r="O28" s="32"/>
      <c r="P28" s="32"/>
      <c r="Q28" s="32"/>
      <c r="R28" s="32"/>
    </row>
    <row r="29" spans="1:21" ht="17.25" customHeight="1" x14ac:dyDescent="0.25">
      <c r="A29" s="121"/>
      <c r="B29" s="60">
        <v>1.4</v>
      </c>
      <c r="C29" s="54">
        <v>2265</v>
      </c>
      <c r="D29" s="54">
        <v>2506</v>
      </c>
      <c r="E29" s="54">
        <v>2697</v>
      </c>
      <c r="F29" s="54">
        <v>2410</v>
      </c>
      <c r="G29" s="54">
        <v>2668</v>
      </c>
      <c r="H29" s="54">
        <v>2871</v>
      </c>
      <c r="I29" s="54">
        <v>2708</v>
      </c>
      <c r="J29" s="54">
        <v>2999</v>
      </c>
      <c r="K29" s="54">
        <v>3229</v>
      </c>
      <c r="L29" s="32"/>
      <c r="M29" s="32"/>
      <c r="N29" s="32"/>
      <c r="O29" s="32"/>
      <c r="P29" s="32"/>
      <c r="Q29" s="32"/>
      <c r="R29" s="32"/>
    </row>
    <row r="30" spans="1:21" ht="17.25" customHeight="1" x14ac:dyDescent="0.25">
      <c r="A30" s="121"/>
      <c r="B30" s="60">
        <v>1.45</v>
      </c>
      <c r="C30" s="54">
        <v>2393</v>
      </c>
      <c r="D30" s="54">
        <v>2643</v>
      </c>
      <c r="E30" s="54">
        <v>2839</v>
      </c>
      <c r="F30" s="54">
        <v>2548</v>
      </c>
      <c r="G30" s="54">
        <v>2815</v>
      </c>
      <c r="H30" s="54">
        <v>3024</v>
      </c>
      <c r="I30" s="54">
        <v>2865</v>
      </c>
      <c r="J30" s="54">
        <v>3168</v>
      </c>
      <c r="K30" s="54">
        <v>3404</v>
      </c>
      <c r="L30" s="32"/>
      <c r="M30" s="32"/>
      <c r="N30" s="32"/>
      <c r="O30" s="32"/>
      <c r="P30" s="32"/>
      <c r="Q30" s="32"/>
      <c r="R30" s="32"/>
    </row>
    <row r="31" spans="1:21" ht="17.25" customHeight="1" x14ac:dyDescent="0.25">
      <c r="A31" s="122"/>
      <c r="B31" s="61">
        <v>1.5</v>
      </c>
      <c r="C31" s="55">
        <v>2523</v>
      </c>
      <c r="D31" s="55">
        <v>2782</v>
      </c>
      <c r="E31" s="55">
        <v>2984</v>
      </c>
      <c r="F31" s="55">
        <v>2688</v>
      </c>
      <c r="G31" s="55">
        <v>2964</v>
      </c>
      <c r="H31" s="55">
        <v>3180</v>
      </c>
      <c r="I31" s="55">
        <v>3025</v>
      </c>
      <c r="J31" s="55">
        <v>3340</v>
      </c>
      <c r="K31" s="55">
        <v>3584</v>
      </c>
      <c r="L31" s="32"/>
      <c r="M31" s="32"/>
      <c r="N31" s="32"/>
      <c r="O31" s="32"/>
      <c r="P31" s="32"/>
      <c r="Q31" s="32"/>
      <c r="R31" s="32"/>
    </row>
    <row r="32" spans="1:21" ht="17.25" customHeight="1" x14ac:dyDescent="0.25">
      <c r="D32" s="32"/>
      <c r="E32" s="32"/>
      <c r="F32" s="32"/>
      <c r="G32" s="32"/>
      <c r="H32" s="3"/>
      <c r="I32" s="28"/>
      <c r="K32" s="2"/>
      <c r="M32" s="32"/>
      <c r="N32" s="32"/>
      <c r="O32" s="33"/>
    </row>
    <row r="33" spans="2:20" x14ac:dyDescent="0.25">
      <c r="B33" s="28" t="s">
        <v>67</v>
      </c>
      <c r="C33" s="32"/>
      <c r="D33" s="32"/>
      <c r="E33" s="32"/>
      <c r="F33" s="32"/>
      <c r="K33" s="3"/>
    </row>
    <row r="34" spans="2:20" x14ac:dyDescent="0.25">
      <c r="C34" s="43" t="s">
        <v>66</v>
      </c>
      <c r="D34" s="43" t="s">
        <v>65</v>
      </c>
      <c r="E34" s="34">
        <f>O10/O11</f>
        <v>1.3333333333333333</v>
      </c>
      <c r="F34" s="32"/>
      <c r="K34" s="3"/>
    </row>
    <row r="35" spans="2:20" ht="15.75" x14ac:dyDescent="0.25">
      <c r="B35" s="5"/>
      <c r="C35" s="32" t="s">
        <v>27</v>
      </c>
      <c r="D35" s="32" t="s">
        <v>28</v>
      </c>
      <c r="E35" s="32">
        <f>O10/(E10*E12^2*O13)*1000</f>
        <v>7.7783179387457463E-2</v>
      </c>
      <c r="F35" s="32"/>
      <c r="K35" s="3"/>
    </row>
    <row r="36" spans="2:20" x14ac:dyDescent="0.25">
      <c r="C36" s="32" t="s">
        <v>68</v>
      </c>
      <c r="D36" s="32" t="s">
        <v>29</v>
      </c>
      <c r="E36" s="40">
        <f>IF(O15=500,3220*E18*E34+51*O12/E18-3100,3440*E18*E34+49*O12/E18-3050)</f>
        <v>2516.6666666666661</v>
      </c>
      <c r="F36" s="32" t="s">
        <v>30</v>
      </c>
      <c r="G36" s="32">
        <f>E36/10000</f>
        <v>0.25166666666666659</v>
      </c>
      <c r="I36" s="33" t="s">
        <v>80</v>
      </c>
      <c r="J36" s="33"/>
    </row>
    <row r="37" spans="2:20" x14ac:dyDescent="0.25">
      <c r="C37" s="32" t="s">
        <v>38</v>
      </c>
      <c r="D37" s="58" t="str">
        <f>IF(E35&lt;=G36,"oui","non")</f>
        <v>oui</v>
      </c>
      <c r="F37" s="63" t="s">
        <v>31</v>
      </c>
      <c r="G37" s="58" t="str">
        <f>IF(D37="oui","pas besoin d'aciers comprimés","&gt;besoin d'aciers comprimés")</f>
        <v>pas besoin d'aciers comprimés</v>
      </c>
    </row>
    <row r="38" spans="2:20" x14ac:dyDescent="0.25">
      <c r="C38" s="32"/>
      <c r="D38" s="33"/>
    </row>
    <row r="39" spans="2:20" x14ac:dyDescent="0.25">
      <c r="C39" s="35"/>
      <c r="D39" s="35"/>
      <c r="E39" s="35"/>
      <c r="F39" s="35"/>
      <c r="G39" s="36" t="s">
        <v>69</v>
      </c>
      <c r="H39" s="36"/>
      <c r="K39" s="35"/>
      <c r="L39" s="35"/>
      <c r="M39" s="35"/>
      <c r="N39" s="35"/>
      <c r="O39" s="35"/>
      <c r="P39" s="36" t="s">
        <v>70</v>
      </c>
      <c r="Q39" s="36"/>
      <c r="S39" s="4"/>
      <c r="T39" s="4"/>
    </row>
    <row r="40" spans="2:20" x14ac:dyDescent="0.25">
      <c r="F40" s="32" t="s">
        <v>83</v>
      </c>
      <c r="G40" s="62" t="str">
        <f>IF(E35&lt;=0.275,"oui","non")</f>
        <v>oui</v>
      </c>
      <c r="N40" s="32" t="s">
        <v>43</v>
      </c>
      <c r="O40" s="32" t="s">
        <v>42</v>
      </c>
      <c r="P40" s="32">
        <f>G36*E10*E12^2*O13/1000</f>
        <v>258.83916666666659</v>
      </c>
      <c r="Q40" s="33" t="s">
        <v>8</v>
      </c>
      <c r="S40" s="4"/>
      <c r="T40" s="4"/>
    </row>
    <row r="41" spans="2:20" ht="17.25" customHeight="1" x14ac:dyDescent="0.25">
      <c r="E41" s="32" t="s">
        <v>52</v>
      </c>
      <c r="F41" s="32" t="s">
        <v>53</v>
      </c>
      <c r="G41" s="32">
        <f>1.25*(1-SQRT(1-2*E35))</f>
        <v>0.10133661831927654</v>
      </c>
      <c r="H41" s="32"/>
      <c r="K41" s="32" t="s">
        <v>49</v>
      </c>
      <c r="O41" s="32"/>
      <c r="R41" s="32" t="s">
        <v>48</v>
      </c>
      <c r="S41" s="4"/>
      <c r="T41" s="4"/>
    </row>
    <row r="42" spans="2:20" ht="14.25" customHeight="1" x14ac:dyDescent="0.25">
      <c r="E42" s="32" t="s">
        <v>54</v>
      </c>
      <c r="F42" s="32" t="s">
        <v>33</v>
      </c>
      <c r="G42" s="32">
        <f>E12/(1-0.4*G41)</f>
        <v>57.323591567756743</v>
      </c>
      <c r="H42" s="33" t="s">
        <v>36</v>
      </c>
      <c r="O42" s="32"/>
      <c r="R42" s="32" t="s">
        <v>47</v>
      </c>
      <c r="S42" s="4"/>
      <c r="T42" s="4"/>
    </row>
    <row r="43" spans="2:20" ht="18" customHeight="1" x14ac:dyDescent="0.25">
      <c r="C43" s="32"/>
      <c r="D43" s="32"/>
      <c r="E43" s="32" t="s">
        <v>34</v>
      </c>
      <c r="F43" s="32" t="s">
        <v>35</v>
      </c>
      <c r="G43" s="34">
        <f>O10/(G42*O16)*1000</f>
        <v>4.012309656629574</v>
      </c>
      <c r="H43" s="33" t="s">
        <v>37</v>
      </c>
      <c r="K43" s="32"/>
      <c r="L43" s="32"/>
      <c r="M43" s="32"/>
      <c r="N43" s="32"/>
      <c r="O43" s="32" t="s">
        <v>49</v>
      </c>
      <c r="P43" s="37">
        <f>IF(O15=500,MIN(9*E34*O12-E14*(13*O12+415)*E19,435),MIN(9*E34*O12-0.9*E14*(13*O12+415)*E19,348))</f>
        <v>184.77272727272728</v>
      </c>
      <c r="Q43" s="33" t="s">
        <v>0</v>
      </c>
      <c r="S43" s="4"/>
      <c r="T43" s="4"/>
    </row>
    <row r="44" spans="2:20" ht="15" customHeight="1" x14ac:dyDescent="0.25">
      <c r="C44" s="32"/>
      <c r="D44" s="32"/>
      <c r="E44" s="32" t="s">
        <v>40</v>
      </c>
      <c r="F44" s="32" t="s">
        <v>39</v>
      </c>
      <c r="G44" s="34">
        <f>0.23*O14*E10*E12/O15</f>
        <v>1.7077500000000001</v>
      </c>
      <c r="H44" s="33" t="s">
        <v>37</v>
      </c>
      <c r="K44" s="32"/>
      <c r="L44" s="32"/>
      <c r="M44" s="32"/>
      <c r="N44" s="32" t="s">
        <v>51</v>
      </c>
      <c r="O44" s="32" t="s">
        <v>50</v>
      </c>
      <c r="P44" s="34">
        <f>(O10-P40)/((E12-E13)*P43)*10</f>
        <v>-0.19357744977449767</v>
      </c>
      <c r="Q44" s="33" t="s">
        <v>37</v>
      </c>
      <c r="S44" s="4"/>
      <c r="T44" s="4"/>
    </row>
    <row r="45" spans="2:20" ht="15" customHeight="1" x14ac:dyDescent="0.25">
      <c r="C45" s="32"/>
      <c r="D45" s="32"/>
      <c r="E45" s="32" t="s">
        <v>59</v>
      </c>
      <c r="F45" s="32" t="s">
        <v>41</v>
      </c>
      <c r="G45" s="34">
        <f>MAX(G43,G44)</f>
        <v>4.012309656629574</v>
      </c>
      <c r="H45" s="33" t="s">
        <v>37</v>
      </c>
      <c r="K45" s="32"/>
      <c r="L45" s="32"/>
      <c r="M45" s="32"/>
      <c r="N45" s="32" t="s">
        <v>55</v>
      </c>
      <c r="O45" s="32" t="s">
        <v>56</v>
      </c>
      <c r="P45" s="34">
        <f>1.25*(1-SQRT(1-2*G36))</f>
        <v>0.36906772867225091</v>
      </c>
      <c r="Q45" s="33" t="s">
        <v>36</v>
      </c>
      <c r="S45" s="4"/>
      <c r="T45" s="4"/>
    </row>
    <row r="46" spans="2:20" x14ac:dyDescent="0.25">
      <c r="N46" s="32" t="s">
        <v>57</v>
      </c>
      <c r="O46" s="32" t="s">
        <v>58</v>
      </c>
      <c r="P46" s="34">
        <f>E12/(1-0.4*P45)</f>
        <v>64.525748589055809</v>
      </c>
      <c r="Q46" s="33" t="s">
        <v>36</v>
      </c>
      <c r="S46" s="4"/>
      <c r="T46" s="4"/>
    </row>
    <row r="47" spans="2:20" x14ac:dyDescent="0.25">
      <c r="N47" s="32" t="s">
        <v>75</v>
      </c>
      <c r="O47" s="32" t="s">
        <v>41</v>
      </c>
      <c r="P47" s="34">
        <f>P40/(P46*O16)*1000+P44*P43/O16</f>
        <v>11.429968267050647</v>
      </c>
      <c r="Q47" s="33" t="s">
        <v>37</v>
      </c>
      <c r="S47" s="4"/>
      <c r="T47" s="4"/>
    </row>
    <row r="48" spans="2:20" x14ac:dyDescent="0.25">
      <c r="N48" s="32"/>
      <c r="O48" s="32"/>
      <c r="P48" s="34"/>
      <c r="Q48" s="33"/>
      <c r="S48" s="4"/>
      <c r="T48" s="4"/>
    </row>
    <row r="49" spans="1:20" ht="15.75" x14ac:dyDescent="0.25">
      <c r="B49" s="28" t="s">
        <v>99</v>
      </c>
      <c r="C49" s="32"/>
      <c r="D49" s="32"/>
      <c r="E49" s="32"/>
      <c r="F49" s="32"/>
      <c r="I49" s="68"/>
      <c r="J49" s="36" t="s">
        <v>103</v>
      </c>
      <c r="K49" s="68" t="s">
        <v>102</v>
      </c>
      <c r="L49" s="36" t="s">
        <v>88</v>
      </c>
      <c r="M49" s="36" t="s">
        <v>87</v>
      </c>
      <c r="N49" s="32"/>
      <c r="O49" s="44" t="s">
        <v>104</v>
      </c>
      <c r="Q49" s="11"/>
      <c r="R49" s="11"/>
      <c r="S49" s="4"/>
      <c r="T49" s="4"/>
    </row>
    <row r="50" spans="1:20" ht="15.75" x14ac:dyDescent="0.25">
      <c r="B50" s="33" t="s">
        <v>72</v>
      </c>
      <c r="D50" s="32" t="s">
        <v>41</v>
      </c>
      <c r="E50" s="34">
        <f>IF(D37="oui",G45,P47)</f>
        <v>4.012309656629574</v>
      </c>
      <c r="F50" s="33" t="s">
        <v>37</v>
      </c>
      <c r="I50" s="32" t="s">
        <v>86</v>
      </c>
      <c r="J50" s="64">
        <v>0</v>
      </c>
      <c r="K50" s="64">
        <v>8</v>
      </c>
      <c r="L50" s="34">
        <f>J50*PI()*K50^2/400</f>
        <v>0</v>
      </c>
      <c r="M50" s="37">
        <f>M51+K51/20+E54+L50/20</f>
        <v>7.4</v>
      </c>
      <c r="N50" s="32"/>
      <c r="O50" s="33" t="s">
        <v>91</v>
      </c>
      <c r="Q50" s="11"/>
      <c r="R50" s="11"/>
      <c r="S50" s="4"/>
      <c r="T50" s="4"/>
    </row>
    <row r="51" spans="1:20" x14ac:dyDescent="0.25">
      <c r="B51" s="33" t="s">
        <v>92</v>
      </c>
      <c r="C51" s="33"/>
      <c r="D51" s="32" t="s">
        <v>26</v>
      </c>
      <c r="E51" s="37">
        <v>3</v>
      </c>
      <c r="F51" s="33" t="s">
        <v>36</v>
      </c>
      <c r="G51" s="33"/>
      <c r="I51" s="32" t="s">
        <v>85</v>
      </c>
      <c r="J51" s="64">
        <v>0</v>
      </c>
      <c r="K51" s="64">
        <v>8</v>
      </c>
      <c r="L51" s="34">
        <f>J51*PI()*K51^2/400</f>
        <v>0</v>
      </c>
      <c r="M51" s="37">
        <f>E51+F52/10+K50/10+E53+K51/20</f>
        <v>5</v>
      </c>
      <c r="N51" s="32"/>
      <c r="O51" s="33" t="s">
        <v>90</v>
      </c>
      <c r="Q51" s="4"/>
      <c r="R51" s="4"/>
      <c r="S51" s="4"/>
      <c r="T51" s="4"/>
    </row>
    <row r="52" spans="1:20" x14ac:dyDescent="0.25">
      <c r="B52" s="33" t="s">
        <v>95</v>
      </c>
      <c r="C52" s="33"/>
      <c r="D52" s="64">
        <v>1</v>
      </c>
      <c r="E52" s="46" t="s">
        <v>96</v>
      </c>
      <c r="F52" s="64">
        <v>8</v>
      </c>
      <c r="G52" s="33"/>
      <c r="I52" s="48" t="s">
        <v>84</v>
      </c>
      <c r="J52" s="64">
        <v>3</v>
      </c>
      <c r="K52" s="64">
        <v>14</v>
      </c>
      <c r="L52" s="42">
        <f>J52*PI()*K52^2/400</f>
        <v>4.6181412007769964</v>
      </c>
      <c r="M52" s="65">
        <f>E51+F52/10+K50/20</f>
        <v>4.2</v>
      </c>
      <c r="O52" s="33" t="s">
        <v>97</v>
      </c>
      <c r="Q52" s="4"/>
      <c r="R52" s="4"/>
      <c r="S52" s="4"/>
      <c r="T52" s="4"/>
    </row>
    <row r="53" spans="1:20" x14ac:dyDescent="0.25">
      <c r="B53" s="33" t="s">
        <v>93</v>
      </c>
      <c r="C53" s="33"/>
      <c r="D53" s="33"/>
      <c r="E53" s="37">
        <v>0</v>
      </c>
      <c r="F53" s="33" t="s">
        <v>36</v>
      </c>
      <c r="G53" s="33"/>
      <c r="J53" s="66" t="s">
        <v>89</v>
      </c>
      <c r="K53" s="66" t="s">
        <v>14</v>
      </c>
      <c r="L53" s="67">
        <f>(L50*M50+L51*M51+L52*M52)/SUM(L50:L52)</f>
        <v>4.2</v>
      </c>
      <c r="M53" s="50" t="s">
        <v>36</v>
      </c>
      <c r="P53" s="32"/>
      <c r="Q53" s="32"/>
      <c r="R53" s="32"/>
      <c r="S53" s="32"/>
      <c r="T53" s="4"/>
    </row>
    <row r="54" spans="1:20" ht="17.25" customHeight="1" x14ac:dyDescent="0.25">
      <c r="B54" s="33" t="s">
        <v>94</v>
      </c>
      <c r="C54" s="33"/>
      <c r="D54" s="33"/>
      <c r="E54" s="37">
        <v>2</v>
      </c>
      <c r="F54" s="33" t="s">
        <v>36</v>
      </c>
      <c r="G54" s="33"/>
      <c r="H54" s="44" t="s">
        <v>98</v>
      </c>
      <c r="I54" s="32"/>
      <c r="J54" s="58" t="str">
        <f>IF(Q54&gt;E50,"La section des aciers tendus est satisfaisante","augmenter la section des aciers tendus")</f>
        <v>La section des aciers tendus est satisfaisante</v>
      </c>
      <c r="K54" s="32"/>
      <c r="L54" s="32"/>
      <c r="O54" s="32"/>
      <c r="P54" s="62" t="s">
        <v>105</v>
      </c>
      <c r="Q54" s="69">
        <f>SUM(L50:L52)</f>
        <v>4.6181412007769964</v>
      </c>
      <c r="R54" s="58" t="s">
        <v>37</v>
      </c>
      <c r="S54" s="33"/>
      <c r="T54" s="33"/>
    </row>
    <row r="55" spans="1:20" x14ac:dyDescent="0.25">
      <c r="A55" s="32"/>
      <c r="B55" s="33"/>
      <c r="C55" s="33"/>
      <c r="D55" s="33"/>
      <c r="E55" s="33"/>
      <c r="F55" s="33"/>
      <c r="G55" s="33"/>
      <c r="H55" s="32"/>
      <c r="I55" s="32"/>
      <c r="J55" s="58" t="str">
        <f>IF(L53&lt;=E13,"La hauteur utile équivalente est satisfaisante","ajuster la disposition des aciers")</f>
        <v>La hauteur utile équivalente est satisfaisante</v>
      </c>
      <c r="K55" s="32"/>
      <c r="L55" s="32"/>
      <c r="M55" s="32"/>
      <c r="N55" s="32"/>
      <c r="O55" s="32"/>
      <c r="P55" s="62" t="s">
        <v>14</v>
      </c>
      <c r="Q55" s="70">
        <f>E11-L53</f>
        <v>55.8</v>
      </c>
      <c r="R55" s="58" t="s">
        <v>36</v>
      </c>
      <c r="S55" s="33"/>
      <c r="T55" s="33"/>
    </row>
    <row r="56" spans="1:20" x14ac:dyDescent="0.25">
      <c r="A56" s="32"/>
      <c r="B56" s="33"/>
      <c r="C56" s="33"/>
      <c r="D56" s="33"/>
      <c r="E56" s="33"/>
      <c r="F56" s="33"/>
      <c r="G56" s="33"/>
      <c r="H56" s="32"/>
      <c r="I56" s="32"/>
      <c r="J56" s="32"/>
      <c r="K56" s="32"/>
      <c r="L56" s="32"/>
      <c r="M56" s="32"/>
      <c r="N56" s="32"/>
      <c r="O56" s="32"/>
      <c r="P56" s="33"/>
      <c r="Q56" s="33"/>
      <c r="R56" s="33"/>
      <c r="S56" s="33"/>
      <c r="T56" s="33"/>
    </row>
    <row r="57" spans="1:20" x14ac:dyDescent="0.25">
      <c r="A57" s="32"/>
      <c r="B57" s="28" t="s">
        <v>100</v>
      </c>
      <c r="C57" s="33"/>
      <c r="D57" s="33"/>
      <c r="E57" s="33"/>
      <c r="F57" s="33"/>
      <c r="G57" s="33"/>
      <c r="H57" s="32"/>
      <c r="I57" s="32"/>
      <c r="J57" s="36" t="s">
        <v>103</v>
      </c>
      <c r="K57" s="36" t="s">
        <v>102</v>
      </c>
      <c r="L57" s="36" t="s">
        <v>88</v>
      </c>
      <c r="M57" s="36" t="s">
        <v>87</v>
      </c>
      <c r="N57" s="32"/>
      <c r="O57" s="32"/>
      <c r="P57" s="33"/>
      <c r="Q57" s="33"/>
      <c r="R57" s="33"/>
      <c r="S57" s="33"/>
      <c r="T57" s="33"/>
    </row>
    <row r="58" spans="1:20" ht="15.75" x14ac:dyDescent="0.25">
      <c r="A58" s="32"/>
      <c r="B58" s="5"/>
      <c r="C58" s="32" t="s">
        <v>73</v>
      </c>
      <c r="D58" s="32" t="s">
        <v>71</v>
      </c>
      <c r="E58" s="34">
        <f>IF(D37="oui",G44,P44)</f>
        <v>1.7077500000000001</v>
      </c>
      <c r="F58" s="33" t="s">
        <v>37</v>
      </c>
      <c r="I58" s="32" t="s">
        <v>101</v>
      </c>
      <c r="J58" s="64">
        <v>3</v>
      </c>
      <c r="K58" s="64">
        <v>8</v>
      </c>
      <c r="L58" s="34">
        <f>J58*PI()*K58^2/400</f>
        <v>1.5079644737231006</v>
      </c>
      <c r="M58" s="37">
        <f>E13</f>
        <v>5</v>
      </c>
      <c r="O58" s="58" t="str">
        <f>IF(L58&gt;E58,"La section des aciers comprimés est satisfaisante","augmenter la section des acierscomprimés")</f>
        <v>augmenter la section des acierscomprimés</v>
      </c>
      <c r="P58" s="62"/>
      <c r="Q58" s="69"/>
      <c r="R58" s="58"/>
      <c r="S58" s="32"/>
      <c r="T58" s="32"/>
    </row>
    <row r="59" spans="1:20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</row>
    <row r="60" spans="1:20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</row>
    <row r="61" spans="1:20" x14ac:dyDescent="0.25">
      <c r="J61" s="4"/>
      <c r="K61" s="4"/>
      <c r="L61" s="7"/>
      <c r="M61" s="32"/>
      <c r="N61" s="32"/>
      <c r="O61" s="32"/>
      <c r="P61" s="32"/>
      <c r="Q61" s="32"/>
      <c r="R61" s="32"/>
      <c r="S61" s="32"/>
      <c r="T61" s="32"/>
    </row>
    <row r="62" spans="1:20" ht="15.75" x14ac:dyDescent="0.25">
      <c r="H62" s="2"/>
      <c r="I62" s="2"/>
      <c r="J62" s="2"/>
      <c r="K62" s="2"/>
      <c r="L62" s="2"/>
      <c r="M62" s="32"/>
      <c r="N62" s="32"/>
      <c r="O62" s="32"/>
      <c r="P62" s="32"/>
      <c r="Q62" s="32"/>
      <c r="R62" s="32"/>
      <c r="S62" s="32"/>
      <c r="T62" s="32"/>
    </row>
    <row r="63" spans="1:20" ht="15.75" x14ac:dyDescent="0.25">
      <c r="J63" s="4"/>
      <c r="K63" s="7"/>
      <c r="L63" s="8"/>
      <c r="M63" s="8"/>
      <c r="N63" s="8"/>
      <c r="O63" s="4"/>
      <c r="P63" s="4"/>
      <c r="Q63" s="4"/>
      <c r="R63" s="4"/>
      <c r="S63" s="4"/>
      <c r="T63" s="4"/>
    </row>
    <row r="64" spans="1:20" ht="15.75" x14ac:dyDescent="0.25">
      <c r="J64" s="4"/>
      <c r="K64" s="7"/>
      <c r="L64" s="9"/>
      <c r="M64" s="9"/>
      <c r="N64" s="9"/>
      <c r="O64" s="4"/>
      <c r="P64" s="4"/>
      <c r="Q64" s="4"/>
      <c r="R64" s="4"/>
      <c r="S64" s="4"/>
      <c r="T64" s="4"/>
    </row>
    <row r="65" spans="10:20" ht="15.75" x14ac:dyDescent="0.25">
      <c r="J65" s="8"/>
      <c r="K65" s="8"/>
      <c r="L65" s="10"/>
      <c r="M65" s="10"/>
      <c r="N65" s="10"/>
      <c r="O65" s="4"/>
      <c r="P65" s="4"/>
      <c r="Q65" s="4"/>
      <c r="R65" s="4"/>
      <c r="S65" s="4"/>
      <c r="T65" s="4"/>
    </row>
    <row r="66" spans="10:20" ht="15.75" x14ac:dyDescent="0.25">
      <c r="J66" s="9"/>
      <c r="K66" s="9"/>
      <c r="L66" s="10"/>
      <c r="M66" s="10"/>
      <c r="N66" s="10"/>
      <c r="O66" s="4"/>
      <c r="P66" s="4"/>
      <c r="Q66" s="4"/>
      <c r="R66" s="4"/>
      <c r="S66" s="4"/>
      <c r="T66" s="4"/>
    </row>
    <row r="67" spans="10:20" ht="15.75" x14ac:dyDescent="0.25">
      <c r="J67" s="10"/>
      <c r="K67" s="10"/>
      <c r="L67" s="10"/>
      <c r="M67" s="10"/>
      <c r="N67" s="10"/>
      <c r="O67" s="4"/>
      <c r="P67" s="4"/>
      <c r="Q67" s="4"/>
      <c r="R67" s="4"/>
      <c r="S67" s="4"/>
      <c r="T67" s="4"/>
    </row>
    <row r="68" spans="10:20" ht="15.75" x14ac:dyDescent="0.25">
      <c r="J68" s="10"/>
      <c r="K68" s="10"/>
      <c r="L68" s="4"/>
      <c r="M68" s="4"/>
      <c r="N68" s="4"/>
      <c r="O68" s="4"/>
      <c r="P68" s="4"/>
      <c r="Q68" s="4"/>
      <c r="R68" s="4"/>
      <c r="S68" s="4"/>
      <c r="T68" s="4"/>
    </row>
    <row r="69" spans="10:20" ht="15.75" x14ac:dyDescent="0.25">
      <c r="J69" s="10"/>
      <c r="K69" s="10"/>
      <c r="L69" s="4"/>
      <c r="M69" s="4"/>
      <c r="N69" s="4"/>
      <c r="O69" s="4"/>
      <c r="P69" s="4"/>
      <c r="Q69" s="4"/>
      <c r="R69" s="4"/>
      <c r="S69" s="4"/>
      <c r="T69" s="4"/>
    </row>
    <row r="70" spans="10:20" x14ac:dyDescent="0.25"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</row>
    <row r="71" spans="10:20" x14ac:dyDescent="0.25"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</row>
    <row r="72" spans="10:20" x14ac:dyDescent="0.25">
      <c r="J72" s="4"/>
      <c r="K72" s="4"/>
    </row>
    <row r="73" spans="10:20" x14ac:dyDescent="0.25">
      <c r="J73" s="4"/>
      <c r="K73" s="4"/>
    </row>
    <row r="86" ht="15.75" customHeight="1" x14ac:dyDescent="0.25"/>
    <row r="87" ht="15.75" customHeight="1" x14ac:dyDescent="0.25"/>
  </sheetData>
  <dataConsolidate/>
  <mergeCells count="9">
    <mergeCell ref="P22:R22"/>
    <mergeCell ref="S22:U22"/>
    <mergeCell ref="A24:A27"/>
    <mergeCell ref="L24:L27"/>
    <mergeCell ref="A28:A31"/>
    <mergeCell ref="C22:E22"/>
    <mergeCell ref="F22:H22"/>
    <mergeCell ref="I22:K22"/>
    <mergeCell ref="M22:O22"/>
  </mergeCells>
  <dataValidations count="3">
    <dataValidation type="list" allowBlank="1" showInputMessage="1" showErrorMessage="1" sqref="E52">
      <formula1>"HA,RL"</formula1>
    </dataValidation>
    <dataValidation type="list" allowBlank="1" showInputMessage="1" showErrorMessage="1" sqref="K50:K52 F52 K58">
      <formula1>"6,8,10,12,14,16,20"</formula1>
    </dataValidation>
    <dataValidation type="list" allowBlank="1" showInputMessage="1" showErrorMessage="1" sqref="E18">
      <formula1>"1,0.9,0.85"</formula1>
    </dataValidation>
  </dataValidations>
  <pageMargins left="0.31496062992125984" right="0.31496062992125984" top="0.55118110236220474" bottom="0.55118110236220474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RADIER NERVURE</vt:lpstr>
      <vt:lpstr>DIMENSIONNEMENT ELU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NYETAM</dc:creator>
  <cp:lastModifiedBy>joe</cp:lastModifiedBy>
  <cp:lastPrinted>2018-03-20T16:45:45Z</cp:lastPrinted>
  <dcterms:created xsi:type="dcterms:W3CDTF">2015-10-16T14:49:11Z</dcterms:created>
  <dcterms:modified xsi:type="dcterms:W3CDTF">2018-05-30T13:01:51Z</dcterms:modified>
</cp:coreProperties>
</file>