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Téléchargement\"/>
    </mc:Choice>
  </mc:AlternateContent>
  <bookViews>
    <workbookView xWindow="0" yWindow="0" windowWidth="11325" windowHeight="345"/>
  </bookViews>
  <sheets>
    <sheet name="Grille de pronostic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9" i="1" l="1"/>
  <c r="F71" i="1"/>
  <c r="F81" i="1" s="1"/>
  <c r="E71" i="1"/>
  <c r="F72" i="1"/>
  <c r="F74" i="1" s="1"/>
  <c r="E72" i="1"/>
  <c r="AI87" i="1"/>
  <c r="AI85" i="1"/>
  <c r="AI77" i="1"/>
  <c r="AI75" i="1"/>
  <c r="AI69" i="1"/>
  <c r="AI67" i="1"/>
  <c r="AI60" i="1"/>
  <c r="AI58" i="1"/>
  <c r="AI48" i="1"/>
  <c r="AI46" i="1"/>
  <c r="AI45" i="1"/>
  <c r="AI35" i="1"/>
  <c r="AI33" i="1"/>
  <c r="AI22" i="1"/>
  <c r="AI20" i="1"/>
  <c r="AI14" i="1"/>
  <c r="AI12" i="1"/>
  <c r="F77" i="1" l="1"/>
  <c r="AP87" i="1" l="1"/>
  <c r="AL87" i="1"/>
  <c r="AK87" i="1"/>
  <c r="AQ86" i="1"/>
  <c r="AO86" i="1"/>
  <c r="AP85" i="1" s="1"/>
  <c r="AL86" i="1"/>
  <c r="AK86" i="1"/>
  <c r="AI86" i="1"/>
  <c r="AQ85" i="1"/>
  <c r="AO87" i="1" s="1"/>
  <c r="AN85" i="1"/>
  <c r="AL85" i="1"/>
  <c r="AK85" i="1"/>
  <c r="AQ84" i="1"/>
  <c r="AN87" i="1" s="1"/>
  <c r="AP84" i="1"/>
  <c r="AN86" i="1" s="1"/>
  <c r="AO84" i="1"/>
  <c r="AL84" i="1"/>
  <c r="AK84" i="1"/>
  <c r="AI84" i="1"/>
  <c r="AP77" i="1"/>
  <c r="AN77" i="1"/>
  <c r="AL77" i="1"/>
  <c r="AK77" i="1"/>
  <c r="AQ76" i="1"/>
  <c r="AO76" i="1"/>
  <c r="AP75" i="1" s="1"/>
  <c r="AN76" i="1"/>
  <c r="AL76" i="1"/>
  <c r="AK76" i="1"/>
  <c r="AI76" i="1"/>
  <c r="AQ75" i="1"/>
  <c r="AO77" i="1" s="1"/>
  <c r="AL75" i="1"/>
  <c r="AK75" i="1"/>
  <c r="AQ74" i="1"/>
  <c r="AP74" i="1"/>
  <c r="AO74" i="1"/>
  <c r="AN75" i="1" s="1"/>
  <c r="AL74" i="1"/>
  <c r="AK74" i="1"/>
  <c r="AI74" i="1"/>
  <c r="AL69" i="1"/>
  <c r="AK69" i="1"/>
  <c r="AQ68" i="1"/>
  <c r="AP69" i="1" s="1"/>
  <c r="AO68" i="1"/>
  <c r="AP67" i="1" s="1"/>
  <c r="AL68" i="1"/>
  <c r="AK68" i="1"/>
  <c r="AI68" i="1"/>
  <c r="AQ67" i="1"/>
  <c r="AO69" i="1" s="1"/>
  <c r="AL67" i="1"/>
  <c r="AK67" i="1"/>
  <c r="AQ65" i="1"/>
  <c r="AN69" i="1" s="1"/>
  <c r="AP65" i="1"/>
  <c r="AN68" i="1" s="1"/>
  <c r="AO65" i="1"/>
  <c r="AN67" i="1" s="1"/>
  <c r="AL65" i="1"/>
  <c r="AK65" i="1"/>
  <c r="AI65" i="1"/>
  <c r="J51" i="1"/>
  <c r="O50" i="1"/>
  <c r="AL60" i="1"/>
  <c r="AK60" i="1"/>
  <c r="AQ59" i="1"/>
  <c r="AP60" i="1" s="1"/>
  <c r="AO59" i="1"/>
  <c r="AP58" i="1" s="1"/>
  <c r="AL59" i="1"/>
  <c r="AK59" i="1"/>
  <c r="AI59" i="1"/>
  <c r="AQ58" i="1"/>
  <c r="AO60" i="1" s="1"/>
  <c r="AL58" i="1"/>
  <c r="AK58" i="1"/>
  <c r="AQ57" i="1"/>
  <c r="AN60" i="1" s="1"/>
  <c r="AP57" i="1"/>
  <c r="AN59" i="1" s="1"/>
  <c r="AO57" i="1"/>
  <c r="AN58" i="1" s="1"/>
  <c r="AL57" i="1"/>
  <c r="AK57" i="1"/>
  <c r="AI57" i="1"/>
  <c r="J45" i="1"/>
  <c r="O44" i="1"/>
  <c r="AP48" i="1"/>
  <c r="AL48" i="1"/>
  <c r="AK48" i="1"/>
  <c r="J39" i="1"/>
  <c r="AQ47" i="1"/>
  <c r="AO47" i="1"/>
  <c r="AP46" i="1" s="1"/>
  <c r="AN47" i="1"/>
  <c r="AL47" i="1"/>
  <c r="AK47" i="1"/>
  <c r="AI47" i="1"/>
  <c r="O38" i="1"/>
  <c r="AQ46" i="1"/>
  <c r="AO48" i="1" s="1"/>
  <c r="AL46" i="1"/>
  <c r="AK46" i="1"/>
  <c r="AQ45" i="1"/>
  <c r="AN48" i="1" s="1"/>
  <c r="AP45" i="1"/>
  <c r="AO45" i="1"/>
  <c r="AN46" i="1" s="1"/>
  <c r="AL45" i="1"/>
  <c r="AK45" i="1"/>
  <c r="J33" i="1"/>
  <c r="O32" i="1"/>
  <c r="AL35" i="1"/>
  <c r="AK35" i="1"/>
  <c r="AQ34" i="1"/>
  <c r="AP35" i="1" s="1"/>
  <c r="AO34" i="1"/>
  <c r="AP33" i="1" s="1"/>
  <c r="AL34" i="1"/>
  <c r="AK34" i="1"/>
  <c r="AI34" i="1"/>
  <c r="AQ33" i="1"/>
  <c r="AO35" i="1" s="1"/>
  <c r="AL33" i="1"/>
  <c r="AK33" i="1"/>
  <c r="J27" i="1"/>
  <c r="O26" i="1"/>
  <c r="AQ27" i="1"/>
  <c r="AN35" i="1" s="1"/>
  <c r="AP27" i="1"/>
  <c r="AN34" i="1" s="1"/>
  <c r="AO27" i="1"/>
  <c r="AN33" i="1" s="1"/>
  <c r="AL27" i="1"/>
  <c r="AK27" i="1"/>
  <c r="AI27" i="1"/>
  <c r="J21" i="1"/>
  <c r="O20" i="1"/>
  <c r="AL22" i="1"/>
  <c r="AK22" i="1"/>
  <c r="AQ21" i="1"/>
  <c r="AP22" i="1" s="1"/>
  <c r="AO21" i="1"/>
  <c r="AP20" i="1" s="1"/>
  <c r="AL21" i="1"/>
  <c r="AK21" i="1"/>
  <c r="AI21" i="1"/>
  <c r="AQ20" i="1"/>
  <c r="AO22" i="1" s="1"/>
  <c r="AL20" i="1"/>
  <c r="AK20" i="1"/>
  <c r="AQ19" i="1"/>
  <c r="AN22" i="1" s="1"/>
  <c r="AP19" i="1"/>
  <c r="AO19" i="1"/>
  <c r="AN20" i="1" s="1"/>
  <c r="AL19" i="1"/>
  <c r="AK19" i="1"/>
  <c r="AI19" i="1"/>
  <c r="J15" i="1"/>
  <c r="O14" i="1"/>
  <c r="AL14" i="1"/>
  <c r="AK14" i="1"/>
  <c r="AQ13" i="1"/>
  <c r="AO13" i="1"/>
  <c r="AP12" i="1" s="1"/>
  <c r="AL13" i="1"/>
  <c r="AK13" i="1"/>
  <c r="AI13" i="1"/>
  <c r="AQ12" i="1"/>
  <c r="AO14" i="1" s="1"/>
  <c r="AL12" i="1"/>
  <c r="AK12" i="1"/>
  <c r="AQ11" i="1"/>
  <c r="AP11" i="1"/>
  <c r="AN13" i="1" s="1"/>
  <c r="AO11" i="1"/>
  <c r="AN12" i="1" s="1"/>
  <c r="AL11" i="1"/>
  <c r="AK11" i="1"/>
  <c r="AI11" i="1"/>
  <c r="J9" i="1"/>
  <c r="BS7" i="1"/>
  <c r="O8" i="1"/>
  <c r="AM34" i="1" l="1"/>
  <c r="AW60" i="1"/>
  <c r="AY68" i="1"/>
  <c r="AM48" i="1"/>
  <c r="AW45" i="1"/>
  <c r="AJ74" i="1"/>
  <c r="AX59" i="1"/>
  <c r="AY59" i="1"/>
  <c r="AV67" i="1"/>
  <c r="AM75" i="1"/>
  <c r="AV75" i="1"/>
  <c r="AJ77" i="1"/>
  <c r="AM65" i="1"/>
  <c r="AW58" i="1"/>
  <c r="AM45" i="1"/>
  <c r="AY46" i="1"/>
  <c r="AX35" i="1"/>
  <c r="AY47" i="1"/>
  <c r="AV58" i="1"/>
  <c r="AW67" i="1"/>
  <c r="AM84" i="1"/>
  <c r="AW65" i="1"/>
  <c r="AM33" i="1"/>
  <c r="AX34" i="1"/>
  <c r="AM47" i="1"/>
  <c r="AM58" i="1"/>
  <c r="AX65" i="1"/>
  <c r="AW74" i="1"/>
  <c r="AM77" i="1"/>
  <c r="AX84" i="1"/>
  <c r="AY34" i="1"/>
  <c r="AM46" i="1"/>
  <c r="AX57" i="1"/>
  <c r="AM69" i="1"/>
  <c r="AY75" i="1"/>
  <c r="AY35" i="1"/>
  <c r="AJ46" i="1"/>
  <c r="AJ59" i="1"/>
  <c r="AM67" i="1"/>
  <c r="AX74" i="1"/>
  <c r="AV20" i="1"/>
  <c r="AJ27" i="1"/>
  <c r="AW46" i="1"/>
  <c r="AX47" i="1"/>
  <c r="AM57" i="1"/>
  <c r="AM86" i="1"/>
  <c r="AJ87" i="1"/>
  <c r="AX19" i="1"/>
  <c r="AX27" i="1"/>
  <c r="AV45" i="1"/>
  <c r="AV59" i="1"/>
  <c r="AY60" i="1"/>
  <c r="AY77" i="1"/>
  <c r="AY76" i="1"/>
  <c r="AM85" i="1"/>
  <c r="AJ86" i="1"/>
  <c r="AV27" i="1"/>
  <c r="AJ58" i="1"/>
  <c r="AY58" i="1"/>
  <c r="AY33" i="1"/>
  <c r="AJ35" i="1"/>
  <c r="AY69" i="1"/>
  <c r="AV74" i="1"/>
  <c r="AX77" i="1"/>
  <c r="AW27" i="1"/>
  <c r="AY20" i="1"/>
  <c r="AM27" i="1"/>
  <c r="AJ45" i="1"/>
  <c r="AJ47" i="1"/>
  <c r="AX60" i="1"/>
  <c r="AY67" i="1"/>
  <c r="AW75" i="1"/>
  <c r="AM59" i="1"/>
  <c r="AM74" i="1"/>
  <c r="AM76" i="1"/>
  <c r="AW85" i="1"/>
  <c r="AX87" i="1"/>
  <c r="AM60" i="1"/>
  <c r="AM68" i="1"/>
  <c r="AT65" i="1" s="1"/>
  <c r="AY85" i="1"/>
  <c r="AV86" i="1"/>
  <c r="AY87" i="1"/>
  <c r="AW35" i="1"/>
  <c r="AY21" i="1"/>
  <c r="AY48" i="1"/>
  <c r="AX86" i="1"/>
  <c r="AW87" i="1"/>
  <c r="AW12" i="1"/>
  <c r="AY12" i="1"/>
  <c r="AM19" i="1"/>
  <c r="AM13" i="1"/>
  <c r="AW11" i="1"/>
  <c r="AM22" i="1"/>
  <c r="AJ22" i="1"/>
  <c r="AN21" i="1"/>
  <c r="AX21" i="1" s="1"/>
  <c r="AX22" i="1"/>
  <c r="AM21" i="1"/>
  <c r="AJ19" i="1"/>
  <c r="AJ20" i="1"/>
  <c r="AN14" i="1"/>
  <c r="AW14" i="1" s="1"/>
  <c r="AM11" i="1"/>
  <c r="AX11" i="1"/>
  <c r="AM14" i="1"/>
  <c r="AX13" i="1"/>
  <c r="AV13" i="1"/>
  <c r="AP14" i="1"/>
  <c r="AY14" i="1" s="1"/>
  <c r="AM12" i="1"/>
  <c r="AJ84" i="1"/>
  <c r="AW84" i="1"/>
  <c r="AY13" i="1"/>
  <c r="AM20" i="1"/>
  <c r="AY22" i="1"/>
  <c r="AX45" i="1"/>
  <c r="AV65" i="1"/>
  <c r="AX69" i="1"/>
  <c r="AW69" i="1"/>
  <c r="AJ69" i="1"/>
  <c r="AM87" i="1"/>
  <c r="AY86" i="1"/>
  <c r="AJ11" i="1"/>
  <c r="AJ12" i="1"/>
  <c r="AW20" i="1"/>
  <c r="AX48" i="1"/>
  <c r="AW48" i="1"/>
  <c r="AJ48" i="1"/>
  <c r="AW57" i="1"/>
  <c r="AV57" i="1"/>
  <c r="AJ57" i="1"/>
  <c r="AV84" i="1"/>
  <c r="AV11" i="1"/>
  <c r="AV19" i="1"/>
  <c r="AJ34" i="1"/>
  <c r="AJ60" i="1"/>
  <c r="AJ67" i="1"/>
  <c r="AX76" i="1"/>
  <c r="AV76" i="1"/>
  <c r="AJ76" i="1"/>
  <c r="AV12" i="1"/>
  <c r="AJ13" i="1"/>
  <c r="AW19" i="1"/>
  <c r="AX68" i="1"/>
  <c r="AV68" i="1"/>
  <c r="AJ68" i="1"/>
  <c r="AW33" i="1"/>
  <c r="AV33" i="1"/>
  <c r="AJ33" i="1"/>
  <c r="AM35" i="1"/>
  <c r="AV46" i="1"/>
  <c r="AV47" i="1"/>
  <c r="AJ85" i="1"/>
  <c r="AW77" i="1"/>
  <c r="AW22" i="1"/>
  <c r="AV34" i="1"/>
  <c r="AJ65" i="1"/>
  <c r="AJ75" i="1"/>
  <c r="AV85" i="1"/>
  <c r="AS84" i="1" l="1"/>
  <c r="AR86" i="1"/>
  <c r="AU76" i="1"/>
  <c r="AS65" i="1"/>
  <c r="AT46" i="1"/>
  <c r="AT33" i="1"/>
  <c r="AR34" i="1"/>
  <c r="AR67" i="1"/>
  <c r="AR77" i="1"/>
  <c r="AS34" i="1"/>
  <c r="AR68" i="1"/>
  <c r="AS45" i="1"/>
  <c r="AU46" i="1"/>
  <c r="AS48" i="1"/>
  <c r="AR58" i="1"/>
  <c r="AU75" i="1"/>
  <c r="AS76" i="1"/>
  <c r="AR48" i="1"/>
  <c r="AR47" i="1"/>
  <c r="AT77" i="1"/>
  <c r="AT45" i="1"/>
  <c r="AS47" i="1"/>
  <c r="AS35" i="1"/>
  <c r="AS77" i="1"/>
  <c r="AS69" i="1"/>
  <c r="AT84" i="1"/>
  <c r="AU59" i="1"/>
  <c r="AU65" i="1"/>
  <c r="AT85" i="1"/>
  <c r="AR46" i="1"/>
  <c r="AR85" i="1"/>
  <c r="AS86" i="1"/>
  <c r="AU86" i="1"/>
  <c r="AS74" i="1"/>
  <c r="AR76" i="1"/>
  <c r="AU74" i="1"/>
  <c r="AR75" i="1"/>
  <c r="AS68" i="1"/>
  <c r="AU68" i="1"/>
  <c r="AT58" i="1"/>
  <c r="AS59" i="1"/>
  <c r="AS57" i="1"/>
  <c r="AU45" i="1"/>
  <c r="AU47" i="1"/>
  <c r="AT48" i="1"/>
  <c r="AT27" i="1"/>
  <c r="AR21" i="1"/>
  <c r="AU67" i="1"/>
  <c r="AS60" i="1"/>
  <c r="AR69" i="1"/>
  <c r="AU57" i="1"/>
  <c r="AT75" i="1"/>
  <c r="AR33" i="1"/>
  <c r="AU85" i="1"/>
  <c r="AS27" i="1"/>
  <c r="AT67" i="1"/>
  <c r="AR87" i="1"/>
  <c r="AT69" i="1"/>
  <c r="AU84" i="1"/>
  <c r="AS87" i="1"/>
  <c r="AT87" i="1"/>
  <c r="AU19" i="1"/>
  <c r="AT60" i="1"/>
  <c r="AT74" i="1"/>
  <c r="AT57" i="1"/>
  <c r="AR60" i="1"/>
  <c r="AU58" i="1"/>
  <c r="AR59" i="1"/>
  <c r="AT12" i="1"/>
  <c r="AR13" i="1"/>
  <c r="AT11" i="1"/>
  <c r="AR14" i="1"/>
  <c r="AR22" i="1"/>
  <c r="AJ21" i="1"/>
  <c r="BD19" i="1" s="1"/>
  <c r="AV21" i="1"/>
  <c r="AT19" i="1"/>
  <c r="AU21" i="1"/>
  <c r="AT22" i="1"/>
  <c r="AU13" i="1"/>
  <c r="AU11" i="1"/>
  <c r="AT14" i="1"/>
  <c r="AJ14" i="1"/>
  <c r="BD11" i="1" s="1"/>
  <c r="AX14" i="1"/>
  <c r="AS14" i="1"/>
  <c r="AS11" i="1"/>
  <c r="AS13" i="1"/>
  <c r="AU12" i="1"/>
  <c r="AR12" i="1"/>
  <c r="BD84" i="1"/>
  <c r="AU27" i="1"/>
  <c r="AT20" i="1"/>
  <c r="AS22" i="1"/>
  <c r="AS21" i="1"/>
  <c r="AU20" i="1"/>
  <c r="AU34" i="1"/>
  <c r="AS19" i="1"/>
  <c r="AU33" i="1"/>
  <c r="AR20" i="1"/>
  <c r="BD45" i="1"/>
  <c r="BD27" i="1"/>
  <c r="BD65" i="1"/>
  <c r="BD57" i="1"/>
  <c r="AT35" i="1"/>
  <c r="BD74" i="1"/>
  <c r="AR35" i="1"/>
  <c r="BE19" i="1" l="1"/>
  <c r="BG19" i="1"/>
  <c r="BF19" i="1"/>
  <c r="BH19" i="1"/>
  <c r="BF65" i="1"/>
  <c r="BE65" i="1"/>
  <c r="BH65" i="1"/>
  <c r="BG65" i="1"/>
  <c r="BH74" i="1"/>
  <c r="BG74" i="1"/>
  <c r="BE74" i="1"/>
  <c r="BF74" i="1"/>
  <c r="BH11" i="1"/>
  <c r="BG11" i="1"/>
  <c r="BF11" i="1"/>
  <c r="BE11" i="1"/>
  <c r="BE84" i="1"/>
  <c r="BG84" i="1"/>
  <c r="BH84" i="1"/>
  <c r="BF84" i="1"/>
  <c r="BH45" i="1"/>
  <c r="BG45" i="1"/>
  <c r="BF45" i="1"/>
  <c r="BE45" i="1"/>
  <c r="BH27" i="1"/>
  <c r="BG27" i="1"/>
  <c r="BF27" i="1"/>
  <c r="BE27" i="1"/>
  <c r="BG57" i="1"/>
  <c r="BF57" i="1"/>
  <c r="BE57" i="1"/>
  <c r="BH57" i="1"/>
  <c r="BN45" i="1" l="1"/>
  <c r="BS47" i="1" s="1"/>
  <c r="BC47" i="1" s="1"/>
  <c r="BB48" i="1" s="1"/>
  <c r="BI65" i="1"/>
  <c r="BQ65" i="1" s="1"/>
  <c r="BA65" i="1" s="1"/>
  <c r="AZ67" i="1" s="1"/>
  <c r="BI84" i="1"/>
  <c r="BQ84" i="1" s="1"/>
  <c r="BA84" i="1" s="1"/>
  <c r="AZ85" i="1" s="1"/>
  <c r="BK45" i="1"/>
  <c r="BS45" i="1" s="1"/>
  <c r="BC45" i="1" s="1"/>
  <c r="AZ48" i="1" s="1"/>
  <c r="BL27" i="1"/>
  <c r="BR33" i="1" s="1"/>
  <c r="BB33" i="1" s="1"/>
  <c r="BA34" i="1" s="1"/>
  <c r="BK27" i="1"/>
  <c r="BS27" i="1" s="1"/>
  <c r="BC27" i="1" s="1"/>
  <c r="AZ35" i="1" s="1"/>
  <c r="BJ57" i="1"/>
  <c r="BR57" i="1" s="1"/>
  <c r="BB57" i="1" s="1"/>
  <c r="AZ59" i="1" s="1"/>
  <c r="BN65" i="1"/>
  <c r="BS68" i="1" s="1"/>
  <c r="BC68" i="1" s="1"/>
  <c r="BB69" i="1" s="1"/>
  <c r="BK65" i="1"/>
  <c r="BS65" i="1" s="1"/>
  <c r="BC65" i="1" s="1"/>
  <c r="AZ69" i="1" s="1"/>
  <c r="BJ84" i="1"/>
  <c r="BR84" i="1" s="1"/>
  <c r="BB84" i="1" s="1"/>
  <c r="AZ86" i="1" s="1"/>
  <c r="BJ65" i="1"/>
  <c r="BR65" i="1" s="1"/>
  <c r="BB65" i="1" s="1"/>
  <c r="AZ68" i="1" s="1"/>
  <c r="BI45" i="1"/>
  <c r="BQ45" i="1" s="1"/>
  <c r="BA45" i="1" s="1"/>
  <c r="BL84" i="1"/>
  <c r="BR85" i="1" s="1"/>
  <c r="BB85" i="1" s="1"/>
  <c r="BA86" i="1" s="1"/>
  <c r="BN74" i="1"/>
  <c r="BS76" i="1" s="1"/>
  <c r="BC76" i="1" s="1"/>
  <c r="BB77" i="1" s="1"/>
  <c r="BK19" i="1"/>
  <c r="BS19" i="1" s="1"/>
  <c r="BC19" i="1" s="1"/>
  <c r="AZ22" i="1" s="1"/>
  <c r="BL57" i="1"/>
  <c r="BR58" i="1" s="1"/>
  <c r="BB58" i="1" s="1"/>
  <c r="BA59" i="1" s="1"/>
  <c r="BJ45" i="1"/>
  <c r="BR45" i="1" s="1"/>
  <c r="BB45" i="1" s="1"/>
  <c r="AZ47" i="1" s="1"/>
  <c r="BM57" i="1"/>
  <c r="BS58" i="1" s="1"/>
  <c r="BC58" i="1" s="1"/>
  <c r="BA60" i="1" s="1"/>
  <c r="BM74" i="1"/>
  <c r="BS75" i="1" s="1"/>
  <c r="BC75" i="1" s="1"/>
  <c r="BA77" i="1" s="1"/>
  <c r="BJ74" i="1"/>
  <c r="BR74" i="1" s="1"/>
  <c r="BB74" i="1" s="1"/>
  <c r="AZ76" i="1" s="1"/>
  <c r="BM65" i="1"/>
  <c r="BS67" i="1" s="1"/>
  <c r="BC67" i="1" s="1"/>
  <c r="BA69" i="1" s="1"/>
  <c r="BN27" i="1"/>
  <c r="BS34" i="1" s="1"/>
  <c r="BC34" i="1" s="1"/>
  <c r="BB35" i="1" s="1"/>
  <c r="BM45" i="1"/>
  <c r="BS46" i="1" s="1"/>
  <c r="BC46" i="1" s="1"/>
  <c r="BA48" i="1" s="1"/>
  <c r="BN57" i="1"/>
  <c r="BS59" i="1" s="1"/>
  <c r="BC59" i="1" s="1"/>
  <c r="BB60" i="1" s="1"/>
  <c r="BL45" i="1"/>
  <c r="BR46" i="1" s="1"/>
  <c r="BB46" i="1" s="1"/>
  <c r="BA47" i="1" s="1"/>
  <c r="BN84" i="1"/>
  <c r="BS86" i="1" s="1"/>
  <c r="BC86" i="1" s="1"/>
  <c r="BB87" i="1" s="1"/>
  <c r="BN19" i="1"/>
  <c r="BS21" i="1" s="1"/>
  <c r="BC21" i="1" s="1"/>
  <c r="BB22" i="1" s="1"/>
  <c r="BJ19" i="1"/>
  <c r="BR19" i="1" s="1"/>
  <c r="BB19" i="1" s="1"/>
  <c r="AZ21" i="1" s="1"/>
  <c r="BL19" i="1"/>
  <c r="BR20" i="1" s="1"/>
  <c r="BB20" i="1" s="1"/>
  <c r="BA21" i="1" s="1"/>
  <c r="BM19" i="1"/>
  <c r="BS20" i="1" s="1"/>
  <c r="BC20" i="1" s="1"/>
  <c r="BA22" i="1" s="1"/>
  <c r="BI19" i="1"/>
  <c r="BQ19" i="1" s="1"/>
  <c r="BA19" i="1" s="1"/>
  <c r="AZ20" i="1" s="1"/>
  <c r="BN11" i="1"/>
  <c r="BS13" i="1" s="1"/>
  <c r="BC13" i="1" s="1"/>
  <c r="BB14" i="1" s="1"/>
  <c r="BK11" i="1"/>
  <c r="BS11" i="1" s="1"/>
  <c r="BC11" i="1" s="1"/>
  <c r="AZ14" i="1" s="1"/>
  <c r="BL11" i="1"/>
  <c r="BR12" i="1" s="1"/>
  <c r="BB12" i="1" s="1"/>
  <c r="BA13" i="1" s="1"/>
  <c r="BM11" i="1"/>
  <c r="BS12" i="1" s="1"/>
  <c r="BC12" i="1" s="1"/>
  <c r="BA14" i="1" s="1"/>
  <c r="BK84" i="1"/>
  <c r="BS84" i="1" s="1"/>
  <c r="BC84" i="1" s="1"/>
  <c r="AZ87" i="1" s="1"/>
  <c r="BJ11" i="1"/>
  <c r="BR11" i="1" s="1"/>
  <c r="BB11" i="1" s="1"/>
  <c r="AZ13" i="1" s="1"/>
  <c r="BI11" i="1"/>
  <c r="BI74" i="1"/>
  <c r="BQ74" i="1" s="1"/>
  <c r="BA74" i="1" s="1"/>
  <c r="BM27" i="1"/>
  <c r="BS33" i="1" s="1"/>
  <c r="BC33" i="1" s="1"/>
  <c r="BA35" i="1" s="1"/>
  <c r="BI27" i="1"/>
  <c r="BQ27" i="1" s="1"/>
  <c r="BA27" i="1" s="1"/>
  <c r="BL74" i="1"/>
  <c r="BR75" i="1" s="1"/>
  <c r="BB75" i="1" s="1"/>
  <c r="BA76" i="1" s="1"/>
  <c r="BL65" i="1"/>
  <c r="BR67" i="1" s="1"/>
  <c r="BB67" i="1" s="1"/>
  <c r="BA68" i="1" s="1"/>
  <c r="BK57" i="1"/>
  <c r="BS57" i="1" s="1"/>
  <c r="BC57" i="1" s="1"/>
  <c r="AZ60" i="1" s="1"/>
  <c r="BJ27" i="1"/>
  <c r="BR27" i="1" s="1"/>
  <c r="BB27" i="1" s="1"/>
  <c r="AZ34" i="1" s="1"/>
  <c r="BM84" i="1"/>
  <c r="BS85" i="1" s="1"/>
  <c r="BC85" i="1" s="1"/>
  <c r="BA87" i="1" s="1"/>
  <c r="BK74" i="1"/>
  <c r="BS74" i="1" s="1"/>
  <c r="BC74" i="1" s="1"/>
  <c r="AZ77" i="1" s="1"/>
  <c r="BI57" i="1"/>
  <c r="BQ57" i="1" s="1"/>
  <c r="BA57" i="1" s="1"/>
  <c r="AH76" i="1" l="1"/>
  <c r="AH35" i="1"/>
  <c r="BO45" i="1" a="1"/>
  <c r="BO45" i="1" s="1"/>
  <c r="AH86" i="1"/>
  <c r="AH85" i="1"/>
  <c r="AH68" i="1"/>
  <c r="AH77" i="1"/>
  <c r="AH34" i="1"/>
  <c r="AH48" i="1"/>
  <c r="AH69" i="1"/>
  <c r="AH60" i="1"/>
  <c r="AH65" i="1"/>
  <c r="AH47" i="1"/>
  <c r="AH84" i="1"/>
  <c r="BO19" i="1" a="1"/>
  <c r="BO19" i="1" s="1"/>
  <c r="AH67" i="1"/>
  <c r="AH59" i="1"/>
  <c r="BO27" i="1" a="1"/>
  <c r="BO27" i="1" s="1"/>
  <c r="AH22" i="1"/>
  <c r="AH21" i="1"/>
  <c r="AH19" i="1"/>
  <c r="AH20" i="1"/>
  <c r="AH14" i="1"/>
  <c r="AH13" i="1"/>
  <c r="AZ58" i="1"/>
  <c r="AH58" i="1" s="1"/>
  <c r="AH57" i="1"/>
  <c r="BQ11" i="1"/>
  <c r="BA11" i="1" s="1"/>
  <c r="BQ7" i="1"/>
  <c r="BO11" i="1" a="1"/>
  <c r="BO11" i="1" s="1"/>
  <c r="AH27" i="1"/>
  <c r="AZ33" i="1"/>
  <c r="AH33" i="1" s="1"/>
  <c r="AH87" i="1"/>
  <c r="AZ46" i="1"/>
  <c r="AH46" i="1" s="1"/>
  <c r="AH45" i="1"/>
  <c r="BO84" i="1" a="1"/>
  <c r="BO84" i="1" s="1"/>
  <c r="BO65" i="1" a="1"/>
  <c r="BO65" i="1" s="1"/>
  <c r="BO57" i="1" a="1"/>
  <c r="BO57" i="1" s="1"/>
  <c r="AH74" i="1"/>
  <c r="AZ75" i="1"/>
  <c r="AH75" i="1" s="1"/>
  <c r="BO74" i="1" a="1"/>
  <c r="BO74" i="1" s="1"/>
  <c r="AG69" i="1" l="1"/>
  <c r="N42" i="1" s="1"/>
  <c r="AG86" i="1"/>
  <c r="O53" i="1" s="1"/>
  <c r="AG67" i="1"/>
  <c r="M40" i="1" s="1"/>
  <c r="AG65" i="1"/>
  <c r="O39" i="1" s="1"/>
  <c r="AG68" i="1"/>
  <c r="K41" i="1" s="1"/>
  <c r="AG19" i="1"/>
  <c r="K15" i="1" s="1"/>
  <c r="AG20" i="1"/>
  <c r="L16" i="1" s="1"/>
  <c r="AG22" i="1"/>
  <c r="N18" i="1" s="1"/>
  <c r="AG21" i="1"/>
  <c r="AF21" i="1" s="1"/>
  <c r="AG35" i="1"/>
  <c r="AG33" i="1"/>
  <c r="AG27" i="1"/>
  <c r="AG34" i="1"/>
  <c r="AG84" i="1"/>
  <c r="AG87" i="1"/>
  <c r="AG77" i="1"/>
  <c r="AG74" i="1"/>
  <c r="AG76" i="1"/>
  <c r="AG75" i="1"/>
  <c r="AG85" i="1"/>
  <c r="AH11" i="1"/>
  <c r="AZ12" i="1"/>
  <c r="AH12" i="1" s="1"/>
  <c r="AG45" i="1"/>
  <c r="AG47" i="1"/>
  <c r="AG46" i="1"/>
  <c r="AG48" i="1"/>
  <c r="AG60" i="1"/>
  <c r="AG59" i="1"/>
  <c r="AG58" i="1"/>
  <c r="AG57" i="1"/>
  <c r="O42" i="1" l="1"/>
  <c r="K42" i="1"/>
  <c r="AE67" i="1"/>
  <c r="J40" i="1" s="1"/>
  <c r="L42" i="1"/>
  <c r="M42" i="1"/>
  <c r="AF69" i="1"/>
  <c r="L41" i="1"/>
  <c r="K40" i="1"/>
  <c r="N40" i="1"/>
  <c r="O40" i="1"/>
  <c r="M53" i="1"/>
  <c r="K53" i="1"/>
  <c r="AF68" i="1"/>
  <c r="L39" i="1"/>
  <c r="L40" i="1"/>
  <c r="M41" i="1"/>
  <c r="K39" i="1"/>
  <c r="M39" i="1"/>
  <c r="N39" i="1"/>
  <c r="L53" i="1"/>
  <c r="AF86" i="1"/>
  <c r="AF65" i="1"/>
  <c r="O41" i="1"/>
  <c r="N41" i="1"/>
  <c r="AF67" i="1"/>
  <c r="AF22" i="1"/>
  <c r="N53" i="1"/>
  <c r="M18" i="1"/>
  <c r="K18" i="1"/>
  <c r="K17" i="1"/>
  <c r="O17" i="1"/>
  <c r="N15" i="1"/>
  <c r="M16" i="1"/>
  <c r="M15" i="1"/>
  <c r="AF20" i="1"/>
  <c r="AE20" i="1"/>
  <c r="J16" i="1" s="1"/>
  <c r="E59" i="1" s="1"/>
  <c r="N16" i="1"/>
  <c r="L15" i="1"/>
  <c r="O16" i="1"/>
  <c r="O15" i="1"/>
  <c r="AF19" i="1"/>
  <c r="K16" i="1"/>
  <c r="L18" i="1"/>
  <c r="O18" i="1"/>
  <c r="L17" i="1"/>
  <c r="N17" i="1"/>
  <c r="M17" i="1"/>
  <c r="O35" i="1"/>
  <c r="AF59" i="1"/>
  <c r="N35" i="1"/>
  <c r="M35" i="1"/>
  <c r="L35" i="1"/>
  <c r="K35" i="1"/>
  <c r="AF87" i="1"/>
  <c r="O54" i="1"/>
  <c r="N54" i="1"/>
  <c r="L54" i="1"/>
  <c r="M54" i="1"/>
  <c r="K54" i="1"/>
  <c r="L21" i="1"/>
  <c r="K21" i="1"/>
  <c r="AF27" i="1"/>
  <c r="O21" i="1"/>
  <c r="N21" i="1"/>
  <c r="M21" i="1"/>
  <c r="AE68" i="1"/>
  <c r="AE33" i="1"/>
  <c r="J22" i="1" s="1"/>
  <c r="N22" i="1"/>
  <c r="M22" i="1"/>
  <c r="L22" i="1"/>
  <c r="AF33" i="1"/>
  <c r="O22" i="1"/>
  <c r="K22" i="1"/>
  <c r="AF60" i="1"/>
  <c r="O36" i="1"/>
  <c r="N36" i="1"/>
  <c r="M36" i="1"/>
  <c r="L36" i="1"/>
  <c r="K36" i="1"/>
  <c r="K30" i="1"/>
  <c r="M30" i="1"/>
  <c r="AF48" i="1"/>
  <c r="O30" i="1"/>
  <c r="N30" i="1"/>
  <c r="L30" i="1"/>
  <c r="AG11" i="1"/>
  <c r="K9" i="1" s="1"/>
  <c r="AG13" i="1"/>
  <c r="AG14" i="1"/>
  <c r="K12" i="1" s="1"/>
  <c r="AG12" i="1"/>
  <c r="M24" i="1"/>
  <c r="L24" i="1"/>
  <c r="AF35" i="1"/>
  <c r="K24" i="1"/>
  <c r="O24" i="1"/>
  <c r="N24" i="1"/>
  <c r="O28" i="1"/>
  <c r="N28" i="1"/>
  <c r="AF46" i="1"/>
  <c r="K28" i="1"/>
  <c r="M28" i="1"/>
  <c r="L28" i="1"/>
  <c r="AE46" i="1"/>
  <c r="J28" i="1" s="1"/>
  <c r="AF85" i="1"/>
  <c r="N52" i="1"/>
  <c r="AE85" i="1"/>
  <c r="J52" i="1" s="1"/>
  <c r="M52" i="1"/>
  <c r="L52" i="1"/>
  <c r="K52" i="1"/>
  <c r="O52" i="1"/>
  <c r="O46" i="1"/>
  <c r="N46" i="1"/>
  <c r="M46" i="1"/>
  <c r="L46" i="1"/>
  <c r="AF75" i="1"/>
  <c r="AE75" i="1"/>
  <c r="J46" i="1" s="1"/>
  <c r="K46" i="1"/>
  <c r="O29" i="1"/>
  <c r="N29" i="1"/>
  <c r="AF47" i="1"/>
  <c r="K29" i="1"/>
  <c r="L29" i="1"/>
  <c r="M29" i="1"/>
  <c r="AF45" i="1"/>
  <c r="O27" i="1"/>
  <c r="N27" i="1"/>
  <c r="M27" i="1"/>
  <c r="L27" i="1"/>
  <c r="K27" i="1"/>
  <c r="K47" i="1"/>
  <c r="O47" i="1"/>
  <c r="M47" i="1"/>
  <c r="AF76" i="1"/>
  <c r="N47" i="1"/>
  <c r="L47" i="1"/>
  <c r="N33" i="1"/>
  <c r="M33" i="1"/>
  <c r="L33" i="1"/>
  <c r="K33" i="1"/>
  <c r="AF57" i="1"/>
  <c r="O33" i="1"/>
  <c r="N45" i="1"/>
  <c r="M45" i="1"/>
  <c r="L45" i="1"/>
  <c r="AF74" i="1"/>
  <c r="K45" i="1"/>
  <c r="O45" i="1"/>
  <c r="L51" i="1"/>
  <c r="K51" i="1"/>
  <c r="N51" i="1"/>
  <c r="AF84" i="1"/>
  <c r="O51" i="1"/>
  <c r="M51" i="1"/>
  <c r="O34" i="1"/>
  <c r="AF58" i="1"/>
  <c r="N34" i="1"/>
  <c r="AE58" i="1"/>
  <c r="J34" i="1" s="1"/>
  <c r="M34" i="1"/>
  <c r="K34" i="1"/>
  <c r="L34" i="1"/>
  <c r="L48" i="1"/>
  <c r="AF77" i="1"/>
  <c r="K48" i="1"/>
  <c r="N48" i="1"/>
  <c r="M48" i="1"/>
  <c r="O48" i="1"/>
  <c r="AF34" i="1"/>
  <c r="N23" i="1"/>
  <c r="AE34" i="1"/>
  <c r="J23" i="1" s="1"/>
  <c r="M23" i="1"/>
  <c r="L23" i="1"/>
  <c r="O23" i="1"/>
  <c r="K23" i="1"/>
  <c r="E62" i="1" l="1"/>
  <c r="E63" i="1"/>
  <c r="E61" i="1"/>
  <c r="E60" i="1"/>
  <c r="E57" i="1"/>
  <c r="E64" i="1"/>
  <c r="AE86" i="1"/>
  <c r="J53" i="1" s="1"/>
  <c r="K55" i="1" s="1"/>
  <c r="AE47" i="1"/>
  <c r="J29" i="1" s="1"/>
  <c r="F57" i="1" s="1"/>
  <c r="AE21" i="1"/>
  <c r="AE22" i="1" s="1"/>
  <c r="J18" i="1" s="1"/>
  <c r="AF12" i="1"/>
  <c r="L10" i="1"/>
  <c r="O10" i="1"/>
  <c r="AE12" i="1"/>
  <c r="J10" i="1" s="1"/>
  <c r="K10" i="1"/>
  <c r="M10" i="1"/>
  <c r="N10" i="1"/>
  <c r="AF14" i="1"/>
  <c r="M12" i="1"/>
  <c r="O12" i="1"/>
  <c r="N12" i="1"/>
  <c r="L12" i="1"/>
  <c r="K11" i="1"/>
  <c r="N11" i="1"/>
  <c r="O11" i="1"/>
  <c r="L11" i="1"/>
  <c r="AF13" i="1"/>
  <c r="M11" i="1"/>
  <c r="J41" i="1"/>
  <c r="AE69" i="1"/>
  <c r="J42" i="1" s="1"/>
  <c r="K25" i="1"/>
  <c r="F60" i="1"/>
  <c r="AE35" i="1"/>
  <c r="J24" i="1" s="1"/>
  <c r="AF11" i="1"/>
  <c r="O9" i="1"/>
  <c r="N9" i="1"/>
  <c r="L9" i="1"/>
  <c r="M9" i="1"/>
  <c r="AE59" i="1"/>
  <c r="AE87" i="1"/>
  <c r="J54" i="1" s="1"/>
  <c r="AE76" i="1"/>
  <c r="F68" i="1" l="1"/>
  <c r="F65" i="1"/>
  <c r="AE48" i="1"/>
  <c r="J30" i="1" s="1"/>
  <c r="F62" i="1"/>
  <c r="F66" i="1" s="1"/>
  <c r="K31" i="1"/>
  <c r="J17" i="1"/>
  <c r="F58" i="1" s="1"/>
  <c r="E58" i="1"/>
  <c r="AE13" i="1"/>
  <c r="J11" i="1" s="1"/>
  <c r="F59" i="1" s="1"/>
  <c r="E68" i="1" s="1"/>
  <c r="J47" i="1"/>
  <c r="AE77" i="1"/>
  <c r="J48" i="1" s="1"/>
  <c r="K43" i="1"/>
  <c r="F61" i="1"/>
  <c r="E66" i="1" s="1"/>
  <c r="J35" i="1"/>
  <c r="AE60" i="1"/>
  <c r="J36" i="1" s="1"/>
  <c r="E70" i="1" l="1"/>
  <c r="F69" i="1"/>
  <c r="E65" i="1"/>
  <c r="E69" i="1" s="1"/>
  <c r="K19" i="1"/>
  <c r="AE14" i="1"/>
  <c r="J12" i="1" s="1"/>
  <c r="K13" i="1"/>
  <c r="K49" i="1"/>
  <c r="F64" i="1"/>
  <c r="F67" i="1" s="1"/>
  <c r="F63" i="1"/>
  <c r="E67" i="1" s="1"/>
  <c r="K37" i="1"/>
  <c r="F70" i="1" l="1"/>
</calcChain>
</file>

<file path=xl/sharedStrings.xml><?xml version="1.0" encoding="utf-8"?>
<sst xmlns="http://schemas.openxmlformats.org/spreadsheetml/2006/main" count="646" uniqueCount="120">
  <si>
    <t>Classement</t>
  </si>
  <si>
    <t>Pts</t>
  </si>
  <si>
    <t>BP</t>
  </si>
  <si>
    <t>BC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</si>
  <si>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</si>
  <si>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</si>
  <si>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</si>
  <si>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</si>
  <si>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</si>
  <si>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</si>
  <si>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</si>
  <si>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</si>
  <si>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</si>
  <si>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</si>
  <si>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</si>
  <si>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</si>
  <si>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</si>
  <si>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</si>
  <si>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</si>
  <si>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</si>
  <si>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</si>
  <si>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</si>
  <si>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</si>
  <si>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</si>
  <si>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</si>
  <si>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</si>
  <si>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</si>
  <si>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</si>
  <si>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</si>
  <si>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</si>
  <si>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</si>
  <si>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</si>
  <si>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</si>
  <si>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</si>
  <si>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</si>
  <si>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Russie</t>
  </si>
  <si>
    <t>Arabie Saoudite</t>
  </si>
  <si>
    <t>Egypte</t>
  </si>
  <si>
    <t>Uruguay</t>
  </si>
  <si>
    <t>Rank</t>
  </si>
  <si>
    <t>Team</t>
  </si>
  <si>
    <t>GF</t>
  </si>
  <si>
    <t>GA</t>
  </si>
  <si>
    <t>GD</t>
  </si>
  <si>
    <t>Ag1</t>
  </si>
  <si>
    <t>Ag2</t>
  </si>
  <si>
    <t>Ag3</t>
  </si>
  <si>
    <t>Ag4</t>
  </si>
  <si>
    <t>Sp1</t>
  </si>
  <si>
    <t>Sp2</t>
  </si>
  <si>
    <t>Sp3</t>
  </si>
  <si>
    <t>Sp4</t>
  </si>
  <si>
    <t>T123</t>
  </si>
  <si>
    <t>T124</t>
  </si>
  <si>
    <t>T134</t>
  </si>
  <si>
    <t>T234</t>
  </si>
  <si>
    <t>Rk1</t>
  </si>
  <si>
    <t>Rk2</t>
  </si>
  <si>
    <t>Rk3</t>
  </si>
  <si>
    <t>Rk4</t>
  </si>
  <si>
    <t>T1234</t>
  </si>
  <si>
    <t>T12</t>
  </si>
  <si>
    <t>T13</t>
  </si>
  <si>
    <t>T14</t>
  </si>
  <si>
    <t>T23</t>
  </si>
  <si>
    <t>T24</t>
  </si>
  <si>
    <t>T34</t>
  </si>
  <si>
    <t>NoT</t>
  </si>
  <si>
    <t>sRk1</t>
  </si>
  <si>
    <t>sRk2</t>
  </si>
  <si>
    <t>sRk3</t>
  </si>
  <si>
    <t>sRk4</t>
  </si>
  <si>
    <t>x</t>
  </si>
  <si>
    <t>Maroc</t>
  </si>
  <si>
    <t>Iran</t>
  </si>
  <si>
    <t>Portugal</t>
  </si>
  <si>
    <t>Espagne</t>
  </si>
  <si>
    <t>France</t>
  </si>
  <si>
    <t>Australie</t>
  </si>
  <si>
    <t>Pérou</t>
  </si>
  <si>
    <t>Danemark</t>
  </si>
  <si>
    <t>Argentine</t>
  </si>
  <si>
    <t>Islande</t>
  </si>
  <si>
    <t>Croatie</t>
  </si>
  <si>
    <t>Nigéria</t>
  </si>
  <si>
    <t>Costa Rica</t>
  </si>
  <si>
    <t>Serbie</t>
  </si>
  <si>
    <t>Brésil</t>
  </si>
  <si>
    <t>Suisse</t>
  </si>
  <si>
    <t>3ème place</t>
  </si>
  <si>
    <t>Allemagne</t>
  </si>
  <si>
    <t>Mexique</t>
  </si>
  <si>
    <t>Suède</t>
  </si>
  <si>
    <t>Corée du sud</t>
  </si>
  <si>
    <t>Champion du monde</t>
  </si>
  <si>
    <t>2ème place</t>
  </si>
  <si>
    <t>Belgique</t>
  </si>
  <si>
    <t>Panama</t>
  </si>
  <si>
    <t>Tunisie</t>
  </si>
  <si>
    <t>Angleterre</t>
  </si>
  <si>
    <t>4ème place</t>
  </si>
  <si>
    <t>Colombie</t>
  </si>
  <si>
    <t>Japon</t>
  </si>
  <si>
    <t>Pologne</t>
  </si>
  <si>
    <t>Sénégal</t>
  </si>
  <si>
    <t>Groupe A</t>
  </si>
  <si>
    <t>Groupe B</t>
  </si>
  <si>
    <t>Groupe C</t>
  </si>
  <si>
    <t>Groupe D</t>
  </si>
  <si>
    <t>Groupe E</t>
  </si>
  <si>
    <t>Groupe F</t>
  </si>
  <si>
    <t>Groupe G</t>
  </si>
  <si>
    <t>Groupe H</t>
  </si>
  <si>
    <t>Poules</t>
  </si>
  <si>
    <t>Elimination directe</t>
  </si>
  <si>
    <t>1/8èmes de finale</t>
  </si>
  <si>
    <t>Quarts de finale</t>
  </si>
  <si>
    <t>Demi-finales</t>
  </si>
  <si>
    <t>3è place</t>
  </si>
  <si>
    <t>Finale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</si>
</sst>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C]d\-mmm;@"/>
    <numFmt numFmtId="165" formatCode="0.0"/>
  </numFmts>
  <fonts count="35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b/>
      <sz val="18"/>
      <color theme="4" tint="-0.499984740745262"/>
      <name val="Arial"/>
      <family val="2"/>
    </font>
    <font>
      <u/>
      <sz val="10"/>
      <color indexed="12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rgb="FFFF8184"/>
      <name val="Arial"/>
      <family val="2"/>
    </font>
    <font>
      <u/>
      <sz val="11"/>
      <color rgb="FFFF8184"/>
      <name val="Arial"/>
      <family val="2"/>
    </font>
    <font>
      <u/>
      <sz val="11"/>
      <color indexed="12"/>
      <name val="Arial"/>
      <family val="2"/>
    </font>
    <font>
      <sz val="8"/>
      <color theme="2" tint="-0.749992370372631"/>
      <name val="Arial"/>
      <family val="2"/>
    </font>
    <font>
      <sz val="8"/>
      <color theme="1" tint="0.499984740745262"/>
      <name val="Arial"/>
      <family val="2"/>
    </font>
    <font>
      <b/>
      <sz val="8"/>
      <color theme="5" tint="-0.249977111117893"/>
      <name val="Arial"/>
      <family val="2"/>
    </font>
    <font>
      <b/>
      <sz val="8"/>
      <color rgb="FF002060"/>
      <name val="Arial"/>
      <family val="2"/>
    </font>
    <font>
      <b/>
      <sz val="8"/>
      <color indexed="9"/>
      <name val="Arial"/>
      <family val="2"/>
    </font>
    <font>
      <sz val="8"/>
      <color theme="0"/>
      <name val="Arial"/>
      <family val="2"/>
    </font>
    <font>
      <b/>
      <sz val="8"/>
      <color rgb="FFFF9900"/>
      <name val="Arial"/>
      <family val="2"/>
    </font>
    <font>
      <b/>
      <sz val="8"/>
      <name val="Arial"/>
      <family val="2"/>
    </font>
    <font>
      <b/>
      <sz val="8"/>
      <color rgb="FF009900"/>
      <name val="Arial"/>
      <family val="2"/>
    </font>
    <font>
      <b/>
      <sz val="8"/>
      <color rgb="FFFF7C80"/>
      <name val="Arial"/>
      <family val="2"/>
    </font>
    <font>
      <b/>
      <sz val="8"/>
      <color theme="1" tint="0.34998626667073579"/>
      <name val="Arial"/>
      <family val="2"/>
    </font>
    <font>
      <sz val="12"/>
      <name val="Arial"/>
      <family val="2"/>
    </font>
    <font>
      <b/>
      <sz val="8"/>
      <color rgb="FFCC66FF"/>
      <name val="Arial"/>
      <family val="2"/>
    </font>
    <font>
      <b/>
      <sz val="10"/>
      <name val="Arial"/>
      <family val="2"/>
    </font>
    <font>
      <b/>
      <sz val="8"/>
      <color rgb="FFFF8184"/>
      <name val="Arial"/>
      <family val="2"/>
    </font>
    <font>
      <b/>
      <sz val="9"/>
      <name val="Arial"/>
      <family val="2"/>
    </font>
    <font>
      <b/>
      <sz val="9"/>
      <name val="Calibri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8"/>
      <color theme="4" tint="-0.249977111117893"/>
      <name val="Arial"/>
      <family val="2"/>
    </font>
    <font>
      <sz val="14"/>
      <color theme="0"/>
      <name val="Arial"/>
      <family val="2"/>
    </font>
    <font>
      <b/>
      <sz val="8"/>
      <color theme="4" tint="0.39997558519241921"/>
      <name val="Arial"/>
      <family val="2"/>
    </font>
    <font>
      <b/>
      <sz val="8"/>
      <color theme="4" tint="-0.499984740745262"/>
      <name val="Arial"/>
      <family val="2"/>
    </font>
    <font>
      <b/>
      <sz val="8"/>
      <color theme="9" tint="-0.249977111117893"/>
      <name val="Arial"/>
      <family val="2"/>
    </font>
    <font>
      <b/>
      <sz val="8"/>
      <color rgb="FFFF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0DD7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9B9D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5D5D5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D685FF"/>
        <bgColor indexed="64"/>
      </patternFill>
    </fill>
    <fill>
      <patternFill patternType="solid">
        <fgColor rgb="FFFFB7B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2DC8FF"/>
        <bgColor indexed="64"/>
      </patternFill>
    </fill>
    <fill>
      <patternFill patternType="solid">
        <fgColor rgb="FFF8CDB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65">
    <xf numFmtId="0" fontId="0" fillId="0" borderId="0" xfId="0"/>
    <xf numFmtId="0" fontId="1" fillId="0" borderId="0" xfId="0" applyFont="1" applyFill="1" applyBorder="1" applyAlignment="1" applyProtection="1">
      <alignment vertical="center"/>
    </xf>
    <xf numFmtId="0" fontId="16" fillId="3" borderId="1" xfId="0" applyFont="1" applyFill="1" applyBorder="1" applyAlignment="1" applyProtection="1">
      <alignment horizontal="center" vertical="center"/>
      <protection locked="0"/>
    </xf>
    <xf numFmtId="0" fontId="18" fillId="3" borderId="4" xfId="0" applyFont="1" applyFill="1" applyBorder="1" applyAlignment="1" applyProtection="1">
      <alignment horizontal="center" vertical="center"/>
      <protection locked="0"/>
    </xf>
    <xf numFmtId="0" fontId="19" fillId="3" borderId="4" xfId="0" applyFont="1" applyFill="1" applyBorder="1" applyAlignment="1" applyProtection="1">
      <alignment horizontal="center" vertical="center"/>
      <protection locked="0"/>
    </xf>
    <xf numFmtId="0" fontId="12" fillId="3" borderId="4" xfId="0" applyFont="1" applyFill="1" applyBorder="1" applyAlignment="1" applyProtection="1">
      <alignment horizontal="center" vertical="center"/>
      <protection locked="0"/>
    </xf>
    <xf numFmtId="0" fontId="20" fillId="3" borderId="4" xfId="0" applyFont="1" applyFill="1" applyBorder="1" applyAlignment="1" applyProtection="1">
      <alignment horizontal="center" vertical="center"/>
      <protection locked="0"/>
    </xf>
    <xf numFmtId="0" fontId="6" fillId="14" borderId="0" xfId="0" applyNumberFormat="1" applyFont="1" applyFill="1" applyBorder="1" applyAlignment="1" applyProtection="1">
      <alignment vertical="center"/>
    </xf>
    <xf numFmtId="0" fontId="22" fillId="3" borderId="4" xfId="0" applyFont="1" applyFill="1" applyBorder="1" applyAlignment="1" applyProtection="1">
      <alignment horizontal="center" vertical="center"/>
      <protection locked="0"/>
    </xf>
    <xf numFmtId="0" fontId="24" fillId="3" borderId="4" xfId="0" applyFont="1" applyFill="1" applyBorder="1" applyAlignment="1" applyProtection="1">
      <alignment horizontal="center" vertical="center"/>
      <protection locked="0"/>
    </xf>
    <xf numFmtId="0" fontId="29" fillId="3" borderId="1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vertical="center"/>
    </xf>
    <xf numFmtId="164" fontId="10" fillId="3" borderId="0" xfId="0" applyNumberFormat="1" applyFont="1" applyFill="1" applyBorder="1" applyAlignment="1" applyProtection="1">
      <alignment horizontal="center" vertical="center" wrapText="1"/>
    </xf>
    <xf numFmtId="20" fontId="11" fillId="3" borderId="0" xfId="0" applyNumberFormat="1" applyFont="1" applyFill="1" applyBorder="1" applyAlignment="1" applyProtection="1">
      <alignment horizontal="center" vertical="center"/>
    </xf>
    <xf numFmtId="164" fontId="10" fillId="4" borderId="0" xfId="0" applyNumberFormat="1" applyFont="1" applyFill="1" applyBorder="1" applyAlignment="1" applyProtection="1">
      <alignment horizontal="center" vertical="center" wrapText="1"/>
    </xf>
    <xf numFmtId="20" fontId="11" fillId="4" borderId="0" xfId="0" applyNumberFormat="1" applyFont="1" applyFill="1" applyBorder="1" applyAlignment="1" applyProtection="1">
      <alignment horizontal="center" vertical="center"/>
    </xf>
    <xf numFmtId="1" fontId="29" fillId="4" borderId="0" xfId="0" applyNumberFormat="1" applyFont="1" applyFill="1" applyBorder="1" applyAlignment="1" applyProtection="1">
      <alignment horizontal="center" vertical="center"/>
    </xf>
    <xf numFmtId="0" fontId="29" fillId="4" borderId="0" xfId="0" applyFont="1" applyFill="1" applyBorder="1" applyAlignment="1" applyProtection="1">
      <alignment horizontal="center" vertical="center"/>
    </xf>
    <xf numFmtId="1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15" fillId="0" borderId="0" xfId="0" applyFont="1" applyFill="1" applyAlignment="1" applyProtection="1">
      <alignment horizontal="center" vertical="center"/>
    </xf>
    <xf numFmtId="0" fontId="15" fillId="0" borderId="0" xfId="0" applyFont="1" applyFill="1" applyAlignment="1" applyProtection="1">
      <alignment vertical="center"/>
    </xf>
    <xf numFmtId="0" fontId="16" fillId="4" borderId="0" xfId="0" applyFont="1" applyFill="1" applyBorder="1" applyAlignment="1" applyProtection="1">
      <alignment vertical="center"/>
    </xf>
    <xf numFmtId="0" fontId="18" fillId="4" borderId="0" xfId="0" applyFont="1" applyFill="1" applyBorder="1" applyAlignment="1" applyProtection="1">
      <alignment vertical="center"/>
    </xf>
    <xf numFmtId="0" fontId="19" fillId="4" borderId="0" xfId="0" applyFont="1" applyFill="1" applyBorder="1" applyAlignment="1" applyProtection="1">
      <alignment vertical="center"/>
    </xf>
    <xf numFmtId="0" fontId="12" fillId="4" borderId="0" xfId="0" applyFont="1" applyFill="1" applyBorder="1" applyAlignment="1" applyProtection="1">
      <alignment vertical="center"/>
    </xf>
    <xf numFmtId="0" fontId="20" fillId="4" borderId="0" xfId="0" applyFont="1" applyFill="1" applyBorder="1" applyAlignment="1" applyProtection="1">
      <alignment vertical="center"/>
    </xf>
    <xf numFmtId="0" fontId="22" fillId="4" borderId="0" xfId="0" applyFont="1" applyFill="1" applyBorder="1" applyAlignment="1" applyProtection="1">
      <alignment vertical="center"/>
    </xf>
    <xf numFmtId="0" fontId="24" fillId="4" borderId="0" xfId="0" applyFont="1" applyFill="1" applyBorder="1" applyAlignment="1" applyProtection="1">
      <alignment vertical="center"/>
    </xf>
    <xf numFmtId="1" fontId="16" fillId="4" borderId="0" xfId="0" applyNumberFormat="1" applyFont="1" applyFill="1" applyBorder="1" applyAlignment="1" applyProtection="1">
      <alignment horizontal="center" vertical="center"/>
    </xf>
    <xf numFmtId="0" fontId="16" fillId="4" borderId="0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vertical="center"/>
    </xf>
    <xf numFmtId="0" fontId="1" fillId="8" borderId="0" xfId="0" applyFont="1" applyFill="1" applyBorder="1" applyAlignment="1" applyProtection="1">
      <alignment horizontal="center" vertical="center"/>
    </xf>
    <xf numFmtId="0" fontId="6" fillId="7" borderId="0" xfId="0" applyNumberFormat="1" applyFont="1" applyFill="1" applyBorder="1" applyAlignment="1" applyProtection="1">
      <alignment vertical="center"/>
    </xf>
    <xf numFmtId="1" fontId="18" fillId="4" borderId="0" xfId="0" applyNumberFormat="1" applyFont="1" applyFill="1" applyBorder="1" applyAlignment="1" applyProtection="1">
      <alignment horizontal="center" vertical="center"/>
    </xf>
    <xf numFmtId="0" fontId="18" fillId="4" borderId="0" xfId="0" applyFont="1" applyFill="1" applyBorder="1" applyAlignment="1" applyProtection="1">
      <alignment horizontal="center" vertical="center"/>
    </xf>
    <xf numFmtId="0" fontId="1" fillId="10" borderId="0" xfId="0" applyFont="1" applyFill="1" applyBorder="1" applyAlignment="1" applyProtection="1">
      <alignment horizontal="center" vertical="center"/>
    </xf>
    <xf numFmtId="0" fontId="6" fillId="9" borderId="0" xfId="0" applyNumberFormat="1" applyFont="1" applyFill="1" applyBorder="1" applyAlignment="1" applyProtection="1">
      <alignment vertical="center"/>
    </xf>
    <xf numFmtId="1" fontId="19" fillId="4" borderId="0" xfId="0" applyNumberFormat="1" applyFont="1" applyFill="1" applyBorder="1" applyAlignment="1" applyProtection="1">
      <alignment horizontal="center" vertical="center"/>
    </xf>
    <xf numFmtId="0" fontId="19" fillId="4" borderId="0" xfId="0" applyFont="1" applyFill="1" applyBorder="1" applyAlignment="1" applyProtection="1">
      <alignment horizontal="center" vertical="center"/>
    </xf>
    <xf numFmtId="0" fontId="1" fillId="19" borderId="0" xfId="0" applyFont="1" applyFill="1" applyBorder="1" applyAlignment="1" applyProtection="1">
      <alignment horizontal="center" vertical="center"/>
    </xf>
    <xf numFmtId="0" fontId="6" fillId="11" borderId="0" xfId="0" applyNumberFormat="1" applyFont="1" applyFill="1" applyBorder="1" applyAlignment="1" applyProtection="1">
      <alignment vertical="center"/>
    </xf>
    <xf numFmtId="1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Font="1" applyFill="1" applyBorder="1" applyAlignment="1" applyProtection="1">
      <alignment horizontal="center" vertical="center"/>
    </xf>
    <xf numFmtId="0" fontId="1" fillId="13" borderId="0" xfId="0" applyFont="1" applyFill="1" applyBorder="1" applyAlignment="1" applyProtection="1">
      <alignment horizontal="center" vertical="center"/>
    </xf>
    <xf numFmtId="0" fontId="6" fillId="12" borderId="0" xfId="0" applyNumberFormat="1" applyFont="1" applyFill="1" applyBorder="1" applyAlignment="1" applyProtection="1">
      <alignment vertical="center"/>
    </xf>
    <xf numFmtId="1" fontId="20" fillId="4" borderId="0" xfId="0" applyNumberFormat="1" applyFont="1" applyFill="1" applyBorder="1" applyAlignment="1" applyProtection="1">
      <alignment horizontal="center" vertical="center"/>
    </xf>
    <xf numFmtId="0" fontId="20" fillId="4" borderId="0" xfId="0" applyFont="1" applyFill="1" applyBorder="1" applyAlignment="1" applyProtection="1">
      <alignment horizontal="center" vertical="center"/>
    </xf>
    <xf numFmtId="0" fontId="1" fillId="15" borderId="0" xfId="0" applyFont="1" applyFill="1" applyBorder="1" applyAlignment="1" applyProtection="1">
      <alignment horizontal="center" vertical="center"/>
    </xf>
    <xf numFmtId="1" fontId="22" fillId="4" borderId="0" xfId="0" applyNumberFormat="1" applyFont="1" applyFill="1" applyBorder="1" applyAlignment="1" applyProtection="1">
      <alignment horizontal="center" vertical="center"/>
    </xf>
    <xf numFmtId="0" fontId="22" fillId="4" borderId="0" xfId="0" applyFont="1" applyFill="1" applyBorder="1" applyAlignment="1" applyProtection="1">
      <alignment horizontal="center" vertical="center"/>
    </xf>
    <xf numFmtId="0" fontId="1" fillId="16" borderId="0" xfId="0" applyFont="1" applyFill="1" applyBorder="1" applyAlignment="1" applyProtection="1">
      <alignment horizontal="center" vertical="center"/>
    </xf>
    <xf numFmtId="0" fontId="6" fillId="10" borderId="0" xfId="0" applyNumberFormat="1" applyFont="1" applyFill="1" applyBorder="1" applyAlignment="1" applyProtection="1">
      <alignment vertical="center"/>
    </xf>
    <xf numFmtId="1" fontId="24" fillId="4" borderId="0" xfId="0" applyNumberFormat="1" applyFont="1" applyFill="1" applyBorder="1" applyAlignment="1" applyProtection="1">
      <alignment horizontal="center" vertical="center"/>
    </xf>
    <xf numFmtId="0" fontId="24" fillId="4" borderId="0" xfId="0" applyFont="1" applyFill="1" applyBorder="1" applyAlignment="1" applyProtection="1">
      <alignment horizontal="center" vertical="center"/>
    </xf>
    <xf numFmtId="0" fontId="1" fillId="18" borderId="0" xfId="0" applyFont="1" applyFill="1" applyBorder="1" applyAlignment="1" applyProtection="1">
      <alignment vertical="center"/>
    </xf>
    <xf numFmtId="0" fontId="6" fillId="17" borderId="0" xfId="0" applyNumberFormat="1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vertical="center"/>
    </xf>
    <xf numFmtId="0" fontId="1" fillId="6" borderId="0" xfId="0" applyFont="1" applyFill="1" applyBorder="1" applyAlignment="1" applyProtection="1">
      <alignment horizontal="center" vertical="center"/>
    </xf>
    <xf numFmtId="0" fontId="6" fillId="5" borderId="0" xfId="0" applyNumberFormat="1" applyFont="1" applyFill="1" applyBorder="1" applyAlignment="1" applyProtection="1">
      <alignment vertical="center"/>
    </xf>
    <xf numFmtId="0" fontId="29" fillId="3" borderId="0" xfId="0" applyNumberFormat="1" applyFont="1" applyFill="1" applyBorder="1" applyAlignment="1" applyProtection="1">
      <alignment horizontal="center" vertical="center"/>
    </xf>
    <xf numFmtId="0" fontId="29" fillId="3" borderId="0" xfId="0" applyFont="1" applyFill="1" applyBorder="1" applyAlignment="1" applyProtection="1">
      <alignment horizontal="center" vertical="center"/>
    </xf>
    <xf numFmtId="0" fontId="29" fillId="4" borderId="0" xfId="0" applyNumberFormat="1" applyFont="1" applyFill="1" applyBorder="1" applyAlignment="1" applyProtection="1">
      <alignment horizontal="center" vertical="center"/>
    </xf>
    <xf numFmtId="0" fontId="16" fillId="3" borderId="0" xfId="0" applyNumberFormat="1" applyFont="1" applyFill="1" applyBorder="1" applyAlignment="1" applyProtection="1">
      <alignment horizontal="center" vertical="center"/>
    </xf>
    <xf numFmtId="0" fontId="16" fillId="3" borderId="0" xfId="0" applyFont="1" applyFill="1" applyBorder="1" applyAlignment="1" applyProtection="1">
      <alignment horizontal="center" vertical="center"/>
    </xf>
    <xf numFmtId="0" fontId="18" fillId="3" borderId="0" xfId="0" applyFont="1" applyFill="1" applyBorder="1" applyAlignment="1" applyProtection="1">
      <alignment horizontal="center" vertical="center"/>
    </xf>
    <xf numFmtId="0" fontId="19" fillId="3" borderId="0" xfId="0" applyFont="1" applyFill="1" applyBorder="1" applyAlignment="1" applyProtection="1">
      <alignment horizontal="center" vertical="center"/>
    </xf>
    <xf numFmtId="0" fontId="12" fillId="3" borderId="0" xfId="0" applyFont="1" applyFill="1" applyBorder="1" applyAlignment="1" applyProtection="1">
      <alignment horizontal="center" vertical="center"/>
    </xf>
    <xf numFmtId="0" fontId="20" fillId="3" borderId="0" xfId="0" applyFont="1" applyFill="1" applyBorder="1" applyAlignment="1" applyProtection="1">
      <alignment horizontal="center" vertical="center"/>
    </xf>
    <xf numFmtId="0" fontId="22" fillId="3" borderId="0" xfId="0" applyFont="1" applyFill="1" applyBorder="1" applyAlignment="1" applyProtection="1">
      <alignment horizontal="center" vertical="center"/>
    </xf>
    <xf numFmtId="0" fontId="24" fillId="3" borderId="0" xfId="0" applyFont="1" applyFill="1" applyBorder="1" applyAlignment="1" applyProtection="1">
      <alignment horizontal="center" vertical="center"/>
    </xf>
    <xf numFmtId="0" fontId="31" fillId="3" borderId="0" xfId="0" applyFont="1" applyFill="1" applyBorder="1" applyAlignment="1" applyProtection="1">
      <alignment horizontal="center" vertical="center"/>
    </xf>
    <xf numFmtId="0" fontId="31" fillId="4" borderId="0" xfId="0" applyFont="1" applyFill="1" applyBorder="1" applyAlignment="1" applyProtection="1">
      <alignment horizontal="center" vertical="center"/>
    </xf>
    <xf numFmtId="0" fontId="32" fillId="3" borderId="0" xfId="0" applyFont="1" applyFill="1" applyBorder="1" applyAlignment="1" applyProtection="1">
      <alignment horizontal="center" vertical="center"/>
    </xf>
    <xf numFmtId="0" fontId="32" fillId="4" borderId="0" xfId="0" applyFont="1" applyFill="1" applyBorder="1" applyAlignment="1" applyProtection="1">
      <alignment horizontal="center" vertical="center"/>
    </xf>
    <xf numFmtId="0" fontId="5" fillId="23" borderId="0" xfId="0" applyNumberFormat="1" applyFont="1" applyFill="1" applyBorder="1" applyAlignment="1" applyProtection="1">
      <alignment horizontal="center" vertical="center" wrapText="1"/>
    </xf>
    <xf numFmtId="0" fontId="5" fillId="20" borderId="0" xfId="0" applyNumberFormat="1" applyFont="1" applyFill="1" applyBorder="1" applyAlignment="1" applyProtection="1">
      <alignment horizontal="center" vertical="center" wrapText="1"/>
    </xf>
    <xf numFmtId="0" fontId="33" fillId="3" borderId="0" xfId="0" applyFont="1" applyFill="1" applyBorder="1" applyAlignment="1" applyProtection="1">
      <alignment horizontal="center" vertical="center"/>
    </xf>
    <xf numFmtId="0" fontId="34" fillId="4" borderId="0" xfId="0" applyFont="1" applyFill="1" applyBorder="1" applyAlignment="1" applyProtection="1">
      <alignment horizontal="center" vertical="center"/>
    </xf>
    <xf numFmtId="0" fontId="29" fillId="3" borderId="18" xfId="0" applyFont="1" applyFill="1" applyBorder="1" applyAlignment="1" applyProtection="1">
      <alignment horizontal="center" vertical="center"/>
      <protection locked="0"/>
    </xf>
    <xf numFmtId="0" fontId="24" fillId="3" borderId="19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Protection="1"/>
    <xf numFmtId="0" fontId="1" fillId="0" borderId="0" xfId="0" applyFont="1" applyFill="1" applyBorder="1" applyProtection="1"/>
    <xf numFmtId="20" fontId="1" fillId="0" borderId="0" xfId="0" applyNumberFormat="1" applyFont="1" applyFill="1" applyBorder="1" applyProtection="1"/>
    <xf numFmtId="0" fontId="1" fillId="0" borderId="0" xfId="0" applyFont="1" applyFill="1" applyBorder="1" applyAlignment="1" applyProtection="1">
      <alignment horizontal="center"/>
    </xf>
    <xf numFmtId="0" fontId="1" fillId="0" borderId="0" xfId="0" applyFont="1" applyFill="1" applyAlignment="1" applyProtection="1">
      <alignment horizontal="center"/>
    </xf>
    <xf numFmtId="0" fontId="2" fillId="0" borderId="0" xfId="0" applyFont="1" applyFill="1" applyAlignment="1" applyProtection="1">
      <alignment vertical="top"/>
    </xf>
    <xf numFmtId="0" fontId="1" fillId="0" borderId="0" xfId="0" applyFont="1" applyFill="1" applyAlignment="1" applyProtection="1">
      <alignment vertical="top"/>
    </xf>
    <xf numFmtId="0" fontId="4" fillId="0" borderId="0" xfId="1" applyFont="1" applyFill="1" applyAlignment="1" applyProtection="1"/>
    <xf numFmtId="0" fontId="1" fillId="0" borderId="0" xfId="0" quotePrefix="1" applyFont="1" applyFill="1" applyProtection="1"/>
    <xf numFmtId="0" fontId="1" fillId="0" borderId="0" xfId="0" quotePrefix="1" applyFont="1" applyFill="1" applyAlignment="1" applyProtection="1">
      <alignment horizontal="center"/>
    </xf>
    <xf numFmtId="0" fontId="1" fillId="0" borderId="0" xfId="0" applyFont="1" applyFill="1" applyAlignment="1" applyProtection="1"/>
    <xf numFmtId="0" fontId="1" fillId="0" borderId="0" xfId="0" applyFont="1" applyFill="1" applyAlignment="1" applyProtection="1">
      <alignment horizontal="left"/>
    </xf>
    <xf numFmtId="0" fontId="7" fillId="0" borderId="0" xfId="0" applyFont="1" applyFill="1" applyAlignment="1" applyProtection="1">
      <alignment vertical="center"/>
    </xf>
    <xf numFmtId="0" fontId="8" fillId="0" borderId="0" xfId="1" applyFont="1" applyFill="1" applyAlignment="1" applyProtection="1">
      <alignment horizontal="left" vertical="center"/>
    </xf>
    <xf numFmtId="0" fontId="8" fillId="0" borderId="0" xfId="1" applyFont="1" applyFill="1" applyAlignment="1" applyProtection="1">
      <alignment horizontal="left"/>
    </xf>
    <xf numFmtId="0" fontId="9" fillId="0" borderId="0" xfId="1" applyFont="1" applyFill="1" applyAlignment="1" applyProtection="1">
      <alignment horizontal="left"/>
    </xf>
    <xf numFmtId="0" fontId="7" fillId="0" borderId="0" xfId="0" applyFont="1" applyFill="1" applyProtection="1"/>
    <xf numFmtId="0" fontId="14" fillId="0" borderId="5" xfId="0" applyFont="1" applyFill="1" applyBorder="1" applyAlignment="1" applyProtection="1">
      <alignment horizontal="center" vertical="center"/>
    </xf>
    <xf numFmtId="0" fontId="14" fillId="0" borderId="6" xfId="0" applyFont="1" applyFill="1" applyBorder="1" applyAlignment="1" applyProtection="1">
      <alignment horizontal="center" vertical="center"/>
    </xf>
    <xf numFmtId="0" fontId="14" fillId="0" borderId="7" xfId="0" applyFont="1" applyFill="1" applyBorder="1" applyAlignment="1" applyProtection="1">
      <alignment horizontal="center" vertical="center"/>
    </xf>
    <xf numFmtId="0" fontId="14" fillId="0" borderId="8" xfId="0" applyFont="1" applyFill="1" applyBorder="1" applyAlignment="1" applyProtection="1">
      <alignment horizontal="center" vertical="center"/>
    </xf>
    <xf numFmtId="165" fontId="1" fillId="0" borderId="0" xfId="0" applyNumberFormat="1" applyFont="1" applyFill="1" applyProtection="1"/>
    <xf numFmtId="165" fontId="1" fillId="0" borderId="0" xfId="0" applyNumberFormat="1" applyFont="1" applyFill="1" applyBorder="1" applyProtection="1"/>
    <xf numFmtId="2" fontId="1" fillId="0" borderId="0" xfId="0" applyNumberFormat="1" applyFont="1" applyFill="1" applyBorder="1" applyProtection="1"/>
    <xf numFmtId="2" fontId="1" fillId="0" borderId="9" xfId="0" applyNumberFormat="1" applyFont="1" applyFill="1" applyBorder="1" applyAlignment="1" applyProtection="1">
      <alignment horizontal="center"/>
    </xf>
    <xf numFmtId="0" fontId="1" fillId="0" borderId="10" xfId="0" applyFont="1" applyFill="1" applyBorder="1" applyProtection="1"/>
    <xf numFmtId="0" fontId="1" fillId="0" borderId="11" xfId="0" applyFont="1" applyFill="1" applyBorder="1" applyAlignment="1" applyProtection="1">
      <alignment horizontal="center"/>
    </xf>
    <xf numFmtId="0" fontId="1" fillId="0" borderId="12" xfId="0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>
      <alignment horizontal="center"/>
    </xf>
    <xf numFmtId="165" fontId="1" fillId="0" borderId="12" xfId="0" applyNumberFormat="1" applyFont="1" applyFill="1" applyBorder="1" applyAlignment="1" applyProtection="1">
      <alignment horizontal="center"/>
    </xf>
    <xf numFmtId="0" fontId="1" fillId="0" borderId="13" xfId="0" applyFont="1" applyFill="1" applyBorder="1" applyAlignment="1" applyProtection="1">
      <alignment horizontal="center"/>
    </xf>
    <xf numFmtId="2" fontId="1" fillId="0" borderId="10" xfId="0" applyNumberFormat="1" applyFont="1" applyFill="1" applyBorder="1" applyAlignment="1" applyProtection="1">
      <alignment horizontal="center"/>
    </xf>
    <xf numFmtId="165" fontId="1" fillId="0" borderId="11" xfId="0" applyNumberFormat="1" applyFont="1" applyFill="1" applyBorder="1" applyAlignment="1" applyProtection="1">
      <alignment horizontal="center"/>
    </xf>
    <xf numFmtId="2" fontId="1" fillId="0" borderId="14" xfId="0" applyNumberFormat="1" applyFont="1" applyFill="1" applyBorder="1" applyAlignment="1" applyProtection="1">
      <alignment horizontal="center"/>
    </xf>
    <xf numFmtId="0" fontId="1" fillId="0" borderId="14" xfId="0" applyFont="1" applyFill="1" applyBorder="1" applyProtection="1"/>
    <xf numFmtId="0" fontId="1" fillId="0" borderId="15" xfId="0" applyFont="1" applyFill="1" applyBorder="1" applyAlignment="1" applyProtection="1">
      <alignment horizontal="center"/>
    </xf>
    <xf numFmtId="0" fontId="1" fillId="0" borderId="16" xfId="0" applyFont="1" applyFill="1" applyBorder="1" applyAlignment="1" applyProtection="1">
      <alignment horizontal="center"/>
    </xf>
    <xf numFmtId="165" fontId="1" fillId="0" borderId="15" xfId="0" applyNumberFormat="1" applyFont="1" applyFill="1" applyBorder="1" applyAlignment="1" applyProtection="1">
      <alignment horizontal="center"/>
    </xf>
    <xf numFmtId="165" fontId="1" fillId="0" borderId="13" xfId="0" applyNumberFormat="1" applyFont="1" applyFill="1" applyBorder="1" applyAlignment="1" applyProtection="1">
      <alignment horizontal="center"/>
    </xf>
    <xf numFmtId="0" fontId="17" fillId="0" borderId="0" xfId="0" applyFont="1" applyFill="1" applyProtection="1"/>
    <xf numFmtId="0" fontId="14" fillId="0" borderId="17" xfId="0" applyFont="1" applyFill="1" applyBorder="1" applyAlignment="1" applyProtection="1">
      <alignment horizontal="center" vertical="center"/>
    </xf>
    <xf numFmtId="0" fontId="14" fillId="0" borderId="1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0" fontId="14" fillId="0" borderId="11" xfId="0" applyFont="1" applyFill="1" applyBorder="1" applyAlignment="1" applyProtection="1">
      <alignment horizontal="center" vertical="center"/>
    </xf>
    <xf numFmtId="0" fontId="14" fillId="0" borderId="12" xfId="0" applyFont="1" applyFill="1" applyBorder="1" applyAlignment="1" applyProtection="1">
      <alignment horizontal="center" vertical="center"/>
    </xf>
    <xf numFmtId="0" fontId="14" fillId="0" borderId="13" xfId="0" applyFont="1" applyFill="1" applyBorder="1" applyAlignment="1" applyProtection="1">
      <alignment horizontal="center" vertical="center"/>
    </xf>
    <xf numFmtId="0" fontId="13" fillId="0" borderId="3" xfId="0" applyFont="1" applyFill="1" applyBorder="1" applyAlignment="1" applyProtection="1">
      <alignment horizontal="center" vertical="center"/>
    </xf>
    <xf numFmtId="0" fontId="13" fillId="5" borderId="3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center" vertical="center"/>
    </xf>
    <xf numFmtId="0" fontId="13" fillId="5" borderId="4" xfId="0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0" fontId="4" fillId="0" borderId="0" xfId="1" applyFont="1" applyFill="1" applyBorder="1" applyAlignment="1" applyProtection="1">
      <alignment horizontal="center" vertical="center"/>
    </xf>
    <xf numFmtId="0" fontId="26" fillId="0" borderId="0" xfId="0" applyFont="1" applyFill="1" applyAlignment="1" applyProtection="1">
      <alignment vertical="center"/>
    </xf>
    <xf numFmtId="0" fontId="23" fillId="0" borderId="0" xfId="0" applyFont="1" applyFill="1" applyAlignment="1" applyProtection="1">
      <alignment vertical="top"/>
    </xf>
    <xf numFmtId="0" fontId="28" fillId="0" borderId="0" xfId="0" applyFont="1" applyFill="1" applyAlignment="1" applyProtection="1">
      <alignment vertical="center"/>
    </xf>
    <xf numFmtId="0" fontId="28" fillId="0" borderId="0" xfId="0" applyFont="1" applyFill="1" applyAlignment="1" applyProtection="1">
      <alignment vertical="top"/>
    </xf>
    <xf numFmtId="0" fontId="27" fillId="0" borderId="0" xfId="0" applyFont="1" applyFill="1" applyAlignment="1" applyProtection="1">
      <alignment vertical="top"/>
    </xf>
    <xf numFmtId="0" fontId="25" fillId="0" borderId="0" xfId="0" applyFont="1" applyFill="1" applyAlignment="1" applyProtection="1">
      <alignment horizontal="left" vertical="center"/>
    </xf>
    <xf numFmtId="0" fontId="25" fillId="0" borderId="0" xfId="0" applyFont="1" applyFill="1" applyAlignment="1" applyProtection="1">
      <alignment horizontal="left" vertical="top"/>
    </xf>
    <xf numFmtId="0" fontId="23" fillId="0" borderId="0" xfId="0" applyFont="1" applyFill="1" applyAlignment="1" applyProtection="1">
      <alignment horizontal="left"/>
    </xf>
    <xf numFmtId="2" fontId="1" fillId="0" borderId="0" xfId="0" applyNumberFormat="1" applyFont="1" applyFill="1" applyBorder="1" applyAlignment="1" applyProtection="1">
      <alignment horizontal="center"/>
    </xf>
    <xf numFmtId="0" fontId="23" fillId="0" borderId="0" xfId="0" applyFont="1" applyFill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/>
    </xf>
    <xf numFmtId="0" fontId="5" fillId="9" borderId="0" xfId="0" applyNumberFormat="1" applyFont="1" applyFill="1" applyBorder="1" applyAlignment="1" applyProtection="1">
      <alignment horizontal="center" vertical="center"/>
    </xf>
    <xf numFmtId="0" fontId="5" fillId="11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27" fillId="0" borderId="0" xfId="0" applyFont="1" applyFill="1" applyAlignment="1" applyProtection="1">
      <alignment horizontal="left" vertical="center"/>
    </xf>
    <xf numFmtId="0" fontId="21" fillId="0" borderId="0" xfId="0" applyFont="1" applyFill="1" applyBorder="1" applyAlignment="1" applyProtection="1">
      <alignment horizontal="center" vertical="center"/>
    </xf>
    <xf numFmtId="0" fontId="30" fillId="2" borderId="5" xfId="0" applyNumberFormat="1" applyFont="1" applyFill="1" applyBorder="1" applyAlignment="1" applyProtection="1">
      <alignment horizontal="center" vertical="center"/>
    </xf>
    <xf numFmtId="0" fontId="30" fillId="2" borderId="7" xfId="0" applyNumberFormat="1" applyFont="1" applyFill="1" applyBorder="1" applyAlignment="1" applyProtection="1">
      <alignment horizontal="center" vertical="center"/>
    </xf>
    <xf numFmtId="0" fontId="30" fillId="2" borderId="8" xfId="0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5" fillId="12" borderId="0" xfId="0" applyNumberFormat="1" applyFont="1" applyFill="1" applyBorder="1" applyAlignment="1" applyProtection="1">
      <alignment horizontal="center" vertical="center"/>
    </xf>
    <xf numFmtId="0" fontId="5" fillId="14" borderId="0" xfId="0" applyNumberFormat="1" applyFont="1" applyFill="1" applyBorder="1" applyAlignment="1" applyProtection="1">
      <alignment horizontal="center" vertical="center"/>
    </xf>
    <xf numFmtId="0" fontId="5" fillId="10" borderId="0" xfId="0" applyNumberFormat="1" applyFont="1" applyFill="1" applyBorder="1" applyAlignment="1" applyProtection="1">
      <alignment horizontal="center" vertical="center"/>
    </xf>
    <xf numFmtId="0" fontId="5" fillId="21" borderId="0" xfId="0" applyNumberFormat="1" applyFont="1" applyFill="1" applyBorder="1" applyAlignment="1" applyProtection="1">
      <alignment horizontal="center" vertical="center" wrapText="1"/>
    </xf>
    <xf numFmtId="0" fontId="5" fillId="22" borderId="0" xfId="0" applyNumberFormat="1" applyFont="1" applyFill="1" applyBorder="1" applyAlignment="1" applyProtection="1">
      <alignment horizontal="center" vertical="center" wrapText="1"/>
    </xf>
    <xf numFmtId="0" fontId="5" fillId="17" borderId="0" xfId="0" applyNumberFormat="1" applyFont="1" applyFill="1" applyBorder="1" applyAlignment="1" applyProtection="1">
      <alignment horizontal="center" vertical="center"/>
    </xf>
    <xf numFmtId="0" fontId="5" fillId="5" borderId="0" xfId="0" applyNumberFormat="1" applyFont="1" applyFill="1" applyBorder="1" applyAlignment="1" applyProtection="1">
      <alignment horizontal="center" vertical="center"/>
    </xf>
    <xf numFmtId="0" fontId="5" fillId="7" borderId="0" xfId="0" applyNumberFormat="1" applyFont="1" applyFill="1" applyBorder="1" applyAlignment="1" applyProtection="1">
      <alignment horizontal="center" vertical="center"/>
    </xf>
  </cellXfs>
  <cellStyles count="2">
    <cellStyle name="Lien hypertexte" xfId="1" builtinId="8"/>
    <cellStyle name="Normal" xfId="0" builtinId="0"/>
  </cellStyles>
  <dxfs count="11">
    <dxf>
      <font>
        <b/>
        <i val="0"/>
        <color theme="5" tint="-0.2499465926084170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499984740745262"/>
      </font>
      <fill>
        <patternFill patternType="none">
          <bgColor auto="1"/>
        </patternFill>
      </fill>
    </dxf>
    <dxf>
      <font>
        <color theme="0" tint="-0.499984740745262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8CDB2"/>
      <color rgb="FF2DC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T88"/>
  <sheetViews>
    <sheetView showGridLines="0" tabSelected="1" topLeftCell="A7" zoomScaleNormal="100" workbookViewId="0">
      <selection activeCell="H53" sqref="H53"/>
    </sheetView>
  </sheetViews>
  <sheetFormatPr baseColWidth="10" defaultColWidth="11.42578125" defaultRowHeight="11.25" x14ac:dyDescent="0.2"/>
  <cols>
    <col min="1" max="1" width="1.28515625" style="84" customWidth="1"/>
    <col min="2" max="2" width="10.7109375" style="84" customWidth="1"/>
    <col min="3" max="3" width="7.7109375" style="85" customWidth="1"/>
    <col min="4" max="4" width="5.7109375" style="86" customWidth="1"/>
    <col min="5" max="6" width="12.7109375" style="87" customWidth="1"/>
    <col min="7" max="8" width="5.7109375" style="88" customWidth="1"/>
    <col min="9" max="9" width="5.7109375" style="84" customWidth="1"/>
    <col min="10" max="10" width="2.7109375" style="84" customWidth="1"/>
    <col min="11" max="11" width="15.28515625" style="84" customWidth="1"/>
    <col min="12" max="12" width="4" style="84" bestFit="1" customWidth="1"/>
    <col min="13" max="14" width="3.5703125" style="84" bestFit="1" customWidth="1"/>
    <col min="15" max="15" width="3.42578125" style="84" bestFit="1" customWidth="1"/>
    <col min="16" max="16" width="1.28515625" style="84" customWidth="1"/>
    <col min="17" max="19" width="1.5703125" style="84" customWidth="1"/>
    <col min="20" max="20" width="5.5703125" style="84" customWidth="1"/>
    <col min="21" max="22" width="9.5703125" style="84" hidden="1" customWidth="1"/>
    <col min="23" max="23" width="20.42578125" style="84" hidden="1" customWidth="1"/>
    <col min="24" max="24" width="3" style="84" hidden="1" customWidth="1"/>
    <col min="25" max="25" width="5" style="84" hidden="1" customWidth="1"/>
    <col min="26" max="27" width="9.5703125" style="84" hidden="1" customWidth="1"/>
    <col min="28" max="28" width="16.5703125" style="84" hidden="1" customWidth="1"/>
    <col min="29" max="29" width="38.5703125" style="84" hidden="1" customWidth="1"/>
    <col min="30" max="30" width="7.28515625" style="84" hidden="1" customWidth="1"/>
    <col min="31" max="33" width="9.5703125" style="84" hidden="1" customWidth="1"/>
    <col min="34" max="34" width="5.28515625" style="84" hidden="1" customWidth="1"/>
    <col min="35" max="35" width="11.42578125" style="84" hidden="1" customWidth="1"/>
    <col min="36" max="36" width="3.42578125" style="84" hidden="1" customWidth="1"/>
    <col min="37" max="37" width="3.28515625" style="84" hidden="1" customWidth="1"/>
    <col min="38" max="39" width="3.42578125" style="84" hidden="1" customWidth="1"/>
    <col min="40" max="40" width="5.7109375" style="84" hidden="1" customWidth="1"/>
    <col min="41" max="43" width="4" style="84" hidden="1" customWidth="1"/>
    <col min="44" max="44" width="5.5703125" style="84" hidden="1" customWidth="1"/>
    <col min="45" max="47" width="5.7109375" style="84" hidden="1" customWidth="1"/>
    <col min="48" max="51" width="6" style="84" hidden="1" customWidth="1"/>
    <col min="52" max="55" width="5.42578125" style="84" hidden="1" customWidth="1"/>
    <col min="56" max="56" width="5.7109375" style="84" hidden="1" customWidth="1"/>
    <col min="57" max="67" width="5.5703125" style="84" hidden="1" customWidth="1"/>
    <col min="68" max="71" width="6.5703125" style="84" hidden="1" customWidth="1"/>
    <col min="72" max="75" width="0" style="84" hidden="1" customWidth="1"/>
    <col min="76" max="16384" width="11.42578125" style="84"/>
  </cols>
  <sheetData>
    <row r="1" spans="2:71" ht="4.3499999999999996" hidden="1" customHeight="1" x14ac:dyDescent="0.2"/>
    <row r="2" spans="2:71" ht="9" hidden="1" customHeight="1" x14ac:dyDescent="0.2">
      <c r="L2" s="89"/>
      <c r="M2" s="90"/>
      <c r="N2" s="90"/>
      <c r="O2" s="90"/>
      <c r="P2" s="90"/>
      <c r="Q2" s="90"/>
      <c r="R2" s="90"/>
      <c r="S2" s="90"/>
    </row>
    <row r="3" spans="2:71" ht="16.899999999999999" hidden="1" customHeight="1" x14ac:dyDescent="0.2"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AB3" s="91"/>
      <c r="AC3" s="91"/>
      <c r="AD3" s="91"/>
      <c r="AE3" s="91"/>
      <c r="AF3" s="91"/>
      <c r="AG3" s="91"/>
      <c r="AH3" s="91"/>
      <c r="AI3" s="91"/>
      <c r="AJ3" s="91"/>
      <c r="AY3" s="92"/>
      <c r="AZ3" s="93"/>
      <c r="BA3" s="88"/>
      <c r="BB3" s="88"/>
      <c r="BC3" s="88"/>
    </row>
    <row r="4" spans="2:71" ht="11.65" hidden="1" customHeight="1" x14ac:dyDescent="0.2"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AB4" s="94"/>
      <c r="AC4" s="94"/>
      <c r="AD4" s="94"/>
      <c r="AE4" s="94"/>
      <c r="AF4" s="94"/>
      <c r="AG4" s="94"/>
      <c r="AH4" s="94"/>
      <c r="AI4" s="94"/>
      <c r="AJ4" s="94"/>
      <c r="AY4" s="92"/>
      <c r="AZ4" s="93"/>
      <c r="BA4" s="88"/>
      <c r="BB4" s="88"/>
      <c r="BC4" s="88"/>
    </row>
    <row r="5" spans="2:71" ht="6" hidden="1" customHeight="1" x14ac:dyDescent="0.2">
      <c r="J5" s="95"/>
      <c r="AZ5" s="88"/>
      <c r="BA5" s="88"/>
      <c r="BB5" s="88"/>
      <c r="BC5" s="88"/>
    </row>
    <row r="6" spans="2:71" ht="3" hidden="1" customHeight="1" x14ac:dyDescent="0.2">
      <c r="AG6" s="85"/>
      <c r="AZ6" s="88"/>
      <c r="BA6" s="88"/>
      <c r="BB6" s="88"/>
      <c r="BC6" s="88"/>
    </row>
    <row r="7" spans="2:71" ht="30" customHeight="1" x14ac:dyDescent="0.2">
      <c r="B7" s="152" t="s">
        <v>113</v>
      </c>
      <c r="C7" s="153"/>
      <c r="D7" s="153"/>
      <c r="E7" s="153"/>
      <c r="F7" s="153"/>
      <c r="G7" s="153"/>
      <c r="H7" s="153"/>
      <c r="I7" s="154"/>
      <c r="P7" s="60"/>
      <c r="Q7" s="60"/>
      <c r="R7" s="60"/>
      <c r="S7" s="60"/>
      <c r="T7" s="96"/>
      <c r="U7" s="96"/>
      <c r="V7" s="96"/>
      <c r="W7" s="96"/>
      <c r="X7" s="97"/>
      <c r="Y7" s="97"/>
      <c r="Z7" s="98"/>
      <c r="AA7" s="98"/>
      <c r="AB7" s="99"/>
      <c r="AC7" s="99"/>
      <c r="AG7" s="85" t="s">
        <v>4</v>
      </c>
      <c r="AH7" s="85" t="s">
        <v>5</v>
      </c>
      <c r="AI7" s="85" t="s">
        <v>6</v>
      </c>
      <c r="AJ7" s="85" t="s">
        <v>7</v>
      </c>
      <c r="AK7" s="85" t="s">
        <v>8</v>
      </c>
      <c r="AL7" s="85" t="s">
        <v>9</v>
      </c>
      <c r="AM7" s="85" t="s">
        <v>10</v>
      </c>
      <c r="AN7" s="85" t="s">
        <v>11</v>
      </c>
      <c r="AO7" s="85" t="s">
        <v>12</v>
      </c>
      <c r="AP7" s="85" t="s">
        <v>13</v>
      </c>
      <c r="AQ7" s="85" t="s">
        <v>14</v>
      </c>
      <c r="AR7" s="85" t="s">
        <v>15</v>
      </c>
      <c r="AS7" s="85" t="s">
        <v>16</v>
      </c>
      <c r="AT7" s="85" t="s">
        <v>17</v>
      </c>
      <c r="AU7" s="85" t="s">
        <v>18</v>
      </c>
      <c r="AV7" s="85" t="s">
        <v>19</v>
      </c>
      <c r="AW7" s="85" t="s">
        <v>20</v>
      </c>
      <c r="AX7" s="85" t="s">
        <v>21</v>
      </c>
      <c r="AY7" s="85" t="s">
        <v>22</v>
      </c>
      <c r="AZ7" s="85" t="s">
        <v>3</v>
      </c>
      <c r="BA7" s="85" t="s">
        <v>23</v>
      </c>
      <c r="BB7" s="85" t="s">
        <v>24</v>
      </c>
      <c r="BC7" s="85" t="s">
        <v>25</v>
      </c>
      <c r="BD7" s="85" t="s">
        <v>26</v>
      </c>
      <c r="BE7" s="85" t="s">
        <v>27</v>
      </c>
      <c r="BF7" s="85" t="s">
        <v>28</v>
      </c>
      <c r="BG7" s="85" t="s">
        <v>29</v>
      </c>
      <c r="BH7" s="85" t="s">
        <v>30</v>
      </c>
      <c r="BI7" s="85" t="s">
        <v>31</v>
      </c>
      <c r="BJ7" s="85" t="s">
        <v>32</v>
      </c>
      <c r="BK7" s="85" t="s">
        <v>33</v>
      </c>
      <c r="BL7" s="85" t="s">
        <v>34</v>
      </c>
      <c r="BM7" s="85" t="s">
        <v>2</v>
      </c>
      <c r="BN7" s="85" t="s">
        <v>34</v>
      </c>
      <c r="BO7" s="85" t="s">
        <v>2</v>
      </c>
      <c r="BQ7" s="84">
        <f>IF($BI11,IF(G8-H8&lt;0,-0.5,IF(H8-G8&lt;0,0.5,0)),IF($BE11,IF($AV11&gt;$AV12,-0.5,IF($AV11&lt;$AV12,0.5,0)),IF($BF11,IF($AW11&gt;$AW12,-0.5, IF($AW11&lt;$AW12,0.5,0)),0)))</f>
        <v>0</v>
      </c>
      <c r="BS7" s="84">
        <f>H12-G12</f>
        <v>0</v>
      </c>
    </row>
    <row r="8" spans="2:71" ht="14.25" customHeight="1" x14ac:dyDescent="0.2">
      <c r="B8" s="162" t="s">
        <v>105</v>
      </c>
      <c r="C8" s="12">
        <v>43265</v>
      </c>
      <c r="D8" s="13">
        <v>0.70833333333333337</v>
      </c>
      <c r="E8" s="63" t="s">
        <v>35</v>
      </c>
      <c r="F8" s="64" t="s">
        <v>36</v>
      </c>
      <c r="G8" s="82">
        <v>3</v>
      </c>
      <c r="H8" s="82">
        <v>0</v>
      </c>
      <c r="I8" s="60"/>
      <c r="J8" s="57"/>
      <c r="K8" s="58" t="s">
        <v>0</v>
      </c>
      <c r="L8" s="58" t="s">
        <v>1</v>
      </c>
      <c r="M8" s="58" t="s">
        <v>2</v>
      </c>
      <c r="N8" s="58" t="s">
        <v>3</v>
      </c>
      <c r="O8" s="58" t="str">
        <f>"+/-"</f>
        <v>+/-</v>
      </c>
      <c r="P8" s="60"/>
      <c r="Q8" s="60"/>
      <c r="R8" s="60"/>
      <c r="S8" s="60"/>
      <c r="T8" s="96"/>
      <c r="U8" s="96"/>
      <c r="V8" s="96"/>
      <c r="W8" s="96"/>
      <c r="X8" s="97"/>
      <c r="Y8" s="97"/>
      <c r="Z8" s="98"/>
      <c r="AA8" s="98"/>
      <c r="AB8" s="99"/>
      <c r="AC8" s="99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</row>
    <row r="9" spans="2:71" ht="14.25" customHeight="1" x14ac:dyDescent="0.2">
      <c r="B9" s="162"/>
      <c r="C9" s="14">
        <v>43266</v>
      </c>
      <c r="D9" s="15">
        <v>0.58333333333333337</v>
      </c>
      <c r="E9" s="65" t="s">
        <v>37</v>
      </c>
      <c r="F9" s="17" t="s">
        <v>38</v>
      </c>
      <c r="G9" s="10">
        <v>1</v>
      </c>
      <c r="H9" s="10">
        <v>3</v>
      </c>
      <c r="I9" s="60"/>
      <c r="J9" s="16">
        <f>AE11</f>
        <v>1</v>
      </c>
      <c r="K9" s="11" t="str">
        <f>INDEX(AI11:AI14,MATCH(AG11,$AH11:$AH14,0))</f>
        <v>Uruguay</v>
      </c>
      <c r="L9" s="17">
        <f>INDEX(AJ11:AJ14,MATCH(AG11,$AH11:$AH14,0))</f>
        <v>7</v>
      </c>
      <c r="M9" s="17">
        <f>INDEX(AK11:AK14,MATCH(AG11,$AH11:$AH14,0))</f>
        <v>7</v>
      </c>
      <c r="N9" s="17">
        <f>INDEX(AL11:AL14,MATCH(AG11,$AH11:$AH14,0))</f>
        <v>2</v>
      </c>
      <c r="O9" s="17">
        <f>INDEX(AM11:AM14,MATCH(AG11,$AH11:$AH14,0))</f>
        <v>5</v>
      </c>
      <c r="P9" s="60"/>
      <c r="Q9" s="60"/>
      <c r="R9" s="60"/>
      <c r="S9" s="60"/>
      <c r="T9" s="96"/>
      <c r="U9" s="96"/>
      <c r="V9" s="96"/>
      <c r="W9" s="96"/>
      <c r="X9" s="97"/>
      <c r="Y9" s="97"/>
      <c r="Z9" s="98"/>
      <c r="AA9" s="98"/>
      <c r="AB9" s="99"/>
      <c r="AC9" s="99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</row>
    <row r="10" spans="2:71" ht="14.25" customHeight="1" x14ac:dyDescent="0.2">
      <c r="B10" s="162"/>
      <c r="C10" s="12">
        <v>43270</v>
      </c>
      <c r="D10" s="13">
        <v>0.83333333333333337</v>
      </c>
      <c r="E10" s="64" t="s">
        <v>35</v>
      </c>
      <c r="F10" s="64" t="s">
        <v>37</v>
      </c>
      <c r="G10" s="10">
        <v>2</v>
      </c>
      <c r="H10" s="10">
        <v>1</v>
      </c>
      <c r="I10" s="60"/>
      <c r="J10" s="16">
        <f>AE12</f>
        <v>2</v>
      </c>
      <c r="K10" s="11" t="str">
        <f>INDEX(AI11:AI14,MATCH(AG12,$AH11:$AH14,0))</f>
        <v>Russie</v>
      </c>
      <c r="L10" s="17">
        <f>INDEX(AJ11:AJ14,MATCH(AG12,$AH11:$AH14,0))</f>
        <v>7</v>
      </c>
      <c r="M10" s="17">
        <f>INDEX(AK11:AK14,MATCH(AG12,$AH11:$AH14,0))</f>
        <v>6</v>
      </c>
      <c r="N10" s="17">
        <f>INDEX(AL11:AL14,MATCH(AG12,$AH11:$AH14,0))</f>
        <v>2</v>
      </c>
      <c r="O10" s="17">
        <f>INDEX(AM11:AM14,MATCH(AG12,$AH11:$AH14,0))</f>
        <v>4</v>
      </c>
      <c r="P10" s="60"/>
      <c r="Q10" s="60"/>
      <c r="R10" s="60"/>
      <c r="S10" s="60"/>
      <c r="T10" s="96"/>
      <c r="U10" s="96"/>
      <c r="V10" s="96"/>
      <c r="W10" s="96"/>
      <c r="X10" s="96"/>
      <c r="Y10" s="96"/>
      <c r="Z10" s="100"/>
      <c r="AA10" s="100"/>
      <c r="AG10" s="85"/>
      <c r="AH10" s="101" t="s">
        <v>39</v>
      </c>
      <c r="AI10" s="102" t="s">
        <v>40</v>
      </c>
      <c r="AJ10" s="103" t="s">
        <v>1</v>
      </c>
      <c r="AK10" s="101" t="s">
        <v>41</v>
      </c>
      <c r="AL10" s="103" t="s">
        <v>42</v>
      </c>
      <c r="AM10" s="104" t="s">
        <v>43</v>
      </c>
      <c r="AN10" s="103" t="s">
        <v>44</v>
      </c>
      <c r="AO10" s="103" t="s">
        <v>45</v>
      </c>
      <c r="AP10" s="103" t="s">
        <v>46</v>
      </c>
      <c r="AQ10" s="103" t="s">
        <v>47</v>
      </c>
      <c r="AR10" s="101" t="s">
        <v>48</v>
      </c>
      <c r="AS10" s="103" t="s">
        <v>49</v>
      </c>
      <c r="AT10" s="103" t="s">
        <v>50</v>
      </c>
      <c r="AU10" s="104" t="s">
        <v>51</v>
      </c>
      <c r="AV10" s="101" t="s">
        <v>52</v>
      </c>
      <c r="AW10" s="103" t="s">
        <v>53</v>
      </c>
      <c r="AX10" s="103" t="s">
        <v>54</v>
      </c>
      <c r="AY10" s="104" t="s">
        <v>55</v>
      </c>
      <c r="AZ10" s="101" t="s">
        <v>56</v>
      </c>
      <c r="BA10" s="103" t="s">
        <v>57</v>
      </c>
      <c r="BB10" s="103" t="s">
        <v>58</v>
      </c>
      <c r="BC10" s="104" t="s">
        <v>59</v>
      </c>
      <c r="BD10" s="101" t="s">
        <v>60</v>
      </c>
      <c r="BE10" s="103" t="s">
        <v>52</v>
      </c>
      <c r="BF10" s="103" t="s">
        <v>53</v>
      </c>
      <c r="BG10" s="103" t="s">
        <v>54</v>
      </c>
      <c r="BH10" s="103" t="s">
        <v>55</v>
      </c>
      <c r="BI10" s="103" t="s">
        <v>61</v>
      </c>
      <c r="BJ10" s="103" t="s">
        <v>62</v>
      </c>
      <c r="BK10" s="103" t="s">
        <v>63</v>
      </c>
      <c r="BL10" s="103" t="s">
        <v>64</v>
      </c>
      <c r="BM10" s="103" t="s">
        <v>65</v>
      </c>
      <c r="BN10" s="103" t="s">
        <v>66</v>
      </c>
      <c r="BO10" s="103" t="s">
        <v>67</v>
      </c>
      <c r="BP10" s="101" t="s">
        <v>68</v>
      </c>
      <c r="BQ10" s="103" t="s">
        <v>69</v>
      </c>
      <c r="BR10" s="103" t="s">
        <v>70</v>
      </c>
      <c r="BS10" s="104" t="s">
        <v>71</v>
      </c>
    </row>
    <row r="11" spans="2:71" ht="14.25" customHeight="1" x14ac:dyDescent="0.2">
      <c r="B11" s="162"/>
      <c r="C11" s="14">
        <v>43271</v>
      </c>
      <c r="D11" s="15">
        <v>0.70833333333333337</v>
      </c>
      <c r="E11" s="17" t="s">
        <v>38</v>
      </c>
      <c r="F11" s="17" t="s">
        <v>36</v>
      </c>
      <c r="G11" s="10">
        <v>3</v>
      </c>
      <c r="H11" s="10">
        <v>0</v>
      </c>
      <c r="I11" s="60"/>
      <c r="J11" s="18">
        <f>AE13</f>
        <v>3</v>
      </c>
      <c r="K11" s="1" t="str">
        <f>INDEX(AI11:AI14,MATCH(AG13,$AH11:$AH14,0))</f>
        <v>Egypte</v>
      </c>
      <c r="L11" s="19">
        <f>INDEX(AJ11:AJ14,MATCH(AG13,$AH11:$AH14,0))</f>
        <v>3</v>
      </c>
      <c r="M11" s="19">
        <f>INDEX(AK11:AK14,MATCH(AG13,$AH11:$AH14,0))</f>
        <v>4</v>
      </c>
      <c r="N11" s="19">
        <f>INDEX(AL11:AL14,MATCH(AG13,$AH11:$AH14,0))</f>
        <v>6</v>
      </c>
      <c r="O11" s="19">
        <f>INDEX(AM11:AM14,MATCH(AG13,$AH11:$AH14,0))</f>
        <v>-2</v>
      </c>
      <c r="P11" s="60"/>
      <c r="Q11" s="60"/>
      <c r="R11" s="60"/>
      <c r="S11" s="60"/>
      <c r="T11" s="96"/>
      <c r="U11" s="96"/>
      <c r="V11" s="96"/>
      <c r="W11" s="96"/>
      <c r="X11" s="96"/>
      <c r="Y11" s="96"/>
      <c r="Z11" s="100"/>
      <c r="AA11" s="100"/>
      <c r="AE11" s="105">
        <v>1</v>
      </c>
      <c r="AF11" s="106">
        <f>ROUND(AG11,0)</f>
        <v>1</v>
      </c>
      <c r="AG11" s="107">
        <f>MIN(AH11:AH14)</f>
        <v>0.98</v>
      </c>
      <c r="AH11" s="108">
        <f>SUM(AZ11:BC11)+2.45</f>
        <v>1.9500000000000002</v>
      </c>
      <c r="AI11" s="109" t="str">
        <f>E8</f>
        <v>Russie</v>
      </c>
      <c r="AJ11" s="87">
        <f>SUM(AN11:AQ11)</f>
        <v>7</v>
      </c>
      <c r="AK11" s="110">
        <f>G8+G10+H12</f>
        <v>6</v>
      </c>
      <c r="AL11" s="87">
        <f>H8+H10+G12</f>
        <v>2</v>
      </c>
      <c r="AM11" s="111">
        <f>AK11-AL11</f>
        <v>4</v>
      </c>
      <c r="AN11" s="87" t="s">
        <v>72</v>
      </c>
      <c r="AO11" s="87">
        <f>IF(ISBLANK(G8),0,IF(G8&gt;H8,3,IF(G8=H8,1,0)))</f>
        <v>3</v>
      </c>
      <c r="AP11" s="87">
        <f>IF(ISBLANK(G10),0,IF(G10&gt;H10,3,IF(G10=H10,1,0)))</f>
        <v>3</v>
      </c>
      <c r="AQ11" s="87">
        <f>IF(ISBLANK(H12),0,IF(H12&gt;G12,3,IF(H12=G12,1,0)))</f>
        <v>1</v>
      </c>
      <c r="AR11" s="110" t="s">
        <v>72</v>
      </c>
      <c r="AS11" s="87" t="b">
        <f>(10*(AM11-AM12)+AK11-AK12&gt;0)</f>
        <v>1</v>
      </c>
      <c r="AT11" s="87" t="b">
        <f>10*(AM11-AM13)+AK11-AK13&gt;0</f>
        <v>1</v>
      </c>
      <c r="AU11" s="111" t="b">
        <f>10*(AM11-AM14)+AK11-AK14&gt;0</f>
        <v>0</v>
      </c>
      <c r="AV11" s="110">
        <f>10000*(AO11+AP11)+(G10-H10+G8-H8)*100+(G10+G8)</f>
        <v>60405</v>
      </c>
      <c r="AW11" s="87">
        <f>10000*(AO11+AQ11)+(G8-H8+H12-G12)*100+(G8+H12)</f>
        <v>40304</v>
      </c>
      <c r="AX11" s="87">
        <f>10000*(AP11+AQ11)+(G10-H10+H12-G12)*100+(G10+H12)</f>
        <v>40103</v>
      </c>
      <c r="AY11" s="111" t="s">
        <v>72</v>
      </c>
      <c r="AZ11" s="110" t="s">
        <v>72</v>
      </c>
      <c r="BA11" s="112">
        <f>IF($AJ11&gt;$AJ12,-0.5,IF($AJ12&gt;$AJ11,0.5,IF(AS11,-0.5,IF(AR12,0.5,BQ11))))</f>
        <v>-0.5</v>
      </c>
      <c r="BB11" s="112">
        <f>IF($AJ11&gt;$AJ13,-0.5,IF($AJ13&gt;$AJ11,0.5,IF(AT11,-0.5,IF(AR13,0.5,BR11))))</f>
        <v>-0.5</v>
      </c>
      <c r="BC11" s="113">
        <f>IF($AJ11&gt;$AJ14,-0.5,IF($AJ14&gt;$AJ11,0.5,IF(AU11,-0.5,IF(AR14,0.5,BS11))))</f>
        <v>0.5</v>
      </c>
      <c r="BD11" s="114" t="b">
        <f>AND(AND(AJ11=AJ12,AJ12=AJ13,AJ13=AJ14),AND(AK11=AK12,AK12=AK13,AK13=AK14),AND(AL11=AL12,AL12=AL13,AL13=AL14))</f>
        <v>0</v>
      </c>
      <c r="BE11" s="114" t="b">
        <f>AND(NOT(BD11),AJ11=AJ12,AJ11=AJ13,AK11=AK12,AK11=AK13,AL11=AL12,AL11=AL13)</f>
        <v>0</v>
      </c>
      <c r="BF11" s="114" t="b">
        <f>AND(NOT(BD11),AJ11=AJ12,AJ11=AJ14,AK11=AK12,AK11=AK14,AL11=AL12,AL11=AL14)</f>
        <v>0</v>
      </c>
      <c r="BG11" s="114" t="b">
        <f>AND(NOT(BD11),AJ11=AJ13,AJ11=AJ14,AK11=AK13,AK11=AK14,AL11=AL13,AL11=AL14)</f>
        <v>0</v>
      </c>
      <c r="BH11" s="114" t="b">
        <f>AND(NOT(BD11),AJ12=AJ13,AJ12=AJ14,AK12=AK13,AK12=AK14,AL12=AL13,AL12=AL14)</f>
        <v>0</v>
      </c>
      <c r="BI11" s="114" t="b">
        <f>AND(NOT(BD11),NOT(BE11),NOT(BF11),AJ11=AJ12,AK11=AK12,AL11=AL12)</f>
        <v>0</v>
      </c>
      <c r="BJ11" s="114" t="b">
        <f>AND(NOT(BD11),NOT(BE11),NOT(BG11),AJ11=AJ13,AK11=AK13,AL11=AL13)</f>
        <v>0</v>
      </c>
      <c r="BK11" s="114" t="b">
        <f>AND(NOT(BD11),NOT(BF11),NOT(BG11),AJ11=AJ14,AK11=AK14,AL11=AL14)</f>
        <v>0</v>
      </c>
      <c r="BL11" s="114" t="b">
        <f>AND(NOT(BD11),NOT(BE11),NOT(BH11),AJ12=AJ13,AK12=AK13)</f>
        <v>0</v>
      </c>
      <c r="BM11" s="114" t="b">
        <f>AND(NOT(BD11),NOT(BF11),NOT(BH11),AJ12=AJ14,AK12=AK14,AL12=AL14)</f>
        <v>0</v>
      </c>
      <c r="BN11" s="114" t="b">
        <f>AND(NOT(BD11),NOT(BG11),NOT(BH11),AJ13=AJ14,AK13=AK14,AL13=AL14)</f>
        <v>0</v>
      </c>
      <c r="BO11" s="114" t="b">
        <f t="array" ref="BO11">AND(NOT(BD11:BN11))</f>
        <v>1</v>
      </c>
      <c r="BP11" s="110" t="s">
        <v>72</v>
      </c>
      <c r="BQ11" s="87">
        <f>IF($BI11,IF(H8-G8&lt;0,-0.5,IF(G8-H8&lt;0,0.5,0)),IF($BE11,IF($AV11&gt;$AV12,-0.5,IF($AV11&lt;$AV12,0.5,0)),IF($BF11,IF($AW11&gt;$AW12,-0.5, IF($AW11&lt;$AW12,0.5,0)),0)))</f>
        <v>0</v>
      </c>
      <c r="BR11" s="87">
        <f>IF($BJ11,IF(H10-G10&lt;0,-0.5,IF(G10-H10&lt;0,0.5,0)),IF($BE11,IF($AV11&gt;$AV13,-0.5,IF($AV11&lt;$AV13,0.5,0)),IF($BG11,IF($AX11&gt;$AX13,-0.5,IF($AX11&lt;$AX13,0.5,0)),0)))</f>
        <v>0</v>
      </c>
      <c r="BS11" s="111">
        <f>IF($BK11,IF(G12-H12&lt;0,-0.5,IF(H12-G12&lt;0,0.5,0)),IF($BF11,IF($AW11&gt;$AW14,-0.5,IF($AW11&lt;$AW14,0.5,0)),IF($BG11,IF($AX11&gt;$AX14,-0.5, IF($AX11&lt;$AX14,0.5,0)),0)))</f>
        <v>0</v>
      </c>
    </row>
    <row r="12" spans="2:71" ht="14.25" customHeight="1" x14ac:dyDescent="0.2">
      <c r="B12" s="162"/>
      <c r="C12" s="12">
        <v>43276</v>
      </c>
      <c r="D12" s="13">
        <v>0.66666666666666663</v>
      </c>
      <c r="E12" s="64" t="s">
        <v>38</v>
      </c>
      <c r="F12" s="64" t="s">
        <v>35</v>
      </c>
      <c r="G12" s="10">
        <v>1</v>
      </c>
      <c r="H12" s="10">
        <v>1</v>
      </c>
      <c r="I12" s="60"/>
      <c r="J12" s="18">
        <f>AE14</f>
        <v>4</v>
      </c>
      <c r="K12" s="1" t="str">
        <f>INDEX(AI11:AI14,MATCH(AG14,$AH11:$AH14,0))</f>
        <v>Arabie Saoudite</v>
      </c>
      <c r="L12" s="19">
        <f>INDEX(AJ11:AJ14,MATCH(AG14,$AH11:$AH14,0))</f>
        <v>0</v>
      </c>
      <c r="M12" s="19">
        <f>INDEX(AK11:AK14,MATCH(AG14,$AH11:$AH14,0))</f>
        <v>1</v>
      </c>
      <c r="N12" s="19">
        <f>INDEX(AL11:AL14,MATCH(AG14,$AH11:$AH14,0))</f>
        <v>8</v>
      </c>
      <c r="O12" s="19">
        <f>INDEX(AM11:AM14,MATCH(AG14,$AH11:$AH14,0))</f>
        <v>-7</v>
      </c>
      <c r="P12" s="60"/>
      <c r="Q12" s="60"/>
      <c r="R12" s="60"/>
      <c r="S12" s="60"/>
      <c r="T12" s="96"/>
      <c r="U12" s="96"/>
      <c r="V12" s="96"/>
      <c r="W12" s="96"/>
      <c r="X12" s="96"/>
      <c r="Y12" s="96"/>
      <c r="Z12" s="100"/>
      <c r="AA12" s="100"/>
      <c r="AE12" s="105">
        <f>IF(ROUND(AG12,0)=ROUND(AG11,0),AE11,2)</f>
        <v>2</v>
      </c>
      <c r="AF12" s="106">
        <f>ROUND(AG12,0)</f>
        <v>2</v>
      </c>
      <c r="AG12" s="107">
        <f>MAX(MIN(AH11:AH13),MIN(AH11,AH12,AH14),MIN(AH11,AH13,AH14),MIN(AH12:AH14))</f>
        <v>1.9500000000000002</v>
      </c>
      <c r="AH12" s="115">
        <f>SUM(AZ12:BC12)+2.46</f>
        <v>3.96</v>
      </c>
      <c r="AI12" s="109" t="str">
        <f>F8</f>
        <v>Arabie Saoudite</v>
      </c>
      <c r="AJ12" s="87">
        <f>SUM(AN12:AQ12)</f>
        <v>0</v>
      </c>
      <c r="AK12" s="110">
        <f>H8+H11+G13</f>
        <v>1</v>
      </c>
      <c r="AL12" s="87">
        <f>G8+G11+H13</f>
        <v>8</v>
      </c>
      <c r="AM12" s="111">
        <f>AK12-AL12</f>
        <v>-7</v>
      </c>
      <c r="AN12" s="87">
        <f>IF(ISBLANK(H8),0,IF(AO11=3,0,IF(AO11=1,1,3)))</f>
        <v>0</v>
      </c>
      <c r="AO12" s="87" t="s">
        <v>72</v>
      </c>
      <c r="AP12" s="87">
        <f>IF(ISBLANK(G13),0,IF(AO13=3,0,IF(AO13=1,1,3)))</f>
        <v>0</v>
      </c>
      <c r="AQ12" s="87">
        <f>IF(ISBLANK(H11),0,IF(H11&gt;G11,3,IF(H11=G11,1,0)))</f>
        <v>0</v>
      </c>
      <c r="AR12" s="110" t="b">
        <f>(10*(AM11-AM12)+AK11-AK12&lt;0)</f>
        <v>0</v>
      </c>
      <c r="AS12" s="87" t="s">
        <v>72</v>
      </c>
      <c r="AT12" s="87" t="b">
        <f>10*(AM12-AM13)+AK12-AK13&gt;0</f>
        <v>0</v>
      </c>
      <c r="AU12" s="111" t="b">
        <f>10*(AM12-AM14)+AK12-AK14&gt;0</f>
        <v>0</v>
      </c>
      <c r="AV12" s="110">
        <f>10000*(AN12+AP12)+(H8-G8+G13-H13)*100+(H8+G13)</f>
        <v>-399</v>
      </c>
      <c r="AW12" s="87">
        <f>10000*(AN12+AQ12)+(H8-G8+H11-G11)*100+(H8+H11)</f>
        <v>-600</v>
      </c>
      <c r="AX12" s="87" t="s">
        <v>72</v>
      </c>
      <c r="AY12" s="111">
        <f>10000*(AP12+AQ12)+(H11-G11+G13-H13)*100+(H11+G13)</f>
        <v>-399</v>
      </c>
      <c r="AZ12" s="116">
        <f>-BA11</f>
        <v>0.5</v>
      </c>
      <c r="BA12" s="87" t="s">
        <v>72</v>
      </c>
      <c r="BB12" s="112">
        <f>IF($AJ12&gt;$AJ13,-0.5,IF($AJ13&gt;$AJ12,0.5,IF(AT12,-0.5,IF(AS13,0.5,BR12))))</f>
        <v>0.5</v>
      </c>
      <c r="BC12" s="113">
        <f>IF($AJ12&gt;$AJ14,-0.5,IF($AJ14&gt;$AJ12,0.5,IF(AU12,-0.5,IF(AS14,0.5,BS12))))</f>
        <v>0.5</v>
      </c>
      <c r="BD12" s="85"/>
      <c r="BE12" s="85"/>
      <c r="BF12" s="85"/>
      <c r="BG12" s="85"/>
      <c r="BH12" s="85"/>
      <c r="BI12" s="85"/>
      <c r="BJ12" s="85"/>
      <c r="BK12" s="85"/>
      <c r="BL12" s="85"/>
      <c r="BM12" s="85"/>
      <c r="BN12" s="85"/>
      <c r="BO12" s="85"/>
      <c r="BP12" s="110"/>
      <c r="BQ12" s="87" t="s">
        <v>72</v>
      </c>
      <c r="BR12" s="87">
        <f>IF($BL11,IF(H13-G13&lt;0,-0.5,IF(G13-H13&lt;0,0.5,0)),IF($BE11,IF($AV12&gt;$AV13,-0.5,IF($AV12&lt;$AV13,0.5,0)),IF($BH11,IF($AY12&gt;$AY13,-0.5,IF($AY12&lt;$AY13,0.5,0)),0)))</f>
        <v>0</v>
      </c>
      <c r="BS12" s="111">
        <f>IF($BM11,IF(G11-H11&lt;0,-0.5,IF(H11-G11&lt;0,0.5,0)),IF($BF11,IF($AW12&gt;$AW14,-0.5,IF($AW12&lt;$AW14,0.5,0)),IF($BH11,IF($AY12&gt;$AY14,-0.5,IF($AY12&lt;$AY14,0.5,0)),0)))</f>
        <v>0</v>
      </c>
    </row>
    <row r="13" spans="2:71" ht="14.25" customHeight="1" x14ac:dyDescent="0.2">
      <c r="B13" s="162"/>
      <c r="C13" s="14">
        <v>43276</v>
      </c>
      <c r="D13" s="15">
        <v>0.66666666666666663</v>
      </c>
      <c r="E13" s="17" t="s">
        <v>36</v>
      </c>
      <c r="F13" s="17" t="s">
        <v>37</v>
      </c>
      <c r="G13" s="10">
        <v>1</v>
      </c>
      <c r="H13" s="10">
        <v>2</v>
      </c>
      <c r="I13" s="60"/>
      <c r="J13" s="20"/>
      <c r="K13" s="32" t="str">
        <f>IF(OR(J11&lt;3,J10&lt;2),"TIRAGE AU SORT !!!"," ")</f>
        <v xml:space="preserve"> </v>
      </c>
      <c r="L13" s="21"/>
      <c r="M13" s="21"/>
      <c r="N13" s="21"/>
      <c r="O13" s="21"/>
      <c r="P13" s="60"/>
      <c r="Q13" s="60"/>
      <c r="R13" s="60"/>
      <c r="S13" s="60"/>
      <c r="T13" s="96"/>
      <c r="U13" s="96"/>
      <c r="V13" s="96"/>
      <c r="W13" s="96"/>
      <c r="X13" s="96"/>
      <c r="Y13" s="96"/>
      <c r="Z13" s="100"/>
      <c r="AA13" s="100"/>
      <c r="AE13" s="105">
        <f>IF(ROUND(AG13,0)=ROUND(AG12,0),AE12,3)</f>
        <v>3</v>
      </c>
      <c r="AF13" s="106">
        <f>ROUND(AG13,0)</f>
        <v>3</v>
      </c>
      <c r="AG13" s="107">
        <f>MIN(MAX(AH11:AH13),MAX(AH11,AH12,AH14),MAX(AH11,AH13,AH14),MAX(AH12:AH14))</f>
        <v>2.97</v>
      </c>
      <c r="AH13" s="115">
        <f>SUM(AZ13:BC13)+2.47</f>
        <v>2.97</v>
      </c>
      <c r="AI13" s="109" t="str">
        <f>E9</f>
        <v>Egypte</v>
      </c>
      <c r="AJ13" s="87">
        <f>SUM(AN13:AQ13)</f>
        <v>3</v>
      </c>
      <c r="AK13" s="110">
        <f>G9+H10+H13</f>
        <v>4</v>
      </c>
      <c r="AL13" s="87">
        <f>H9+G10+G13</f>
        <v>6</v>
      </c>
      <c r="AM13" s="111">
        <f>AK13-AL13</f>
        <v>-2</v>
      </c>
      <c r="AN13" s="87">
        <f>IF(ISBLANK(H10),0,IF(AP11=3,0,IF(AP11=1,1,3)))</f>
        <v>0</v>
      </c>
      <c r="AO13" s="87">
        <f>IF(ISBLANK(H13),0,IF(H13&gt;G13,3,IF(H13=G13,1,0)))</f>
        <v>3</v>
      </c>
      <c r="AP13" s="87" t="s">
        <v>72</v>
      </c>
      <c r="AQ13" s="87">
        <f>IF(ISBLANK(G9),0,IF(G9&gt;H9,3,IF(G9=H9,1,0)))</f>
        <v>0</v>
      </c>
      <c r="AR13" s="110" t="b">
        <f>10*(AM11-AM13)+AK11-AK13&lt;0</f>
        <v>0</v>
      </c>
      <c r="AS13" s="87" t="b">
        <f>10*(AM12-AM13)+AK12-AK13&lt;0</f>
        <v>1</v>
      </c>
      <c r="AT13" s="87" t="s">
        <v>72</v>
      </c>
      <c r="AU13" s="111" t="b">
        <f>10*(AM13-AM14)+AK13-AK14&gt;0</f>
        <v>0</v>
      </c>
      <c r="AV13" s="110">
        <f>10000*(AN13+AO13)+(H10-G10+H13-G13)*100+(H10+H13)</f>
        <v>30003</v>
      </c>
      <c r="AW13" s="87" t="s">
        <v>72</v>
      </c>
      <c r="AX13" s="87">
        <f>10000*(AN13+AQ13)+(G9-H9+H10-G10)*100+(G9+H10)</f>
        <v>-298</v>
      </c>
      <c r="AY13" s="111">
        <f>10000*(AO13+AQ13)+(G9-H9+H13-G13)*100+(G9+H13)</f>
        <v>29903</v>
      </c>
      <c r="AZ13" s="116">
        <f>-BB11</f>
        <v>0.5</v>
      </c>
      <c r="BA13" s="112">
        <f>-BB12</f>
        <v>-0.5</v>
      </c>
      <c r="BB13" s="112" t="s">
        <v>72</v>
      </c>
      <c r="BC13" s="113">
        <f>IF($AJ13&gt;$AJ14,-0.5,IF($AJ14&gt;$AJ13,0.5,IF(AU13,-0.5,IF(AT14,0.5,BS13))))</f>
        <v>0.5</v>
      </c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110"/>
      <c r="BQ13" s="87"/>
      <c r="BR13" s="87" t="s">
        <v>72</v>
      </c>
      <c r="BS13" s="111">
        <f>IF($BN11,IF(H9-G9&lt;0,-0.5,IF(G9-H9&lt;0,0.5,0)),IF($BG11,IF($AX13&gt;$AX14,-0.5,IF($AX13&lt;$AX14,0.5,0)),IF($BH11,IF($AY13&gt;$AY14,-0.5,IF($AY13&lt;$AY14,0.5,0)),0)))</f>
        <v>0</v>
      </c>
    </row>
    <row r="14" spans="2:71" ht="14.25" customHeight="1" x14ac:dyDescent="0.2">
      <c r="B14" s="163" t="s">
        <v>106</v>
      </c>
      <c r="C14" s="12">
        <v>43266</v>
      </c>
      <c r="D14" s="13">
        <v>0.70833333333333337</v>
      </c>
      <c r="E14" s="66" t="s">
        <v>73</v>
      </c>
      <c r="F14" s="67" t="s">
        <v>74</v>
      </c>
      <c r="G14" s="2">
        <v>2</v>
      </c>
      <c r="H14" s="2">
        <v>2</v>
      </c>
      <c r="I14" s="60"/>
      <c r="J14" s="61"/>
      <c r="K14" s="62" t="s">
        <v>0</v>
      </c>
      <c r="L14" s="62" t="s">
        <v>1</v>
      </c>
      <c r="M14" s="62" t="s">
        <v>2</v>
      </c>
      <c r="N14" s="62" t="s">
        <v>3</v>
      </c>
      <c r="O14" s="62" t="str">
        <f>"+/-"</f>
        <v>+/-</v>
      </c>
      <c r="P14" s="60"/>
      <c r="Q14" s="60"/>
      <c r="R14" s="60"/>
      <c r="S14" s="60"/>
      <c r="T14" s="96"/>
      <c r="U14" s="96"/>
      <c r="V14" s="96"/>
      <c r="W14" s="96"/>
      <c r="X14" s="96"/>
      <c r="Y14" s="96"/>
      <c r="Z14" s="100"/>
      <c r="AA14" s="100"/>
      <c r="AE14" s="105">
        <f>IF(ROUND(AG14,0)=ROUND(AG13,0),AE13,4)</f>
        <v>4</v>
      </c>
      <c r="AF14" s="106">
        <f>ROUND(AG14,0)</f>
        <v>4</v>
      </c>
      <c r="AG14" s="107">
        <f>MAX(AH11:AH14)</f>
        <v>3.96</v>
      </c>
      <c r="AH14" s="117">
        <f>SUM(AZ14:BC14)+2.48</f>
        <v>0.98</v>
      </c>
      <c r="AI14" s="118" t="str">
        <f>F9</f>
        <v>Uruguay</v>
      </c>
      <c r="AJ14" s="114">
        <f>SUM(AN14:AQ14)</f>
        <v>7</v>
      </c>
      <c r="AK14" s="119">
        <f>H9+G11+G12</f>
        <v>7</v>
      </c>
      <c r="AL14" s="114">
        <f>G9+H11+H12</f>
        <v>2</v>
      </c>
      <c r="AM14" s="120">
        <f>AK14-AL14</f>
        <v>5</v>
      </c>
      <c r="AN14" s="114">
        <f>IF(ISBLANK(G12),0,IF(AQ11=3,0,IF(AQ11=1,1,3)))</f>
        <v>1</v>
      </c>
      <c r="AO14" s="114">
        <f>IF(ISBLANK(G11),0,IF(AQ12=3,0,IF(AQ12=1,1,3)))</f>
        <v>3</v>
      </c>
      <c r="AP14" s="114">
        <f>IF(ISBLANK(H9),0,IF(AQ13=3,0,IF(AQ13=1,1,3)))</f>
        <v>3</v>
      </c>
      <c r="AQ14" s="114" t="s">
        <v>72</v>
      </c>
      <c r="AR14" s="119" t="b">
        <f>10*(AM11-AM14)+AK11-AK14&lt;0</f>
        <v>1</v>
      </c>
      <c r="AS14" s="114" t="b">
        <f>10*(AM12-AM14)+AK12-AK14&lt;0</f>
        <v>1</v>
      </c>
      <c r="AT14" s="114" t="b">
        <f>10*(AM13-AM14)+AK13-AK14&lt;0</f>
        <v>1</v>
      </c>
      <c r="AU14" s="120" t="s">
        <v>72</v>
      </c>
      <c r="AV14" s="119" t="s">
        <v>72</v>
      </c>
      <c r="AW14" s="114">
        <f>10000*(AN14+AO14)+(G12-H12+G11-H11)*100+(G12+G11)</f>
        <v>40304</v>
      </c>
      <c r="AX14" s="114">
        <f>10000*(AN14+AP14)+(H9-G9+G12-H12)*100+(H9+G12)</f>
        <v>40204</v>
      </c>
      <c r="AY14" s="120">
        <f>10000*(AO14+AP14)+(G11-H11+H9-G9)*100+(G11+H9)</f>
        <v>60506</v>
      </c>
      <c r="AZ14" s="121">
        <f>-BC11</f>
        <v>-0.5</v>
      </c>
      <c r="BA14" s="122">
        <f>-BC12</f>
        <v>-0.5</v>
      </c>
      <c r="BB14" s="122">
        <f>-BC13</f>
        <v>-0.5</v>
      </c>
      <c r="BC14" s="120" t="s">
        <v>72</v>
      </c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119"/>
      <c r="BQ14" s="114"/>
      <c r="BR14" s="114"/>
      <c r="BS14" s="120" t="s">
        <v>72</v>
      </c>
    </row>
    <row r="15" spans="2:71" ht="14.25" customHeight="1" x14ac:dyDescent="0.2">
      <c r="B15" s="163"/>
      <c r="C15" s="14">
        <v>43266</v>
      </c>
      <c r="D15" s="15">
        <v>0.83333333333333337</v>
      </c>
      <c r="E15" s="30" t="s">
        <v>75</v>
      </c>
      <c r="F15" s="30" t="s">
        <v>76</v>
      </c>
      <c r="G15" s="2">
        <v>1</v>
      </c>
      <c r="H15" s="2">
        <v>1</v>
      </c>
      <c r="I15" s="60"/>
      <c r="J15" s="29">
        <f>AE19</f>
        <v>1</v>
      </c>
      <c r="K15" s="22" t="str">
        <f>INDEX(AI19:AI22,MATCH(AG19,$AH19:$AH22,0))</f>
        <v>Portugal</v>
      </c>
      <c r="L15" s="30">
        <f>INDEX(AJ19:AJ22,MATCH(AG19,$AH19:$AH22,0))</f>
        <v>7</v>
      </c>
      <c r="M15" s="30">
        <f>INDEX(AK19:AK22,MATCH(AG19,$AH19:$AH22,0))</f>
        <v>7</v>
      </c>
      <c r="N15" s="30">
        <f>INDEX(AL19:AL22,MATCH(AG19,$AH19:$AH22,0))</f>
        <v>3</v>
      </c>
      <c r="O15" s="30">
        <f>INDEX(AM19:AM22,MATCH(AG19,$AH19:$AH22,0))</f>
        <v>4</v>
      </c>
      <c r="P15" s="60"/>
      <c r="Q15" s="60"/>
      <c r="R15" s="60"/>
      <c r="S15" s="60"/>
      <c r="T15" s="96"/>
      <c r="U15" s="96"/>
      <c r="V15" s="96"/>
      <c r="W15" s="96"/>
      <c r="X15" s="96"/>
      <c r="Y15" s="96"/>
      <c r="Z15" s="100"/>
      <c r="AA15" s="100"/>
      <c r="AF15" s="107"/>
      <c r="AG15" s="107"/>
      <c r="AH15" s="107"/>
      <c r="AI15" s="85"/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5"/>
      <c r="BD15" s="85"/>
      <c r="BE15" s="85"/>
      <c r="BF15" s="85"/>
      <c r="BG15" s="85"/>
      <c r="BH15" s="85"/>
      <c r="BI15" s="85"/>
      <c r="BJ15" s="85"/>
      <c r="BK15" s="85"/>
      <c r="BL15" s="85"/>
      <c r="BM15" s="85"/>
      <c r="BN15" s="85"/>
      <c r="BO15" s="85"/>
    </row>
    <row r="16" spans="2:71" ht="14.25" customHeight="1" x14ac:dyDescent="0.2">
      <c r="B16" s="163"/>
      <c r="C16" s="12">
        <v>43271</v>
      </c>
      <c r="D16" s="13">
        <v>0.58333333333333337</v>
      </c>
      <c r="E16" s="67" t="s">
        <v>73</v>
      </c>
      <c r="F16" s="67" t="s">
        <v>75</v>
      </c>
      <c r="G16" s="2">
        <v>1</v>
      </c>
      <c r="H16" s="2">
        <v>3</v>
      </c>
      <c r="I16" s="60"/>
      <c r="J16" s="29">
        <f>AE20</f>
        <v>2</v>
      </c>
      <c r="K16" s="22" t="str">
        <f>INDEX(AI19:AI22,MATCH(AG20,$AH19:$AH22,0))</f>
        <v>Espagne</v>
      </c>
      <c r="L16" s="30">
        <f>INDEX(AJ19:AJ22,MATCH(AG20,$AH19:$AH22,0))</f>
        <v>7</v>
      </c>
      <c r="M16" s="30">
        <f>INDEX(AK19:AK22,MATCH(AG20,$AH19:$AH22,0))</f>
        <v>5</v>
      </c>
      <c r="N16" s="30">
        <f>INDEX(AL19:AL22,MATCH(AG20,$AH19:$AH22,0))</f>
        <v>1</v>
      </c>
      <c r="O16" s="30">
        <f>INDEX(AM19:AM22,MATCH(AG20,$AH19:$AH22,0))</f>
        <v>4</v>
      </c>
      <c r="P16" s="60"/>
      <c r="Q16" s="60"/>
      <c r="R16" s="60"/>
      <c r="S16" s="60"/>
      <c r="T16" s="96"/>
      <c r="U16" s="96"/>
      <c r="V16" s="96"/>
      <c r="W16" s="96"/>
      <c r="X16" s="96"/>
      <c r="Y16" s="96"/>
      <c r="Z16" s="100"/>
      <c r="AA16" s="100"/>
      <c r="AB16" s="123"/>
      <c r="AC16" s="123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</row>
    <row r="17" spans="2:71" ht="14.25" customHeight="1" x14ac:dyDescent="0.2">
      <c r="B17" s="163"/>
      <c r="C17" s="14">
        <v>43271</v>
      </c>
      <c r="D17" s="15">
        <v>0.83333333333333337</v>
      </c>
      <c r="E17" s="30" t="s">
        <v>76</v>
      </c>
      <c r="F17" s="30" t="s">
        <v>74</v>
      </c>
      <c r="G17" s="2">
        <v>2</v>
      </c>
      <c r="H17" s="2">
        <v>0</v>
      </c>
      <c r="I17" s="60"/>
      <c r="J17" s="18">
        <f>AE21</f>
        <v>3</v>
      </c>
      <c r="K17" s="1" t="str">
        <f>INDEX(AI19:AI22,MATCH(AG21,$AH19:$AH22,0))</f>
        <v>Maroc</v>
      </c>
      <c r="L17" s="19">
        <f>INDEX(AJ19:AJ22,MATCH(AG21,$AH19:$AH22,0))</f>
        <v>1</v>
      </c>
      <c r="M17" s="19">
        <f>INDEX(AK19:AK22,MATCH(AG21,$AH19:$AH22,0))</f>
        <v>3</v>
      </c>
      <c r="N17" s="19">
        <f>INDEX(AL19:AL22,MATCH(AG21,$AH19:$AH22,0))</f>
        <v>7</v>
      </c>
      <c r="O17" s="19">
        <f>INDEX(AM19:AM22,MATCH(AG21,$AH19:$AH22,0))</f>
        <v>-4</v>
      </c>
      <c r="P17" s="60"/>
      <c r="Q17" s="60"/>
      <c r="R17" s="60"/>
      <c r="S17" s="60"/>
      <c r="T17" s="96"/>
      <c r="U17" s="96"/>
      <c r="V17" s="96"/>
      <c r="W17" s="96"/>
      <c r="X17" s="96"/>
      <c r="Y17" s="96"/>
      <c r="Z17" s="100"/>
      <c r="AA17" s="100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</row>
    <row r="18" spans="2:71" ht="14.25" customHeight="1" x14ac:dyDescent="0.2">
      <c r="B18" s="163"/>
      <c r="C18" s="12">
        <v>43276</v>
      </c>
      <c r="D18" s="13">
        <v>0.83333333333333337</v>
      </c>
      <c r="E18" s="67" t="s">
        <v>76</v>
      </c>
      <c r="F18" s="67" t="s">
        <v>73</v>
      </c>
      <c r="G18" s="2">
        <v>2</v>
      </c>
      <c r="H18" s="2">
        <v>0</v>
      </c>
      <c r="I18" s="60"/>
      <c r="J18" s="18">
        <f>AE22</f>
        <v>3</v>
      </c>
      <c r="K18" s="1" t="str">
        <f>INDEX(AI19:AI22,MATCH(AG22,$AH19:$AH22,0))</f>
        <v>Iran</v>
      </c>
      <c r="L18" s="19">
        <f>INDEX(AJ19:AJ22,MATCH(AG22,$AH19:$AH22,0))</f>
        <v>1</v>
      </c>
      <c r="M18" s="19">
        <f>INDEX(AK19:AK22,MATCH(AG22,$AH19:$AH22,0))</f>
        <v>3</v>
      </c>
      <c r="N18" s="19">
        <f>INDEX(AL19:AL22,MATCH(AG22,$AH19:$AH22,0))</f>
        <v>7</v>
      </c>
      <c r="O18" s="19">
        <f>INDEX(AM19:AM22,MATCH(AG22,$AH19:$AH22,0))</f>
        <v>-4</v>
      </c>
      <c r="P18" s="60"/>
      <c r="Q18" s="60"/>
      <c r="R18" s="60"/>
      <c r="S18" s="60"/>
      <c r="T18" s="96"/>
      <c r="U18" s="96"/>
      <c r="V18" s="96"/>
      <c r="W18" s="96"/>
      <c r="X18" s="96"/>
      <c r="Y18" s="96"/>
      <c r="Z18" s="100"/>
      <c r="AA18" s="100"/>
      <c r="AH18" s="101" t="s">
        <v>39</v>
      </c>
      <c r="AI18" s="102" t="s">
        <v>40</v>
      </c>
      <c r="AJ18" s="103" t="s">
        <v>1</v>
      </c>
      <c r="AK18" s="101" t="s">
        <v>41</v>
      </c>
      <c r="AL18" s="103" t="s">
        <v>42</v>
      </c>
      <c r="AM18" s="104" t="s">
        <v>43</v>
      </c>
      <c r="AN18" s="103" t="s">
        <v>44</v>
      </c>
      <c r="AO18" s="103" t="s">
        <v>45</v>
      </c>
      <c r="AP18" s="103" t="s">
        <v>46</v>
      </c>
      <c r="AQ18" s="103" t="s">
        <v>47</v>
      </c>
      <c r="AR18" s="101" t="s">
        <v>48</v>
      </c>
      <c r="AS18" s="103" t="s">
        <v>49</v>
      </c>
      <c r="AT18" s="103" t="s">
        <v>50</v>
      </c>
      <c r="AU18" s="104" t="s">
        <v>51</v>
      </c>
      <c r="AV18" s="101" t="s">
        <v>52</v>
      </c>
      <c r="AW18" s="103" t="s">
        <v>53</v>
      </c>
      <c r="AX18" s="103" t="s">
        <v>54</v>
      </c>
      <c r="AY18" s="104" t="s">
        <v>55</v>
      </c>
      <c r="AZ18" s="101" t="s">
        <v>56</v>
      </c>
      <c r="BA18" s="103" t="s">
        <v>57</v>
      </c>
      <c r="BB18" s="103" t="s">
        <v>58</v>
      </c>
      <c r="BC18" s="104" t="s">
        <v>59</v>
      </c>
      <c r="BD18" s="101" t="s">
        <v>60</v>
      </c>
      <c r="BE18" s="103" t="s">
        <v>52</v>
      </c>
      <c r="BF18" s="103" t="s">
        <v>53</v>
      </c>
      <c r="BG18" s="103" t="s">
        <v>54</v>
      </c>
      <c r="BH18" s="103" t="s">
        <v>55</v>
      </c>
      <c r="BI18" s="103" t="s">
        <v>61</v>
      </c>
      <c r="BJ18" s="103" t="s">
        <v>62</v>
      </c>
      <c r="BK18" s="103" t="s">
        <v>63</v>
      </c>
      <c r="BL18" s="103" t="s">
        <v>64</v>
      </c>
      <c r="BM18" s="103" t="s">
        <v>65</v>
      </c>
      <c r="BN18" s="103" t="s">
        <v>66</v>
      </c>
      <c r="BO18" s="104" t="s">
        <v>67</v>
      </c>
      <c r="BP18" s="101" t="s">
        <v>68</v>
      </c>
      <c r="BQ18" s="103" t="s">
        <v>69</v>
      </c>
      <c r="BR18" s="103" t="s">
        <v>70</v>
      </c>
      <c r="BS18" s="104" t="s">
        <v>71</v>
      </c>
    </row>
    <row r="19" spans="2:71" ht="14.25" customHeight="1" x14ac:dyDescent="0.2">
      <c r="B19" s="163"/>
      <c r="C19" s="14">
        <v>43276</v>
      </c>
      <c r="D19" s="15">
        <v>0.83333333333333337</v>
      </c>
      <c r="E19" s="30" t="s">
        <v>74</v>
      </c>
      <c r="F19" s="30" t="s">
        <v>75</v>
      </c>
      <c r="G19" s="2">
        <v>1</v>
      </c>
      <c r="H19" s="2">
        <v>3</v>
      </c>
      <c r="I19" s="60"/>
      <c r="J19" s="31"/>
      <c r="K19" s="32" t="str">
        <f>IF(OR(J17&lt;3,J16&lt;2),"TIRAGE AU SORT !!!"," ")</f>
        <v xml:space="preserve"> </v>
      </c>
      <c r="L19" s="33"/>
      <c r="M19" s="33"/>
      <c r="N19" s="33"/>
      <c r="O19" s="33"/>
      <c r="P19" s="60"/>
      <c r="Q19" s="60"/>
      <c r="R19" s="60"/>
      <c r="S19" s="60"/>
      <c r="T19" s="96"/>
      <c r="U19" s="96"/>
      <c r="V19" s="96"/>
      <c r="W19" s="96"/>
      <c r="X19" s="96"/>
      <c r="Y19" s="96"/>
      <c r="Z19" s="100"/>
      <c r="AA19" s="100"/>
      <c r="AE19" s="105">
        <v>1</v>
      </c>
      <c r="AF19" s="106">
        <f>ROUND(AG19,0)</f>
        <v>1</v>
      </c>
      <c r="AG19" s="107">
        <f>MIN(AH19:AH22)</f>
        <v>0.9700000000000002</v>
      </c>
      <c r="AH19" s="108">
        <f>SUM(AZ19:BC19)+2.45</f>
        <v>3.45</v>
      </c>
      <c r="AI19" s="109" t="str">
        <f>E14</f>
        <v>Maroc</v>
      </c>
      <c r="AJ19" s="87">
        <f>SUM(AN19:AQ19)</f>
        <v>1</v>
      </c>
      <c r="AK19" s="110">
        <f>G14+G16+H18</f>
        <v>3</v>
      </c>
      <c r="AL19" s="87">
        <f>H14+H16+G18</f>
        <v>7</v>
      </c>
      <c r="AM19" s="111">
        <f>AK19-AL19</f>
        <v>-4</v>
      </c>
      <c r="AN19" s="87" t="s">
        <v>72</v>
      </c>
      <c r="AO19" s="87">
        <f>IF(ISBLANK(G14),0,IF(G14&gt;H14,3,IF(G14=H14,1,0)))</f>
        <v>1</v>
      </c>
      <c r="AP19" s="87">
        <f>IF(ISBLANK(G16),0,IF(G16&gt;H16,3,IF(G16=H16,1,0)))</f>
        <v>0</v>
      </c>
      <c r="AQ19" s="87">
        <f>IF(ISBLANK(H18),0,IF(H18&gt;G18,3,IF(H18=G18,1,0)))</f>
        <v>0</v>
      </c>
      <c r="AR19" s="110" t="s">
        <v>72</v>
      </c>
      <c r="AS19" s="87" t="b">
        <f>(10*(AM19-AM20)+AK19-AK20&gt;0)</f>
        <v>0</v>
      </c>
      <c r="AT19" s="87" t="b">
        <f>10*(AM19-AM21)+AK19-AK21&gt;0</f>
        <v>0</v>
      </c>
      <c r="AU19" s="111" t="b">
        <f>10*(AM19-AM22)+AK19-AK22&gt;0</f>
        <v>0</v>
      </c>
      <c r="AV19" s="110">
        <f>10000*(AO19+AP19)+(G16-H16+G14-H14)*100+(G16+G14)</f>
        <v>9803</v>
      </c>
      <c r="AW19" s="87">
        <f>10000*(AO19+AQ19)+(G14-H14+H18-G18)*100+(G14+H18)</f>
        <v>9802</v>
      </c>
      <c r="AX19" s="87">
        <f>10000*(AP19+AQ19)+(H18-G18+G16-H16)*100+(H18+G16)</f>
        <v>-399</v>
      </c>
      <c r="AY19" s="111" t="s">
        <v>72</v>
      </c>
      <c r="AZ19" s="110" t="s">
        <v>72</v>
      </c>
      <c r="BA19" s="112">
        <f>IF($AJ19&gt;$AJ20,-0.5,IF($AJ20&gt;$AJ19,0.5,IF(AS19,-0.5,IF(AR20,0.5,BQ19))))</f>
        <v>0</v>
      </c>
      <c r="BB19" s="112">
        <f>IF($AJ19&gt;$AJ21,-0.5,IF($AJ21&gt;$AJ19,0.5,IF(AT19,-0.5,IF(AR21,0.5,BR19))))</f>
        <v>0.5</v>
      </c>
      <c r="BC19" s="113">
        <f>IF($AJ19&gt;$AJ22,-0.5,IF($AJ22&gt;$AJ19,0.5,IF(AU19,-0.5,IF(AR22,0.5,BS19))))</f>
        <v>0.5</v>
      </c>
      <c r="BD19" s="114" t="b">
        <f>AND(AND(AJ19=AJ20,AJ20=AJ21,AJ21=AJ22),AND(AK19=AK20,AK20=AK21,AK21=AK22),AND(AL19=AL20,AL20=AL21,AL21=AL22))</f>
        <v>0</v>
      </c>
      <c r="BE19" s="114" t="b">
        <f>AND(NOT(BD19),AJ19=AJ20,AJ19=AJ21,AK19=AK20,AK19=AK21,AL19=AL20,AL19=AL21)</f>
        <v>0</v>
      </c>
      <c r="BF19" s="114" t="b">
        <f>AND(NOT(BD19),AJ19=AJ20,AJ19=AJ22,AK19=AK20,AK19=AK22,AL19=AL20,AL19=AL22)</f>
        <v>0</v>
      </c>
      <c r="BG19" s="114" t="b">
        <f>AND(NOT(BD19),AJ19=AJ21,AJ19=AJ22,AK19=AK21,AK19=AK22,AL19=AL21,AL19=AL22)</f>
        <v>0</v>
      </c>
      <c r="BH19" s="114" t="b">
        <f>AND(NOT(BD19),AJ20=AJ21,AJ20=AJ22,AK20=AK21,AK20=AK22,AL20=AL21,AL20=AL22)</f>
        <v>0</v>
      </c>
      <c r="BI19" s="114" t="b">
        <f>AND(NOT(BD19),NOT(BE19),NOT(BF19),AJ19=AJ20,AK19=AK20,AL19=AL20)</f>
        <v>1</v>
      </c>
      <c r="BJ19" s="114" t="b">
        <f>AND(NOT(BD19),NOT(BE19),NOT(BG19),AJ19=AJ21,AK19=AK21,AL19=AL21)</f>
        <v>0</v>
      </c>
      <c r="BK19" s="114" t="b">
        <f>AND(NOT(BD19),NOT(BF19),NOT(BG19),AJ19=AJ22,AK19=AK22,AL19=AL22)</f>
        <v>0</v>
      </c>
      <c r="BL19" s="114" t="b">
        <f>AND(NOT(BD19),NOT(BE19),NOT(BH19),AJ20=AJ21,AK20=AK21)</f>
        <v>0</v>
      </c>
      <c r="BM19" s="114" t="b">
        <f>AND(NOT(BD19),NOT(BF19),NOT(BH19),AJ20=AJ22,AK20=AK22,AL20=AL22)</f>
        <v>0</v>
      </c>
      <c r="BN19" s="114" t="b">
        <f>AND(NOT(BD19),NOT(BG19),NOT(BH19),AJ21=AJ22,AK21=AK22,AL21=AL22)</f>
        <v>0</v>
      </c>
      <c r="BO19" s="114" t="b">
        <f t="array" ref="BO19">AND(NOT(BD19:BN19))</f>
        <v>0</v>
      </c>
      <c r="BP19" s="110" t="s">
        <v>72</v>
      </c>
      <c r="BQ19" s="87">
        <f>IF($BI19,IF(H14-G14&lt;0,-0.5,IF(G14-H14&lt;0,0.5,0)),IF($BE19,IF($AV19&gt;$AV20,-0.5,IF($AV19&lt;$AV20,0.5,0)),IF($BF19,IF($AW19&gt;$AW20,-0.5, IF($AW19&lt;$AW20,0.5,0)),0)))</f>
        <v>0</v>
      </c>
      <c r="BR19" s="87">
        <f>IF($BJ19,IF(H16-G16&lt;0,-0.5,IF(G16-H16&lt;0,0.5,0)),IF($BE19,IF($AV19&gt;$AV21,-0.5,IF($AV19&lt;$AV21,0.5,0)),IF($BG19,IF($AX19&gt;$AX21,-0.5,IF($AX19&lt;$AX21,0.5,0)),0)))</f>
        <v>0</v>
      </c>
      <c r="BS19" s="111">
        <f>IF($BK19,IF(G18-H18&lt;0,-0.5,IF(H18-G18&lt;0,0.5,0)),IF($BF19,IF($AW19&gt;$AW22,-0.5,IF($AW19&lt;$AW22,0.5,0)),IF($BG19,IF($AX19&gt;$AX22,-0.5, IF($AX19&lt;$AX22,0.5,0)),0)))</f>
        <v>0</v>
      </c>
    </row>
    <row r="20" spans="2:71" ht="14.25" customHeight="1" x14ac:dyDescent="0.2">
      <c r="B20" s="164" t="s">
        <v>107</v>
      </c>
      <c r="C20" s="12">
        <v>43267</v>
      </c>
      <c r="D20" s="13">
        <v>0.5</v>
      </c>
      <c r="E20" s="68" t="s">
        <v>77</v>
      </c>
      <c r="F20" s="68" t="s">
        <v>78</v>
      </c>
      <c r="G20" s="3">
        <v>2</v>
      </c>
      <c r="H20" s="3">
        <v>1</v>
      </c>
      <c r="I20" s="60"/>
      <c r="J20" s="34"/>
      <c r="K20" s="35" t="s">
        <v>0</v>
      </c>
      <c r="L20" s="35" t="s">
        <v>1</v>
      </c>
      <c r="M20" s="35" t="s">
        <v>2</v>
      </c>
      <c r="N20" s="35" t="s">
        <v>3</v>
      </c>
      <c r="O20" s="35" t="str">
        <f>"+/-"</f>
        <v>+/-</v>
      </c>
      <c r="P20" s="60"/>
      <c r="Q20" s="60"/>
      <c r="R20" s="60"/>
      <c r="S20" s="60"/>
      <c r="T20" s="96"/>
      <c r="U20" s="96"/>
      <c r="V20" s="96"/>
      <c r="W20" s="96"/>
      <c r="X20" s="96"/>
      <c r="Y20" s="96"/>
      <c r="Z20" s="100"/>
      <c r="AA20" s="100"/>
      <c r="AE20" s="105">
        <f>IF(ROUND(AG20,0)=ROUND(AG19,0),AE19,2)</f>
        <v>2</v>
      </c>
      <c r="AF20" s="106">
        <f>ROUND(AG20,0)</f>
        <v>2</v>
      </c>
      <c r="AG20" s="107">
        <f>MAX(MIN(AH19:AH21),MIN(AH19,AH20,AH22),MIN(AH19,AH21,AH22),MIN(AH20:AH22))</f>
        <v>1.98</v>
      </c>
      <c r="AH20" s="115">
        <f>SUM(AZ20:BC20)+2.46</f>
        <v>3.46</v>
      </c>
      <c r="AI20" s="109" t="str">
        <f>F14</f>
        <v>Iran</v>
      </c>
      <c r="AJ20" s="87">
        <f>SUM(AN20:AQ20)</f>
        <v>1</v>
      </c>
      <c r="AK20" s="110">
        <f>H14+H17+G19</f>
        <v>3</v>
      </c>
      <c r="AL20" s="87">
        <f>G14+G17+H19</f>
        <v>7</v>
      </c>
      <c r="AM20" s="111">
        <f>AK20-AL20</f>
        <v>-4</v>
      </c>
      <c r="AN20" s="87">
        <f>IF(ISBLANK(H14),0,IF(AO19=3,0,IF(AO19=1,1,3)))</f>
        <v>1</v>
      </c>
      <c r="AO20" s="87" t="s">
        <v>72</v>
      </c>
      <c r="AP20" s="87">
        <f>IF(ISBLANK(G19),0,IF(AO21=3,0,IF(AO21=1,1,3)))</f>
        <v>0</v>
      </c>
      <c r="AQ20" s="87">
        <f>IF(ISBLANK(H17),0,IF(H17&gt;G17,3,IF(H17=G17,1,0)))</f>
        <v>0</v>
      </c>
      <c r="AR20" s="110" t="b">
        <f>(10*(AM19-AM20)+AK19-AK20&lt;0)</f>
        <v>0</v>
      </c>
      <c r="AS20" s="87" t="s">
        <v>72</v>
      </c>
      <c r="AT20" s="87" t="b">
        <f>10*(AM20-AM21)+AK20-AK21&gt;0</f>
        <v>0</v>
      </c>
      <c r="AU20" s="111" t="b">
        <f>10*(AM20-AM22)+AK20-AK22&gt;0</f>
        <v>0</v>
      </c>
      <c r="AV20" s="110">
        <f>10000*(AN20+AP20)+(H14-G14+G19-H19)*100+(H14+G19)</f>
        <v>9803</v>
      </c>
      <c r="AW20" s="87">
        <f>10000*(AN20+AQ20)+(H14-G14+H17-G17)*100+(H14+H17)</f>
        <v>9802</v>
      </c>
      <c r="AX20" s="87" t="s">
        <v>72</v>
      </c>
      <c r="AY20" s="111">
        <f>10000*(AP20+AQ20)+(H17-G17+G19-H19)*100+(H17+G19)</f>
        <v>-399</v>
      </c>
      <c r="AZ20" s="116">
        <f>-BA19</f>
        <v>0</v>
      </c>
      <c r="BA20" s="87" t="s">
        <v>72</v>
      </c>
      <c r="BB20" s="112">
        <f>IF($AJ20&gt;$AJ21,-0.5,IF($AJ21&gt;$AJ20,0.5,IF(AT20,-0.5,IF(AS21,0.5,BR20))))</f>
        <v>0.5</v>
      </c>
      <c r="BC20" s="113">
        <f>IF($AJ20&gt;$AJ22,-0.5,IF($AJ22&gt;$AJ20,0.5,IF(AU20,-0.5,IF(AS22,0.5,BS20))))</f>
        <v>0.5</v>
      </c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110"/>
      <c r="BQ20" s="87" t="s">
        <v>72</v>
      </c>
      <c r="BR20" s="87">
        <f>IF($BL19,IF(H19-G19&lt;0,-0.5,IF(G19-H19&lt;0,0.5,0)),IF($BE19,IF($AV20&gt;$AV21,-0.5,IF($AV20&lt;$AV21,0.5,0)),IF($BH19,IF($AY20&gt;$AY21,-0.5,IF($AY20&lt;$AY21,0.5,0)),0)))</f>
        <v>0</v>
      </c>
      <c r="BS20" s="111">
        <f>IF($BM19,IF(G17-H17&lt;0,-0.5,IF(H17-G17&lt;0,0.5,0)),IF($BF19,IF($AW20&gt;$AW22,-0.5,IF($AW20&lt;$AW22,0.5,0)),IF($BH19,IF($AY20&gt;$AY22,-0.5,IF($AY20&lt;$AY22,0.5,0)),0)))</f>
        <v>0</v>
      </c>
    </row>
    <row r="21" spans="2:71" ht="14.25" customHeight="1" x14ac:dyDescent="0.2">
      <c r="B21" s="164"/>
      <c r="C21" s="14">
        <v>43267</v>
      </c>
      <c r="D21" s="15">
        <v>0.75</v>
      </c>
      <c r="E21" s="37" t="s">
        <v>79</v>
      </c>
      <c r="F21" s="37" t="s">
        <v>80</v>
      </c>
      <c r="G21" s="3">
        <v>1</v>
      </c>
      <c r="H21" s="3">
        <v>1</v>
      </c>
      <c r="I21" s="60"/>
      <c r="J21" s="36">
        <f>AE27</f>
        <v>1</v>
      </c>
      <c r="K21" s="23" t="str">
        <f>INDEX(AI27:AI35,MATCH(AG27,$AH27:$AH35,0))</f>
        <v>France</v>
      </c>
      <c r="L21" s="37">
        <f>INDEX(AJ27:AJ35,MATCH(AG27,$AH27:$AH35,0))</f>
        <v>9</v>
      </c>
      <c r="M21" s="37">
        <f>INDEX(AK27:AK35,MATCH(AG27,$AH27:$AH35,0))</f>
        <v>7</v>
      </c>
      <c r="N21" s="37">
        <f>INDEX(AL27:AL35,MATCH(AG27,$AH27:$AH35,0))</f>
        <v>2</v>
      </c>
      <c r="O21" s="37">
        <f>INDEX(AM27:AM35,MATCH(AG27,$AH27:$AH35,0))</f>
        <v>5</v>
      </c>
      <c r="P21" s="60"/>
      <c r="Q21" s="60"/>
      <c r="R21" s="60"/>
      <c r="S21" s="60"/>
      <c r="T21" s="96"/>
      <c r="U21" s="96"/>
      <c r="V21" s="96"/>
      <c r="W21" s="96"/>
      <c r="X21" s="96"/>
      <c r="Y21" s="96"/>
      <c r="Z21" s="100"/>
      <c r="AA21" s="100"/>
      <c r="AD21" s="123"/>
      <c r="AE21" s="105">
        <f>IF(ROUND(AG21,0)=ROUND(AG20,0),AE20,3)</f>
        <v>3</v>
      </c>
      <c r="AF21" s="106">
        <f>ROUND(AG21,0)</f>
        <v>3</v>
      </c>
      <c r="AG21" s="107">
        <f>MIN(MAX(AH19:AH21),MAX(AH19,AH20,AH22),MAX(AH19,AH21,AH22),MAX(AH20:AH22))</f>
        <v>3.45</v>
      </c>
      <c r="AH21" s="115">
        <f>SUM(AZ21:BC21)+2.47</f>
        <v>0.9700000000000002</v>
      </c>
      <c r="AI21" s="109" t="str">
        <f>E15</f>
        <v>Portugal</v>
      </c>
      <c r="AJ21" s="87">
        <f>SUM(AN21:AQ21)</f>
        <v>7</v>
      </c>
      <c r="AK21" s="110">
        <f>G15+H16+H19</f>
        <v>7</v>
      </c>
      <c r="AL21" s="87">
        <f>H15+G16+G19</f>
        <v>3</v>
      </c>
      <c r="AM21" s="111">
        <f>AK21-AL21</f>
        <v>4</v>
      </c>
      <c r="AN21" s="87">
        <f>IF(ISBLANK(H16),0,IF(AP19=3,0,IF(AP19=1,1,3)))</f>
        <v>3</v>
      </c>
      <c r="AO21" s="87">
        <f>IF(ISBLANK(H19),0,IF(H19&gt;G19,3,IF(H19=G19,1,0)))</f>
        <v>3</v>
      </c>
      <c r="AP21" s="87" t="s">
        <v>72</v>
      </c>
      <c r="AQ21" s="87">
        <f>IF(ISBLANK(G15),0,IF(G15&gt;H15,3,IF(G15=H15,1,0)))</f>
        <v>1</v>
      </c>
      <c r="AR21" s="110" t="b">
        <f>10*(AM19-AM21)+AK19-AK21&lt;0</f>
        <v>1</v>
      </c>
      <c r="AS21" s="87" t="b">
        <f>10*(AM20-AM21)+AK20-AK21&lt;0</f>
        <v>1</v>
      </c>
      <c r="AT21" s="87" t="s">
        <v>72</v>
      </c>
      <c r="AU21" s="111" t="b">
        <f>10*(AM21-AM22)+AK21-AK22&gt;0</f>
        <v>1</v>
      </c>
      <c r="AV21" s="110">
        <f>10000*(AN21+AO21)+(H16-G16+H19-G19)*100+(H16+H19)</f>
        <v>60406</v>
      </c>
      <c r="AW21" s="87" t="s">
        <v>72</v>
      </c>
      <c r="AX21" s="87">
        <f>10000*(AN21+AQ21)+(G15-H15+H16-G16)*100+(G15+H16)</f>
        <v>40204</v>
      </c>
      <c r="AY21" s="111">
        <f>10000*(AO21+AQ21)+(G15-H15+H19-G19)*100+(G15+H19)</f>
        <v>40204</v>
      </c>
      <c r="AZ21" s="116">
        <f>-BB19</f>
        <v>-0.5</v>
      </c>
      <c r="BA21" s="112">
        <f>-BB20</f>
        <v>-0.5</v>
      </c>
      <c r="BB21" s="112" t="s">
        <v>72</v>
      </c>
      <c r="BC21" s="113">
        <f>IF($AJ21&gt;$AJ22,-0.5,IF($AJ22&gt;$AJ21,0.5,IF(AU21,-0.5,IF(AT22,0.5,BS21))))</f>
        <v>-0.5</v>
      </c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110"/>
      <c r="BQ21" s="87"/>
      <c r="BR21" s="87" t="s">
        <v>72</v>
      </c>
      <c r="BS21" s="111">
        <f>IF($BN19,IF(H15-G15&lt;0,-0.5,IF(G15-H15&lt;0,0.5,0)),IF($BG19,IF($AX21&gt;$AX22,-0.5,IF($AX21&lt;$AX22,0.5,0)),IF($BH19,IF($AY21&gt;$AY22,-0.5,IF($AY21&lt;$AY22,0.5,0)),0)))</f>
        <v>0</v>
      </c>
    </row>
    <row r="22" spans="2:71" ht="14.25" customHeight="1" x14ac:dyDescent="0.2">
      <c r="B22" s="164"/>
      <c r="C22" s="12">
        <v>43272</v>
      </c>
      <c r="D22" s="13">
        <v>0.58333333333333337</v>
      </c>
      <c r="E22" s="68" t="s">
        <v>80</v>
      </c>
      <c r="F22" s="68" t="s">
        <v>78</v>
      </c>
      <c r="G22" s="3">
        <v>1</v>
      </c>
      <c r="H22" s="3">
        <v>1</v>
      </c>
      <c r="I22" s="60"/>
      <c r="J22" s="36">
        <f>AE33</f>
        <v>2</v>
      </c>
      <c r="K22" s="23" t="str">
        <f>INDEX(AI27:AI35,MATCH(AG33,$AH27:$AH35,0))</f>
        <v>Australie</v>
      </c>
      <c r="L22" s="37">
        <f>INDEX(AJ27:AJ35,MATCH(AG33,$AH27:$AH35,0))</f>
        <v>4</v>
      </c>
      <c r="M22" s="37">
        <f>INDEX(AK27:AK35,MATCH(AG33,$AH27:$AH35,0))</f>
        <v>5</v>
      </c>
      <c r="N22" s="37">
        <f>INDEX(AL27:AL35,MATCH(AG33,$AH27:$AH35,0))</f>
        <v>5</v>
      </c>
      <c r="O22" s="37">
        <f>INDEX(AM27:AM35,MATCH(AG33,$AH27:$AH35,0))</f>
        <v>0</v>
      </c>
      <c r="P22" s="60"/>
      <c r="Q22" s="60"/>
      <c r="R22" s="60"/>
      <c r="S22" s="60"/>
      <c r="T22" s="96"/>
      <c r="U22" s="96"/>
      <c r="V22" s="96"/>
      <c r="W22" s="96"/>
      <c r="X22" s="96"/>
      <c r="Y22" s="96"/>
      <c r="Z22" s="100"/>
      <c r="AA22" s="100"/>
      <c r="AE22" s="105">
        <f>IF(ROUND(AG22,0)=ROUND(AG21,0),AE21,4)</f>
        <v>3</v>
      </c>
      <c r="AF22" s="106">
        <f>ROUND(AG22,0)</f>
        <v>3</v>
      </c>
      <c r="AG22" s="107">
        <f>MAX(AH19:AH22)</f>
        <v>3.46</v>
      </c>
      <c r="AH22" s="117">
        <f>SUM(AZ22:BC22)+2.48</f>
        <v>1.98</v>
      </c>
      <c r="AI22" s="118" t="str">
        <f>F15</f>
        <v>Espagne</v>
      </c>
      <c r="AJ22" s="114">
        <f>SUM(AN22:AQ22)</f>
        <v>7</v>
      </c>
      <c r="AK22" s="119">
        <f>H15+G17+G18</f>
        <v>5</v>
      </c>
      <c r="AL22" s="114">
        <f>G15+H17+H18</f>
        <v>1</v>
      </c>
      <c r="AM22" s="120">
        <f>AK22-AL22</f>
        <v>4</v>
      </c>
      <c r="AN22" s="114">
        <f>IF(ISBLANK(G18),0,IF(AQ19=3,0,IF(AQ19=1,1,3)))</f>
        <v>3</v>
      </c>
      <c r="AO22" s="114">
        <f>IF(ISBLANK(G17),0,IF(AQ20=3,0,IF(AQ20=1,1,3)))</f>
        <v>3</v>
      </c>
      <c r="AP22" s="114">
        <f>IF(ISBLANK(H15),0,IF(AQ21=3,0,IF(AQ21=1,1,3)))</f>
        <v>1</v>
      </c>
      <c r="AQ22" s="114" t="s">
        <v>72</v>
      </c>
      <c r="AR22" s="119" t="b">
        <f>10*(AM19-AM22)+AK19-AK22&lt;0</f>
        <v>1</v>
      </c>
      <c r="AS22" s="114" t="b">
        <f>10*(AM20-AM22)+AK20-AK22&lt;0</f>
        <v>1</v>
      </c>
      <c r="AT22" s="114" t="b">
        <f>10*(AM21-AM22)+AK21-AK22&lt;0</f>
        <v>0</v>
      </c>
      <c r="AU22" s="120" t="s">
        <v>72</v>
      </c>
      <c r="AV22" s="119" t="s">
        <v>72</v>
      </c>
      <c r="AW22" s="114">
        <f>10000*(AN22+AO22)+(G17-H17+G18-H18)*100+(G17+G18)</f>
        <v>60404</v>
      </c>
      <c r="AX22" s="114">
        <f>10000*(AN22+AP22)+(G18-H18+H15-G15)*100+(G18+H15)</f>
        <v>40203</v>
      </c>
      <c r="AY22" s="120">
        <f>10000*(AO22+AP22)+(G17-H17+H15-G15)*100+(G17+H15)</f>
        <v>40203</v>
      </c>
      <c r="AZ22" s="121">
        <f>-BC19</f>
        <v>-0.5</v>
      </c>
      <c r="BA22" s="122">
        <f>-BC20</f>
        <v>-0.5</v>
      </c>
      <c r="BB22" s="122">
        <f>-BC21</f>
        <v>0.5</v>
      </c>
      <c r="BC22" s="120" t="s">
        <v>72</v>
      </c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119"/>
      <c r="BQ22" s="114"/>
      <c r="BR22" s="114"/>
      <c r="BS22" s="120" t="s">
        <v>72</v>
      </c>
    </row>
    <row r="23" spans="2:71" ht="14.25" customHeight="1" x14ac:dyDescent="0.2">
      <c r="B23" s="164"/>
      <c r="C23" s="14">
        <v>43272</v>
      </c>
      <c r="D23" s="15">
        <v>0.70833333333333337</v>
      </c>
      <c r="E23" s="37" t="s">
        <v>77</v>
      </c>
      <c r="F23" s="37" t="s">
        <v>79</v>
      </c>
      <c r="G23" s="3">
        <v>2</v>
      </c>
      <c r="H23" s="3">
        <v>0</v>
      </c>
      <c r="I23" s="60"/>
      <c r="J23" s="18">
        <f>AE34</f>
        <v>3</v>
      </c>
      <c r="K23" s="1" t="str">
        <f>INDEX(AI27:AI35,MATCH(AG34,$AH27:$AH35,0))</f>
        <v>Danemark</v>
      </c>
      <c r="L23" s="19">
        <f>INDEX(AJ27:AJ35,MATCH(AG34,$AH27:$AH35,0))</f>
        <v>2</v>
      </c>
      <c r="M23" s="19">
        <f>INDEX(AK27:AK35,MATCH(AG34,$AH27:$AH35,0))</f>
        <v>3</v>
      </c>
      <c r="N23" s="19">
        <f>INDEX(AL27:AL35,MATCH(AG34,$AH27:$AH35,0))</f>
        <v>5</v>
      </c>
      <c r="O23" s="19">
        <f>INDEX(AM27:AM35,MATCH(AG34,$AH27:$AH35,0))</f>
        <v>-2</v>
      </c>
      <c r="P23" s="60"/>
      <c r="Q23" s="60"/>
      <c r="R23" s="60"/>
      <c r="S23" s="60"/>
      <c r="T23" s="96"/>
      <c r="U23" s="96"/>
      <c r="V23" s="96"/>
      <c r="W23" s="96"/>
      <c r="X23" s="96"/>
      <c r="Y23" s="96"/>
      <c r="Z23" s="100"/>
      <c r="AA23" s="100"/>
    </row>
    <row r="24" spans="2:71" ht="14.25" customHeight="1" x14ac:dyDescent="0.2">
      <c r="B24" s="164"/>
      <c r="C24" s="12">
        <v>43277</v>
      </c>
      <c r="D24" s="13">
        <v>0.66666666666666663</v>
      </c>
      <c r="E24" s="68" t="s">
        <v>80</v>
      </c>
      <c r="F24" s="68" t="s">
        <v>77</v>
      </c>
      <c r="G24" s="3">
        <v>1</v>
      </c>
      <c r="H24" s="3">
        <v>3</v>
      </c>
      <c r="I24" s="60"/>
      <c r="J24" s="18">
        <f>AE35</f>
        <v>4</v>
      </c>
      <c r="K24" s="1" t="str">
        <f>INDEX(AI27:AI35,MATCH(AG35,$AH27:$AH35,0))</f>
        <v>Pérou</v>
      </c>
      <c r="L24" s="19">
        <f>INDEX(AJ27:AJ35,MATCH(AG35,$AH27:$AH35,0))</f>
        <v>1</v>
      </c>
      <c r="M24" s="19">
        <f>INDEX(AK27:AK35,MATCH(AG35,$AH27:$AH35,0))</f>
        <v>3</v>
      </c>
      <c r="N24" s="19">
        <f>INDEX(AL27:AL35,MATCH(AG35,$AH27:$AH35,0))</f>
        <v>6</v>
      </c>
      <c r="O24" s="19">
        <f>INDEX(AM27:AM35,MATCH(AG35,$AH27:$AH35,0))</f>
        <v>-3</v>
      </c>
      <c r="P24" s="60"/>
      <c r="Q24" s="60"/>
      <c r="R24" s="60"/>
      <c r="S24" s="60"/>
      <c r="T24" s="96"/>
      <c r="U24" s="96"/>
      <c r="V24" s="96"/>
      <c r="W24" s="96"/>
      <c r="X24" s="96"/>
      <c r="Y24" s="96"/>
      <c r="Z24" s="100"/>
      <c r="AA24" s="100"/>
    </row>
    <row r="25" spans="2:71" ht="14.25" customHeight="1" x14ac:dyDescent="0.2">
      <c r="B25" s="164"/>
      <c r="C25" s="14">
        <v>43277</v>
      </c>
      <c r="D25" s="15">
        <v>0.66666666666666663</v>
      </c>
      <c r="E25" s="37" t="s">
        <v>78</v>
      </c>
      <c r="F25" s="37" t="s">
        <v>79</v>
      </c>
      <c r="G25" s="3">
        <v>3</v>
      </c>
      <c r="H25" s="3">
        <v>2</v>
      </c>
      <c r="I25" s="60"/>
      <c r="J25" s="31"/>
      <c r="K25" s="32" t="str">
        <f>IF(OR(J23&lt;3,J22&lt;2),"TIRAGE AU SORT !!!"," ")</f>
        <v xml:space="preserve"> </v>
      </c>
      <c r="L25" s="33"/>
      <c r="M25" s="33"/>
      <c r="N25" s="33"/>
      <c r="O25" s="33"/>
      <c r="P25" s="60"/>
      <c r="Q25" s="60"/>
      <c r="R25" s="60"/>
      <c r="S25" s="60"/>
      <c r="T25" s="96"/>
      <c r="U25" s="96"/>
      <c r="V25" s="96"/>
      <c r="W25" s="96"/>
      <c r="X25" s="96"/>
      <c r="Y25" s="96"/>
      <c r="Z25" s="100"/>
      <c r="AA25" s="100"/>
    </row>
    <row r="26" spans="2:71" ht="14.25" customHeight="1" x14ac:dyDescent="0.2">
      <c r="B26" s="147" t="s">
        <v>108</v>
      </c>
      <c r="C26" s="12">
        <v>43267</v>
      </c>
      <c r="D26" s="13">
        <v>0.625</v>
      </c>
      <c r="E26" s="69" t="s">
        <v>81</v>
      </c>
      <c r="F26" s="69" t="s">
        <v>82</v>
      </c>
      <c r="G26" s="4">
        <v>2</v>
      </c>
      <c r="H26" s="4">
        <v>1</v>
      </c>
      <c r="I26" s="60"/>
      <c r="J26" s="38"/>
      <c r="K26" s="39" t="s">
        <v>0</v>
      </c>
      <c r="L26" s="39" t="s">
        <v>1</v>
      </c>
      <c r="M26" s="39" t="s">
        <v>2</v>
      </c>
      <c r="N26" s="39" t="s">
        <v>3</v>
      </c>
      <c r="O26" s="39" t="str">
        <f>"+/-"</f>
        <v>+/-</v>
      </c>
      <c r="P26" s="60"/>
      <c r="Q26" s="60"/>
      <c r="R26" s="60"/>
      <c r="S26" s="60"/>
      <c r="T26" s="96"/>
      <c r="U26" s="96"/>
      <c r="V26" s="96"/>
      <c r="W26" s="96"/>
      <c r="X26" s="96"/>
      <c r="Y26" s="96"/>
      <c r="Z26" s="100"/>
      <c r="AA26" s="100"/>
      <c r="AH26" s="101" t="s">
        <v>39</v>
      </c>
      <c r="AI26" s="102" t="s">
        <v>40</v>
      </c>
      <c r="AJ26" s="103" t="s">
        <v>1</v>
      </c>
      <c r="AK26" s="101" t="s">
        <v>41</v>
      </c>
      <c r="AL26" s="103" t="s">
        <v>42</v>
      </c>
      <c r="AM26" s="104" t="s">
        <v>43</v>
      </c>
      <c r="AN26" s="103" t="s">
        <v>44</v>
      </c>
      <c r="AO26" s="103" t="s">
        <v>45</v>
      </c>
      <c r="AP26" s="103" t="s">
        <v>46</v>
      </c>
      <c r="AQ26" s="103" t="s">
        <v>47</v>
      </c>
      <c r="AR26" s="101" t="s">
        <v>48</v>
      </c>
      <c r="AS26" s="103" t="s">
        <v>49</v>
      </c>
      <c r="AT26" s="103" t="s">
        <v>50</v>
      </c>
      <c r="AU26" s="104" t="s">
        <v>51</v>
      </c>
      <c r="AV26" s="101" t="s">
        <v>52</v>
      </c>
      <c r="AW26" s="103" t="s">
        <v>53</v>
      </c>
      <c r="AX26" s="103" t="s">
        <v>54</v>
      </c>
      <c r="AY26" s="104" t="s">
        <v>55</v>
      </c>
      <c r="AZ26" s="101" t="s">
        <v>56</v>
      </c>
      <c r="BA26" s="103" t="s">
        <v>57</v>
      </c>
      <c r="BB26" s="103" t="s">
        <v>58</v>
      </c>
      <c r="BC26" s="104" t="s">
        <v>59</v>
      </c>
      <c r="BD26" s="101" t="s">
        <v>60</v>
      </c>
      <c r="BE26" s="103" t="s">
        <v>52</v>
      </c>
      <c r="BF26" s="103" t="s">
        <v>53</v>
      </c>
      <c r="BG26" s="103" t="s">
        <v>54</v>
      </c>
      <c r="BH26" s="103" t="s">
        <v>55</v>
      </c>
      <c r="BI26" s="103" t="s">
        <v>61</v>
      </c>
      <c r="BJ26" s="103" t="s">
        <v>62</v>
      </c>
      <c r="BK26" s="103" t="s">
        <v>63</v>
      </c>
      <c r="BL26" s="103" t="s">
        <v>64</v>
      </c>
      <c r="BM26" s="103" t="s">
        <v>65</v>
      </c>
      <c r="BN26" s="103" t="s">
        <v>66</v>
      </c>
      <c r="BO26" s="104" t="s">
        <v>67</v>
      </c>
      <c r="BP26" s="101" t="s">
        <v>68</v>
      </c>
      <c r="BQ26" s="103" t="s">
        <v>69</v>
      </c>
      <c r="BR26" s="103" t="s">
        <v>70</v>
      </c>
      <c r="BS26" s="104" t="s">
        <v>71</v>
      </c>
    </row>
    <row r="27" spans="2:71" ht="14.25" customHeight="1" x14ac:dyDescent="0.2">
      <c r="B27" s="147"/>
      <c r="C27" s="14">
        <v>43267</v>
      </c>
      <c r="D27" s="15">
        <v>0.875</v>
      </c>
      <c r="E27" s="41" t="s">
        <v>83</v>
      </c>
      <c r="F27" s="41" t="s">
        <v>84</v>
      </c>
      <c r="G27" s="4">
        <v>2</v>
      </c>
      <c r="H27" s="4">
        <v>1</v>
      </c>
      <c r="I27" s="60"/>
      <c r="J27" s="40">
        <f>AE45</f>
        <v>1</v>
      </c>
      <c r="K27" s="24" t="str">
        <f>INDEX(AI45:AI48,MATCH(AG45,$AH45:$AH48,0))</f>
        <v>Argentine</v>
      </c>
      <c r="L27" s="41">
        <f>INDEX(AJ45:AJ48,MATCH(AG45,$AH45:$AH48,0))</f>
        <v>7</v>
      </c>
      <c r="M27" s="41">
        <f>INDEX(AK45:AK48,MATCH(AG45,$AH45:$AH48,0))</f>
        <v>6</v>
      </c>
      <c r="N27" s="41">
        <f>INDEX(AL45:AL48,MATCH(AG45,$AH45:$AH48,0))</f>
        <v>3</v>
      </c>
      <c r="O27" s="41">
        <f>INDEX(AM45:AM48,MATCH(AG45,$AH45:$AH48,0))</f>
        <v>3</v>
      </c>
      <c r="P27" s="60"/>
      <c r="Q27" s="60"/>
      <c r="R27" s="60"/>
      <c r="S27" s="60"/>
      <c r="T27" s="96"/>
      <c r="U27" s="96"/>
      <c r="V27" s="96"/>
      <c r="W27" s="96"/>
      <c r="X27" s="96"/>
      <c r="Y27" s="96"/>
      <c r="Z27" s="100"/>
      <c r="AA27" s="100"/>
      <c r="AE27" s="105">
        <v>1</v>
      </c>
      <c r="AF27" s="106">
        <f>ROUND(AG27,0)</f>
        <v>1</v>
      </c>
      <c r="AG27" s="107">
        <f>MIN(AH27:AH35)</f>
        <v>0.95000000000000018</v>
      </c>
      <c r="AH27" s="108">
        <f>SUM(AZ27:BC27)+2.45</f>
        <v>0.95000000000000018</v>
      </c>
      <c r="AI27" s="109" t="str">
        <f>E20</f>
        <v>France</v>
      </c>
      <c r="AJ27" s="87">
        <f>SUM(AN27:AQ27)</f>
        <v>9</v>
      </c>
      <c r="AK27" s="110">
        <f>G20+G23+H24</f>
        <v>7</v>
      </c>
      <c r="AL27" s="87">
        <f>H20+H23+G24</f>
        <v>2</v>
      </c>
      <c r="AM27" s="111">
        <f>AK27-AL27</f>
        <v>5</v>
      </c>
      <c r="AN27" s="87" t="s">
        <v>72</v>
      </c>
      <c r="AO27" s="87">
        <f>IF(ISBLANK(G20),0,IF(G20&gt;H20,3,IF(G20=H20,1,0)))</f>
        <v>3</v>
      </c>
      <c r="AP27" s="87">
        <f>IF(ISBLANK(G23),0,IF(G23&gt;H23,3,IF(G23=H23,1,0)))</f>
        <v>3</v>
      </c>
      <c r="AQ27" s="87">
        <f>IF(ISBLANK(H24),0,IF(H24&gt;G24,3,IF(H24=G24,1,0)))</f>
        <v>3</v>
      </c>
      <c r="AR27" s="110" t="s">
        <v>72</v>
      </c>
      <c r="AS27" s="87" t="b">
        <f>(10*(AM27-AM33)+AK27-AK33&gt;0)</f>
        <v>1</v>
      </c>
      <c r="AT27" s="87" t="b">
        <f>10*(AM27-AM34)+AK27-AK34&gt;0</f>
        <v>1</v>
      </c>
      <c r="AU27" s="111" t="b">
        <f>10*(AM27-AM35)+AK27-AK35&gt;0</f>
        <v>1</v>
      </c>
      <c r="AV27" s="110">
        <f>10000*(AO27+AP27)+(G23-H23+G20-H20)*100+(G23+G20)</f>
        <v>60304</v>
      </c>
      <c r="AW27" s="87">
        <f>10000*(AO27+AQ27)+(G20-H20+H24-G24)*100+(G20+H24)</f>
        <v>60305</v>
      </c>
      <c r="AX27" s="87">
        <f>10000*(AP27+AQ27)+(H24-G24+G23-H23)*100+(H24+G23)</f>
        <v>60405</v>
      </c>
      <c r="AY27" s="111" t="s">
        <v>72</v>
      </c>
      <c r="AZ27" s="110" t="s">
        <v>72</v>
      </c>
      <c r="BA27" s="112">
        <f>IF($AJ27&gt;$AJ33,-0.5,IF($AJ33&gt;$AJ27,0.5,IF(AS27,-0.5,IF(AR33,0.5,BQ27))))</f>
        <v>-0.5</v>
      </c>
      <c r="BB27" s="112">
        <f>IF($AJ27&gt;$AJ34,-0.5,IF($AJ34&gt;$AJ27,0.5,IF(AT27,-0.5,IF(AR34,0.5,BR27))))</f>
        <v>-0.5</v>
      </c>
      <c r="BC27" s="113">
        <f>IF($AJ27&gt;$AJ35,-0.5,IF($AJ35&gt;$AJ27,0.5,IF(AU27,-0.5,IF(AR35,0.5,BS27))))</f>
        <v>-0.5</v>
      </c>
      <c r="BD27" s="114" t="b">
        <f>AND(AND(AJ27=AJ33,AJ33=AJ34,AJ34=AJ35),AND(AK27=AK33,AK33=AK34,AK34=AK35),AND(AL27=AL33,AL33=AL34,AL34=AL35))</f>
        <v>0</v>
      </c>
      <c r="BE27" s="114" t="b">
        <f>AND(NOT(BD27),AJ27=AJ33,AJ27=AJ34,AK27=AK33,AK27=AK34,AL27=AL33,AL27=AL34)</f>
        <v>0</v>
      </c>
      <c r="BF27" s="114" t="b">
        <f>AND(NOT(BD27),AJ27=AJ33,AJ27=AJ35,AK27=AK33,AK27=AK35,AL27=AL33,AL27=AL35)</f>
        <v>0</v>
      </c>
      <c r="BG27" s="114" t="b">
        <f>AND(NOT(BD27),AJ27=AJ34,AJ27=AJ35,AK27=AK34,AK27=AK35,AL27=AL34,AL27=AL35)</f>
        <v>0</v>
      </c>
      <c r="BH27" s="114" t="b">
        <f>AND(NOT(BD27),AJ33=AJ34,AJ33=AJ35,AK33=AK34,AK33=AK35,AL33=AL34,AL33=AL35)</f>
        <v>0</v>
      </c>
      <c r="BI27" s="114" t="b">
        <f>AND(NOT(BD27),NOT(BE27),NOT(BF27),AJ27=AJ33,AK27=AK33,AL27=AL33)</f>
        <v>0</v>
      </c>
      <c r="BJ27" s="114" t="b">
        <f>AND(NOT(BD27),NOT(BE27),NOT(BG27),AJ27=AJ34,AK27=AK34,AL27=AL34)</f>
        <v>0</v>
      </c>
      <c r="BK27" s="114" t="b">
        <f>AND(NOT(BD27),NOT(BF27),NOT(BG27),AJ27=AJ35,AK27=AK35,AL27=AL35)</f>
        <v>0</v>
      </c>
      <c r="BL27" s="114" t="b">
        <f>AND(NOT(BD27),NOT(BE27),NOT(BH27),AJ33=AJ34,AK33=AK34)</f>
        <v>0</v>
      </c>
      <c r="BM27" s="114" t="b">
        <f>AND(NOT(BD27),NOT(BF27),NOT(BH27),AJ33=AJ35,AK33=AK35,AL33=AL35)</f>
        <v>0</v>
      </c>
      <c r="BN27" s="114" t="b">
        <f>AND(NOT(BD27),NOT(BG27),NOT(BH27),AJ34=AJ35,AK34=AK35,AL34=AL35)</f>
        <v>0</v>
      </c>
      <c r="BO27" s="114" t="b">
        <f t="array" ref="BO27">AND(NOT(BD27:BN27))</f>
        <v>1</v>
      </c>
      <c r="BP27" s="110" t="s">
        <v>72</v>
      </c>
      <c r="BQ27" s="87">
        <f>IF($BI27,IF(H20-G20&lt;0,-0.5,IF(G20-H20&lt;0,0.5,0)),IF($BE27,IF($AV27&gt;$AV33,-0.5,IF($AV27&lt;$AV33,0.5,0)),IF($BF27,IF($AW27&gt;$AW33,-0.5, IF($AW27&lt;$AW33,0.5,0)),0)))</f>
        <v>0</v>
      </c>
      <c r="BR27" s="87">
        <f>IF($BJ27,IF(H23-G23&lt;0,-0.5,IF(G23-H23&lt;0,0.5,0)),IF($BE27,IF($AV27&gt;$AV34,-0.5,IF($AV27&lt;$AV34,0.5,0)),IF($BG27,IF($AX27&gt;$AX34,-0.5,IF($AX27&lt;$AX34,0.5,0)),0)))</f>
        <v>0</v>
      </c>
      <c r="BS27" s="111">
        <f>IF($BK27,IF(G24-H24&lt;0,-0.5,IF(H24-G24&lt;0,0.5,0)),IF($BF27,IF($AW27&gt;$AW35,-0.5,IF($AW27&lt;$AW35,0.5,0)),IF($BG27,IF($AX27&gt;$AX35,-0.5, IF($AX27&lt;$AX35,0.5,0)),0)))</f>
        <v>0</v>
      </c>
    </row>
    <row r="28" spans="2:71" ht="14.25" customHeight="1" x14ac:dyDescent="0.2">
      <c r="B28" s="147"/>
      <c r="C28" s="12">
        <v>43272</v>
      </c>
      <c r="D28" s="13">
        <v>0.83333333333333337</v>
      </c>
      <c r="E28" s="69" t="s">
        <v>81</v>
      </c>
      <c r="F28" s="69" t="s">
        <v>83</v>
      </c>
      <c r="G28" s="4">
        <v>1</v>
      </c>
      <c r="H28" s="4">
        <v>1</v>
      </c>
      <c r="I28" s="60"/>
      <c r="J28" s="40">
        <f>AE46</f>
        <v>2</v>
      </c>
      <c r="K28" s="24" t="str">
        <f>INDEX(AI45:AI48,MATCH(AG46,$AH45:$AH48,0))</f>
        <v>Croatie</v>
      </c>
      <c r="L28" s="41">
        <f>INDEX(AJ45:AJ48,MATCH(AG46,$AH45:$AH48,0))</f>
        <v>7</v>
      </c>
      <c r="M28" s="41">
        <f>INDEX(AK45:AK48,MATCH(AG46,$AH45:$AH48,0))</f>
        <v>5</v>
      </c>
      <c r="N28" s="41">
        <f>INDEX(AL45:AL48,MATCH(AG46,$AH45:$AH48,0))</f>
        <v>3</v>
      </c>
      <c r="O28" s="41">
        <f>INDEX(AM45:AM48,MATCH(AG46,$AH45:$AH48,0))</f>
        <v>2</v>
      </c>
      <c r="P28" s="60"/>
      <c r="Q28" s="60"/>
      <c r="R28" s="60"/>
      <c r="S28" s="60"/>
      <c r="T28" s="96"/>
      <c r="U28" s="96"/>
      <c r="V28" s="96"/>
      <c r="W28" s="96"/>
      <c r="X28" s="96"/>
      <c r="Y28" s="96"/>
      <c r="Z28" s="100"/>
      <c r="AA28" s="100"/>
      <c r="AE28" s="105"/>
      <c r="AF28" s="106"/>
      <c r="AG28" s="107"/>
      <c r="AH28" s="115"/>
      <c r="AI28" s="109"/>
      <c r="AJ28" s="87"/>
      <c r="AK28" s="110"/>
      <c r="AL28" s="87"/>
      <c r="AM28" s="111"/>
      <c r="AN28" s="87"/>
      <c r="AO28" s="87"/>
      <c r="AP28" s="87"/>
      <c r="AQ28" s="87"/>
      <c r="AR28" s="110"/>
      <c r="AS28" s="87"/>
      <c r="AT28" s="87"/>
      <c r="AU28" s="111"/>
      <c r="AV28" s="110"/>
      <c r="AW28" s="87"/>
      <c r="AX28" s="87"/>
      <c r="AY28" s="111"/>
      <c r="AZ28" s="110"/>
      <c r="BA28" s="112"/>
      <c r="BB28" s="112"/>
      <c r="BC28" s="113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110"/>
      <c r="BQ28" s="87"/>
      <c r="BR28" s="87"/>
      <c r="BS28" s="111"/>
    </row>
    <row r="29" spans="2:71" ht="14.25" customHeight="1" x14ac:dyDescent="0.2">
      <c r="B29" s="147"/>
      <c r="C29" s="14">
        <v>43273</v>
      </c>
      <c r="D29" s="15">
        <v>0.70833333333333337</v>
      </c>
      <c r="E29" s="41" t="s">
        <v>84</v>
      </c>
      <c r="F29" s="41" t="s">
        <v>82</v>
      </c>
      <c r="G29" s="4">
        <v>3</v>
      </c>
      <c r="H29" s="4">
        <v>2</v>
      </c>
      <c r="I29" s="60"/>
      <c r="J29" s="18">
        <f>AE47</f>
        <v>3</v>
      </c>
      <c r="K29" s="1" t="str">
        <f>INDEX(AI45:AI48,MATCH(AG47,$AH45:$AH48,0))</f>
        <v>Nigéria</v>
      </c>
      <c r="L29" s="19">
        <f>INDEX(AJ45:AJ48,MATCH(AG47,$AH45:$AH48,0))</f>
        <v>3</v>
      </c>
      <c r="M29" s="19">
        <f>INDEX(AK45:AK48,MATCH(AG47,$AH45:$AH48,0))</f>
        <v>5</v>
      </c>
      <c r="N29" s="19">
        <f>INDEX(AL45:AL48,MATCH(AG47,$AH45:$AH48,0))</f>
        <v>7</v>
      </c>
      <c r="O29" s="19">
        <f>INDEX(AM45:AM48,MATCH(AG47,$AH45:$AH48,0))</f>
        <v>-2</v>
      </c>
      <c r="P29" s="60"/>
      <c r="Q29" s="60"/>
      <c r="R29" s="60"/>
      <c r="S29" s="60"/>
      <c r="T29" s="96"/>
      <c r="U29" s="96"/>
      <c r="V29" s="96"/>
      <c r="W29" s="96"/>
      <c r="X29" s="96"/>
      <c r="Y29" s="96"/>
      <c r="Z29" s="100"/>
      <c r="AA29" s="100"/>
      <c r="AE29" s="105"/>
      <c r="AF29" s="106"/>
      <c r="AG29" s="107"/>
      <c r="AH29" s="115"/>
      <c r="AI29" s="109"/>
      <c r="AJ29" s="87"/>
      <c r="AK29" s="110"/>
      <c r="AL29" s="87"/>
      <c r="AM29" s="111"/>
      <c r="AN29" s="87"/>
      <c r="AO29" s="87"/>
      <c r="AP29" s="87"/>
      <c r="AQ29" s="87"/>
      <c r="AR29" s="110"/>
      <c r="AS29" s="87"/>
      <c r="AT29" s="87"/>
      <c r="AU29" s="111"/>
      <c r="AV29" s="110"/>
      <c r="AW29" s="87"/>
      <c r="AX29" s="87"/>
      <c r="AY29" s="111"/>
      <c r="AZ29" s="110"/>
      <c r="BA29" s="112"/>
      <c r="BB29" s="112"/>
      <c r="BC29" s="113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110"/>
      <c r="BQ29" s="87"/>
      <c r="BR29" s="87"/>
      <c r="BS29" s="111"/>
    </row>
    <row r="30" spans="2:71" ht="14.25" customHeight="1" x14ac:dyDescent="0.2">
      <c r="B30" s="147"/>
      <c r="C30" s="12">
        <v>43277</v>
      </c>
      <c r="D30" s="13">
        <v>0.83333333333333337</v>
      </c>
      <c r="E30" s="69" t="s">
        <v>84</v>
      </c>
      <c r="F30" s="69" t="s">
        <v>81</v>
      </c>
      <c r="G30" s="4">
        <v>1</v>
      </c>
      <c r="H30" s="4">
        <v>3</v>
      </c>
      <c r="I30" s="60"/>
      <c r="J30" s="18">
        <f>AE48</f>
        <v>4</v>
      </c>
      <c r="K30" s="1" t="str">
        <f>INDEX(AI45:AI48,MATCH(AG48,$AH45:$AH48,0))</f>
        <v>Islande</v>
      </c>
      <c r="L30" s="19">
        <f>INDEX(AJ45:AJ48,MATCH(AG48,$AH45:$AH48,0))</f>
        <v>0</v>
      </c>
      <c r="M30" s="19">
        <f>INDEX(AK45:AK48,MATCH(AG48,$AH45:$AH48,0))</f>
        <v>4</v>
      </c>
      <c r="N30" s="19">
        <f>INDEX(AL45:AL48,MATCH(AG48,$AH45:$AH48,0))</f>
        <v>7</v>
      </c>
      <c r="O30" s="19">
        <f>INDEX(AM45:AM48,MATCH(AG48,$AH45:$AH48,0))</f>
        <v>-3</v>
      </c>
      <c r="P30" s="60"/>
      <c r="Q30" s="60"/>
      <c r="R30" s="60"/>
      <c r="S30" s="60"/>
      <c r="T30" s="96"/>
      <c r="U30" s="96"/>
      <c r="V30" s="96"/>
      <c r="W30" s="96"/>
      <c r="X30" s="96"/>
      <c r="Y30" s="96"/>
      <c r="Z30" s="100"/>
      <c r="AA30" s="100"/>
      <c r="AE30" s="105"/>
      <c r="AF30" s="106"/>
      <c r="AG30" s="107"/>
      <c r="AH30" s="115"/>
      <c r="AI30" s="109"/>
      <c r="AJ30" s="87"/>
      <c r="AK30" s="110"/>
      <c r="AL30" s="87"/>
      <c r="AM30" s="111"/>
      <c r="AN30" s="87"/>
      <c r="AO30" s="87"/>
      <c r="AP30" s="87"/>
      <c r="AQ30" s="87"/>
      <c r="AR30" s="110"/>
      <c r="AS30" s="87"/>
      <c r="AT30" s="87"/>
      <c r="AU30" s="111"/>
      <c r="AV30" s="110"/>
      <c r="AW30" s="87"/>
      <c r="AX30" s="87"/>
      <c r="AY30" s="111"/>
      <c r="AZ30" s="110"/>
      <c r="BA30" s="112"/>
      <c r="BB30" s="112"/>
      <c r="BC30" s="113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110"/>
      <c r="BQ30" s="87"/>
      <c r="BR30" s="87"/>
      <c r="BS30" s="111"/>
    </row>
    <row r="31" spans="2:71" ht="14.25" customHeight="1" x14ac:dyDescent="0.2">
      <c r="B31" s="147"/>
      <c r="C31" s="14">
        <v>43277</v>
      </c>
      <c r="D31" s="15">
        <v>0.83333333333333337</v>
      </c>
      <c r="E31" s="41" t="s">
        <v>82</v>
      </c>
      <c r="F31" s="41" t="s">
        <v>83</v>
      </c>
      <c r="G31" s="4">
        <v>1</v>
      </c>
      <c r="H31" s="4">
        <v>2</v>
      </c>
      <c r="I31" s="60"/>
      <c r="J31" s="31"/>
      <c r="K31" s="32" t="str">
        <f>IF(OR(J29&lt;3,J28&lt;2),"TIRAGE AU SORT !!!"," ")</f>
        <v xml:space="preserve"> </v>
      </c>
      <c r="L31" s="33"/>
      <c r="M31" s="33"/>
      <c r="N31" s="33"/>
      <c r="O31" s="33"/>
      <c r="P31" s="60"/>
      <c r="Q31" s="60"/>
      <c r="R31" s="60"/>
      <c r="S31" s="60"/>
      <c r="T31" s="96"/>
      <c r="U31" s="96"/>
      <c r="V31" s="96"/>
      <c r="W31" s="96"/>
      <c r="X31" s="96"/>
      <c r="Y31" s="96"/>
      <c r="Z31" s="100"/>
      <c r="AA31" s="100"/>
      <c r="AE31" s="105"/>
      <c r="AF31" s="106"/>
      <c r="AG31" s="107"/>
      <c r="AH31" s="115"/>
      <c r="AI31" s="109"/>
      <c r="AJ31" s="87"/>
      <c r="AK31" s="110"/>
      <c r="AL31" s="87"/>
      <c r="AM31" s="111"/>
      <c r="AN31" s="87"/>
      <c r="AO31" s="87"/>
      <c r="AP31" s="87"/>
      <c r="AQ31" s="87"/>
      <c r="AR31" s="110"/>
      <c r="AS31" s="87"/>
      <c r="AT31" s="87"/>
      <c r="AU31" s="111"/>
      <c r="AV31" s="110"/>
      <c r="AW31" s="87"/>
      <c r="AX31" s="87"/>
      <c r="AY31" s="111"/>
      <c r="AZ31" s="110"/>
      <c r="BA31" s="112"/>
      <c r="BB31" s="112"/>
      <c r="BC31" s="113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110"/>
      <c r="BQ31" s="87"/>
      <c r="BR31" s="87"/>
      <c r="BS31" s="111"/>
    </row>
    <row r="32" spans="2:71" ht="14.25" customHeight="1" x14ac:dyDescent="0.2">
      <c r="B32" s="148" t="s">
        <v>109</v>
      </c>
      <c r="C32" s="12">
        <v>43268</v>
      </c>
      <c r="D32" s="13">
        <v>0.58333333333333337</v>
      </c>
      <c r="E32" s="70" t="s">
        <v>85</v>
      </c>
      <c r="F32" s="70" t="s">
        <v>86</v>
      </c>
      <c r="G32" s="5">
        <v>3</v>
      </c>
      <c r="H32" s="5">
        <v>1</v>
      </c>
      <c r="I32" s="60"/>
      <c r="J32" s="42"/>
      <c r="K32" s="43" t="s">
        <v>0</v>
      </c>
      <c r="L32" s="43" t="s">
        <v>1</v>
      </c>
      <c r="M32" s="43" t="s">
        <v>2</v>
      </c>
      <c r="N32" s="43" t="s">
        <v>3</v>
      </c>
      <c r="O32" s="43" t="str">
        <f>"+/-"</f>
        <v>+/-</v>
      </c>
      <c r="P32" s="60"/>
      <c r="Q32" s="60"/>
      <c r="R32" s="60"/>
      <c r="S32" s="60"/>
      <c r="T32" s="96"/>
      <c r="U32" s="96"/>
      <c r="V32" s="96"/>
      <c r="W32" s="96"/>
      <c r="X32" s="96"/>
      <c r="Y32" s="96"/>
      <c r="Z32" s="100"/>
      <c r="AA32" s="100"/>
      <c r="AE32" s="105"/>
      <c r="AF32" s="106"/>
      <c r="AG32" s="107"/>
      <c r="AH32" s="115"/>
      <c r="AI32" s="109"/>
      <c r="AJ32" s="87"/>
      <c r="AK32" s="110"/>
      <c r="AL32" s="87"/>
      <c r="AM32" s="111"/>
      <c r="AN32" s="87"/>
      <c r="AO32" s="87"/>
      <c r="AP32" s="87"/>
      <c r="AQ32" s="87"/>
      <c r="AR32" s="110"/>
      <c r="AS32" s="87"/>
      <c r="AT32" s="87"/>
      <c r="AU32" s="111"/>
      <c r="AV32" s="110"/>
      <c r="AW32" s="87"/>
      <c r="AX32" s="87"/>
      <c r="AY32" s="111"/>
      <c r="AZ32" s="110"/>
      <c r="BA32" s="112"/>
      <c r="BB32" s="112"/>
      <c r="BC32" s="113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110"/>
      <c r="BQ32" s="87"/>
      <c r="BR32" s="87"/>
      <c r="BS32" s="111"/>
    </row>
    <row r="33" spans="2:71" ht="14.25" customHeight="1" x14ac:dyDescent="0.2">
      <c r="B33" s="148"/>
      <c r="C33" s="14">
        <v>43268</v>
      </c>
      <c r="D33" s="15">
        <v>0.83333333333333337</v>
      </c>
      <c r="E33" s="45" t="s">
        <v>87</v>
      </c>
      <c r="F33" s="45" t="s">
        <v>88</v>
      </c>
      <c r="G33" s="5">
        <v>3</v>
      </c>
      <c r="H33" s="5">
        <v>3</v>
      </c>
      <c r="I33" s="60"/>
      <c r="J33" s="44">
        <f>AE57</f>
        <v>1</v>
      </c>
      <c r="K33" s="25" t="str">
        <f>INDEX(AI57:AI60,MATCH(AG57,$AH57:$AH60,0))</f>
        <v>Brésil</v>
      </c>
      <c r="L33" s="45">
        <f>INDEX(AJ57:AJ60,MATCH(AG57,$AH57:$AH60,0))</f>
        <v>5</v>
      </c>
      <c r="M33" s="45">
        <f>INDEX(AK57:AK60,MATCH(AG57,$AH57:$AH60,0))</f>
        <v>8</v>
      </c>
      <c r="N33" s="45">
        <f>INDEX(AL57:AL60,MATCH(AG57,$AH57:$AH60,0))</f>
        <v>6</v>
      </c>
      <c r="O33" s="45">
        <f>INDEX(AM57:AM60,MATCH(AG57,$AH57:$AH60,0))</f>
        <v>2</v>
      </c>
      <c r="P33" s="60"/>
      <c r="Q33" s="60"/>
      <c r="R33" s="60"/>
      <c r="S33" s="60"/>
      <c r="T33" s="96"/>
      <c r="U33" s="96"/>
      <c r="V33" s="96"/>
      <c r="W33" s="96"/>
      <c r="X33" s="96"/>
      <c r="Y33" s="96"/>
      <c r="Z33" s="100"/>
      <c r="AA33" s="100"/>
      <c r="AE33" s="105">
        <f>IF(ROUND(AG33,0)=ROUND(AG27,0),AE27,2)</f>
        <v>2</v>
      </c>
      <c r="AF33" s="106">
        <f>ROUND(AG33,0)</f>
        <v>2</v>
      </c>
      <c r="AG33" s="107">
        <f>MAX(MIN(AH27:AH34),MIN(AH27,AH33,AH35),MIN(AH27,AH34,AH35),MIN(AH33:AH35))</f>
        <v>1.96</v>
      </c>
      <c r="AH33" s="115">
        <f>SUM(AZ33:BC33)+2.46</f>
        <v>1.96</v>
      </c>
      <c r="AI33" s="109" t="str">
        <f>F20</f>
        <v>Australie</v>
      </c>
      <c r="AJ33" s="87">
        <f>SUM(AN33:AQ33)</f>
        <v>4</v>
      </c>
      <c r="AK33" s="110">
        <f>H20+H22+G25</f>
        <v>5</v>
      </c>
      <c r="AL33" s="87">
        <f>G20+G22+H25</f>
        <v>5</v>
      </c>
      <c r="AM33" s="111">
        <f>AK33-AL33</f>
        <v>0</v>
      </c>
      <c r="AN33" s="87">
        <f>IF(ISBLANK(H20),0,IF(AO27=3,0,IF(AO27=1,1,3)))</f>
        <v>0</v>
      </c>
      <c r="AO33" s="87" t="s">
        <v>72</v>
      </c>
      <c r="AP33" s="87">
        <f>IF(ISBLANK(G25),0,IF(AO34=3,0,IF(AO34=1,1,3)))</f>
        <v>3</v>
      </c>
      <c r="AQ33" s="87">
        <f>IF(ISBLANK(H22),0,IF(H22&gt;G22,3,IF(H22=G22,1,0)))</f>
        <v>1</v>
      </c>
      <c r="AR33" s="110" t="b">
        <f>(10*(AM27-AM33)+AK27-AK33&lt;0)</f>
        <v>0</v>
      </c>
      <c r="AS33" s="87" t="s">
        <v>72</v>
      </c>
      <c r="AT33" s="87" t="b">
        <f>10*(AM33-AM34)+AK33-AK34&gt;0</f>
        <v>1</v>
      </c>
      <c r="AU33" s="111" t="b">
        <f>10*(AM33-AM35)+AK33-AK35&gt;0</f>
        <v>1</v>
      </c>
      <c r="AV33" s="110">
        <f>10000*(AN33+AP33)+(H20-G20+G25-H25)*100+(H20+G25)</f>
        <v>30004</v>
      </c>
      <c r="AW33" s="87">
        <f>10000*(AN33+AQ33)+(H20-G20+H22-G22)*100+(H20+H22)</f>
        <v>9902</v>
      </c>
      <c r="AX33" s="87" t="s">
        <v>72</v>
      </c>
      <c r="AY33" s="111">
        <f>10000*(AP33+AQ33)+(H22-G22+G25-H25)*100+(H22+G25)</f>
        <v>40104</v>
      </c>
      <c r="AZ33" s="116">
        <f>-BA27</f>
        <v>0.5</v>
      </c>
      <c r="BA33" s="87" t="s">
        <v>72</v>
      </c>
      <c r="BB33" s="112">
        <f>IF($AJ33&gt;$AJ34,-0.5,IF($AJ34&gt;$AJ33,0.5,IF(AT33,-0.5,IF(AS34,0.5,BR33))))</f>
        <v>-0.5</v>
      </c>
      <c r="BC33" s="113">
        <f>IF($AJ33&gt;$AJ35,-0.5,IF($AJ35&gt;$AJ33,0.5,IF(AU33,-0.5,IF(AS35,0.5,BS33))))</f>
        <v>-0.5</v>
      </c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110"/>
      <c r="BQ33" s="87" t="s">
        <v>72</v>
      </c>
      <c r="BR33" s="87">
        <f>IF($BL27,IF(H25-G25&lt;0,-0.5,IF(G25-H25&lt;0,0.5,0)),IF($BE27,IF($AV33&gt;$AV34,-0.5,IF($AV33&lt;$AV34,0.5,0)),IF($BH27,IF($AY33&gt;$AY34,-0.5,IF($AY33&lt;$AY34,0.5,0)),0)))</f>
        <v>0</v>
      </c>
      <c r="BS33" s="111">
        <f>IF($BM27,IF(G22-H22&lt;0,-0.5,IF(H22-G22&lt;0,0.5,0)),IF($BF27,IF($AW33&gt;$AW35,-0.5,IF($AW33&lt;$AW35,0.5,0)),IF($BH27,IF($AY33&gt;$AY35,-0.5,IF($AY33&lt;$AY35,0.5,0)),0)))</f>
        <v>0</v>
      </c>
    </row>
    <row r="34" spans="2:71" ht="14.25" customHeight="1" x14ac:dyDescent="0.2">
      <c r="B34" s="148"/>
      <c r="C34" s="12">
        <v>43273</v>
      </c>
      <c r="D34" s="13">
        <v>0.58333333333333337</v>
      </c>
      <c r="E34" s="70" t="s">
        <v>87</v>
      </c>
      <c r="F34" s="70" t="s">
        <v>85</v>
      </c>
      <c r="G34" s="5">
        <v>2</v>
      </c>
      <c r="H34" s="5">
        <v>2</v>
      </c>
      <c r="I34" s="60"/>
      <c r="J34" s="44">
        <f>AE58</f>
        <v>2</v>
      </c>
      <c r="K34" s="25" t="str">
        <f>INDEX(AI57:AI60,MATCH(AG58,$AH57:$AH60,0))</f>
        <v>Costa Rica</v>
      </c>
      <c r="L34" s="45">
        <f>INDEX(AJ57:AJ60,MATCH(AG58,$AH57:$AH60,0))</f>
        <v>5</v>
      </c>
      <c r="M34" s="45">
        <f>INDEX(AK57:AK60,MATCH(AG58,$AH57:$AH60,0))</f>
        <v>7</v>
      </c>
      <c r="N34" s="45">
        <f>INDEX(AL57:AL60,MATCH(AG58,$AH57:$AH60,0))</f>
        <v>5</v>
      </c>
      <c r="O34" s="45">
        <f>INDEX(AM57:AM60,MATCH(AG58,$AH57:$AH60,0))</f>
        <v>2</v>
      </c>
      <c r="P34" s="60"/>
      <c r="Q34" s="60"/>
      <c r="R34" s="60"/>
      <c r="S34" s="60"/>
      <c r="T34" s="96"/>
      <c r="U34" s="96"/>
      <c r="V34" s="96"/>
      <c r="W34" s="96"/>
      <c r="X34" s="96"/>
      <c r="Y34" s="96"/>
      <c r="Z34" s="100"/>
      <c r="AA34" s="100"/>
      <c r="AE34" s="105">
        <f>IF(ROUND(AG34,0)=ROUND(AG33,0),AE33,3)</f>
        <v>3</v>
      </c>
      <c r="AF34" s="106">
        <f>ROUND(AG34,0)</f>
        <v>3</v>
      </c>
      <c r="AG34" s="107">
        <f>MIN(MAX(AH27:AH34),MAX(AH27,AH33,AH35),MAX(AH27,AH34,AH35),MAX(AH33:AH35))</f>
        <v>2.98</v>
      </c>
      <c r="AH34" s="115">
        <f>SUM(AZ34:BC34)+2.47</f>
        <v>3.97</v>
      </c>
      <c r="AI34" s="109" t="str">
        <f>E21</f>
        <v>Pérou</v>
      </c>
      <c r="AJ34" s="87">
        <f>SUM(AN34:AQ34)</f>
        <v>1</v>
      </c>
      <c r="AK34" s="110">
        <f>G21+H23+H25</f>
        <v>3</v>
      </c>
      <c r="AL34" s="87">
        <f>H21+G23+G25</f>
        <v>6</v>
      </c>
      <c r="AM34" s="111">
        <f>AK34-AL34</f>
        <v>-3</v>
      </c>
      <c r="AN34" s="87">
        <f>IF(ISBLANK(H23),0,IF(AP27=3,0,IF(AP27=1,1,3)))</f>
        <v>0</v>
      </c>
      <c r="AO34" s="87">
        <f>IF(ISBLANK(H25),0,IF(H25&gt;G25,3,IF(H25=G25,1,0)))</f>
        <v>0</v>
      </c>
      <c r="AP34" s="87" t="s">
        <v>72</v>
      </c>
      <c r="AQ34" s="87">
        <f>IF(ISBLANK(G21),0,IF(G21&gt;H21,3,IF(G21=H21,1,0)))</f>
        <v>1</v>
      </c>
      <c r="AR34" s="110" t="b">
        <f>10*(AM27-AM34)+AK27-AK34&lt;0</f>
        <v>0</v>
      </c>
      <c r="AS34" s="87" t="b">
        <f>10*(AM33-AM34)+AK33-AK34&lt;0</f>
        <v>0</v>
      </c>
      <c r="AT34" s="87" t="s">
        <v>72</v>
      </c>
      <c r="AU34" s="111" t="b">
        <f>10*(AM34-AM35)+AK34-AK35&gt;0</f>
        <v>0</v>
      </c>
      <c r="AV34" s="110">
        <f>10000*(AN34+AO34)+(H23-G23+H25-G25)*100+(H23+H25)</f>
        <v>-298</v>
      </c>
      <c r="AW34" s="87" t="s">
        <v>72</v>
      </c>
      <c r="AX34" s="87">
        <f>10000*(AN34+AQ34)+(G21-H21+H23-G23)*100+(G21+H23)</f>
        <v>9801</v>
      </c>
      <c r="AY34" s="111">
        <f>10000*(AO34+AQ34)+(G21-H21+H25-G25)*100+(G21+H25)</f>
        <v>9903</v>
      </c>
      <c r="AZ34" s="116">
        <f>-BB27</f>
        <v>0.5</v>
      </c>
      <c r="BA34" s="112">
        <f>-BB33</f>
        <v>0.5</v>
      </c>
      <c r="BB34" s="112" t="s">
        <v>72</v>
      </c>
      <c r="BC34" s="113">
        <f>IF($AJ34&gt;$AJ35,-0.5,IF($AJ35&gt;$AJ34,0.5,IF(AU34,-0.5,IF(AT35,0.5,BS34))))</f>
        <v>0.5</v>
      </c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110"/>
      <c r="BQ34" s="87"/>
      <c r="BR34" s="87" t="s">
        <v>72</v>
      </c>
      <c r="BS34" s="111">
        <f>IF($BN27,IF(H21-G21&lt;0,-0.5,IF(G21-H21&lt;0,0.5,0)),IF($BG27,IF($AX34&gt;$AX35,-0.5,IF($AX34&lt;$AX35,0.5,0)),IF($BH27,IF($AY34&gt;$AY35,-0.5,IF($AY34&lt;$AY35,0.5,0)),0)))</f>
        <v>0</v>
      </c>
    </row>
    <row r="35" spans="2:71" ht="14.25" customHeight="1" x14ac:dyDescent="0.2">
      <c r="B35" s="148"/>
      <c r="C35" s="14">
        <v>43273</v>
      </c>
      <c r="D35" s="15">
        <v>0.83333333333333337</v>
      </c>
      <c r="E35" s="45" t="s">
        <v>86</v>
      </c>
      <c r="F35" s="45" t="s">
        <v>88</v>
      </c>
      <c r="G35" s="5">
        <v>1</v>
      </c>
      <c r="H35" s="5">
        <v>2</v>
      </c>
      <c r="I35" s="60"/>
      <c r="J35" s="18">
        <f>AE59</f>
        <v>3</v>
      </c>
      <c r="K35" s="1" t="str">
        <f>INDEX(AI57:AI60,MATCH(AG59,$AH57:$AH60,0))</f>
        <v>Suisse</v>
      </c>
      <c r="L35" s="19">
        <f>INDEX(AJ57:AJ60,MATCH(AG59,$AH57:$AH60,0))</f>
        <v>5</v>
      </c>
      <c r="M35" s="19">
        <f>INDEX(AK57:AK60,MATCH(AG59,$AH57:$AH60,0))</f>
        <v>7</v>
      </c>
      <c r="N35" s="19">
        <f>INDEX(AL57:AL60,MATCH(AG59,$AH57:$AH60,0))</f>
        <v>6</v>
      </c>
      <c r="O35" s="19">
        <f>INDEX(AM57:AM60,MATCH(AG59,$AH57:$AH60,0))</f>
        <v>1</v>
      </c>
      <c r="P35" s="60"/>
      <c r="Q35" s="60"/>
      <c r="R35" s="60"/>
      <c r="S35" s="60"/>
      <c r="T35" s="96"/>
      <c r="U35" s="96"/>
      <c r="V35" s="96"/>
      <c r="W35" s="96"/>
      <c r="X35" s="96"/>
      <c r="Y35" s="96"/>
      <c r="Z35" s="100"/>
      <c r="AA35" s="100"/>
      <c r="AE35" s="105">
        <f>IF(ROUND(AG35,0)=ROUND(AG34,0),AE34,4)</f>
        <v>4</v>
      </c>
      <c r="AF35" s="106">
        <f>ROUND(AG35,0)</f>
        <v>4</v>
      </c>
      <c r="AG35" s="107">
        <f>MAX(AH27:AH35)</f>
        <v>3.97</v>
      </c>
      <c r="AH35" s="117">
        <f>SUM(AZ35:BC35)+2.48</f>
        <v>2.98</v>
      </c>
      <c r="AI35" s="118" t="str">
        <f>F21</f>
        <v>Danemark</v>
      </c>
      <c r="AJ35" s="114">
        <f>SUM(AN35:AQ35)</f>
        <v>2</v>
      </c>
      <c r="AK35" s="119">
        <f>H21+G22+G24</f>
        <v>3</v>
      </c>
      <c r="AL35" s="114">
        <f>G21+H22+H24</f>
        <v>5</v>
      </c>
      <c r="AM35" s="120">
        <f>AK35-AL35</f>
        <v>-2</v>
      </c>
      <c r="AN35" s="114">
        <f>IF(ISBLANK(G24),0,IF(AQ27=3,0,IF(AQ27=1,1,3)))</f>
        <v>0</v>
      </c>
      <c r="AO35" s="114">
        <f>IF(ISBLANK(G22),0,IF(AQ33=3,0,IF(AQ33=1,1,3)))</f>
        <v>1</v>
      </c>
      <c r="AP35" s="114">
        <f>IF(ISBLANK(H21),0,IF(AQ34=3,0,IF(AQ34=1,1,3)))</f>
        <v>1</v>
      </c>
      <c r="AQ35" s="114" t="s">
        <v>72</v>
      </c>
      <c r="AR35" s="119" t="b">
        <f>10*(AM27-AM35)+AK27-AK35&lt;0</f>
        <v>0</v>
      </c>
      <c r="AS35" s="114" t="b">
        <f>10*(AM33-AM35)+AK33-AK35&lt;0</f>
        <v>0</v>
      </c>
      <c r="AT35" s="114" t="b">
        <f>10*(AM34-AM35)+AK34-AK35&lt;0</f>
        <v>1</v>
      </c>
      <c r="AU35" s="120" t="s">
        <v>72</v>
      </c>
      <c r="AV35" s="119" t="s">
        <v>72</v>
      </c>
      <c r="AW35" s="114">
        <f>10000*(AN35+AO35)+(G22-H22+G24-H24)*100+(G22+G24)</f>
        <v>9802</v>
      </c>
      <c r="AX35" s="114">
        <f>10000*(AN35+AP35)+(G24-H24+H21-G21)*100+(G24+H21)</f>
        <v>9802</v>
      </c>
      <c r="AY35" s="120">
        <f>10000*(AO35+AP35)+(G22-H22+H21-G21)*100+(G22+H21)</f>
        <v>20002</v>
      </c>
      <c r="AZ35" s="121">
        <f>-BC27</f>
        <v>0.5</v>
      </c>
      <c r="BA35" s="122">
        <f>-BC33</f>
        <v>0.5</v>
      </c>
      <c r="BB35" s="122">
        <f>-BC34</f>
        <v>-0.5</v>
      </c>
      <c r="BC35" s="120" t="s">
        <v>72</v>
      </c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119"/>
      <c r="BQ35" s="114"/>
      <c r="BR35" s="114"/>
      <c r="BS35" s="120" t="s">
        <v>72</v>
      </c>
    </row>
    <row r="36" spans="2:71" ht="14.25" customHeight="1" x14ac:dyDescent="0.2">
      <c r="B36" s="148"/>
      <c r="C36" s="12">
        <v>43278</v>
      </c>
      <c r="D36" s="13">
        <v>0.83333333333333337</v>
      </c>
      <c r="E36" s="70" t="s">
        <v>86</v>
      </c>
      <c r="F36" s="70" t="s">
        <v>87</v>
      </c>
      <c r="G36" s="5">
        <v>1</v>
      </c>
      <c r="H36" s="5">
        <v>3</v>
      </c>
      <c r="I36" s="60"/>
      <c r="J36" s="18">
        <f>AE60</f>
        <v>4</v>
      </c>
      <c r="K36" s="1" t="str">
        <f>INDEX(AI57:AI60,MATCH(AG60,$AH57:$AH60,0))</f>
        <v>Serbie</v>
      </c>
      <c r="L36" s="19">
        <f>INDEX(AJ57:AJ60,MATCH(AG60,$AH57:$AH60,0))</f>
        <v>0</v>
      </c>
      <c r="M36" s="19">
        <f>INDEX(AK57:AK60,MATCH(AG60,$AH57:$AH60,0))</f>
        <v>3</v>
      </c>
      <c r="N36" s="19">
        <f>INDEX(AL57:AL60,MATCH(AG60,$AH57:$AH60,0))</f>
        <v>8</v>
      </c>
      <c r="O36" s="19">
        <f>INDEX(AM57:AM60,MATCH(AG60,$AH57:$AH60,0))</f>
        <v>-5</v>
      </c>
      <c r="P36" s="60"/>
      <c r="Q36" s="60"/>
      <c r="R36" s="60"/>
      <c r="S36" s="60"/>
      <c r="T36" s="96"/>
      <c r="U36" s="96"/>
      <c r="V36" s="96"/>
      <c r="W36" s="96"/>
      <c r="X36" s="96"/>
      <c r="Y36" s="96"/>
      <c r="Z36" s="100"/>
      <c r="AA36" s="100"/>
    </row>
    <row r="37" spans="2:71" ht="14.25" customHeight="1" x14ac:dyDescent="0.2">
      <c r="B37" s="148"/>
      <c r="C37" s="14">
        <v>43278</v>
      </c>
      <c r="D37" s="15">
        <v>0.83333333333333337</v>
      </c>
      <c r="E37" s="45" t="s">
        <v>88</v>
      </c>
      <c r="F37" s="45" t="s">
        <v>85</v>
      </c>
      <c r="G37" s="5">
        <v>2</v>
      </c>
      <c r="H37" s="5">
        <v>2</v>
      </c>
      <c r="I37" s="60"/>
      <c r="J37" s="31"/>
      <c r="K37" s="32" t="str">
        <f>IF(OR(J35&lt;3,J34&lt;2),"TIRAGE AU SORT !!!"," ")</f>
        <v xml:space="preserve"> </v>
      </c>
      <c r="L37" s="33"/>
      <c r="M37" s="33"/>
      <c r="N37" s="33"/>
      <c r="O37" s="33"/>
      <c r="P37" s="60"/>
      <c r="Q37" s="60"/>
      <c r="R37" s="60"/>
      <c r="S37" s="60"/>
      <c r="T37" s="96"/>
      <c r="U37" s="96"/>
      <c r="V37" s="96"/>
      <c r="W37" s="96"/>
      <c r="X37" s="96"/>
      <c r="Y37" s="96"/>
      <c r="Z37" s="100"/>
      <c r="AA37" s="100"/>
    </row>
    <row r="38" spans="2:71" ht="14.25" customHeight="1" x14ac:dyDescent="0.2">
      <c r="B38" s="157" t="s">
        <v>110</v>
      </c>
      <c r="C38" s="12">
        <v>43268</v>
      </c>
      <c r="D38" s="13">
        <v>0.70833333333333337</v>
      </c>
      <c r="E38" s="71" t="s">
        <v>90</v>
      </c>
      <c r="F38" s="71" t="s">
        <v>91</v>
      </c>
      <c r="G38" s="6">
        <v>3</v>
      </c>
      <c r="H38" s="6">
        <v>0</v>
      </c>
      <c r="I38" s="60"/>
      <c r="J38" s="46"/>
      <c r="K38" s="47" t="s">
        <v>0</v>
      </c>
      <c r="L38" s="47" t="s">
        <v>1</v>
      </c>
      <c r="M38" s="47" t="s">
        <v>2</v>
      </c>
      <c r="N38" s="47" t="s">
        <v>3</v>
      </c>
      <c r="O38" s="47" t="str">
        <f>"+/-"</f>
        <v>+/-</v>
      </c>
      <c r="P38" s="60"/>
      <c r="Q38" s="60"/>
      <c r="R38" s="60"/>
      <c r="S38" s="60"/>
      <c r="T38" s="96"/>
      <c r="U38" s="96"/>
      <c r="V38" s="96"/>
      <c r="W38" s="96"/>
      <c r="X38" s="96"/>
      <c r="Y38" s="96"/>
      <c r="Z38" s="100"/>
      <c r="AA38" s="100"/>
    </row>
    <row r="39" spans="2:71" ht="14.25" customHeight="1" x14ac:dyDescent="0.2">
      <c r="B39" s="157"/>
      <c r="C39" s="14">
        <v>43269</v>
      </c>
      <c r="D39" s="15">
        <v>0.58333333333333337</v>
      </c>
      <c r="E39" s="49" t="s">
        <v>92</v>
      </c>
      <c r="F39" s="49" t="s">
        <v>93</v>
      </c>
      <c r="G39" s="6">
        <v>2</v>
      </c>
      <c r="H39" s="6">
        <v>1</v>
      </c>
      <c r="I39" s="60"/>
      <c r="J39" s="48">
        <f>AE65</f>
        <v>1</v>
      </c>
      <c r="K39" s="26" t="str">
        <f>INDEX(AI65:AI69,MATCH(AG65,$AH65:$AH69,0))</f>
        <v>Allemagne</v>
      </c>
      <c r="L39" s="49">
        <f>INDEX(AJ65:AJ69,MATCH(AG65,$AH65:$AH69,0))</f>
        <v>9</v>
      </c>
      <c r="M39" s="49">
        <f>INDEX(AK65:AK69,MATCH(AG65,$AH65:$AH69,0))</f>
        <v>9</v>
      </c>
      <c r="N39" s="49">
        <f>INDEX(AL65:AL69,MATCH(AG65,$AH65:$AH69,0))</f>
        <v>3</v>
      </c>
      <c r="O39" s="49">
        <f>INDEX(AM65:AM69,MATCH(AG65,$AH65:$AH69,0))</f>
        <v>6</v>
      </c>
      <c r="P39" s="60"/>
      <c r="Q39" s="60"/>
      <c r="R39" s="60"/>
      <c r="S39" s="60"/>
      <c r="T39" s="96"/>
      <c r="U39" s="96"/>
      <c r="V39" s="96"/>
      <c r="W39" s="96"/>
      <c r="X39" s="96"/>
      <c r="Y39" s="96"/>
      <c r="Z39" s="100"/>
      <c r="AA39" s="100"/>
      <c r="AH39" s="101" t="s">
        <v>39</v>
      </c>
      <c r="AI39" s="102" t="s">
        <v>40</v>
      </c>
      <c r="AJ39" s="103" t="s">
        <v>1</v>
      </c>
      <c r="AK39" s="101" t="s">
        <v>41</v>
      </c>
      <c r="AL39" s="103" t="s">
        <v>42</v>
      </c>
      <c r="AM39" s="104" t="s">
        <v>43</v>
      </c>
      <c r="AN39" s="103" t="s">
        <v>44</v>
      </c>
      <c r="AO39" s="103" t="s">
        <v>45</v>
      </c>
      <c r="AP39" s="103" t="s">
        <v>46</v>
      </c>
      <c r="AQ39" s="103" t="s">
        <v>47</v>
      </c>
      <c r="AR39" s="101" t="s">
        <v>48</v>
      </c>
      <c r="AS39" s="103" t="s">
        <v>49</v>
      </c>
      <c r="AT39" s="103" t="s">
        <v>50</v>
      </c>
      <c r="AU39" s="104" t="s">
        <v>51</v>
      </c>
      <c r="AV39" s="101" t="s">
        <v>52</v>
      </c>
      <c r="AW39" s="103" t="s">
        <v>53</v>
      </c>
      <c r="AX39" s="103" t="s">
        <v>54</v>
      </c>
      <c r="AY39" s="104" t="s">
        <v>55</v>
      </c>
      <c r="AZ39" s="101" t="s">
        <v>56</v>
      </c>
      <c r="BA39" s="103" t="s">
        <v>57</v>
      </c>
      <c r="BB39" s="103" t="s">
        <v>58</v>
      </c>
      <c r="BC39" s="104" t="s">
        <v>59</v>
      </c>
      <c r="BD39" s="101" t="s">
        <v>60</v>
      </c>
      <c r="BE39" s="103" t="s">
        <v>52</v>
      </c>
      <c r="BF39" s="103" t="s">
        <v>53</v>
      </c>
      <c r="BG39" s="103" t="s">
        <v>54</v>
      </c>
      <c r="BH39" s="103" t="s">
        <v>55</v>
      </c>
      <c r="BI39" s="103" t="s">
        <v>61</v>
      </c>
      <c r="BJ39" s="103" t="s">
        <v>62</v>
      </c>
      <c r="BK39" s="103" t="s">
        <v>63</v>
      </c>
      <c r="BL39" s="103" t="s">
        <v>64</v>
      </c>
      <c r="BM39" s="103" t="s">
        <v>65</v>
      </c>
      <c r="BN39" s="103" t="s">
        <v>66</v>
      </c>
      <c r="BO39" s="104" t="s">
        <v>67</v>
      </c>
      <c r="BP39" s="101" t="s">
        <v>68</v>
      </c>
      <c r="BQ39" s="103" t="s">
        <v>69</v>
      </c>
      <c r="BR39" s="103" t="s">
        <v>70</v>
      </c>
      <c r="BS39" s="104" t="s">
        <v>71</v>
      </c>
    </row>
    <row r="40" spans="2:71" ht="14.25" customHeight="1" x14ac:dyDescent="0.2">
      <c r="B40" s="157"/>
      <c r="C40" s="12">
        <v>43274</v>
      </c>
      <c r="D40" s="13">
        <v>0.70833333333333337</v>
      </c>
      <c r="E40" s="71" t="s">
        <v>93</v>
      </c>
      <c r="F40" s="71" t="s">
        <v>91</v>
      </c>
      <c r="G40" s="6">
        <v>1</v>
      </c>
      <c r="H40" s="6">
        <v>1</v>
      </c>
      <c r="I40" s="60"/>
      <c r="J40" s="48">
        <f>AE67</f>
        <v>2</v>
      </c>
      <c r="K40" s="26" t="str">
        <f>INDEX(AI65:AI69,MATCH(AG67,$AH65:$AH69,0))</f>
        <v>Suède</v>
      </c>
      <c r="L40" s="49">
        <f>INDEX(AJ65:AJ69,MATCH(AG67,$AH65:$AH69,0))</f>
        <v>4</v>
      </c>
      <c r="M40" s="49">
        <f>INDEX(AK65:AK69,MATCH(AG67,$AH65:$AH69,0))</f>
        <v>6</v>
      </c>
      <c r="N40" s="49">
        <f>INDEX(AL65:AL69,MATCH(AG67,$AH65:$AH69,0))</f>
        <v>6</v>
      </c>
      <c r="O40" s="49">
        <f>INDEX(AM65:AM69,MATCH(AG67,$AH65:$AH69,0))</f>
        <v>0</v>
      </c>
      <c r="P40" s="60"/>
      <c r="Q40" s="60"/>
      <c r="R40" s="60"/>
      <c r="S40" s="60"/>
      <c r="T40" s="96"/>
      <c r="U40" s="96"/>
      <c r="V40" s="96"/>
      <c r="W40" s="96"/>
      <c r="X40" s="96"/>
      <c r="Y40" s="96"/>
      <c r="Z40" s="100"/>
      <c r="AA40" s="100"/>
      <c r="AH40" s="124"/>
      <c r="AI40" s="125"/>
      <c r="AJ40" s="126"/>
      <c r="AK40" s="127"/>
      <c r="AL40" s="126"/>
      <c r="AM40" s="128"/>
      <c r="AN40" s="126"/>
      <c r="AO40" s="126"/>
      <c r="AP40" s="126"/>
      <c r="AQ40" s="126"/>
      <c r="AR40" s="127"/>
      <c r="AS40" s="126"/>
      <c r="AT40" s="126"/>
      <c r="AU40" s="128"/>
      <c r="AV40" s="127"/>
      <c r="AW40" s="126"/>
      <c r="AX40" s="126"/>
      <c r="AY40" s="128"/>
      <c r="AZ40" s="127"/>
      <c r="BA40" s="126"/>
      <c r="BB40" s="126"/>
      <c r="BC40" s="128"/>
      <c r="BD40" s="129"/>
      <c r="BE40" s="129"/>
      <c r="BF40" s="129"/>
      <c r="BG40" s="129"/>
      <c r="BH40" s="129"/>
      <c r="BI40" s="129"/>
      <c r="BJ40" s="129"/>
      <c r="BK40" s="129"/>
      <c r="BL40" s="129"/>
      <c r="BM40" s="129"/>
      <c r="BN40" s="129"/>
      <c r="BO40" s="129"/>
      <c r="BP40" s="127"/>
      <c r="BQ40" s="126"/>
      <c r="BR40" s="126"/>
      <c r="BS40" s="128"/>
    </row>
    <row r="41" spans="2:71" ht="14.25" customHeight="1" x14ac:dyDescent="0.2">
      <c r="B41" s="157"/>
      <c r="C41" s="14">
        <v>43274</v>
      </c>
      <c r="D41" s="15">
        <v>0.83333333333333337</v>
      </c>
      <c r="E41" s="49" t="s">
        <v>90</v>
      </c>
      <c r="F41" s="49" t="s">
        <v>92</v>
      </c>
      <c r="G41" s="6">
        <v>3</v>
      </c>
      <c r="H41" s="6">
        <v>2</v>
      </c>
      <c r="I41" s="60"/>
      <c r="J41" s="18">
        <f>AE68</f>
        <v>3</v>
      </c>
      <c r="K41" s="1" t="str">
        <f>INDEX(AI65:AI69,MATCH(AG68,$AH65:$AH69,0))</f>
        <v>Mexique</v>
      </c>
      <c r="L41" s="19">
        <f>INDEX(AJ65:AJ69,MATCH(AG68,$AH65:$AH69,0))</f>
        <v>2</v>
      </c>
      <c r="M41" s="19">
        <f>INDEX(AK65:AK69,MATCH(AG68,$AH65:$AH69,0))</f>
        <v>3</v>
      </c>
      <c r="N41" s="19">
        <f>INDEX(AL65:AL69,MATCH(AG68,$AH65:$AH69,0))</f>
        <v>6</v>
      </c>
      <c r="O41" s="19">
        <f>INDEX(AM65:AM69,MATCH(AG68,$AH65:$AH69,0))</f>
        <v>-3</v>
      </c>
      <c r="P41" s="60"/>
      <c r="Q41" s="60"/>
      <c r="R41" s="60"/>
      <c r="S41" s="60"/>
      <c r="T41" s="96"/>
      <c r="U41" s="96"/>
      <c r="V41" s="96"/>
      <c r="W41" s="96"/>
      <c r="X41" s="96"/>
      <c r="Y41" s="96"/>
      <c r="Z41" s="100"/>
      <c r="AA41" s="100"/>
      <c r="AH41" s="124"/>
      <c r="AI41" s="125"/>
      <c r="AJ41" s="126"/>
      <c r="AK41" s="127"/>
      <c r="AL41" s="126"/>
      <c r="AM41" s="128"/>
      <c r="AN41" s="126"/>
      <c r="AO41" s="126"/>
      <c r="AP41" s="126"/>
      <c r="AQ41" s="126"/>
      <c r="AR41" s="127"/>
      <c r="AS41" s="126"/>
      <c r="AT41" s="126"/>
      <c r="AU41" s="128"/>
      <c r="AV41" s="127"/>
      <c r="AW41" s="126"/>
      <c r="AX41" s="126"/>
      <c r="AY41" s="128"/>
      <c r="AZ41" s="127"/>
      <c r="BA41" s="126"/>
      <c r="BB41" s="126"/>
      <c r="BC41" s="128"/>
      <c r="BD41" s="129"/>
      <c r="BE41" s="129"/>
      <c r="BF41" s="129"/>
      <c r="BG41" s="129"/>
      <c r="BH41" s="129"/>
      <c r="BI41" s="129"/>
      <c r="BJ41" s="129"/>
      <c r="BK41" s="129"/>
      <c r="BL41" s="129"/>
      <c r="BM41" s="129"/>
      <c r="BN41" s="129"/>
      <c r="BO41" s="129"/>
      <c r="BP41" s="127"/>
      <c r="BQ41" s="126"/>
      <c r="BR41" s="126"/>
      <c r="BS41" s="128"/>
    </row>
    <row r="42" spans="2:71" ht="14.25" customHeight="1" x14ac:dyDescent="0.2">
      <c r="B42" s="157"/>
      <c r="C42" s="12">
        <v>43278</v>
      </c>
      <c r="D42" s="13">
        <v>0.66666666666666663</v>
      </c>
      <c r="E42" s="71" t="s">
        <v>93</v>
      </c>
      <c r="F42" s="71" t="s">
        <v>90</v>
      </c>
      <c r="G42" s="6">
        <v>1</v>
      </c>
      <c r="H42" s="6">
        <v>3</v>
      </c>
      <c r="I42" s="60"/>
      <c r="J42" s="18">
        <f>AE69</f>
        <v>4</v>
      </c>
      <c r="K42" s="1" t="str">
        <f>INDEX(AI65:AI69,MATCH(AG69,$AH65:$AH69,0))</f>
        <v>Corée du sud</v>
      </c>
      <c r="L42" s="19">
        <f>INDEX(AJ65:AJ69,MATCH(AG69,$AH65:$AH69,0))</f>
        <v>1</v>
      </c>
      <c r="M42" s="19">
        <f>INDEX(AK65:AK69,MATCH(AG69,$AH65:$AH69,0))</f>
        <v>3</v>
      </c>
      <c r="N42" s="19">
        <f>INDEX(AL65:AL69,MATCH(AG69,$AH65:$AH69,0))</f>
        <v>6</v>
      </c>
      <c r="O42" s="19">
        <f>INDEX(AM65:AM69,MATCH(AG69,$AH65:$AH69,0))</f>
        <v>-3</v>
      </c>
      <c r="P42" s="60"/>
      <c r="Q42" s="60"/>
      <c r="R42" s="60"/>
      <c r="S42" s="60"/>
      <c r="T42" s="96"/>
      <c r="U42" s="96"/>
      <c r="V42" s="96"/>
      <c r="W42" s="96"/>
      <c r="X42" s="96"/>
      <c r="Y42" s="96"/>
      <c r="Z42" s="100"/>
      <c r="AA42" s="100"/>
      <c r="AH42" s="124"/>
      <c r="AI42" s="125"/>
      <c r="AJ42" s="126"/>
      <c r="AK42" s="127"/>
      <c r="AL42" s="126"/>
      <c r="AM42" s="128"/>
      <c r="AN42" s="126"/>
      <c r="AO42" s="126"/>
      <c r="AP42" s="126"/>
      <c r="AQ42" s="126"/>
      <c r="AR42" s="127"/>
      <c r="AS42" s="126"/>
      <c r="AT42" s="126"/>
      <c r="AU42" s="128"/>
      <c r="AV42" s="127"/>
      <c r="AW42" s="126"/>
      <c r="AX42" s="126"/>
      <c r="AY42" s="128"/>
      <c r="AZ42" s="127"/>
      <c r="BA42" s="126"/>
      <c r="BB42" s="126"/>
      <c r="BC42" s="128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7"/>
      <c r="BQ42" s="126"/>
      <c r="BR42" s="126"/>
      <c r="BS42" s="128"/>
    </row>
    <row r="43" spans="2:71" ht="14.25" customHeight="1" x14ac:dyDescent="0.2">
      <c r="B43" s="157"/>
      <c r="C43" s="14">
        <v>43278</v>
      </c>
      <c r="D43" s="15">
        <v>0.66666666666666663</v>
      </c>
      <c r="E43" s="49" t="s">
        <v>91</v>
      </c>
      <c r="F43" s="49" t="s">
        <v>92</v>
      </c>
      <c r="G43" s="6">
        <v>2</v>
      </c>
      <c r="H43" s="6">
        <v>2</v>
      </c>
      <c r="I43" s="60"/>
      <c r="J43" s="31"/>
      <c r="K43" s="32" t="str">
        <f>IF(OR(J41&lt;3,J40&lt;2),"TIRAGE AU SORT !!!"," ")</f>
        <v xml:space="preserve"> </v>
      </c>
      <c r="L43" s="33"/>
      <c r="M43" s="33"/>
      <c r="N43" s="33"/>
      <c r="O43" s="33"/>
      <c r="P43" s="60"/>
      <c r="Q43" s="60"/>
      <c r="R43" s="60"/>
      <c r="S43" s="60"/>
      <c r="T43" s="96"/>
      <c r="U43" s="96"/>
      <c r="V43" s="96"/>
      <c r="W43" s="96"/>
      <c r="X43" s="96"/>
      <c r="Y43" s="96"/>
      <c r="Z43" s="100"/>
      <c r="AA43" s="100"/>
      <c r="AH43" s="124"/>
      <c r="AI43" s="125"/>
      <c r="AJ43" s="126"/>
      <c r="AK43" s="127"/>
      <c r="AL43" s="126"/>
      <c r="AM43" s="128"/>
      <c r="AN43" s="126"/>
      <c r="AO43" s="126"/>
      <c r="AP43" s="126"/>
      <c r="AQ43" s="126"/>
      <c r="AR43" s="127"/>
      <c r="AS43" s="126"/>
      <c r="AT43" s="126"/>
      <c r="AU43" s="128"/>
      <c r="AV43" s="127"/>
      <c r="AW43" s="126"/>
      <c r="AX43" s="126"/>
      <c r="AY43" s="128"/>
      <c r="AZ43" s="127"/>
      <c r="BA43" s="126"/>
      <c r="BB43" s="126"/>
      <c r="BC43" s="128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7"/>
      <c r="BQ43" s="126"/>
      <c r="BR43" s="126"/>
      <c r="BS43" s="128"/>
    </row>
    <row r="44" spans="2:71" ht="14.25" customHeight="1" x14ac:dyDescent="0.2">
      <c r="B44" s="158" t="s">
        <v>111</v>
      </c>
      <c r="C44" s="12">
        <v>43269</v>
      </c>
      <c r="D44" s="13">
        <v>0.70833333333333337</v>
      </c>
      <c r="E44" s="72" t="s">
        <v>96</v>
      </c>
      <c r="F44" s="72" t="s">
        <v>97</v>
      </c>
      <c r="G44" s="8">
        <v>1</v>
      </c>
      <c r="H44" s="8">
        <v>3</v>
      </c>
      <c r="I44" s="60"/>
      <c r="J44" s="50"/>
      <c r="K44" s="7" t="s">
        <v>0</v>
      </c>
      <c r="L44" s="7" t="s">
        <v>1</v>
      </c>
      <c r="M44" s="7" t="s">
        <v>2</v>
      </c>
      <c r="N44" s="7" t="s">
        <v>3</v>
      </c>
      <c r="O44" s="7" t="str">
        <f>"+/-"</f>
        <v>+/-</v>
      </c>
      <c r="P44" s="60"/>
      <c r="Q44" s="60"/>
      <c r="R44" s="60"/>
      <c r="S44" s="60"/>
      <c r="T44" s="96"/>
      <c r="U44" s="96"/>
      <c r="V44" s="96"/>
      <c r="W44" s="96"/>
      <c r="X44" s="96"/>
      <c r="Y44" s="96"/>
      <c r="Z44" s="100"/>
      <c r="AA44" s="100"/>
      <c r="AH44" s="124"/>
      <c r="AI44" s="125"/>
      <c r="AJ44" s="126"/>
      <c r="AK44" s="127"/>
      <c r="AL44" s="126"/>
      <c r="AM44" s="128"/>
      <c r="AN44" s="126"/>
      <c r="AO44" s="126"/>
      <c r="AP44" s="126"/>
      <c r="AQ44" s="126"/>
      <c r="AR44" s="127"/>
      <c r="AS44" s="126"/>
      <c r="AT44" s="126"/>
      <c r="AU44" s="128"/>
      <c r="AV44" s="127"/>
      <c r="AW44" s="126"/>
      <c r="AX44" s="126"/>
      <c r="AY44" s="128"/>
      <c r="AZ44" s="127"/>
      <c r="BA44" s="126"/>
      <c r="BB44" s="126"/>
      <c r="BC44" s="128"/>
      <c r="BD44" s="129"/>
      <c r="BE44" s="129"/>
      <c r="BF44" s="129"/>
      <c r="BG44" s="129"/>
      <c r="BH44" s="129"/>
      <c r="BI44" s="129"/>
      <c r="BJ44" s="129"/>
      <c r="BK44" s="129"/>
      <c r="BL44" s="129"/>
      <c r="BM44" s="129"/>
      <c r="BN44" s="129"/>
      <c r="BO44" s="129"/>
      <c r="BP44" s="127"/>
      <c r="BQ44" s="126"/>
      <c r="BR44" s="126"/>
      <c r="BS44" s="128"/>
    </row>
    <row r="45" spans="2:71" ht="14.25" customHeight="1" x14ac:dyDescent="0.2">
      <c r="B45" s="158"/>
      <c r="C45" s="14">
        <v>43269</v>
      </c>
      <c r="D45" s="15">
        <v>0.83333333333333337</v>
      </c>
      <c r="E45" s="52" t="s">
        <v>98</v>
      </c>
      <c r="F45" s="52" t="s">
        <v>99</v>
      </c>
      <c r="G45" s="8">
        <v>1</v>
      </c>
      <c r="H45" s="8">
        <v>3</v>
      </c>
      <c r="I45" s="60"/>
      <c r="J45" s="51">
        <f>AE74</f>
        <v>1</v>
      </c>
      <c r="K45" s="27" t="str">
        <f>INDEX(AI74:AI77,MATCH(AG74,$AH74:$AH77,0))</f>
        <v>Angleterre</v>
      </c>
      <c r="L45" s="52">
        <f>INDEX(AJ74:AJ77,MATCH(AG74,$AH74:$AH77,0))</f>
        <v>7</v>
      </c>
      <c r="M45" s="52">
        <f>INDEX(AK74:AK77,MATCH(AG74,$AH74:$AH77,0))</f>
        <v>6</v>
      </c>
      <c r="N45" s="52">
        <f>INDEX(AL74:AL77,MATCH(AG74,$AH74:$AH77,0))</f>
        <v>2</v>
      </c>
      <c r="O45" s="52">
        <f>INDEX(AM74:AM77,MATCH(AG74,$AH74:$AH77,0))</f>
        <v>4</v>
      </c>
      <c r="P45" s="60"/>
      <c r="Q45" s="60"/>
      <c r="R45" s="60"/>
      <c r="S45" s="60"/>
      <c r="T45" s="96"/>
      <c r="U45" s="96"/>
      <c r="V45" s="96"/>
      <c r="W45" s="96"/>
      <c r="X45" s="96"/>
      <c r="Y45" s="96"/>
      <c r="Z45" s="100"/>
      <c r="AA45" s="100"/>
      <c r="AE45" s="105">
        <v>1</v>
      </c>
      <c r="AF45" s="106">
        <f>ROUND(AG45,0)</f>
        <v>1</v>
      </c>
      <c r="AG45" s="107">
        <f>MIN(AH45:AH48)</f>
        <v>0.95000000000000018</v>
      </c>
      <c r="AH45" s="108">
        <f>SUM(AZ45:BC45)+2.45</f>
        <v>0.95000000000000018</v>
      </c>
      <c r="AI45" s="109" t="str">
        <f>E26</f>
        <v>Argentine</v>
      </c>
      <c r="AJ45" s="87">
        <f>SUM(AN45:AQ45)</f>
        <v>7</v>
      </c>
      <c r="AK45" s="110">
        <f>G26+G28+H30</f>
        <v>6</v>
      </c>
      <c r="AL45" s="87">
        <f>H26+H28+G30</f>
        <v>3</v>
      </c>
      <c r="AM45" s="111">
        <f>AK45-AL45</f>
        <v>3</v>
      </c>
      <c r="AN45" s="87" t="s">
        <v>72</v>
      </c>
      <c r="AO45" s="87">
        <f>IF(ISBLANK(G26),0,IF(G26&gt;H26,3,IF(G26=H26,1,0)))</f>
        <v>3</v>
      </c>
      <c r="AP45" s="87">
        <f>IF(ISBLANK(G28),0,IF(G28&gt;H28,3,IF(G28=H28,1,0)))</f>
        <v>1</v>
      </c>
      <c r="AQ45" s="87">
        <f>IF(ISBLANK(H30),0,IF(H30&gt;G30,3,IF(H30=G30,1,0)))</f>
        <v>3</v>
      </c>
      <c r="AR45" s="110" t="s">
        <v>72</v>
      </c>
      <c r="AS45" s="87" t="b">
        <f>(10*(AM45-AM46)+AK45-AK46&gt;0)</f>
        <v>1</v>
      </c>
      <c r="AT45" s="87" t="b">
        <f>10*(AM45-AM47)+AK45-AK47&gt;0</f>
        <v>1</v>
      </c>
      <c r="AU45" s="111" t="b">
        <f>10*(AM45-AM48)+AK45-AK48&gt;0</f>
        <v>1</v>
      </c>
      <c r="AV45" s="110">
        <f>10000*(AO45+AP45)+(G28-H28+G26-H26)*100+(G28+G26)</f>
        <v>40103</v>
      </c>
      <c r="AW45" s="87">
        <f>10000*(AO45+AQ45)+(G26-H26+H30-G30)*100+(G26+H30)</f>
        <v>60305</v>
      </c>
      <c r="AX45" s="87">
        <f>10000*(AP45+AQ45)+(H30-G30+G28-H28)*100+(H30+G28)</f>
        <v>40204</v>
      </c>
      <c r="AY45" s="111" t="s">
        <v>72</v>
      </c>
      <c r="AZ45" s="110" t="s">
        <v>72</v>
      </c>
      <c r="BA45" s="112">
        <f>IF($AJ45&gt;$AJ46,-0.5,IF($AJ46&gt;$AJ45,0.5,IF(AS45,-0.5,IF(AR46,0.5,BQ45))))</f>
        <v>-0.5</v>
      </c>
      <c r="BB45" s="112">
        <f>IF($AJ45&gt;$AJ47,-0.5,IF($AJ47&gt;$AJ45,0.5,IF(AT45,-0.5,IF(AR47,0.5,BR45))))</f>
        <v>-0.5</v>
      </c>
      <c r="BC45" s="113">
        <f>IF($AJ45&gt;$AJ48,-0.5,IF($AJ48&gt;$AJ45,0.5,IF(AU45,-0.5,IF(AR48,0.5,BS45))))</f>
        <v>-0.5</v>
      </c>
      <c r="BD45" s="114" t="b">
        <f>AND(AND(AJ45=AJ46,AJ46=AJ47,AJ47=AJ48),AND(AK45=AK46,AK46=AK47,AK47=AK48),AND(AL45=AL46,AL46=AL47,AL47=AL48))</f>
        <v>0</v>
      </c>
      <c r="BE45" s="114" t="b">
        <f>AND(NOT(BD45),AJ45=AJ46,AJ45=AJ47,AK45=AK46,AK45=AK47,AL45=AL46,AL45=AL47)</f>
        <v>0</v>
      </c>
      <c r="BF45" s="114" t="b">
        <f>AND(NOT(BD45),AJ45=AJ46,AJ45=AJ48,AK45=AK46,AK45=AK48,AL45=AL46,AL45=AL48)</f>
        <v>0</v>
      </c>
      <c r="BG45" s="114" t="b">
        <f>AND(NOT(BD45),AJ45=AJ47,AJ45=AJ48,AK45=AK47,AK45=AK48,AL45=AL47,AL45=AL48)</f>
        <v>0</v>
      </c>
      <c r="BH45" s="114" t="b">
        <f>AND(NOT(BD45),AJ46=AJ47,AJ46=AJ48,AK46=AK47,AK46=AK48,AL46=AL47,AL46=AL48)</f>
        <v>0</v>
      </c>
      <c r="BI45" s="114" t="b">
        <f>AND(NOT(BD45),NOT(BE45),NOT(BF45),AJ45=AJ46,AK45=AK46,AL45=AL46)</f>
        <v>0</v>
      </c>
      <c r="BJ45" s="114" t="b">
        <f>AND(NOT(BD45),NOT(BE45),NOT(BG45),AJ45=AJ47,AK45=AK47,AL45=AL47)</f>
        <v>0</v>
      </c>
      <c r="BK45" s="114" t="b">
        <f>AND(NOT(BD45),NOT(BF45),NOT(BG45),AJ45=AJ48,AK45=AK48,AL45=AL48)</f>
        <v>0</v>
      </c>
      <c r="BL45" s="114" t="b">
        <f>AND(NOT(BD45),NOT(BE45),NOT(BH45),AJ46=AJ47,AK46=AK47)</f>
        <v>0</v>
      </c>
      <c r="BM45" s="114" t="b">
        <f>AND(NOT(BD45),NOT(BF45),NOT(BH45),AJ46=AJ48,AK46=AK48,AL46=AL48)</f>
        <v>0</v>
      </c>
      <c r="BN45" s="114" t="b">
        <f>AND(NOT(BD45),NOT(BG45),NOT(BH45),AJ47=AJ48,AK47=AK48,AL47=AL48)</f>
        <v>0</v>
      </c>
      <c r="BO45" s="114" t="b">
        <f t="array" ref="BO45">AND(NOT(BD45:BN45))</f>
        <v>1</v>
      </c>
      <c r="BP45" s="110" t="s">
        <v>72</v>
      </c>
      <c r="BQ45" s="87">
        <f>IF($BI45,IF(H26-G26&lt;0,-0.5,IF(G26-H26&lt;0,0.5,0)),IF($BE45,IF($AV45&gt;$AV46,-0.5,IF($AV45&lt;$AV46,0.5,0)),IF($BF45,IF($AW45&gt;$AW46,-0.5, IF($AW45&lt;$AW46,0.5,0)),0)))</f>
        <v>0</v>
      </c>
      <c r="BR45" s="87">
        <f>IF($BJ45,IF(H28-G28&lt;0,-0.5,IF(G28-H28&lt;0,0.5,0)),IF($BE45,IF($AV45&gt;$AV47,-0.5,IF($AV45&lt;$AV47,0.5,0)),IF($BG45,IF($AX45&gt;$AX47,-0.5,IF($AX45&lt;$AX47,0.5,0)),0)))</f>
        <v>0</v>
      </c>
      <c r="BS45" s="111">
        <f>IF($BK45,IF(G30-H30&lt;0,-0.5,IF(H30-G30&lt;0,0.5,0)),IF($BF45,IF($AW45&gt;$AW48,-0.5,IF($AW45&lt;$AW48,0.5,0)),IF($BG45,IF($AX45&gt;$AX48,-0.5, IF($AX45&lt;$AX48,0.5,0)),0)))</f>
        <v>0</v>
      </c>
    </row>
    <row r="46" spans="2:71" ht="14.25" customHeight="1" x14ac:dyDescent="0.2">
      <c r="B46" s="158"/>
      <c r="C46" s="12">
        <v>43274</v>
      </c>
      <c r="D46" s="13">
        <v>0.58333333333333337</v>
      </c>
      <c r="E46" s="72" t="s">
        <v>96</v>
      </c>
      <c r="F46" s="72" t="s">
        <v>98</v>
      </c>
      <c r="G46" s="8">
        <v>2</v>
      </c>
      <c r="H46" s="8">
        <v>0</v>
      </c>
      <c r="I46" s="60"/>
      <c r="J46" s="51">
        <f>AE75</f>
        <v>2</v>
      </c>
      <c r="K46" s="27" t="str">
        <f>INDEX(AI74:AI77,MATCH(AG75,$AH74:$AH77,0))</f>
        <v>Panama</v>
      </c>
      <c r="L46" s="52">
        <f>INDEX(AJ74:AJ77,MATCH(AG75,$AH74:$AH77,0))</f>
        <v>6</v>
      </c>
      <c r="M46" s="52">
        <f>INDEX(AK74:AK77,MATCH(AG75,$AH74:$AH77,0))</f>
        <v>5</v>
      </c>
      <c r="N46" s="52">
        <f>INDEX(AL74:AL77,MATCH(AG75,$AH74:$AH77,0))</f>
        <v>4</v>
      </c>
      <c r="O46" s="52">
        <f>INDEX(AM74:AM77,MATCH(AG75,$AH74:$AH77,0))</f>
        <v>1</v>
      </c>
      <c r="P46" s="60"/>
      <c r="Q46" s="60"/>
      <c r="R46" s="60"/>
      <c r="S46" s="60"/>
      <c r="T46" s="96"/>
      <c r="U46" s="96"/>
      <c r="V46" s="96"/>
      <c r="W46" s="96"/>
      <c r="X46" s="96"/>
      <c r="Y46" s="96"/>
      <c r="Z46" s="100"/>
      <c r="AA46" s="100"/>
      <c r="AE46" s="105">
        <f>IF(ROUND(AG46,0)=ROUND(AG45,0),AE45,2)</f>
        <v>2</v>
      </c>
      <c r="AF46" s="106">
        <f>ROUND(AG46,0)</f>
        <v>2</v>
      </c>
      <c r="AG46" s="107">
        <f>MAX(MIN(AH45:AH47),MIN(AH45,AH46,AH48),MIN(AH45,AH47,AH48),MIN(AH46:AH48))</f>
        <v>1.9700000000000002</v>
      </c>
      <c r="AH46" s="115">
        <f>SUM(AZ46:BC46)+2.46</f>
        <v>3.96</v>
      </c>
      <c r="AI46" s="109" t="str">
        <f>F26</f>
        <v>Islande</v>
      </c>
      <c r="AJ46" s="87">
        <f>SUM(AN46:AQ46)</f>
        <v>0</v>
      </c>
      <c r="AK46" s="110">
        <f>H26+H29+G31</f>
        <v>4</v>
      </c>
      <c r="AL46" s="87">
        <f>G26+G29+H31</f>
        <v>7</v>
      </c>
      <c r="AM46" s="111">
        <f>AK46-AL46</f>
        <v>-3</v>
      </c>
      <c r="AN46" s="87">
        <f>IF(ISBLANK(H26),0,IF(AO45=3,0,IF(AO45=1,1,3)))</f>
        <v>0</v>
      </c>
      <c r="AO46" s="87" t="s">
        <v>72</v>
      </c>
      <c r="AP46" s="87">
        <f>IF(ISBLANK(G31),0,IF(AO47=3,0,IF(AO47=1,1,3)))</f>
        <v>0</v>
      </c>
      <c r="AQ46" s="87">
        <f>IF(ISBLANK(H29),0,IF(H29&gt;G29,3,IF(H29=G29,1,0)))</f>
        <v>0</v>
      </c>
      <c r="AR46" s="110" t="b">
        <f>(10*(AM45-AM46)+AK45-AK46&lt;0)</f>
        <v>0</v>
      </c>
      <c r="AS46" s="87" t="s">
        <v>72</v>
      </c>
      <c r="AT46" s="87" t="b">
        <f>10*(AM46-AM47)+AK46-AK47&gt;0</f>
        <v>0</v>
      </c>
      <c r="AU46" s="111" t="b">
        <f>10*(AM46-AM48)+AK46-AK48&gt;0</f>
        <v>0</v>
      </c>
      <c r="AV46" s="110">
        <f>10000*(AN46+AP46)+(H26-G26+G31-H31)*100+(H26+G31)</f>
        <v>-198</v>
      </c>
      <c r="AW46" s="87">
        <f>10000*(AN46+AQ46)+(H26-G26+H29-G29)*100+(H26+H29)</f>
        <v>-197</v>
      </c>
      <c r="AX46" s="87" t="s">
        <v>72</v>
      </c>
      <c r="AY46" s="111">
        <f>10000*(AP46+AQ46)+(H29-G29+G31-H31)*100+(H29+G31)</f>
        <v>-197</v>
      </c>
      <c r="AZ46" s="116">
        <f>-BA45</f>
        <v>0.5</v>
      </c>
      <c r="BA46" s="87" t="s">
        <v>72</v>
      </c>
      <c r="BB46" s="112">
        <f>IF($AJ46&gt;$AJ47,-0.5,IF($AJ47&gt;$AJ46,0.5,IF(AT46,-0.5,IF(AS47,0.5,BR46))))</f>
        <v>0.5</v>
      </c>
      <c r="BC46" s="113">
        <f>IF($AJ46&gt;$AJ48,-0.5,IF($AJ48&gt;$AJ46,0.5,IF(AU46,-0.5,IF(AS48,0.5,BS46))))</f>
        <v>0.5</v>
      </c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110"/>
      <c r="BQ46" s="87" t="s">
        <v>72</v>
      </c>
      <c r="BR46" s="87">
        <f>IF($BL45,IF(H31-G31&lt;0,-0.5,IF(G31-H31&lt;0,0.5,0)),IF($BE45,IF($AV46&gt;$AV47,-0.5,IF($AV46&lt;$AV47,0.5,0)),IF($BH45,IF($AY46&gt;$AY47,-0.5,IF($AY46&lt;$AY47,0.5,0)),0)))</f>
        <v>0</v>
      </c>
      <c r="BS46" s="111">
        <f>IF($BM45,IF(G29-H29&lt;0,-0.5,IF(H29-G29&lt;0,0.5,0)),IF($BF45,IF($AW46&gt;$AW48,-0.5,IF($AW46&lt;$AW48,0.5,0)),IF($BH45,IF($AY46&gt;$AY48,-0.5,IF($AY46&lt;$AY48,0.5,0)),0)))</f>
        <v>0</v>
      </c>
    </row>
    <row r="47" spans="2:71" ht="14.25" customHeight="1" x14ac:dyDescent="0.2">
      <c r="B47" s="158"/>
      <c r="C47" s="14">
        <v>43275</v>
      </c>
      <c r="D47" s="15">
        <v>0.58333333333333337</v>
      </c>
      <c r="E47" s="52" t="s">
        <v>99</v>
      </c>
      <c r="F47" s="52" t="s">
        <v>97</v>
      </c>
      <c r="G47" s="8">
        <v>2</v>
      </c>
      <c r="H47" s="8">
        <v>0</v>
      </c>
      <c r="I47" s="60"/>
      <c r="J47" s="18">
        <f>AE76</f>
        <v>3</v>
      </c>
      <c r="K47" s="1" t="str">
        <f>INDEX(AI74:AI77,MATCH(AG76,$AH74:$AH77,0))</f>
        <v>Belgique</v>
      </c>
      <c r="L47" s="19">
        <f>INDEX(AJ74:AJ77,MATCH(AG76,$AH74:$AH77,0))</f>
        <v>4</v>
      </c>
      <c r="M47" s="19">
        <f>INDEX(AK74:AK77,MATCH(AG76,$AH74:$AH77,0))</f>
        <v>4</v>
      </c>
      <c r="N47" s="19">
        <f>INDEX(AL74:AL77,MATCH(AG76,$AH74:$AH77,0))</f>
        <v>4</v>
      </c>
      <c r="O47" s="19">
        <f>INDEX(AM74:AM77,MATCH(AG76,$AH74:$AH77,0))</f>
        <v>0</v>
      </c>
      <c r="P47" s="60"/>
      <c r="Q47" s="60"/>
      <c r="R47" s="60"/>
      <c r="S47" s="60"/>
      <c r="T47" s="96"/>
      <c r="U47" s="96"/>
      <c r="V47" s="96"/>
      <c r="W47" s="96"/>
      <c r="X47" s="96"/>
      <c r="Y47" s="96"/>
      <c r="Z47" s="100"/>
      <c r="AA47" s="100"/>
      <c r="AE47" s="105">
        <f>IF(ROUND(AG47,0)=ROUND(AG46,0),AE46,3)</f>
        <v>3</v>
      </c>
      <c r="AF47" s="106">
        <f>ROUND(AG47,0)</f>
        <v>3</v>
      </c>
      <c r="AG47" s="107">
        <f>MIN(MAX(AH45:AH47),MAX(AH45,AH46,AH48),MAX(AH45,AH47,AH48),MAX(AH46:AH48))</f>
        <v>2.98</v>
      </c>
      <c r="AH47" s="115">
        <f>SUM(AZ47:BC47)+2.47</f>
        <v>1.9700000000000002</v>
      </c>
      <c r="AI47" s="109" t="str">
        <f>E27</f>
        <v>Croatie</v>
      </c>
      <c r="AJ47" s="87">
        <f>SUM(AN47:AQ47)</f>
        <v>7</v>
      </c>
      <c r="AK47" s="110">
        <f>G27+H28+H31</f>
        <v>5</v>
      </c>
      <c r="AL47" s="87">
        <f>H27+G28+G31</f>
        <v>3</v>
      </c>
      <c r="AM47" s="111">
        <f>AK47-AL47</f>
        <v>2</v>
      </c>
      <c r="AN47" s="87">
        <f>IF(ISBLANK(H28),0,IF(AP45=3,0,IF(AP45=1,1,3)))</f>
        <v>1</v>
      </c>
      <c r="AO47" s="87">
        <f>IF(ISBLANK(H31),0,IF(H31&gt;G31,3,IF(H31=G31,1,0)))</f>
        <v>3</v>
      </c>
      <c r="AP47" s="87" t="s">
        <v>72</v>
      </c>
      <c r="AQ47" s="87">
        <f>IF(ISBLANK(G27),0,IF(G27&gt;H27,3,IF(G27=H27,1,0)))</f>
        <v>3</v>
      </c>
      <c r="AR47" s="110" t="b">
        <f>10*(AM45-AM47)+AK45-AK47&lt;0</f>
        <v>0</v>
      </c>
      <c r="AS47" s="87" t="b">
        <f>10*(AM46-AM47)+AK46-AK47&lt;0</f>
        <v>1</v>
      </c>
      <c r="AT47" s="87" t="s">
        <v>72</v>
      </c>
      <c r="AU47" s="111" t="b">
        <f>10*(AM47-AM48)+AK47-AK48&gt;0</f>
        <v>1</v>
      </c>
      <c r="AV47" s="110">
        <f>10000*(AN47+AO47)+(H28-G28+H31-G31)*100+(H28+H31)</f>
        <v>40103</v>
      </c>
      <c r="AW47" s="87" t="s">
        <v>72</v>
      </c>
      <c r="AX47" s="87">
        <f>10000*(AN47+AQ47)+(G27-H27+H28-G28)*100+(G27+H28)</f>
        <v>40103</v>
      </c>
      <c r="AY47" s="111">
        <f>10000*(AO47+AQ47)+(G27-H27+H31-G31)*100+(G27+H31)</f>
        <v>60204</v>
      </c>
      <c r="AZ47" s="116">
        <f>-BB45</f>
        <v>0.5</v>
      </c>
      <c r="BA47" s="112">
        <f>-BB46</f>
        <v>-0.5</v>
      </c>
      <c r="BB47" s="112" t="s">
        <v>72</v>
      </c>
      <c r="BC47" s="113">
        <f>IF($AJ47&gt;$AJ48,-0.5,IF($AJ48&gt;$AJ47,0.5,IF(AU47,-0.5,IF(AT48,0.5,BS47))))</f>
        <v>-0.5</v>
      </c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110"/>
      <c r="BQ47" s="87"/>
      <c r="BR47" s="87" t="s">
        <v>72</v>
      </c>
      <c r="BS47" s="111">
        <f>IF($BN45,IF(H27-G27&lt;0,-0.5,IF(G27-H27&lt;0,0.5,0)),IF($BG45,IF($AX47&gt;$AX48,-0.5,IF($AX47&lt;$AX48,0.5,0)),IF($BH45,IF($AY47&gt;$AY48,-0.5,IF($AY47&lt;$AY48,0.5,0)),0)))</f>
        <v>0</v>
      </c>
    </row>
    <row r="48" spans="2:71" ht="14.25" customHeight="1" x14ac:dyDescent="0.2">
      <c r="B48" s="158"/>
      <c r="C48" s="12">
        <v>43279</v>
      </c>
      <c r="D48" s="13">
        <v>0.83333333333333337</v>
      </c>
      <c r="E48" s="72" t="s">
        <v>99</v>
      </c>
      <c r="F48" s="72" t="s">
        <v>96</v>
      </c>
      <c r="G48" s="8">
        <v>1</v>
      </c>
      <c r="H48" s="8">
        <v>1</v>
      </c>
      <c r="I48" s="60"/>
      <c r="J48" s="18">
        <f>AE77</f>
        <v>4</v>
      </c>
      <c r="K48" s="1" t="str">
        <f>INDEX(AI74:AI77,MATCH(AG77,$AH74:$AH77,0))</f>
        <v>Tunisie</v>
      </c>
      <c r="L48" s="19">
        <f>INDEX(AJ74:AJ77,MATCH(AG77,$AH74:$AH77,0))</f>
        <v>0</v>
      </c>
      <c r="M48" s="19">
        <f>INDEX(AK74:AK77,MATCH(AG77,$AH74:$AH77,0))</f>
        <v>2</v>
      </c>
      <c r="N48" s="19">
        <f>INDEX(AL74:AL77,MATCH(AG77,$AH74:$AH77,0))</f>
        <v>7</v>
      </c>
      <c r="O48" s="19">
        <f>INDEX(AM74:AM77,MATCH(AG77,$AH74:$AH77,0))</f>
        <v>-5</v>
      </c>
      <c r="P48" s="60"/>
      <c r="Q48" s="60"/>
      <c r="R48" s="60"/>
      <c r="S48" s="60"/>
      <c r="T48" s="96"/>
      <c r="U48" s="96"/>
      <c r="V48" s="96"/>
      <c r="W48" s="96"/>
      <c r="X48" s="96"/>
      <c r="Y48" s="96"/>
      <c r="Z48" s="100"/>
      <c r="AA48" s="100"/>
      <c r="AE48" s="105">
        <f>IF(ROUND(AG48,0)=ROUND(AG47,0),AE47,4)</f>
        <v>4</v>
      </c>
      <c r="AF48" s="106">
        <f>ROUND(AG48,0)</f>
        <v>4</v>
      </c>
      <c r="AG48" s="107">
        <f>MAX(AH45:AH48)</f>
        <v>3.96</v>
      </c>
      <c r="AH48" s="117">
        <f>SUM(AZ48:BC48)+2.48</f>
        <v>2.98</v>
      </c>
      <c r="AI48" s="118" t="str">
        <f>F27</f>
        <v>Nigéria</v>
      </c>
      <c r="AJ48" s="114">
        <f>SUM(AN48:AQ48)</f>
        <v>3</v>
      </c>
      <c r="AK48" s="119">
        <f>H27+G29+G30</f>
        <v>5</v>
      </c>
      <c r="AL48" s="114">
        <f>G27+H29+H30</f>
        <v>7</v>
      </c>
      <c r="AM48" s="120">
        <f>AK48-AL48</f>
        <v>-2</v>
      </c>
      <c r="AN48" s="114">
        <f>IF(ISBLANK(G30),0,IF(AQ45=3,0,IF(AQ45=1,1,3)))</f>
        <v>0</v>
      </c>
      <c r="AO48" s="114">
        <f>IF(ISBLANK(G29),0,IF(AQ46=3,0,IF(AQ46=1,1,3)))</f>
        <v>3</v>
      </c>
      <c r="AP48" s="114">
        <f>IF(ISBLANK(H27),0,IF(AQ47=3,0,IF(AQ47=1,1,3)))</f>
        <v>0</v>
      </c>
      <c r="AQ48" s="114" t="s">
        <v>72</v>
      </c>
      <c r="AR48" s="119" t="b">
        <f>10*(AM45-AM48)+AK45-AK48&lt;0</f>
        <v>0</v>
      </c>
      <c r="AS48" s="114" t="b">
        <f>10*(AM46-AM48)+AK46-AK48&lt;0</f>
        <v>1</v>
      </c>
      <c r="AT48" s="114" t="b">
        <f>10*(AM47-AM48)+AK47-AK48&lt;0</f>
        <v>0</v>
      </c>
      <c r="AU48" s="120" t="s">
        <v>72</v>
      </c>
      <c r="AV48" s="119" t="s">
        <v>72</v>
      </c>
      <c r="AW48" s="114">
        <f>10000*(AN48+AO48)+(G29-H29+G30-H30)*100+(G29+G30)</f>
        <v>29904</v>
      </c>
      <c r="AX48" s="114">
        <f>10000*(AN48+AP48)+(G30-H30+H27-G27)*100+(G30+H27)</f>
        <v>-298</v>
      </c>
      <c r="AY48" s="120">
        <f>10000*(AO48+AP48)+(G29-H29+H27-G27)*100+(G29+H27)</f>
        <v>30004</v>
      </c>
      <c r="AZ48" s="121">
        <f>-BC45</f>
        <v>0.5</v>
      </c>
      <c r="BA48" s="122">
        <f>-BC46</f>
        <v>-0.5</v>
      </c>
      <c r="BB48" s="122">
        <f>-BC47</f>
        <v>0.5</v>
      </c>
      <c r="BC48" s="120" t="s">
        <v>72</v>
      </c>
      <c r="BD48" s="85"/>
      <c r="BE48" s="85"/>
      <c r="BF48" s="85"/>
      <c r="BG48" s="85"/>
      <c r="BH48" s="85"/>
      <c r="BI48" s="85"/>
      <c r="BJ48" s="85"/>
      <c r="BK48" s="85"/>
      <c r="BL48" s="85"/>
      <c r="BM48" s="85"/>
      <c r="BN48" s="85"/>
      <c r="BO48" s="85"/>
      <c r="BP48" s="119"/>
      <c r="BQ48" s="114"/>
      <c r="BR48" s="114"/>
      <c r="BS48" s="120" t="s">
        <v>72</v>
      </c>
    </row>
    <row r="49" spans="2:71" ht="14.25" customHeight="1" x14ac:dyDescent="0.2">
      <c r="B49" s="158"/>
      <c r="C49" s="14">
        <v>43279</v>
      </c>
      <c r="D49" s="15">
        <v>0.83333333333333337</v>
      </c>
      <c r="E49" s="52" t="s">
        <v>97</v>
      </c>
      <c r="F49" s="52" t="s">
        <v>98</v>
      </c>
      <c r="G49" s="8">
        <v>2</v>
      </c>
      <c r="H49" s="8">
        <v>1</v>
      </c>
      <c r="I49" s="60"/>
      <c r="J49" s="31"/>
      <c r="K49" s="32" t="str">
        <f>IF(OR(J47&lt;3,J46&lt;2),"TIRAGE AU SORT !!!"," ")</f>
        <v xml:space="preserve"> </v>
      </c>
      <c r="L49" s="33"/>
      <c r="M49" s="33"/>
      <c r="N49" s="33"/>
      <c r="O49" s="33"/>
      <c r="P49" s="60"/>
      <c r="Q49" s="60"/>
      <c r="R49" s="60"/>
      <c r="S49" s="60"/>
      <c r="T49" s="96"/>
      <c r="U49" s="96"/>
      <c r="V49" s="96"/>
      <c r="W49" s="96"/>
      <c r="X49" s="96"/>
      <c r="Y49" s="96"/>
      <c r="Z49" s="100"/>
      <c r="AA49" s="100"/>
    </row>
    <row r="50" spans="2:71" ht="14.25" customHeight="1" x14ac:dyDescent="0.2">
      <c r="B50" s="159" t="s">
        <v>112</v>
      </c>
      <c r="C50" s="12">
        <v>43270</v>
      </c>
      <c r="D50" s="13">
        <v>0.58333333333333337</v>
      </c>
      <c r="E50" s="73" t="s">
        <v>101</v>
      </c>
      <c r="F50" s="73" t="s">
        <v>102</v>
      </c>
      <c r="G50" s="9">
        <v>3</v>
      </c>
      <c r="H50" s="9">
        <v>1</v>
      </c>
      <c r="I50" s="60"/>
      <c r="J50" s="53"/>
      <c r="K50" s="54" t="s">
        <v>0</v>
      </c>
      <c r="L50" s="54" t="s">
        <v>1</v>
      </c>
      <c r="M50" s="54" t="s">
        <v>2</v>
      </c>
      <c r="N50" s="54" t="s">
        <v>3</v>
      </c>
      <c r="O50" s="54" t="str">
        <f>"+/-"</f>
        <v>+/-</v>
      </c>
      <c r="P50" s="60"/>
      <c r="Q50" s="60"/>
      <c r="R50" s="60"/>
      <c r="S50" s="60"/>
      <c r="T50" s="96"/>
      <c r="U50" s="96"/>
      <c r="V50" s="96"/>
      <c r="W50" s="96"/>
      <c r="X50" s="96"/>
      <c r="Y50" s="96"/>
      <c r="Z50" s="100"/>
      <c r="AA50" s="100"/>
    </row>
    <row r="51" spans="2:71" ht="14.25" customHeight="1" x14ac:dyDescent="0.2">
      <c r="B51" s="159"/>
      <c r="C51" s="14">
        <v>43270</v>
      </c>
      <c r="D51" s="15">
        <v>0.70833333333333337</v>
      </c>
      <c r="E51" s="56" t="s">
        <v>103</v>
      </c>
      <c r="F51" s="56" t="s">
        <v>104</v>
      </c>
      <c r="G51" s="9">
        <v>0</v>
      </c>
      <c r="H51" s="9">
        <v>2</v>
      </c>
      <c r="I51" s="60"/>
      <c r="J51" s="55">
        <f>AE84</f>
        <v>1</v>
      </c>
      <c r="K51" s="28" t="str">
        <f>INDEX(AI84:AI87,MATCH(AG84,$AH84:$AH87,0))</f>
        <v>Colombie</v>
      </c>
      <c r="L51" s="56">
        <f>INDEX(AJ84:AJ87,MATCH(AG84,$AH84:$AH87,0))</f>
        <v>7</v>
      </c>
      <c r="M51" s="56">
        <f>INDEX(AK84:AK87,MATCH(AG84,$AH84:$AH87,0))</f>
        <v>8</v>
      </c>
      <c r="N51" s="56">
        <f>INDEX(AL84:AL87,MATCH(AG84,$AH84:$AH87,0))</f>
        <v>5</v>
      </c>
      <c r="O51" s="56">
        <f>INDEX(AM84:AM87,MATCH(AG84,$AH84:$AH87,0))</f>
        <v>3</v>
      </c>
      <c r="P51" s="60"/>
      <c r="Q51" s="60"/>
      <c r="R51" s="60"/>
      <c r="S51" s="60"/>
      <c r="T51" s="96"/>
      <c r="U51" s="96"/>
      <c r="V51" s="96"/>
      <c r="W51" s="96"/>
      <c r="X51" s="96"/>
      <c r="Y51" s="96"/>
      <c r="Z51" s="100"/>
      <c r="AA51" s="100"/>
    </row>
    <row r="52" spans="2:71" ht="14.25" customHeight="1" x14ac:dyDescent="0.2">
      <c r="B52" s="159"/>
      <c r="C52" s="12">
        <v>43275</v>
      </c>
      <c r="D52" s="13">
        <v>0.70833333333333337</v>
      </c>
      <c r="E52" s="73" t="s">
        <v>102</v>
      </c>
      <c r="F52" s="73" t="s">
        <v>104</v>
      </c>
      <c r="G52" s="9">
        <v>2</v>
      </c>
      <c r="H52" s="9">
        <v>2</v>
      </c>
      <c r="I52" s="60"/>
      <c r="J52" s="55">
        <f>AE85</f>
        <v>2</v>
      </c>
      <c r="K52" s="28" t="str">
        <f>INDEX(AI84:AI87,MATCH(AG85,$AH84:$AH87,0))</f>
        <v>Sénégal</v>
      </c>
      <c r="L52" s="56">
        <f>INDEX(AJ84:AJ87,MATCH(AG85,$AH84:$AH87,0))</f>
        <v>4</v>
      </c>
      <c r="M52" s="56">
        <f>INDEX(AK84:AK87,MATCH(AG85,$AH84:$AH87,0))</f>
        <v>6</v>
      </c>
      <c r="N52" s="56">
        <f>INDEX(AL84:AL87,MATCH(AG85,$AH84:$AH87,0))</f>
        <v>5</v>
      </c>
      <c r="O52" s="56">
        <f>INDEX(AM84:AM87,MATCH(AG85,$AH84:$AH87,0))</f>
        <v>1</v>
      </c>
      <c r="P52" s="60"/>
      <c r="Q52" s="60"/>
      <c r="R52" s="60"/>
      <c r="S52" s="60"/>
      <c r="T52" s="96"/>
      <c r="U52" s="96"/>
      <c r="V52" s="96"/>
      <c r="W52" s="96"/>
      <c r="X52" s="96"/>
      <c r="Y52" s="96"/>
      <c r="Z52" s="100"/>
      <c r="AA52" s="100"/>
    </row>
    <row r="53" spans="2:71" ht="14.25" customHeight="1" x14ac:dyDescent="0.2">
      <c r="B53" s="159"/>
      <c r="C53" s="14">
        <v>43275</v>
      </c>
      <c r="D53" s="15">
        <v>0.83333333333333337</v>
      </c>
      <c r="E53" s="56" t="s">
        <v>103</v>
      </c>
      <c r="F53" s="56" t="s">
        <v>101</v>
      </c>
      <c r="G53" s="9">
        <v>2</v>
      </c>
      <c r="H53" s="9">
        <v>2</v>
      </c>
      <c r="I53" s="60"/>
      <c r="J53" s="18">
        <f>AE86</f>
        <v>3</v>
      </c>
      <c r="K53" s="1" t="str">
        <f>INDEX(AI84:AI87,MATCH(AG86,$AH84:$AH87,0))</f>
        <v>Pologne</v>
      </c>
      <c r="L53" s="19">
        <f>INDEX(AJ84:AJ87,MATCH(AG86,$AH84:$AH87,0))</f>
        <v>4</v>
      </c>
      <c r="M53" s="19">
        <f>INDEX(AK84:AK87,MATCH(AG86,$AH84:$AH87,0))</f>
        <v>4</v>
      </c>
      <c r="N53" s="19">
        <f>INDEX(AL84:AL87,MATCH(AG86,$AH84:$AH87,0))</f>
        <v>5</v>
      </c>
      <c r="O53" s="19">
        <f>INDEX(AM84:AM87,MATCH(AG86,$AH84:$AH87,0))</f>
        <v>-1</v>
      </c>
      <c r="P53" s="60"/>
      <c r="Q53" s="60"/>
      <c r="R53" s="60"/>
      <c r="S53" s="60"/>
      <c r="T53" s="96"/>
      <c r="U53" s="96"/>
      <c r="V53" s="96"/>
      <c r="W53" s="96"/>
      <c r="X53" s="96"/>
      <c r="Y53" s="96"/>
      <c r="Z53" s="100"/>
      <c r="AA53" s="100"/>
    </row>
    <row r="54" spans="2:71" ht="14.25" customHeight="1" x14ac:dyDescent="0.2">
      <c r="B54" s="159"/>
      <c r="C54" s="12">
        <v>43279</v>
      </c>
      <c r="D54" s="13">
        <v>0.66666666666666663</v>
      </c>
      <c r="E54" s="73" t="s">
        <v>102</v>
      </c>
      <c r="F54" s="73" t="s">
        <v>103</v>
      </c>
      <c r="G54" s="9">
        <v>1</v>
      </c>
      <c r="H54" s="9">
        <v>2</v>
      </c>
      <c r="I54" s="60"/>
      <c r="J54" s="18">
        <f>AE87</f>
        <v>4</v>
      </c>
      <c r="K54" s="1" t="str">
        <f>INDEX(AI84:AI87,MATCH(AG87,$AH84:$AH87,0))</f>
        <v>Japon</v>
      </c>
      <c r="L54" s="19">
        <f>INDEX(AJ84:AJ87,MATCH(AG87,$AH84:$AH87,0))</f>
        <v>1</v>
      </c>
      <c r="M54" s="19">
        <f>INDEX(AK84:AK87,MATCH(AG87,$AH84:$AH87,0))</f>
        <v>4</v>
      </c>
      <c r="N54" s="19">
        <f>INDEX(AL84:AL87,MATCH(AG87,$AH84:$AH87,0))</f>
        <v>7</v>
      </c>
      <c r="O54" s="19">
        <f>INDEX(AM84:AM87,MATCH(AG87,$AH84:$AH87,0))</f>
        <v>-3</v>
      </c>
      <c r="P54" s="60"/>
      <c r="Q54" s="60"/>
      <c r="R54" s="60"/>
      <c r="S54" s="60"/>
      <c r="T54" s="96"/>
      <c r="U54" s="96"/>
      <c r="V54" s="96"/>
      <c r="W54" s="96"/>
      <c r="X54" s="96"/>
      <c r="Y54" s="96"/>
      <c r="Z54" s="100"/>
      <c r="AA54" s="100"/>
    </row>
    <row r="55" spans="2:71" ht="14.25" customHeight="1" x14ac:dyDescent="0.2">
      <c r="B55" s="159"/>
      <c r="C55" s="14">
        <v>43279</v>
      </c>
      <c r="D55" s="15">
        <v>0.66666666666666663</v>
      </c>
      <c r="E55" s="56" t="s">
        <v>104</v>
      </c>
      <c r="F55" s="56" t="s">
        <v>101</v>
      </c>
      <c r="G55" s="83">
        <v>2</v>
      </c>
      <c r="H55" s="83">
        <v>3</v>
      </c>
      <c r="I55" s="60"/>
      <c r="J55" s="20"/>
      <c r="K55" s="32" t="str">
        <f>IF(OR(J53&lt;3,J52&lt;2),"TIRAGE AU SORT !!!"," ")</f>
        <v xml:space="preserve"> </v>
      </c>
      <c r="L55" s="21"/>
      <c r="M55" s="21"/>
      <c r="N55" s="21"/>
      <c r="O55" s="21"/>
      <c r="P55" s="60"/>
      <c r="Q55" s="60"/>
      <c r="R55" s="60"/>
      <c r="S55" s="60"/>
      <c r="T55" s="96"/>
      <c r="U55" s="96"/>
      <c r="V55" s="96"/>
      <c r="W55" s="96"/>
      <c r="X55" s="96"/>
      <c r="Y55" s="96"/>
      <c r="Z55" s="100"/>
      <c r="AA55" s="100"/>
    </row>
    <row r="56" spans="2:71" ht="30" hidden="1" customHeight="1" x14ac:dyDescent="0.2">
      <c r="B56" s="152" t="s">
        <v>114</v>
      </c>
      <c r="C56" s="153"/>
      <c r="D56" s="153"/>
      <c r="E56" s="153"/>
      <c r="F56" s="153"/>
      <c r="G56" s="153"/>
      <c r="H56" s="153"/>
      <c r="I56" s="154"/>
      <c r="P56" s="60"/>
      <c r="Q56" s="60"/>
      <c r="R56" s="60"/>
      <c r="S56" s="60"/>
      <c r="T56" s="96"/>
      <c r="U56" s="96"/>
      <c r="V56" s="96"/>
      <c r="W56" s="96"/>
      <c r="X56" s="96"/>
      <c r="Y56" s="96"/>
      <c r="Z56" s="100"/>
      <c r="AA56" s="100"/>
      <c r="AH56" s="101" t="s">
        <v>39</v>
      </c>
      <c r="AI56" s="102" t="s">
        <v>40</v>
      </c>
      <c r="AJ56" s="103" t="s">
        <v>1</v>
      </c>
      <c r="AK56" s="101" t="s">
        <v>41</v>
      </c>
      <c r="AL56" s="103" t="s">
        <v>42</v>
      </c>
      <c r="AM56" s="104" t="s">
        <v>43</v>
      </c>
      <c r="AN56" s="103" t="s">
        <v>44</v>
      </c>
      <c r="AO56" s="103" t="s">
        <v>45</v>
      </c>
      <c r="AP56" s="103" t="s">
        <v>46</v>
      </c>
      <c r="AQ56" s="103" t="s">
        <v>47</v>
      </c>
      <c r="AR56" s="101" t="s">
        <v>48</v>
      </c>
      <c r="AS56" s="103" t="s">
        <v>49</v>
      </c>
      <c r="AT56" s="103" t="s">
        <v>50</v>
      </c>
      <c r="AU56" s="104" t="s">
        <v>51</v>
      </c>
      <c r="AV56" s="101" t="s">
        <v>52</v>
      </c>
      <c r="AW56" s="103" t="s">
        <v>53</v>
      </c>
      <c r="AX56" s="103" t="s">
        <v>54</v>
      </c>
      <c r="AY56" s="104" t="s">
        <v>55</v>
      </c>
      <c r="AZ56" s="101" t="s">
        <v>56</v>
      </c>
      <c r="BA56" s="103" t="s">
        <v>57</v>
      </c>
      <c r="BB56" s="103" t="s">
        <v>58</v>
      </c>
      <c r="BC56" s="104" t="s">
        <v>59</v>
      </c>
      <c r="BD56" s="101" t="s">
        <v>60</v>
      </c>
      <c r="BE56" s="103" t="s">
        <v>52</v>
      </c>
      <c r="BF56" s="103" t="s">
        <v>53</v>
      </c>
      <c r="BG56" s="103" t="s">
        <v>54</v>
      </c>
      <c r="BH56" s="103" t="s">
        <v>55</v>
      </c>
      <c r="BI56" s="103" t="s">
        <v>61</v>
      </c>
      <c r="BJ56" s="103" t="s">
        <v>62</v>
      </c>
      <c r="BK56" s="103" t="s">
        <v>63</v>
      </c>
      <c r="BL56" s="103" t="s">
        <v>64</v>
      </c>
      <c r="BM56" s="103" t="s">
        <v>65</v>
      </c>
      <c r="BN56" s="103" t="s">
        <v>66</v>
      </c>
      <c r="BO56" s="104" t="s">
        <v>67</v>
      </c>
      <c r="BP56" s="101" t="s">
        <v>68</v>
      </c>
      <c r="BQ56" s="103" t="s">
        <v>69</v>
      </c>
      <c r="BR56" s="103" t="s">
        <v>70</v>
      </c>
      <c r="BS56" s="104" t="s">
        <v>71</v>
      </c>
    </row>
    <row r="57" spans="2:71" ht="14.25" hidden="1" customHeight="1" x14ac:dyDescent="0.2">
      <c r="B57" s="160" t="s">
        <v>115</v>
      </c>
      <c r="C57" s="12">
        <v>43281</v>
      </c>
      <c r="D57" s="13">
        <v>0.66666666666666663</v>
      </c>
      <c r="E57" s="74" t="str">
        <f>IF(OR(J22&lt;2),"C1",T(K21))</f>
        <v>France</v>
      </c>
      <c r="F57" s="74" t="str">
        <f>IF(OR(J29&lt;3,J28&lt;2),"D2",T(K28))</f>
        <v>Croatie</v>
      </c>
      <c r="G57" s="130"/>
      <c r="H57" s="130"/>
      <c r="I57" s="131"/>
      <c r="P57" s="60"/>
      <c r="Q57" s="60"/>
      <c r="R57" s="60"/>
      <c r="S57" s="60"/>
      <c r="T57" s="60"/>
      <c r="AE57" s="105">
        <v>1</v>
      </c>
      <c r="AF57" s="106">
        <f>ROUND(AG57,0)</f>
        <v>1</v>
      </c>
      <c r="AG57" s="107">
        <f>MIN(AH57:AH60)</f>
        <v>0.95000000000000018</v>
      </c>
      <c r="AH57" s="108">
        <f>SUM(AZ57:BC57)+2.45</f>
        <v>0.95000000000000018</v>
      </c>
      <c r="AI57" s="109" t="str">
        <f>E33</f>
        <v>Brésil</v>
      </c>
      <c r="AJ57" s="87">
        <f>SUM(AN57:AQ57)</f>
        <v>5</v>
      </c>
      <c r="AK57" s="110">
        <f>G33+G34+H36</f>
        <v>8</v>
      </c>
      <c r="AL57" s="87">
        <f>H33+H34+G36</f>
        <v>6</v>
      </c>
      <c r="AM57" s="111">
        <f>AK57-AL57</f>
        <v>2</v>
      </c>
      <c r="AN57" s="87" t="s">
        <v>72</v>
      </c>
      <c r="AO57" s="87">
        <f>IF(ISBLANK(G33),0,IF(G33&gt;H33,3,IF(G33=H33,1,0)))</f>
        <v>1</v>
      </c>
      <c r="AP57" s="87">
        <f>IF(ISBLANK(G34),0,IF(G34&gt;H34,3,IF(G34=H34,1,0)))</f>
        <v>1</v>
      </c>
      <c r="AQ57" s="87">
        <f>IF(ISBLANK(H36),0,IF(H36&gt;G36,3,IF(H36=G36,1,0)))</f>
        <v>3</v>
      </c>
      <c r="AR57" s="110" t="s">
        <v>72</v>
      </c>
      <c r="AS57" s="87" t="b">
        <f>(10*(AM57-AM58)+AK57-AK58&gt;0)</f>
        <v>1</v>
      </c>
      <c r="AT57" s="87" t="b">
        <f>10*(AM57-AM59)+AK57-AK59&gt;0</f>
        <v>1</v>
      </c>
      <c r="AU57" s="111" t="b">
        <f>10*(AM57-AM60)+AK57-AK60&gt;0</f>
        <v>1</v>
      </c>
      <c r="AV57" s="110">
        <f>10000*(AO57+AP57)+(G34-H34+G33-H33)*100+(G34+G33)</f>
        <v>20005</v>
      </c>
      <c r="AW57" s="87">
        <f>10000*(AO57+AQ57)+(G33-H33+H36-G36)*100+(G33+H36)</f>
        <v>40206</v>
      </c>
      <c r="AX57" s="87">
        <f>10000*(AP57+AQ57)+(H36-G36+G34-H34)*100+(H36+G34)</f>
        <v>40205</v>
      </c>
      <c r="AY57" s="111" t="s">
        <v>72</v>
      </c>
      <c r="AZ57" s="110" t="s">
        <v>72</v>
      </c>
      <c r="BA57" s="112">
        <f>IF($AJ57&gt;$AJ58,-0.5,IF($AJ58&gt;$AJ57,0.5,IF(AS57,-0.5,IF(AR58,0.5,BQ57))))</f>
        <v>-0.5</v>
      </c>
      <c r="BB57" s="112">
        <f>IF($AJ57&gt;$AJ59,-0.5,IF($AJ59&gt;$AJ57,0.5,IF(AT57,-0.5,IF(AR59,0.5,BR57))))</f>
        <v>-0.5</v>
      </c>
      <c r="BC57" s="113">
        <f>IF($AJ57&gt;$AJ60,-0.5,IF($AJ60&gt;$AJ57,0.5,IF(AU57,-0.5,IF(AR60,0.5,BS57))))</f>
        <v>-0.5</v>
      </c>
      <c r="BD57" s="114" t="b">
        <f>AND(AND(AJ57=AJ58,AJ58=AJ59,AJ59=AJ60),AND(AK57=AK58,AK58=AK59,AK59=AK60),AND(AL57=AL58,AL58=AL59,AL59=AL60))</f>
        <v>0</v>
      </c>
      <c r="BE57" s="114" t="b">
        <f>AND(NOT(BD57),AJ57=AJ58,AJ57=AJ59,AK57=AK58,AK57=AK59,AL57=AL58,AL57=AL59)</f>
        <v>0</v>
      </c>
      <c r="BF57" s="114" t="b">
        <f>AND(NOT(BD57),AJ57=AJ58,AJ57=AJ60,AK57=AK58,AK57=AK60,AL57=AL58,AL57=AL60)</f>
        <v>0</v>
      </c>
      <c r="BG57" s="114" t="b">
        <f>AND(NOT(BD57),AJ57=AJ59,AJ57=AJ60,AK57=AK59,AK57=AK60,AL57=AL59,AL57=AL60)</f>
        <v>0</v>
      </c>
      <c r="BH57" s="114" t="b">
        <f>AND(NOT(BD57),AJ58=AJ59,AJ58=AJ60,AK58=AK59,AK58=AK60,AL58=AL59,AL58=AL60)</f>
        <v>0</v>
      </c>
      <c r="BI57" s="114" t="b">
        <f>AND(NOT(BD57),NOT(BE57),NOT(BF57),AJ57=AJ58,AK57=AK58,AL57=AL58)</f>
        <v>0</v>
      </c>
      <c r="BJ57" s="114" t="b">
        <f>AND(NOT(BD57),NOT(BE57),NOT(BG57),AJ57=AJ59,AK57=AK59,AL57=AL59)</f>
        <v>0</v>
      </c>
      <c r="BK57" s="114" t="b">
        <f>AND(NOT(BD57),NOT(BF57),NOT(BG57),AJ57=AJ60,AK57=AK60,AL57=AL60)</f>
        <v>0</v>
      </c>
      <c r="BL57" s="114" t="b">
        <f>AND(NOT(BD57),NOT(BE57),NOT(BH57),AJ58=AJ59,AK58=AK59)</f>
        <v>1</v>
      </c>
      <c r="BM57" s="114" t="b">
        <f>AND(NOT(BD57),NOT(BF57),NOT(BH57),AJ58=AJ60,AK58=AK60,AL58=AL60)</f>
        <v>0</v>
      </c>
      <c r="BN57" s="114" t="b">
        <f>AND(NOT(BD57),NOT(BG57),NOT(BH57),AJ59=AJ60,AK59=AK60,AL59=AL60)</f>
        <v>0</v>
      </c>
      <c r="BO57" s="114" t="b">
        <f t="array" ref="BO57">AND(NOT(BD57:BN57))</f>
        <v>0</v>
      </c>
      <c r="BP57" s="110" t="s">
        <v>72</v>
      </c>
      <c r="BQ57" s="87">
        <f>IF($BI57,IF(H33-G33&lt;0,-0.5,IF(G33-H33&lt;0,0.5,0)),IF($BE57,IF($AV57&gt;$AV58,-0.5,IF($AV57&lt;$AV58,0.5,0)),IF($BF57,IF($AW57&gt;$AW58,-0.5, IF($AW57&lt;$AW58,0.5,0)),0)))</f>
        <v>0</v>
      </c>
      <c r="BR57" s="87">
        <f>IF($BJ57,IF(H34-G34&lt;0,-0.5,IF(G34-H34&lt;0,0.5,0)),IF($BE57,IF($AV57&gt;$AV59,-0.5,IF($AV57&lt;$AV59,0.5,0)),IF($BG57,IF($AX57&gt;$AX59,-0.5,IF($AX57&lt;$AX59,0.5,0)),0)))</f>
        <v>0</v>
      </c>
      <c r="BS57" s="111">
        <f>IF($BK57,IF(G36-H36&lt;0,-0.5,IF(H36-G36&lt;0,0.5,0)),IF($BF57,IF($AW57&gt;$AW60,-0.5,IF($AW57&lt;$AW60,0.5,0)),IF($BG57,IF($AX57&gt;$AX60,-0.5, IF($AX57&lt;$AX60,0.5,0)),0)))</f>
        <v>0</v>
      </c>
    </row>
    <row r="58" spans="2:71" ht="14.25" hidden="1" customHeight="1" x14ac:dyDescent="0.2">
      <c r="B58" s="160"/>
      <c r="C58" s="14">
        <v>43281</v>
      </c>
      <c r="D58" s="15">
        <v>0.83333333333333337</v>
      </c>
      <c r="E58" s="75" t="str">
        <f>IF(OR(J10&lt;2),"A1",T(K9))</f>
        <v>Uruguay</v>
      </c>
      <c r="F58" s="75" t="str">
        <f>IF(OR(J17&lt;3,J16&lt;2),"B2",T(K16))</f>
        <v>Espagne</v>
      </c>
      <c r="G58" s="132"/>
      <c r="H58" s="132"/>
      <c r="I58" s="133"/>
      <c r="P58" s="60"/>
      <c r="Q58" s="60"/>
      <c r="R58" s="60"/>
      <c r="S58" s="60"/>
      <c r="T58" s="60"/>
      <c r="AE58" s="105">
        <f>IF(ROUND(AG58,0)=ROUND(AG57,0),AE57,2)</f>
        <v>2</v>
      </c>
      <c r="AF58" s="106">
        <f>ROUND(AG58,0)</f>
        <v>2</v>
      </c>
      <c r="AG58" s="107">
        <f>MAX(MIN(AH57:AH59),MIN(AH57,AH58,AH60),MIN(AH57,AH59,AH60),MIN(AH58:AH60))</f>
        <v>1.9700000000000002</v>
      </c>
      <c r="AH58" s="115">
        <f>SUM(AZ58:BC58)+2.46</f>
        <v>2.96</v>
      </c>
      <c r="AI58" s="109" t="str">
        <f>F33</f>
        <v>Suisse</v>
      </c>
      <c r="AJ58" s="87">
        <f>SUM(AN58:AQ58)</f>
        <v>5</v>
      </c>
      <c r="AK58" s="110">
        <f>H33+H35+G37</f>
        <v>7</v>
      </c>
      <c r="AL58" s="87">
        <f>G33+G35+H37</f>
        <v>6</v>
      </c>
      <c r="AM58" s="111">
        <f>AK58-AL58</f>
        <v>1</v>
      </c>
      <c r="AN58" s="87">
        <f>IF(ISBLANK(H33),0,IF(AO57=3,0,IF(AO57=1,1,3)))</f>
        <v>1</v>
      </c>
      <c r="AO58" s="87" t="s">
        <v>72</v>
      </c>
      <c r="AP58" s="87">
        <f>IF(ISBLANK(G37),0,IF(AO59=3,0,IF(AO59=1,1,3)))</f>
        <v>1</v>
      </c>
      <c r="AQ58" s="87">
        <f>IF(ISBLANK(H35),0,IF(H35&gt;G35,3,IF(H35=G35,1,0)))</f>
        <v>3</v>
      </c>
      <c r="AR58" s="110" t="b">
        <f>(10*(AM57-AM58)+AK57-AK58&lt;0)</f>
        <v>0</v>
      </c>
      <c r="AS58" s="87" t="s">
        <v>72</v>
      </c>
      <c r="AT58" s="87" t="b">
        <f>10*(AM58-AM59)+AK58-AK59&gt;0</f>
        <v>0</v>
      </c>
      <c r="AU58" s="111" t="b">
        <f>10*(AM58-AM60)+AK58-AK60&gt;0</f>
        <v>1</v>
      </c>
      <c r="AV58" s="110">
        <f>10000*(AN58+AP58)+(H33-G33+G37-H37)*100+(H33+G37)</f>
        <v>20005</v>
      </c>
      <c r="AW58" s="87">
        <f>10000*(AN58+AQ58)+(H33-G33+H35-G35)*100+(H33+H35)</f>
        <v>40105</v>
      </c>
      <c r="AX58" s="87" t="s">
        <v>72</v>
      </c>
      <c r="AY58" s="111">
        <f>10000*(AP58+AQ58)+(H35-G35+G37-H37)*100+(H35+G37)</f>
        <v>40104</v>
      </c>
      <c r="AZ58" s="116">
        <f>-BA57</f>
        <v>0.5</v>
      </c>
      <c r="BA58" s="87" t="s">
        <v>72</v>
      </c>
      <c r="BB58" s="112">
        <f>IF($AJ58&gt;$AJ59,-0.5,IF($AJ59&gt;$AJ58,0.5,IF(AT58,-0.5,IF(AS59,0.5,BR58))))</f>
        <v>0.5</v>
      </c>
      <c r="BC58" s="113">
        <f>IF($AJ58&gt;$AJ60,-0.5,IF($AJ60&gt;$AJ58,0.5,IF(AU58,-0.5,IF(AS60,0.5,BS58))))</f>
        <v>-0.5</v>
      </c>
      <c r="BD58" s="85"/>
      <c r="BE58" s="85"/>
      <c r="BF58" s="85"/>
      <c r="BG58" s="85"/>
      <c r="BH58" s="85"/>
      <c r="BI58" s="85"/>
      <c r="BJ58" s="85"/>
      <c r="BK58" s="85"/>
      <c r="BL58" s="85"/>
      <c r="BM58" s="85"/>
      <c r="BN58" s="85"/>
      <c r="BO58" s="85"/>
      <c r="BP58" s="110"/>
      <c r="BQ58" s="87" t="s">
        <v>72</v>
      </c>
      <c r="BR58" s="87">
        <f>IF($BL57,IF(H37-G37&lt;0,-0.5,IF(G37-H37&lt;0,0.5,0)),IF($BE57,IF($AV58&gt;$AV59,-0.5,IF($AV58&lt;$AV59,0.5,0)),IF($BH57,IF($AY58&gt;$AY59,-0.5,IF($AY58&lt;$AY59,0.5,0)),0)))</f>
        <v>0</v>
      </c>
      <c r="BS58" s="111">
        <f>IF($BM57,IF(G35-H35&lt;0,-0.5,IF(H35-G35&lt;0,0.5,0)),IF($BF57,IF($AW58&gt;$AW60,-0.5,IF($AW58&lt;$AW60,0.5,0)),IF($BH57,IF($AY58&gt;$AY60,-0.5,IF($AY58&lt;$AY60,0.5,0)),0)))</f>
        <v>0</v>
      </c>
    </row>
    <row r="59" spans="2:71" ht="14.25" hidden="1" customHeight="1" x14ac:dyDescent="0.2">
      <c r="B59" s="160"/>
      <c r="C59" s="12">
        <v>43282</v>
      </c>
      <c r="D59" s="13">
        <v>0.66666666666666663</v>
      </c>
      <c r="E59" s="74" t="str">
        <f>IF(OR(J16&lt;2),"B1",T(K15))</f>
        <v>Portugal</v>
      </c>
      <c r="F59" s="74" t="str">
        <f>IF(OR(J11&lt;3,J10&lt;2),"A2",T(K10))</f>
        <v>Russie</v>
      </c>
      <c r="G59" s="132"/>
      <c r="H59" s="132"/>
      <c r="I59" s="133"/>
      <c r="P59" s="60"/>
      <c r="Q59" s="60"/>
      <c r="R59" s="60"/>
      <c r="S59" s="60"/>
      <c r="T59" s="60"/>
      <c r="AE59" s="105">
        <f>IF(ROUND(AG59,0)=ROUND(AG58,0),AE58,3)</f>
        <v>3</v>
      </c>
      <c r="AF59" s="106">
        <f>ROUND(AG59,0)</f>
        <v>3</v>
      </c>
      <c r="AG59" s="107">
        <f>MIN(MAX(AH57:AH59),MAX(AH57,AH58,AH60),MAX(AH57,AH59,AH60),MAX(AH58:AH60))</f>
        <v>2.96</v>
      </c>
      <c r="AH59" s="115">
        <f>SUM(AZ59:BC59)+2.47</f>
        <v>1.9700000000000002</v>
      </c>
      <c r="AI59" s="109" t="str">
        <f>E32</f>
        <v>Costa Rica</v>
      </c>
      <c r="AJ59" s="87">
        <f>SUM(AN59:AQ59)</f>
        <v>5</v>
      </c>
      <c r="AK59" s="110">
        <f>G32+H34+H37</f>
        <v>7</v>
      </c>
      <c r="AL59" s="87">
        <f>H32+G34+G37</f>
        <v>5</v>
      </c>
      <c r="AM59" s="111">
        <f>AK59-AL59</f>
        <v>2</v>
      </c>
      <c r="AN59" s="87">
        <f>IF(ISBLANK(H34),0,IF(AP57=3,0,IF(AP57=1,1,3)))</f>
        <v>1</v>
      </c>
      <c r="AO59" s="87">
        <f>IF(ISBLANK(H37),0,IF(H37&gt;G37,3,IF(H37=G37,1,0)))</f>
        <v>1</v>
      </c>
      <c r="AP59" s="87" t="s">
        <v>72</v>
      </c>
      <c r="AQ59" s="87">
        <f>IF(ISBLANK(G32),0,IF(G32&gt;H32,3,IF(G32=H32,1,0)))</f>
        <v>3</v>
      </c>
      <c r="AR59" s="110" t="b">
        <f>10*(AM57-AM59)+AK57-AK59&lt;0</f>
        <v>0</v>
      </c>
      <c r="AS59" s="87" t="b">
        <f>10*(AM58-AM59)+AK58-AK59&lt;0</f>
        <v>1</v>
      </c>
      <c r="AT59" s="87" t="s">
        <v>72</v>
      </c>
      <c r="AU59" s="111" t="b">
        <f>10*(AM59-AM60)+AK59-AK60&gt;0</f>
        <v>1</v>
      </c>
      <c r="AV59" s="110">
        <f>10000*(AN59+AO59)+(H34-G34+H37-G37)*100+(H34+H37)</f>
        <v>20004</v>
      </c>
      <c r="AW59" s="87" t="s">
        <v>72</v>
      </c>
      <c r="AX59" s="87">
        <f>10000*(AN59+AQ59)+(G32-H32+H34-G34)*100+(G32+H34)</f>
        <v>40205</v>
      </c>
      <c r="AY59" s="111">
        <f>10000*(AO59+AQ59)+(G32-H32+H37-G37)*100+(G32+H37)</f>
        <v>40205</v>
      </c>
      <c r="AZ59" s="116">
        <f>-BB57</f>
        <v>0.5</v>
      </c>
      <c r="BA59" s="112">
        <f>-BB58</f>
        <v>-0.5</v>
      </c>
      <c r="BB59" s="112" t="s">
        <v>72</v>
      </c>
      <c r="BC59" s="113">
        <f>IF($AJ59&gt;$AJ60,-0.5,IF($AJ60&gt;$AJ59,0.5,IF(AU59,-0.5,IF(AT60,0.5,BS59))))</f>
        <v>-0.5</v>
      </c>
      <c r="BD59" s="85"/>
      <c r="BE59" s="85"/>
      <c r="BF59" s="85"/>
      <c r="BG59" s="85"/>
      <c r="BH59" s="85"/>
      <c r="BI59" s="85"/>
      <c r="BJ59" s="85"/>
      <c r="BK59" s="85"/>
      <c r="BL59" s="85"/>
      <c r="BM59" s="85"/>
      <c r="BN59" s="85"/>
      <c r="BO59" s="85"/>
      <c r="BP59" s="110"/>
      <c r="BQ59" s="87"/>
      <c r="BR59" s="87" t="s">
        <v>72</v>
      </c>
      <c r="BS59" s="111">
        <f>IF($BN57,IF(H32-G32&lt;0,-0.5,IF(G32-H32&lt;0,0.5,0)),IF($BG57,IF($AX59&gt;$AX60,-0.5,IF($AX59&lt;$AX60,0.5,0)),IF($BH57,IF($AY59&gt;$AY60,-0.5,IF($AY59&lt;$AY60,0.5,0)),0)))</f>
        <v>0</v>
      </c>
    </row>
    <row r="60" spans="2:71" ht="14.25" hidden="1" customHeight="1" x14ac:dyDescent="0.2">
      <c r="B60" s="160"/>
      <c r="C60" s="14">
        <v>43282</v>
      </c>
      <c r="D60" s="15">
        <v>0.83333333333333337</v>
      </c>
      <c r="E60" s="75" t="str">
        <f>IF(OR(J28&lt;2),"D1",T(K27))</f>
        <v>Argentine</v>
      </c>
      <c r="F60" s="75" t="str">
        <f>IF(OR(J23&lt;3,J22&lt;2),"C2",T(K22))</f>
        <v>Australie</v>
      </c>
      <c r="G60" s="132"/>
      <c r="H60" s="132"/>
      <c r="I60" s="133"/>
      <c r="P60" s="60"/>
      <c r="Q60" s="60"/>
      <c r="R60" s="60"/>
      <c r="S60" s="60"/>
      <c r="T60" s="60"/>
      <c r="AE60" s="105">
        <f>IF(ROUND(AG60,0)=ROUND(AG59,0),AE59,4)</f>
        <v>4</v>
      </c>
      <c r="AF60" s="106">
        <f>ROUND(AG60,0)</f>
        <v>4</v>
      </c>
      <c r="AG60" s="107">
        <f>MAX(AH57:AH60)</f>
        <v>3.98</v>
      </c>
      <c r="AH60" s="117">
        <f>SUM(AZ60:BC60)+2.48</f>
        <v>3.98</v>
      </c>
      <c r="AI60" s="118" t="str">
        <f>F32</f>
        <v>Serbie</v>
      </c>
      <c r="AJ60" s="114">
        <f>SUM(AN60:AQ60)</f>
        <v>0</v>
      </c>
      <c r="AK60" s="119">
        <f>H32+G35+G36</f>
        <v>3</v>
      </c>
      <c r="AL60" s="114">
        <f>G32+H35+H36</f>
        <v>8</v>
      </c>
      <c r="AM60" s="120">
        <f>AK60-AL60</f>
        <v>-5</v>
      </c>
      <c r="AN60" s="114">
        <f>IF(ISBLANK(G36),0,IF(AQ57=3,0,IF(AQ57=1,1,3)))</f>
        <v>0</v>
      </c>
      <c r="AO60" s="114">
        <f>IF(ISBLANK(G35),0,IF(AQ58=3,0,IF(AQ58=1,1,3)))</f>
        <v>0</v>
      </c>
      <c r="AP60" s="114">
        <f>IF(ISBLANK(H32),0,IF(AQ59=3,0,IF(AQ59=1,1,3)))</f>
        <v>0</v>
      </c>
      <c r="AQ60" s="114" t="s">
        <v>72</v>
      </c>
      <c r="AR60" s="119" t="b">
        <f>10*(AM57-AM60)+AK57-AK60&lt;0</f>
        <v>0</v>
      </c>
      <c r="AS60" s="114" t="b">
        <f>10*(AM58-AM60)+AK58-AK60&lt;0</f>
        <v>0</v>
      </c>
      <c r="AT60" s="114" t="b">
        <f>10*(AM59-AM60)+AK59-AK60&lt;0</f>
        <v>0</v>
      </c>
      <c r="AU60" s="120" t="s">
        <v>72</v>
      </c>
      <c r="AV60" s="119" t="s">
        <v>72</v>
      </c>
      <c r="AW60" s="114">
        <f>10000*(AN60+AO60)+(G35-H35+G36-H36)*100+(G35+G36)</f>
        <v>-298</v>
      </c>
      <c r="AX60" s="114">
        <f>10000*(AN60+AP60)+(G36-H36+H32-G32)*100+(G36+H32)</f>
        <v>-398</v>
      </c>
      <c r="AY60" s="120">
        <f>10000*(AO60+AP60)+(G35-H35+H32-G32)*100+(G35+H32)</f>
        <v>-298</v>
      </c>
      <c r="AZ60" s="121">
        <f>-BC57</f>
        <v>0.5</v>
      </c>
      <c r="BA60" s="122">
        <f>-BC58</f>
        <v>0.5</v>
      </c>
      <c r="BB60" s="122">
        <f>-BC59</f>
        <v>0.5</v>
      </c>
      <c r="BC60" s="120" t="s">
        <v>72</v>
      </c>
      <c r="BD60" s="85"/>
      <c r="BE60" s="85"/>
      <c r="BF60" s="85"/>
      <c r="BG60" s="85"/>
      <c r="BH60" s="85"/>
      <c r="BI60" s="85"/>
      <c r="BJ60" s="85"/>
      <c r="BK60" s="85"/>
      <c r="BL60" s="85"/>
      <c r="BM60" s="85"/>
      <c r="BN60" s="85"/>
      <c r="BO60" s="85"/>
      <c r="BP60" s="119"/>
      <c r="BQ60" s="114"/>
      <c r="BR60" s="114"/>
      <c r="BS60" s="120" t="s">
        <v>72</v>
      </c>
    </row>
    <row r="61" spans="2:71" ht="14.25" hidden="1" customHeight="1" x14ac:dyDescent="0.2">
      <c r="B61" s="160"/>
      <c r="C61" s="12">
        <v>43283</v>
      </c>
      <c r="D61" s="13">
        <v>0.66666666666666663</v>
      </c>
      <c r="E61" s="74" t="str">
        <f>IF(OR(J34&lt;2),"E1",T(K33))</f>
        <v>Brésil</v>
      </c>
      <c r="F61" s="74" t="str">
        <f>IF(OR(J41&lt;3,J40&lt;2),"F2",T(K40))</f>
        <v>Suède</v>
      </c>
      <c r="G61" s="132"/>
      <c r="H61" s="132"/>
      <c r="I61" s="133"/>
      <c r="P61" s="60"/>
      <c r="Q61" s="60"/>
      <c r="R61" s="60"/>
      <c r="S61" s="60"/>
      <c r="T61" s="60"/>
      <c r="U61" s="60"/>
      <c r="V61" s="60"/>
      <c r="W61" s="60"/>
      <c r="X61" s="60"/>
      <c r="Y61" s="60"/>
    </row>
    <row r="62" spans="2:71" ht="14.25" hidden="1" customHeight="1" x14ac:dyDescent="0.2">
      <c r="B62" s="160"/>
      <c r="C62" s="14">
        <v>43283</v>
      </c>
      <c r="D62" s="15">
        <v>0.83333333333333337</v>
      </c>
      <c r="E62" s="75" t="str">
        <f>IF(OR(J46&lt;2),"G1",T(K45))</f>
        <v>Angleterre</v>
      </c>
      <c r="F62" s="75" t="str">
        <f>IF(OR(J53&lt;3,J52&lt;2),"H2",T(K52))</f>
        <v>Sénégal</v>
      </c>
      <c r="G62" s="132"/>
      <c r="H62" s="132"/>
      <c r="I62" s="133"/>
      <c r="J62" s="19"/>
      <c r="K62" s="1"/>
      <c r="L62" s="1"/>
      <c r="M62" s="1"/>
      <c r="N62" s="1"/>
      <c r="O62" s="1"/>
      <c r="P62" s="60"/>
      <c r="Q62" s="60"/>
      <c r="R62" s="60"/>
      <c r="S62" s="60"/>
      <c r="T62" s="60"/>
      <c r="X62" s="60"/>
      <c r="Y62" s="60"/>
    </row>
    <row r="63" spans="2:71" ht="14.25" hidden="1" customHeight="1" x14ac:dyDescent="0.2">
      <c r="B63" s="160"/>
      <c r="C63" s="12">
        <v>43284</v>
      </c>
      <c r="D63" s="13">
        <v>0.66666666666666663</v>
      </c>
      <c r="E63" s="74" t="str">
        <f>IF(OR(J40&lt;2),"F1",T(K39))</f>
        <v>Allemagne</v>
      </c>
      <c r="F63" s="74" t="str">
        <f>IF(OR(J35&lt;3,J34&lt;2),"E2",T(K34))</f>
        <v>Costa Rica</v>
      </c>
      <c r="G63" s="132"/>
      <c r="H63" s="132"/>
      <c r="I63" s="133"/>
      <c r="P63" s="60"/>
      <c r="Q63" s="60"/>
      <c r="R63" s="60"/>
      <c r="S63" s="60"/>
      <c r="T63" s="60"/>
      <c r="X63" s="60"/>
      <c r="Y63" s="60"/>
    </row>
    <row r="64" spans="2:71" ht="14.25" hidden="1" customHeight="1" x14ac:dyDescent="0.2">
      <c r="B64" s="160"/>
      <c r="C64" s="14">
        <v>43284</v>
      </c>
      <c r="D64" s="15">
        <v>0.83333333333333337</v>
      </c>
      <c r="E64" s="75" t="str">
        <f>IF(OR(J52&lt;2),"H1",T(K51))</f>
        <v>Colombie</v>
      </c>
      <c r="F64" s="75" t="str">
        <f>IF(OR(J47&lt;3,J46&lt;2),"G2",T(K46))</f>
        <v>Panama</v>
      </c>
      <c r="G64" s="132"/>
      <c r="H64" s="132"/>
      <c r="I64" s="133"/>
      <c r="P64" s="60"/>
      <c r="Q64" s="60"/>
      <c r="R64" s="60"/>
      <c r="S64" s="60"/>
      <c r="T64" s="60"/>
      <c r="X64" s="60"/>
      <c r="Y64" s="60"/>
      <c r="AH64" s="101" t="s">
        <v>39</v>
      </c>
      <c r="AI64" s="102" t="s">
        <v>40</v>
      </c>
      <c r="AJ64" s="103" t="s">
        <v>1</v>
      </c>
      <c r="AK64" s="101" t="s">
        <v>41</v>
      </c>
      <c r="AL64" s="103" t="s">
        <v>42</v>
      </c>
      <c r="AM64" s="104" t="s">
        <v>43</v>
      </c>
      <c r="AN64" s="103" t="s">
        <v>44</v>
      </c>
      <c r="AO64" s="103" t="s">
        <v>45</v>
      </c>
      <c r="AP64" s="103" t="s">
        <v>46</v>
      </c>
      <c r="AQ64" s="103" t="s">
        <v>47</v>
      </c>
      <c r="AR64" s="101" t="s">
        <v>48</v>
      </c>
      <c r="AS64" s="103" t="s">
        <v>49</v>
      </c>
      <c r="AT64" s="103" t="s">
        <v>50</v>
      </c>
      <c r="AU64" s="104" t="s">
        <v>51</v>
      </c>
      <c r="AV64" s="101" t="s">
        <v>52</v>
      </c>
      <c r="AW64" s="103" t="s">
        <v>53</v>
      </c>
      <c r="AX64" s="103" t="s">
        <v>54</v>
      </c>
      <c r="AY64" s="104" t="s">
        <v>55</v>
      </c>
      <c r="AZ64" s="101" t="s">
        <v>56</v>
      </c>
      <c r="BA64" s="103" t="s">
        <v>57</v>
      </c>
      <c r="BB64" s="103" t="s">
        <v>58</v>
      </c>
      <c r="BC64" s="104" t="s">
        <v>59</v>
      </c>
      <c r="BD64" s="101" t="s">
        <v>60</v>
      </c>
      <c r="BE64" s="103" t="s">
        <v>52</v>
      </c>
      <c r="BF64" s="103" t="s">
        <v>53</v>
      </c>
      <c r="BG64" s="103" t="s">
        <v>54</v>
      </c>
      <c r="BH64" s="103" t="s">
        <v>55</v>
      </c>
      <c r="BI64" s="103" t="s">
        <v>61</v>
      </c>
      <c r="BJ64" s="103" t="s">
        <v>62</v>
      </c>
      <c r="BK64" s="103" t="s">
        <v>63</v>
      </c>
      <c r="BL64" s="103" t="s">
        <v>64</v>
      </c>
      <c r="BM64" s="103" t="s">
        <v>65</v>
      </c>
      <c r="BN64" s="103" t="s">
        <v>66</v>
      </c>
      <c r="BO64" s="104" t="s">
        <v>67</v>
      </c>
      <c r="BP64" s="101" t="s">
        <v>68</v>
      </c>
      <c r="BQ64" s="103" t="s">
        <v>69</v>
      </c>
      <c r="BR64" s="103" t="s">
        <v>70</v>
      </c>
      <c r="BS64" s="104" t="s">
        <v>71</v>
      </c>
    </row>
    <row r="65" spans="2:71" ht="14.25" hidden="1" customHeight="1" x14ac:dyDescent="0.2">
      <c r="B65" s="161" t="s">
        <v>116</v>
      </c>
      <c r="C65" s="12">
        <v>43287</v>
      </c>
      <c r="D65" s="13">
        <v>0.66666666666666663</v>
      </c>
      <c r="E65" s="64" t="str">
        <f>IF(G58&gt;H58,E58,IF(G58&lt;H58,F58,IF(G58=H58,IF(I58=1,E58,IF(I58=2,F58,CONCATENATE(E58," / ",F58))))))</f>
        <v>Uruguay / Espagne</v>
      </c>
      <c r="F65" s="64" t="str">
        <f>IF(G57&gt;H57,E57,IF(G57&lt;H57,F57,IF(G57=H57,IF(I57=1,E57,IF(I57=2,F57,CONCATENATE(E57," / ",F57))))))</f>
        <v>France / Croatie</v>
      </c>
      <c r="G65" s="134"/>
      <c r="H65" s="130"/>
      <c r="I65" s="133"/>
      <c r="P65" s="60"/>
      <c r="Q65" s="60"/>
      <c r="R65" s="60"/>
      <c r="S65" s="60"/>
      <c r="T65" s="135"/>
      <c r="X65" s="60"/>
      <c r="Y65" s="60"/>
      <c r="AE65" s="105">
        <v>1</v>
      </c>
      <c r="AF65" s="106">
        <f>ROUND(AG65,0)</f>
        <v>1</v>
      </c>
      <c r="AG65" s="107">
        <f>MIN(AH65:AH69)</f>
        <v>0.95000000000000018</v>
      </c>
      <c r="AH65" s="108">
        <f>SUM(AZ65:BC65)+2.45</f>
        <v>0.95000000000000018</v>
      </c>
      <c r="AI65" s="109" t="str">
        <f>E38</f>
        <v>Allemagne</v>
      </c>
      <c r="AJ65" s="87">
        <f>SUM(AN65:AQ65)</f>
        <v>9</v>
      </c>
      <c r="AK65" s="110">
        <f>G38+G41+H42</f>
        <v>9</v>
      </c>
      <c r="AL65" s="87">
        <f>H38+H41+G42</f>
        <v>3</v>
      </c>
      <c r="AM65" s="111">
        <f>AK65-AL65</f>
        <v>6</v>
      </c>
      <c r="AN65" s="87" t="s">
        <v>72</v>
      </c>
      <c r="AO65" s="87">
        <f>IF(ISBLANK(G38),0,IF(G38&gt;H38,3,IF(G38=H38,1,0)))</f>
        <v>3</v>
      </c>
      <c r="AP65" s="87">
        <f>IF(ISBLANK(G41),0,IF(G41&gt;H41,3,IF(G41=H41,1,0)))</f>
        <v>3</v>
      </c>
      <c r="AQ65" s="87">
        <f>IF(ISBLANK(H42),0,IF(H42&gt;G42,3,IF(H42=G42,1,0)))</f>
        <v>3</v>
      </c>
      <c r="AR65" s="110" t="s">
        <v>72</v>
      </c>
      <c r="AS65" s="87" t="b">
        <f>(10*(AM65-AM67)+AK65-AK67&gt;0)</f>
        <v>1</v>
      </c>
      <c r="AT65" s="87" t="b">
        <f>10*(AM65-AM68)+AK65-AK68&gt;0</f>
        <v>1</v>
      </c>
      <c r="AU65" s="111" t="b">
        <f>10*(AM65-AM69)+AK65-AK69&gt;0</f>
        <v>1</v>
      </c>
      <c r="AV65" s="110">
        <f>10000*(AO65+AP65)+(G41-H41+G38-H38)*100+(G41+G38)</f>
        <v>60406</v>
      </c>
      <c r="AW65" s="87">
        <f>10000*(AO65+AQ65)+(G38-H38+H42-G42)*100+(G38+H42)</f>
        <v>60506</v>
      </c>
      <c r="AX65" s="87">
        <f>10000*(AP65+AQ65)+(H42-G42+G41-H41)*100+(H42+G41)</f>
        <v>60306</v>
      </c>
      <c r="AY65" s="111" t="s">
        <v>72</v>
      </c>
      <c r="AZ65" s="110" t="s">
        <v>72</v>
      </c>
      <c r="BA65" s="112">
        <f>IF($AJ65&gt;$AJ67,-0.5,IF($AJ67&gt;$AJ65,0.5,IF(AS65,-0.5,IF(AR67,0.5,BQ65))))</f>
        <v>-0.5</v>
      </c>
      <c r="BB65" s="112">
        <f>IF($AJ65&gt;$AJ68,-0.5,IF($AJ68&gt;$AJ65,0.5,IF(AT65,-0.5,IF(AR68,0.5,BR65))))</f>
        <v>-0.5</v>
      </c>
      <c r="BC65" s="113">
        <f>IF($AJ65&gt;$AJ69,-0.5,IF($AJ69&gt;$AJ65,0.5,IF(AU65,-0.5,IF(AR69,0.5,BS65))))</f>
        <v>-0.5</v>
      </c>
      <c r="BD65" s="114" t="b">
        <f>AND(AND(AJ65=AJ67,AJ67=AJ68,AJ68=AJ69),AND(AK65=AK67,AK67=AK68,AK68=AK69),AND(AL65=AL67,AL67=AL68,AL68=AL69))</f>
        <v>0</v>
      </c>
      <c r="BE65" s="114" t="b">
        <f>AND(NOT(BD65),AJ65=AJ67,AJ65=AJ68,AK65=AK67,AK65=AK68,AL65=AL67,AL65=AL68)</f>
        <v>0</v>
      </c>
      <c r="BF65" s="114" t="b">
        <f>AND(NOT(BD65),AJ65=AJ67,AJ65=AJ69,AK65=AK67,AK65=AK69,AL65=AL67,AL65=AL69)</f>
        <v>0</v>
      </c>
      <c r="BG65" s="114" t="b">
        <f>AND(NOT(BD65),AJ65=AJ68,AJ65=AJ69,AK65=AK68,AK65=AK69,AL65=AL68,AL65=AL69)</f>
        <v>0</v>
      </c>
      <c r="BH65" s="114" t="b">
        <f>AND(NOT(BD65),AJ67=AJ68,AJ67=AJ69,AK67=AK68,AK67=AK69,AL67=AL68,AL67=AL69)</f>
        <v>0</v>
      </c>
      <c r="BI65" s="114" t="b">
        <f>AND(NOT(BD65),NOT(BE65),NOT(BF65),AJ65=AJ67,AK65=AK67,AL65=AL67)</f>
        <v>0</v>
      </c>
      <c r="BJ65" s="114" t="b">
        <f>AND(NOT(BD65),NOT(BE65),NOT(BG65),AJ65=AJ68,AK65=AK68,AL65=AL68)</f>
        <v>0</v>
      </c>
      <c r="BK65" s="114" t="b">
        <f>AND(NOT(BD65),NOT(BF65),NOT(BG65),AJ65=AJ69,AK65=AK69,AL65=AL69)</f>
        <v>0</v>
      </c>
      <c r="BL65" s="114" t="b">
        <f>AND(NOT(BD65),NOT(BE65),NOT(BH65),AJ67=AJ68,AK67=AK68)</f>
        <v>0</v>
      </c>
      <c r="BM65" s="114" t="b">
        <f>AND(NOT(BD65),NOT(BF65),NOT(BH65),AJ67=AJ69,AK67=AK69,AL67=AL69)</f>
        <v>0</v>
      </c>
      <c r="BN65" s="114" t="b">
        <f>AND(NOT(BD65),NOT(BG65),NOT(BH65),AJ68=AJ69,AK68=AK69,AL68=AL69)</f>
        <v>0</v>
      </c>
      <c r="BO65" s="114" t="b">
        <f t="array" ref="BO65">AND(NOT(BD65:BN65))</f>
        <v>1</v>
      </c>
      <c r="BP65" s="110" t="s">
        <v>72</v>
      </c>
      <c r="BQ65" s="87">
        <f>IF($BI65,IF(H38-G38&lt;0,-0.5,IF(G38-H38&lt;0,0.5,0)),IF($BE65,IF($AV65&gt;$AV67,-0.5,IF($AV65&lt;$AV67,0.5,0)),IF($BF65,IF($AW65&gt;$AW67,-0.5, IF($AW65&lt;$AW67,0.5,0)),0)))</f>
        <v>0</v>
      </c>
      <c r="BR65" s="87">
        <f>IF($BJ65,IF(H41-G41&lt;0,-0.5,IF(G41-H41&lt;0,0.5,0)),IF($BE65,IF($AV65&gt;$AV68,-0.5,IF($AV65&lt;$AV68,0.5,0)),IF($BG65,IF($AX65&gt;$AX68,-0.5,IF($AX65&lt;$AX68,0.5,0)),0)))</f>
        <v>0</v>
      </c>
      <c r="BS65" s="111">
        <f>IF($BK65,IF(G42-H42&lt;0,-0.5,IF(H42-G42&lt;0,0.5,0)),IF($BF65,IF($AW65&gt;$AW69,-0.5,IF($AW65&lt;$AW69,0.5,0)),IF($BG65,IF($AX65&gt;$AX69,-0.5, IF($AX65&lt;$AX69,0.5,0)),0)))</f>
        <v>0</v>
      </c>
    </row>
    <row r="66" spans="2:71" ht="14.25" hidden="1" customHeight="1" x14ac:dyDescent="0.2">
      <c r="B66" s="161"/>
      <c r="C66" s="14">
        <v>43287</v>
      </c>
      <c r="D66" s="15">
        <v>0.83333333333333337</v>
      </c>
      <c r="E66" s="17" t="str">
        <f>IF(G61&gt;H61,E61,IF(G61&lt;H61,F61,IF(G61=H61,IF(I61=1,E61,IF(I61=2,F61,CONCATENATE(E61," / ",F61))))))</f>
        <v>Brésil / Suède</v>
      </c>
      <c r="F66" s="17" t="str">
        <f>IF(G62&gt;H62,E62,IF(G62&lt;H62,F62,IF(G62=H62,IF(I62=1,E62,IF(I62=2,F62,CONCATENATE(E62," / ",F62))))))</f>
        <v>Angleterre / Sénégal</v>
      </c>
      <c r="G66" s="132"/>
      <c r="H66" s="132"/>
      <c r="I66" s="133"/>
      <c r="P66" s="60"/>
      <c r="Q66" s="60"/>
      <c r="R66" s="60"/>
      <c r="S66" s="60"/>
      <c r="T66" s="135"/>
      <c r="X66" s="60"/>
      <c r="Y66" s="60"/>
      <c r="AE66" s="105"/>
      <c r="AF66" s="106"/>
      <c r="AG66" s="107"/>
      <c r="AH66" s="115"/>
      <c r="AI66" s="109"/>
      <c r="AJ66" s="87"/>
      <c r="AK66" s="110"/>
      <c r="AL66" s="87"/>
      <c r="AM66" s="111"/>
      <c r="AN66" s="87"/>
      <c r="AO66" s="87"/>
      <c r="AP66" s="87"/>
      <c r="AQ66" s="87"/>
      <c r="AR66" s="110"/>
      <c r="AS66" s="87"/>
      <c r="AT66" s="87"/>
      <c r="AU66" s="111"/>
      <c r="AV66" s="110"/>
      <c r="AW66" s="87"/>
      <c r="AX66" s="87"/>
      <c r="AY66" s="111"/>
      <c r="AZ66" s="110"/>
      <c r="BA66" s="112"/>
      <c r="BB66" s="112"/>
      <c r="BC66" s="113"/>
      <c r="BD66" s="87"/>
      <c r="BE66" s="87"/>
      <c r="BF66" s="87"/>
      <c r="BG66" s="87"/>
      <c r="BH66" s="87"/>
      <c r="BI66" s="87"/>
      <c r="BJ66" s="87"/>
      <c r="BK66" s="87"/>
      <c r="BL66" s="87"/>
      <c r="BM66" s="87"/>
      <c r="BN66" s="87"/>
      <c r="BO66" s="87"/>
      <c r="BP66" s="110"/>
      <c r="BQ66" s="87"/>
      <c r="BR66" s="87"/>
      <c r="BS66" s="111"/>
    </row>
    <row r="67" spans="2:71" ht="14.25" hidden="1" customHeight="1" x14ac:dyDescent="0.2">
      <c r="B67" s="161"/>
      <c r="C67" s="12">
        <v>43288</v>
      </c>
      <c r="D67" s="13">
        <v>0.66666666666666663</v>
      </c>
      <c r="E67" s="64" t="str">
        <f>IF(G63&gt;H63,E63,IF(G63&lt;H63,F63,IF(G63=H63,IF(I63=1,E63,IF(I63=2,F63,CONCATENATE(E63," / ",F63))))))</f>
        <v>Allemagne / Costa Rica</v>
      </c>
      <c r="F67" s="64" t="str">
        <f>IF(G64&gt;H64,E64,IF(G64&lt;H64,F64,IF(G64=H64,IF(I64=1,E64,IF(I64=2,F64,CONCATENATE(E64," / ",F64))))))</f>
        <v>Colombie / Panama</v>
      </c>
      <c r="G67" s="132"/>
      <c r="H67" s="132"/>
      <c r="I67" s="133"/>
      <c r="P67" s="60"/>
      <c r="Q67" s="60"/>
      <c r="R67" s="60"/>
      <c r="S67" s="60"/>
      <c r="T67" s="19"/>
      <c r="X67" s="60"/>
      <c r="Y67" s="60"/>
      <c r="AE67" s="105">
        <f>IF(ROUND(AG67,0)=ROUND(AG65,0),AE65,2)</f>
        <v>2</v>
      </c>
      <c r="AF67" s="106">
        <f>ROUND(AG67,0)</f>
        <v>2</v>
      </c>
      <c r="AG67" s="107">
        <f>MAX(MIN(AH65:AH68),MIN(AH65,AH67,AH69),MIN(AH65,AH68,AH69),MIN(AH67:AH69))</f>
        <v>1.9700000000000002</v>
      </c>
      <c r="AH67" s="115">
        <f>SUM(AZ67:BC67)+2.46</f>
        <v>2.96</v>
      </c>
      <c r="AI67" s="109" t="str">
        <f>F38</f>
        <v>Mexique</v>
      </c>
      <c r="AJ67" s="87">
        <f>SUM(AN67:AQ67)</f>
        <v>2</v>
      </c>
      <c r="AK67" s="110">
        <f>H38+H40+G43</f>
        <v>3</v>
      </c>
      <c r="AL67" s="87">
        <f>G38+G40+H43</f>
        <v>6</v>
      </c>
      <c r="AM67" s="111">
        <f>AK67-AL67</f>
        <v>-3</v>
      </c>
      <c r="AN67" s="87">
        <f>IF(ISBLANK(H38),0,IF(AO65=3,0,IF(AO65=1,1,3)))</f>
        <v>0</v>
      </c>
      <c r="AO67" s="87" t="s">
        <v>72</v>
      </c>
      <c r="AP67" s="87">
        <f>IF(ISBLANK(G43),0,IF(AO68=3,0,IF(AO68=1,1,3)))</f>
        <v>1</v>
      </c>
      <c r="AQ67" s="87">
        <f>IF(ISBLANK(H40),0,IF(H40&gt;G40,3,IF(H40=G40,1,0)))</f>
        <v>1</v>
      </c>
      <c r="AR67" s="110" t="b">
        <f>(10*(AM65-AM67)+AK65-AK67&lt;0)</f>
        <v>0</v>
      </c>
      <c r="AS67" s="87" t="s">
        <v>72</v>
      </c>
      <c r="AT67" s="87" t="b">
        <f>10*(AM67-AM68)+AK67-AK68&gt;0</f>
        <v>0</v>
      </c>
      <c r="AU67" s="111" t="b">
        <f>10*(AM67-AM69)+AK67-AK69&gt;0</f>
        <v>0</v>
      </c>
      <c r="AV67" s="110">
        <f>10000*(AN67+AP67)+(H38-G38+G43-H43)*100+(H38+G43)</f>
        <v>9702</v>
      </c>
      <c r="AW67" s="87">
        <f>10000*(AN67+AQ67)+(H38-G38+H40-G40)*100+(H38+H40)</f>
        <v>9701</v>
      </c>
      <c r="AX67" s="87" t="s">
        <v>72</v>
      </c>
      <c r="AY67" s="111">
        <f>10000*(AP67+AQ67)+(H40-G40+G43-H43)*100+(H40+G43)</f>
        <v>20003</v>
      </c>
      <c r="AZ67" s="116">
        <f>-BA65</f>
        <v>0.5</v>
      </c>
      <c r="BA67" s="87" t="s">
        <v>72</v>
      </c>
      <c r="BB67" s="112">
        <f>IF($AJ67&gt;$AJ68,-0.5,IF($AJ68&gt;$AJ67,0.5,IF(AT67,-0.5,IF(AS68,0.5,BR67))))</f>
        <v>0.5</v>
      </c>
      <c r="BC67" s="113">
        <f>IF($AJ67&gt;$AJ69,-0.5,IF($AJ69&gt;$AJ67,0.5,IF(AU67,-0.5,IF(AS69,0.5,BS67))))</f>
        <v>-0.5</v>
      </c>
      <c r="BD67" s="85"/>
      <c r="BE67" s="85"/>
      <c r="BF67" s="85"/>
      <c r="BG67" s="85"/>
      <c r="BH67" s="85"/>
      <c r="BI67" s="85"/>
      <c r="BJ67" s="85"/>
      <c r="BK67" s="85"/>
      <c r="BL67" s="85"/>
      <c r="BM67" s="85"/>
      <c r="BN67" s="85"/>
      <c r="BO67" s="85"/>
      <c r="BP67" s="110"/>
      <c r="BQ67" s="87" t="s">
        <v>72</v>
      </c>
      <c r="BR67" s="87">
        <f>IF($BL65,IF(H43-G43&lt;0,-0.5,IF(G43-H43&lt;0,0.5,0)),IF($BE65,IF($AV67&gt;$AV68,-0.5,IF($AV67&lt;$AV68,0.5,0)),IF($BH65,IF($AY67&gt;$AY68,-0.5,IF($AY67&lt;$AY68,0.5,0)),0)))</f>
        <v>0</v>
      </c>
      <c r="BS67" s="111">
        <f>IF($BM65,IF(G40-H40&lt;0,-0.5,IF(H40-G40&lt;0,0.5,0)),IF($BF65,IF($AW67&gt;$AW69,-0.5,IF($AW67&lt;$AW69,0.5,0)),IF($BH65,IF($AY67&gt;$AY69,-0.5,IF($AY67&lt;$AY69,0.5,0)),0)))</f>
        <v>0</v>
      </c>
    </row>
    <row r="68" spans="2:71" ht="14.25" hidden="1" customHeight="1" x14ac:dyDescent="0.2">
      <c r="B68" s="161"/>
      <c r="C68" s="14">
        <v>43288</v>
      </c>
      <c r="D68" s="15">
        <v>0.83333333333333337</v>
      </c>
      <c r="E68" s="17" t="str">
        <f>IF(G59&gt;H59,E59,IF(G59&lt;H59,F59,IF(G59=H59,IF(I59=1,E59,IF(I59=2,F59,CONCATENATE(E59," / ",F59))))))</f>
        <v>Portugal / Russie</v>
      </c>
      <c r="F68" s="17" t="str">
        <f>IF(G60&gt;H60,E60,IF(G60&lt;H60,F60,IF(G60=H60,IF(I60=1,E60,IF(I60=2,F60,CONCATENATE(E60," / ",F60))))))</f>
        <v>Argentine / Australie</v>
      </c>
      <c r="G68" s="132"/>
      <c r="H68" s="132"/>
      <c r="I68" s="133"/>
      <c r="P68" s="60"/>
      <c r="Q68" s="60"/>
      <c r="R68" s="60"/>
      <c r="S68" s="60"/>
      <c r="T68" s="60"/>
      <c r="X68" s="60"/>
      <c r="Y68" s="60"/>
      <c r="AE68" s="105">
        <f>IF(ROUND(AG68,0)=ROUND(AG67,0),AE67,3)</f>
        <v>3</v>
      </c>
      <c r="AF68" s="106">
        <f>ROUND(AG68,0)</f>
        <v>3</v>
      </c>
      <c r="AG68" s="107">
        <f>MIN(MAX(AH65:AH68),MAX(AH65,AH67,AH69),MAX(AH65,AH68,AH69),MAX(AH67:AH69))</f>
        <v>2.96</v>
      </c>
      <c r="AH68" s="115">
        <f>SUM(AZ68:BC68)+2.47</f>
        <v>1.9700000000000002</v>
      </c>
      <c r="AI68" s="109" t="str">
        <f>E39</f>
        <v>Suède</v>
      </c>
      <c r="AJ68" s="87">
        <f>SUM(AN68:AQ68)</f>
        <v>4</v>
      </c>
      <c r="AK68" s="110">
        <f>G39+H41+H43</f>
        <v>6</v>
      </c>
      <c r="AL68" s="87">
        <f>H39+G41+G43</f>
        <v>6</v>
      </c>
      <c r="AM68" s="111">
        <f>AK68-AL68</f>
        <v>0</v>
      </c>
      <c r="AN68" s="87">
        <f>IF(ISBLANK(H41),0,IF(AP65=3,0,IF(AP65=1,1,3)))</f>
        <v>0</v>
      </c>
      <c r="AO68" s="87">
        <f>IF(ISBLANK(H43),0,IF(H43&gt;G43,3,IF(H43=G43,1,0)))</f>
        <v>1</v>
      </c>
      <c r="AP68" s="87" t="s">
        <v>72</v>
      </c>
      <c r="AQ68" s="87">
        <f>IF(ISBLANK(G39),0,IF(G39&gt;H39,3,IF(G39=H39,1,0)))</f>
        <v>3</v>
      </c>
      <c r="AR68" s="110" t="b">
        <f>10*(AM65-AM68)+AK65-AK68&lt;0</f>
        <v>0</v>
      </c>
      <c r="AS68" s="87" t="b">
        <f>10*(AM67-AM68)+AK67-AK68&lt;0</f>
        <v>1</v>
      </c>
      <c r="AT68" s="87" t="s">
        <v>72</v>
      </c>
      <c r="AU68" s="111" t="b">
        <f>10*(AM68-AM69)+AK68-AK69&gt;0</f>
        <v>1</v>
      </c>
      <c r="AV68" s="110">
        <f>10000*(AN68+AO68)+(H41-G41+H43-G43)*100+(H41+H43)</f>
        <v>9904</v>
      </c>
      <c r="AW68" s="87" t="s">
        <v>72</v>
      </c>
      <c r="AX68" s="87">
        <f>10000*(AN68+AQ68)+(G39-H39+H41-G41)*100+(G39+H41)</f>
        <v>30004</v>
      </c>
      <c r="AY68" s="111">
        <f>10000*(AO68+AQ68)+(G39-H39+H43-G43)*100+(G39+H43)</f>
        <v>40104</v>
      </c>
      <c r="AZ68" s="116">
        <f>-BB65</f>
        <v>0.5</v>
      </c>
      <c r="BA68" s="112">
        <f>-BB67</f>
        <v>-0.5</v>
      </c>
      <c r="BB68" s="112" t="s">
        <v>72</v>
      </c>
      <c r="BC68" s="113">
        <f>IF($AJ68&gt;$AJ69,-0.5,IF($AJ69&gt;$AJ68,0.5,IF(AU68,-0.5,IF(AT69,0.5,BS68))))</f>
        <v>-0.5</v>
      </c>
      <c r="BD68" s="85"/>
      <c r="BE68" s="85"/>
      <c r="BF68" s="85"/>
      <c r="BG68" s="85"/>
      <c r="BH68" s="85"/>
      <c r="BI68" s="85"/>
      <c r="BJ68" s="85"/>
      <c r="BK68" s="85"/>
      <c r="BL68" s="85"/>
      <c r="BM68" s="85"/>
      <c r="BN68" s="85"/>
      <c r="BO68" s="85"/>
      <c r="BP68" s="110"/>
      <c r="BQ68" s="87"/>
      <c r="BR68" s="87" t="s">
        <v>72</v>
      </c>
      <c r="BS68" s="111">
        <f>IF($BN65,IF(H39-G39&lt;0,-0.5,IF(G39-H39&lt;0,0.5,0)),IF($BG65,IF($AX68&gt;$AX69,-0.5,IF($AX68&lt;$AX69,0.5,0)),IF($BH65,IF($AY68&gt;$AY69,-0.5,IF($AY68&lt;$AY69,0.5,0)),0)))</f>
        <v>0</v>
      </c>
    </row>
    <row r="69" spans="2:71" ht="14.25" hidden="1" customHeight="1" x14ac:dyDescent="0.2">
      <c r="B69" s="155" t="s">
        <v>117</v>
      </c>
      <c r="C69" s="12">
        <v>43291</v>
      </c>
      <c r="D69" s="13">
        <v>0.83333333333333337</v>
      </c>
      <c r="E69" s="76" t="str">
        <f>IF(G65&gt;H65,E65,IF(G65&lt;H65,F65,IF(G65=H65,IF(I65=1,E65,IF(I65=2,F65,CONCATENATE(E65," / ",F65))))))</f>
        <v>Uruguay / Espagne / France / Croatie</v>
      </c>
      <c r="F69" s="76" t="str">
        <f>IF(G66&gt;H66,E66,IF(G66&lt;H66,F66,IF(G66=H66,IF(I66=1,E66,IF(I66=2,F66,CONCATENATE(E66," / ",F66))))))</f>
        <v>Brésil / Suède / Angleterre / Sénégal</v>
      </c>
      <c r="G69" s="134"/>
      <c r="H69" s="130"/>
      <c r="I69" s="133"/>
      <c r="P69" s="60"/>
      <c r="Q69" s="60"/>
      <c r="R69" s="60"/>
      <c r="S69" s="60"/>
      <c r="T69" s="60"/>
      <c r="U69" s="60"/>
      <c r="V69" s="60"/>
      <c r="W69" s="60"/>
      <c r="X69" s="60"/>
      <c r="Y69" s="60"/>
      <c r="AE69" s="105">
        <f>IF(ROUND(AG69,0)=ROUND(AG68,0),AE68,4)</f>
        <v>4</v>
      </c>
      <c r="AF69" s="106">
        <f>ROUND(AG69,0)</f>
        <v>4</v>
      </c>
      <c r="AG69" s="107">
        <f>MAX(AH65:AH69)</f>
        <v>3.98</v>
      </c>
      <c r="AH69" s="117">
        <f>SUM(AZ69:BC69)+2.48</f>
        <v>3.98</v>
      </c>
      <c r="AI69" s="118" t="str">
        <f>F39</f>
        <v>Corée du sud</v>
      </c>
      <c r="AJ69" s="114">
        <f>SUM(AN69:AQ69)</f>
        <v>1</v>
      </c>
      <c r="AK69" s="119">
        <f>H39+G40+G42</f>
        <v>3</v>
      </c>
      <c r="AL69" s="114">
        <f>G39+H40+H42</f>
        <v>6</v>
      </c>
      <c r="AM69" s="120">
        <f>AK69-AL69</f>
        <v>-3</v>
      </c>
      <c r="AN69" s="114">
        <f>IF(ISBLANK(G42),0,IF(AQ65=3,0,IF(AQ65=1,1,3)))</f>
        <v>0</v>
      </c>
      <c r="AO69" s="114">
        <f>IF(ISBLANK(G40),0,IF(AQ67=3,0,IF(AQ67=1,1,3)))</f>
        <v>1</v>
      </c>
      <c r="AP69" s="114">
        <f>IF(ISBLANK(H39),0,IF(AQ68=3,0,IF(AQ68=1,1,3)))</f>
        <v>0</v>
      </c>
      <c r="AQ69" s="114" t="s">
        <v>72</v>
      </c>
      <c r="AR69" s="119" t="b">
        <f>10*(AM65-AM69)+AK65-AK69&lt;0</f>
        <v>0</v>
      </c>
      <c r="AS69" s="114" t="b">
        <f>10*(AM67-AM69)+AK67-AK69&lt;0</f>
        <v>0</v>
      </c>
      <c r="AT69" s="114" t="b">
        <f>10*(AM68-AM69)+AK68-AK69&lt;0</f>
        <v>0</v>
      </c>
      <c r="AU69" s="120" t="s">
        <v>72</v>
      </c>
      <c r="AV69" s="119" t="s">
        <v>72</v>
      </c>
      <c r="AW69" s="114">
        <f>10000*(AN69+AO69)+(G40-H40+G42-H42)*100+(G40+G42)</f>
        <v>9802</v>
      </c>
      <c r="AX69" s="114">
        <f>10000*(AN69+AP69)+(G42-H42+H39-G39)*100+(G42+H39)</f>
        <v>-298</v>
      </c>
      <c r="AY69" s="120">
        <f>10000*(AO69+AP69)+(G40-H40+H39-G39)*100+(G40+H39)</f>
        <v>9902</v>
      </c>
      <c r="AZ69" s="121">
        <f>-BC65</f>
        <v>0.5</v>
      </c>
      <c r="BA69" s="122">
        <f>-BC67</f>
        <v>0.5</v>
      </c>
      <c r="BB69" s="122">
        <f>-BC68</f>
        <v>0.5</v>
      </c>
      <c r="BC69" s="120" t="s">
        <v>72</v>
      </c>
      <c r="BD69" s="85"/>
      <c r="BE69" s="85"/>
      <c r="BF69" s="85"/>
      <c r="BG69" s="85"/>
      <c r="BH69" s="85"/>
      <c r="BI69" s="85"/>
      <c r="BJ69" s="85"/>
      <c r="BK69" s="85"/>
      <c r="BL69" s="85"/>
      <c r="BM69" s="85"/>
      <c r="BN69" s="85"/>
      <c r="BO69" s="85"/>
      <c r="BP69" s="119"/>
      <c r="BQ69" s="114"/>
      <c r="BR69" s="114"/>
      <c r="BS69" s="120" t="s">
        <v>72</v>
      </c>
    </row>
    <row r="70" spans="2:71" ht="14.25" hidden="1" customHeight="1" x14ac:dyDescent="0.2">
      <c r="B70" s="155"/>
      <c r="C70" s="14">
        <v>43292</v>
      </c>
      <c r="D70" s="15">
        <v>0.83333333333333337</v>
      </c>
      <c r="E70" s="77" t="str">
        <f>IF(G68&gt;H68,E68,IF(G68&lt;H68,F68,IF(G68=H68,IF(I68=1,E68,IF(I68=2,F68,CONCATENATE(E68," / ",F68))))))</f>
        <v>Portugal / Russie / Argentine / Australie</v>
      </c>
      <c r="F70" s="77" t="str">
        <f>IF(G67&gt;H67,E67,IF(G67&lt;H67,F67,IF(G67=H67,IF(I67=1,E67,IF(I67=2,F67,CONCATENATE(E67," / ",F67))))))</f>
        <v>Allemagne / Costa Rica / Colombie / Panama</v>
      </c>
      <c r="G70" s="132"/>
      <c r="H70" s="132"/>
      <c r="I70" s="133"/>
      <c r="P70" s="60"/>
      <c r="Q70" s="60"/>
      <c r="R70" s="60"/>
      <c r="S70" s="60"/>
      <c r="T70" s="60"/>
      <c r="U70" s="60"/>
      <c r="V70" s="60"/>
      <c r="W70" s="60"/>
      <c r="X70" s="60"/>
      <c r="Y70" s="60"/>
    </row>
    <row r="71" spans="2:71" ht="14.25" hidden="1" customHeight="1" x14ac:dyDescent="0.2">
      <c r="B71" s="78" t="s">
        <v>118</v>
      </c>
      <c r="C71" s="12">
        <v>43295</v>
      </c>
      <c r="D71" s="13">
        <v>0.66666666666666663</v>
      </c>
      <c r="E71" s="80" t="str">
        <f>IF(G69&gt;H69,F69,IF(G69&lt;H69,E69,IF(G69=H69,IF(I69=1,F69,IF(I69=2,E69,"-")))))</f>
        <v>-</v>
      </c>
      <c r="F71" s="80" t="str">
        <f>IF(G70&gt;H70,F70,IF(G70&lt;H70,E70,IF(G70=H70,IF(I70=1,F70,IF(I70=2,E70,"-")))))</f>
        <v>-</v>
      </c>
      <c r="G71" s="134"/>
      <c r="H71" s="130"/>
      <c r="I71" s="133"/>
      <c r="P71" s="60"/>
      <c r="Q71" s="60"/>
      <c r="R71" s="60"/>
      <c r="S71" s="60"/>
      <c r="T71" s="60"/>
      <c r="U71" s="60"/>
      <c r="V71" s="60"/>
      <c r="W71" s="60"/>
      <c r="X71" s="60"/>
      <c r="Y71" s="60"/>
    </row>
    <row r="72" spans="2:71" ht="14.25" hidden="1" customHeight="1" x14ac:dyDescent="0.2">
      <c r="B72" s="79" t="s">
        <v>119</v>
      </c>
      <c r="C72" s="14">
        <v>43296</v>
      </c>
      <c r="D72" s="15">
        <v>0.70833333333333337</v>
      </c>
      <c r="E72" s="81" t="str">
        <f>IF(G69&gt;H69,E69,IF(G69&lt;H69,F69,IF(G69=H69,IF(I69=1,E69,IF(I69=2,F69,"-")))))</f>
        <v>-</v>
      </c>
      <c r="F72" s="81" t="str">
        <f>IF(G70&gt;H70,E70,IF(G70&lt;H70,F70,IF(G70=H70,IF(I70=1,E70,IF(I70=2,F70,"-")))))</f>
        <v>-</v>
      </c>
      <c r="G72" s="132"/>
      <c r="H72" s="132"/>
      <c r="I72" s="133"/>
      <c r="P72" s="60"/>
      <c r="Q72" s="60"/>
      <c r="R72" s="60"/>
      <c r="S72" s="60"/>
      <c r="T72" s="60"/>
      <c r="U72" s="136"/>
      <c r="V72" s="60"/>
      <c r="W72" s="60"/>
      <c r="X72" s="60"/>
      <c r="Y72" s="60"/>
    </row>
    <row r="73" spans="2:71" ht="14.25" hidden="1" customHeight="1" x14ac:dyDescent="0.2">
      <c r="I73" s="60"/>
      <c r="P73" s="60"/>
      <c r="Q73" s="60"/>
      <c r="R73" s="60"/>
      <c r="S73" s="60"/>
      <c r="T73" s="60"/>
      <c r="U73" s="150"/>
      <c r="V73" s="150"/>
      <c r="W73" s="150"/>
      <c r="X73" s="150"/>
      <c r="Y73" s="150"/>
      <c r="Z73" s="137"/>
      <c r="AA73" s="137"/>
      <c r="AB73" s="89"/>
      <c r="AC73" s="89"/>
      <c r="AD73" s="89"/>
      <c r="AE73" s="89"/>
      <c r="AF73" s="89"/>
      <c r="AH73" s="101" t="s">
        <v>39</v>
      </c>
      <c r="AI73" s="102" t="s">
        <v>40</v>
      </c>
      <c r="AJ73" s="103" t="s">
        <v>1</v>
      </c>
      <c r="AK73" s="101" t="s">
        <v>41</v>
      </c>
      <c r="AL73" s="103" t="s">
        <v>42</v>
      </c>
      <c r="AM73" s="104" t="s">
        <v>43</v>
      </c>
      <c r="AN73" s="103" t="s">
        <v>44</v>
      </c>
      <c r="AO73" s="103" t="s">
        <v>45</v>
      </c>
      <c r="AP73" s="103" t="s">
        <v>46</v>
      </c>
      <c r="AQ73" s="103" t="s">
        <v>47</v>
      </c>
      <c r="AR73" s="101" t="s">
        <v>48</v>
      </c>
      <c r="AS73" s="103" t="s">
        <v>49</v>
      </c>
      <c r="AT73" s="103" t="s">
        <v>50</v>
      </c>
      <c r="AU73" s="104" t="s">
        <v>51</v>
      </c>
      <c r="AV73" s="101" t="s">
        <v>52</v>
      </c>
      <c r="AW73" s="103" t="s">
        <v>53</v>
      </c>
      <c r="AX73" s="103" t="s">
        <v>54</v>
      </c>
      <c r="AY73" s="104" t="s">
        <v>55</v>
      </c>
      <c r="AZ73" s="101" t="s">
        <v>56</v>
      </c>
      <c r="BA73" s="103" t="s">
        <v>57</v>
      </c>
      <c r="BB73" s="103" t="s">
        <v>58</v>
      </c>
      <c r="BC73" s="104" t="s">
        <v>59</v>
      </c>
      <c r="BD73" s="101" t="s">
        <v>60</v>
      </c>
      <c r="BE73" s="103" t="s">
        <v>52</v>
      </c>
      <c r="BF73" s="103" t="s">
        <v>53</v>
      </c>
      <c r="BG73" s="103" t="s">
        <v>54</v>
      </c>
      <c r="BH73" s="103" t="s">
        <v>55</v>
      </c>
      <c r="BI73" s="103" t="s">
        <v>61</v>
      </c>
      <c r="BJ73" s="103" t="s">
        <v>62</v>
      </c>
      <c r="BK73" s="103" t="s">
        <v>63</v>
      </c>
      <c r="BL73" s="103" t="s">
        <v>64</v>
      </c>
      <c r="BM73" s="103" t="s">
        <v>65</v>
      </c>
      <c r="BN73" s="103" t="s">
        <v>66</v>
      </c>
      <c r="BO73" s="104" t="s">
        <v>67</v>
      </c>
      <c r="BP73" s="101" t="s">
        <v>68</v>
      </c>
      <c r="BQ73" s="103" t="s">
        <v>69</v>
      </c>
      <c r="BR73" s="103" t="s">
        <v>70</v>
      </c>
      <c r="BS73" s="104" t="s">
        <v>71</v>
      </c>
    </row>
    <row r="74" spans="2:71" ht="14.25" hidden="1" customHeight="1" x14ac:dyDescent="0.2">
      <c r="C74" s="146" t="s">
        <v>94</v>
      </c>
      <c r="D74" s="146"/>
      <c r="E74" s="146"/>
      <c r="F74" s="156" t="str">
        <f>IF(G72&gt;H72,E72,IF(G72&lt;H72,F72,IF(G72=H72,IF(I72=1,E72,IF(I72=2,F72,"-")))))</f>
        <v>-</v>
      </c>
      <c r="G74" s="156"/>
      <c r="H74" s="156"/>
      <c r="I74" s="60"/>
      <c r="P74" s="60"/>
      <c r="Q74" s="60"/>
      <c r="R74" s="60"/>
      <c r="S74" s="60"/>
      <c r="T74" s="60"/>
      <c r="U74" s="150"/>
      <c r="V74" s="150"/>
      <c r="W74" s="150"/>
      <c r="X74" s="150"/>
      <c r="Y74" s="150"/>
      <c r="Z74" s="137"/>
      <c r="AA74" s="137"/>
      <c r="AB74" s="89"/>
      <c r="AC74" s="89"/>
      <c r="AD74" s="89"/>
      <c r="AE74" s="105">
        <v>1</v>
      </c>
      <c r="AF74" s="106">
        <f>ROUND(AG74,0)</f>
        <v>1</v>
      </c>
      <c r="AG74" s="107">
        <f>MIN(AH74:AH77)</f>
        <v>0.98</v>
      </c>
      <c r="AH74" s="108">
        <f>SUM(AZ74:BC74)+2.45</f>
        <v>2.95</v>
      </c>
      <c r="AI74" s="109" t="str">
        <f>E44</f>
        <v>Belgique</v>
      </c>
      <c r="AJ74" s="87">
        <f>SUM(AN74:AQ74)</f>
        <v>4</v>
      </c>
      <c r="AK74" s="110">
        <f>G44+G46+H48</f>
        <v>4</v>
      </c>
      <c r="AL74" s="87">
        <f>H44+H46+G48</f>
        <v>4</v>
      </c>
      <c r="AM74" s="111">
        <f>AK74-AL74</f>
        <v>0</v>
      </c>
      <c r="AN74" s="87" t="s">
        <v>72</v>
      </c>
      <c r="AO74" s="87">
        <f>IF(ISBLANK(G44),0,IF(G44&gt;H44,3,IF(G44=H44,1,0)))</f>
        <v>0</v>
      </c>
      <c r="AP74" s="87">
        <f>IF(ISBLANK(G46),0,IF(G46&gt;H46,3,IF(G46=H46,1,0)))</f>
        <v>3</v>
      </c>
      <c r="AQ74" s="87">
        <f>IF(ISBLANK(H48),0,IF(H48&gt;G48,3,IF(H48=G48,1,0)))</f>
        <v>1</v>
      </c>
      <c r="AR74" s="110" t="s">
        <v>72</v>
      </c>
      <c r="AS74" s="87" t="b">
        <f>(10*(AM74-AM75)+AK74-AK75&gt;0)</f>
        <v>0</v>
      </c>
      <c r="AT74" s="87" t="b">
        <f>10*(AM74-AM76)+AK74-AK76&gt;0</f>
        <v>1</v>
      </c>
      <c r="AU74" s="111" t="b">
        <f>10*(AM74-AM77)+AK74-AK77&gt;0</f>
        <v>0</v>
      </c>
      <c r="AV74" s="110">
        <f>10000*(AO74+AP74)+(G46-H46+G44-H44)*100+(G46+G44)</f>
        <v>30003</v>
      </c>
      <c r="AW74" s="87">
        <f>10000*(AO74+AQ74)+(G44-H44+H48-G48)*100+(G44+H48)</f>
        <v>9802</v>
      </c>
      <c r="AX74" s="87">
        <f>10000*(AP74+AQ74)+(H48-G48+G46-H46)*100+(H48+G46)</f>
        <v>40203</v>
      </c>
      <c r="AY74" s="111" t="s">
        <v>72</v>
      </c>
      <c r="AZ74" s="110" t="s">
        <v>72</v>
      </c>
      <c r="BA74" s="112">
        <f>IF($AJ74&gt;$AJ75,-0.5,IF($AJ75&gt;$AJ74,0.5,IF(AS74,-0.5,IF(AR75,0.5,BQ74))))</f>
        <v>0.5</v>
      </c>
      <c r="BB74" s="112">
        <f>IF($AJ74&gt;$AJ76,-0.5,IF($AJ76&gt;$AJ74,0.5,IF(AT74,-0.5,IF(AR76,0.5,BR74))))</f>
        <v>-0.5</v>
      </c>
      <c r="BC74" s="113">
        <f>IF($AJ74&gt;$AJ77,-0.5,IF($AJ77&gt;$AJ74,0.5,IF(AU74,-0.5,IF(AR77,0.5,BS74))))</f>
        <v>0.5</v>
      </c>
      <c r="BD74" s="114" t="b">
        <f>AND(AND(AJ74=AJ75,AJ75=AJ76,AJ76=AJ77),AND(AK74=AK75,AK75=AK76,AK76=AK77),AND(AL74=AL75,AL75=AL76,AL76=AL77))</f>
        <v>0</v>
      </c>
      <c r="BE74" s="114" t="b">
        <f>AND(NOT(BD74),AJ74=AJ75,AJ74=AJ76,AK74=AK75,AK74=AK76,AL74=AL75,AL74=AL76)</f>
        <v>0</v>
      </c>
      <c r="BF74" s="114" t="b">
        <f>AND(NOT(BD74),AJ74=AJ75,AJ74=AJ77,AK74=AK75,AK74=AK77,AL74=AL75,AL74=AL77)</f>
        <v>0</v>
      </c>
      <c r="BG74" s="114" t="b">
        <f>AND(NOT(BD74),AJ74=AJ76,AJ74=AJ77,AK74=AK76,AK74=AK77,AL74=AL76,AL74=AL77)</f>
        <v>0</v>
      </c>
      <c r="BH74" s="114" t="b">
        <f>AND(NOT(BD74),AJ75=AJ76,AJ75=AJ77,AK75=AK76,AK75=AK77,AL75=AL76,AL75=AL77)</f>
        <v>0</v>
      </c>
      <c r="BI74" s="114" t="b">
        <f>AND(NOT(BD74),NOT(BE74),NOT(BF74),AJ74=AJ75,AK74=AK75,AL74=AL75)</f>
        <v>0</v>
      </c>
      <c r="BJ74" s="114" t="b">
        <f>AND(NOT(BD74),NOT(BE74),NOT(BG74),AJ74=AJ76,AK74=AK76,AL74=AL76)</f>
        <v>0</v>
      </c>
      <c r="BK74" s="114" t="b">
        <f>AND(NOT(BD74),NOT(BF74),NOT(BG74),AJ74=AJ77,AK74=AK77,AL74=AL77)</f>
        <v>0</v>
      </c>
      <c r="BL74" s="114" t="b">
        <f>AND(NOT(BD74),NOT(BE74),NOT(BH74),AJ75=AJ76,AK75=AK76)</f>
        <v>0</v>
      </c>
      <c r="BM74" s="114" t="b">
        <f>AND(NOT(BD74),NOT(BF74),NOT(BH74),AJ75=AJ77,AK75=AK77,AL75=AL77)</f>
        <v>0</v>
      </c>
      <c r="BN74" s="114" t="b">
        <f>AND(NOT(BD74),NOT(BG74),NOT(BH74),AJ76=AJ77,AK76=AK77,AL76=AL77)</f>
        <v>0</v>
      </c>
      <c r="BO74" s="114" t="b">
        <f t="array" ref="BO74">AND(NOT(BD74:BN74))</f>
        <v>1</v>
      </c>
      <c r="BP74" s="110" t="s">
        <v>72</v>
      </c>
      <c r="BQ74" s="87">
        <f>IF($BI74,IF(H44-G44&lt;0,-0.5,IF(G44-H44&lt;0,0.5,0)),IF($BE74,IF($AV74&gt;$AV75,-0.5,IF($AV74&lt;$AV75,0.5,0)),IF($BF74,IF($AW74&gt;$AW75,-0.5, IF($AW74&lt;$AW75,0.5,0)),0)))</f>
        <v>0</v>
      </c>
      <c r="BR74" s="87">
        <f>IF($BJ74,IF(H46-G46&lt;0,-0.5,IF(G46-H46&lt;0,0.5,0)),IF($BE74,IF($AV74&gt;$AV76,-0.5,IF($AV74&lt;$AV76,0.5,0)),IF($BG74,IF($AX74&gt;$AX76,-0.5,IF($AX74&lt;$AX76,0.5,0)),0)))</f>
        <v>0</v>
      </c>
      <c r="BS74" s="111">
        <f>IF($BK74,IF(G48-H48&lt;0,-0.5,IF(H48-G48&lt;0,0.5,0)),IF($BF74,IF($AW74&gt;$AW77,-0.5,IF($AW74&lt;$AW77,0.5,0)),IF($BG74,IF($AX74&gt;$AX77,-0.5, IF($AX74&lt;$AX77,0.5,0)),0)))</f>
        <v>0</v>
      </c>
    </row>
    <row r="75" spans="2:71" ht="14.25" hidden="1" customHeight="1" x14ac:dyDescent="0.2">
      <c r="C75" s="146"/>
      <c r="D75" s="146"/>
      <c r="E75" s="146"/>
      <c r="F75" s="156"/>
      <c r="G75" s="156"/>
      <c r="H75" s="156"/>
      <c r="I75" s="60"/>
      <c r="P75" s="60"/>
      <c r="Q75" s="60"/>
      <c r="R75" s="60"/>
      <c r="S75" s="60"/>
      <c r="T75" s="60"/>
      <c r="U75" s="60"/>
      <c r="V75" s="60"/>
      <c r="W75" s="60"/>
      <c r="X75" s="138"/>
      <c r="Y75" s="138"/>
      <c r="Z75" s="139"/>
      <c r="AA75" s="139"/>
      <c r="AB75" s="140"/>
      <c r="AC75" s="140"/>
      <c r="AD75" s="140"/>
      <c r="AE75" s="105">
        <f>IF(ROUND(AG75,0)=ROUND(AG74,0),AE74,2)</f>
        <v>2</v>
      </c>
      <c r="AF75" s="106">
        <f>ROUND(AG75,0)</f>
        <v>2</v>
      </c>
      <c r="AG75" s="107">
        <f>MAX(MIN(AH74:AH76),MIN(AH74,AH75,AH77),MIN(AH74,AH76,AH77),MIN(AH75:AH77))</f>
        <v>1.96</v>
      </c>
      <c r="AH75" s="115">
        <f>SUM(AZ75:BC75)+2.46</f>
        <v>1.96</v>
      </c>
      <c r="AI75" s="109" t="str">
        <f>F44</f>
        <v>Panama</v>
      </c>
      <c r="AJ75" s="87">
        <f>SUM(AN75:AQ75)</f>
        <v>6</v>
      </c>
      <c r="AK75" s="110">
        <f>H44+H47+G49</f>
        <v>5</v>
      </c>
      <c r="AL75" s="87">
        <f>G44+G47+H49</f>
        <v>4</v>
      </c>
      <c r="AM75" s="111">
        <f>AK75-AL75</f>
        <v>1</v>
      </c>
      <c r="AN75" s="87">
        <f>IF(ISBLANK(H44),0,IF(AO74=3,0,IF(AO74=1,1,3)))</f>
        <v>3</v>
      </c>
      <c r="AO75" s="87" t="s">
        <v>72</v>
      </c>
      <c r="AP75" s="87">
        <f>IF(ISBLANK(G49),0,IF(AO76=3,0,IF(AO76=1,1,3)))</f>
        <v>3</v>
      </c>
      <c r="AQ75" s="87">
        <f>IF(ISBLANK(H47),0,IF(H47&gt;G47,3,IF(H47=G47,1,0)))</f>
        <v>0</v>
      </c>
      <c r="AR75" s="110" t="b">
        <f>(10*(AM74-AM75)+AK74-AK75&lt;0)</f>
        <v>1</v>
      </c>
      <c r="AS75" s="87" t="s">
        <v>72</v>
      </c>
      <c r="AT75" s="87" t="b">
        <f>10*(AM75-AM76)+AK75-AK76&gt;0</f>
        <v>1</v>
      </c>
      <c r="AU75" s="111" t="b">
        <f>10*(AM75-AM77)+AK75-AK77&gt;0</f>
        <v>0</v>
      </c>
      <c r="AV75" s="110">
        <f>10000*(AN75+AP75)+(H44-G44+G49-H49)*100+(H44+G49)</f>
        <v>60305</v>
      </c>
      <c r="AW75" s="87">
        <f>10000*(AN75+AQ75)+(H44-G44+H47-G47)*100+(H44+H47)</f>
        <v>30003</v>
      </c>
      <c r="AX75" s="87" t="s">
        <v>72</v>
      </c>
      <c r="AY75" s="111">
        <f>10000*(AP75+AQ75)+(H47-G47+G49-H49)*100+(H47+G49)</f>
        <v>29902</v>
      </c>
      <c r="AZ75" s="116">
        <f>-BA74</f>
        <v>-0.5</v>
      </c>
      <c r="BA75" s="87" t="s">
        <v>72</v>
      </c>
      <c r="BB75" s="112">
        <f>IF($AJ75&gt;$AJ76,-0.5,IF($AJ76&gt;$AJ75,0.5,IF(AT75,-0.5,IF(AS76,0.5,BR75))))</f>
        <v>-0.5</v>
      </c>
      <c r="BC75" s="113">
        <f>IF($AJ75&gt;$AJ77,-0.5,IF($AJ77&gt;$AJ75,0.5,IF(AU75,-0.5,IF(AS77,0.5,BS75))))</f>
        <v>0.5</v>
      </c>
      <c r="BD75" s="85"/>
      <c r="BE75" s="85"/>
      <c r="BF75" s="85"/>
      <c r="BG75" s="85"/>
      <c r="BH75" s="85"/>
      <c r="BI75" s="85"/>
      <c r="BJ75" s="85"/>
      <c r="BK75" s="85"/>
      <c r="BL75" s="85"/>
      <c r="BM75" s="85"/>
      <c r="BN75" s="85"/>
      <c r="BO75" s="85"/>
      <c r="BP75" s="110"/>
      <c r="BQ75" s="87" t="s">
        <v>72</v>
      </c>
      <c r="BR75" s="87">
        <f>IF($BL74,IF(H49-G49&lt;0,-0.5,IF(G49-H49&lt;0,0.5,0)),IF($BE74,IF($AV75&gt;$AV76,-0.5,IF($AV75&lt;$AV76,0.5,0)),IF($BH74,IF($AY75&gt;$AY76,-0.5,IF($AY75&lt;$AY76,0.5,0)),0)))</f>
        <v>0</v>
      </c>
      <c r="BS75" s="111">
        <f>IF($BM74,IF(G47-H47&lt;0,-0.5,IF(H47-G47&lt;0,0.5,0)),IF($BF74,IF($AW75&gt;$AW77,-0.5,IF($AW75&lt;$AW77,0.5,0)),IF($BH74,IF($AY75&gt;$AY77,-0.5,IF($AY75&lt;$AY77,0.5,0)),0)))</f>
        <v>0</v>
      </c>
    </row>
    <row r="76" spans="2:71" ht="14.25" hidden="1" customHeight="1" x14ac:dyDescent="0.2">
      <c r="C76" s="60"/>
      <c r="D76" s="60"/>
      <c r="E76" s="59"/>
      <c r="F76" s="59"/>
      <c r="G76" s="60"/>
      <c r="H76" s="60"/>
      <c r="I76" s="60"/>
      <c r="P76" s="60"/>
      <c r="Q76" s="60"/>
      <c r="R76" s="60"/>
      <c r="S76" s="60"/>
      <c r="T76" s="141"/>
      <c r="U76" s="141"/>
      <c r="V76" s="141"/>
      <c r="W76" s="141"/>
      <c r="X76" s="141"/>
      <c r="Y76" s="141"/>
      <c r="Z76" s="142"/>
      <c r="AA76" s="142"/>
      <c r="AB76" s="140"/>
      <c r="AC76" s="140"/>
      <c r="AD76" s="140"/>
      <c r="AE76" s="105">
        <f>IF(ROUND(AG76,0)=ROUND(AG75,0),AE75,3)</f>
        <v>3</v>
      </c>
      <c r="AF76" s="106">
        <f>ROUND(AG76,0)</f>
        <v>3</v>
      </c>
      <c r="AG76" s="107">
        <f>MIN(MAX(AH74:AH76),MAX(AH74,AH75,AH77),MAX(AH74,AH76,AH77),MAX(AH75:AH77))</f>
        <v>2.95</v>
      </c>
      <c r="AH76" s="115">
        <f>SUM(AZ76:BC76)+2.47</f>
        <v>3.97</v>
      </c>
      <c r="AI76" s="109" t="str">
        <f>E45</f>
        <v>Tunisie</v>
      </c>
      <c r="AJ76" s="87">
        <f>SUM(AN76:AQ76)</f>
        <v>0</v>
      </c>
      <c r="AK76" s="110">
        <f>G45+H46+H49</f>
        <v>2</v>
      </c>
      <c r="AL76" s="87">
        <f>H45+G46+G49</f>
        <v>7</v>
      </c>
      <c r="AM76" s="111">
        <f>AK76-AL76</f>
        <v>-5</v>
      </c>
      <c r="AN76" s="87">
        <f>IF(ISBLANK(H46),0,IF(AP74=3,0,IF(AP74=1,1,3)))</f>
        <v>0</v>
      </c>
      <c r="AO76" s="87">
        <f>IF(ISBLANK(H49),0,IF(H49&gt;G49,3,IF(H49=G49,1,0)))</f>
        <v>0</v>
      </c>
      <c r="AP76" s="87" t="s">
        <v>72</v>
      </c>
      <c r="AQ76" s="87">
        <f>IF(ISBLANK(G45),0,IF(G45&gt;H45,3,IF(G45=H45,1,0)))</f>
        <v>0</v>
      </c>
      <c r="AR76" s="110" t="b">
        <f>10*(AM74-AM76)+AK74-AK76&lt;0</f>
        <v>0</v>
      </c>
      <c r="AS76" s="87" t="b">
        <f>10*(AM75-AM76)+AK75-AK76&lt;0</f>
        <v>0</v>
      </c>
      <c r="AT76" s="87" t="s">
        <v>72</v>
      </c>
      <c r="AU76" s="111" t="b">
        <f>10*(AM76-AM77)+AK76-AK77&gt;0</f>
        <v>0</v>
      </c>
      <c r="AV76" s="110">
        <f>10000*(AN76+AO76)+(H46-G46+H49-G49)*100+(H46+H49)</f>
        <v>-299</v>
      </c>
      <c r="AW76" s="87" t="s">
        <v>72</v>
      </c>
      <c r="AX76" s="87">
        <f>10000*(AN76+AQ76)+(G45-H45+H46-G46)*100+(G45+H46)</f>
        <v>-399</v>
      </c>
      <c r="AY76" s="111">
        <f>10000*(AO76+AQ76)+(G45-H45+H49-G49)*100+(G45+H49)</f>
        <v>-298</v>
      </c>
      <c r="AZ76" s="116">
        <f>-BB74</f>
        <v>0.5</v>
      </c>
      <c r="BA76" s="112">
        <f>-BB75</f>
        <v>0.5</v>
      </c>
      <c r="BB76" s="112" t="s">
        <v>72</v>
      </c>
      <c r="BC76" s="113">
        <f>IF($AJ76&gt;$AJ77,-0.5,IF($AJ77&gt;$AJ76,0.5,IF(AU76,-0.5,IF(AT77,0.5,BS76))))</f>
        <v>0.5</v>
      </c>
      <c r="BD76" s="85"/>
      <c r="BE76" s="85"/>
      <c r="BF76" s="85"/>
      <c r="BG76" s="85"/>
      <c r="BH76" s="85"/>
      <c r="BI76" s="85"/>
      <c r="BJ76" s="85"/>
      <c r="BK76" s="85"/>
      <c r="BL76" s="85"/>
      <c r="BM76" s="85"/>
      <c r="BN76" s="85"/>
      <c r="BO76" s="85"/>
      <c r="BP76" s="110"/>
      <c r="BQ76" s="87"/>
      <c r="BR76" s="87" t="s">
        <v>72</v>
      </c>
      <c r="BS76" s="111">
        <f>IF($BN74,IF(H45-G45&lt;0,-0.5,IF(G45-H45&lt;0,0.5,0)),IF($BG74,IF($AX76&gt;$AX77,-0.5,IF($AX76&lt;$AX77,0.5,0)),IF($BH74,IF($AY76&gt;$AY77,-0.5,IF($AY76&lt;$AY77,0.5,0)),0)))</f>
        <v>0</v>
      </c>
    </row>
    <row r="77" spans="2:71" ht="14.25" hidden="1" customHeight="1" x14ac:dyDescent="0.2">
      <c r="C77" s="146" t="s">
        <v>95</v>
      </c>
      <c r="D77" s="146"/>
      <c r="E77" s="146"/>
      <c r="F77" s="151" t="str">
        <f>IF(G72&gt;H72,F72,IF(G72&lt;H72,E72,IF(G72=H72,IF(I72=1,F72,IF(I72=2,E72,"-")))))</f>
        <v>-</v>
      </c>
      <c r="G77" s="151"/>
      <c r="H77" s="151"/>
      <c r="P77" s="60"/>
      <c r="Q77" s="60"/>
      <c r="R77" s="60"/>
      <c r="S77" s="60"/>
      <c r="T77" s="141"/>
      <c r="U77" s="141"/>
      <c r="V77" s="141"/>
      <c r="W77" s="141"/>
      <c r="X77" s="141"/>
      <c r="Y77" s="141"/>
      <c r="Z77" s="142"/>
      <c r="AA77" s="142"/>
      <c r="AB77" s="143"/>
      <c r="AE77" s="105">
        <f>IF(ROUND(AG77,0)=ROUND(AG76,0),AE76,4)</f>
        <v>4</v>
      </c>
      <c r="AF77" s="106">
        <f>ROUND(AG77,0)</f>
        <v>4</v>
      </c>
      <c r="AG77" s="107">
        <f>MAX(AH74:AH77)</f>
        <v>3.97</v>
      </c>
      <c r="AH77" s="117">
        <f>SUM(AZ77:BC77)+2.48</f>
        <v>0.98</v>
      </c>
      <c r="AI77" s="118" t="str">
        <f>F45</f>
        <v>Angleterre</v>
      </c>
      <c r="AJ77" s="114">
        <f>SUM(AN77:AQ77)</f>
        <v>7</v>
      </c>
      <c r="AK77" s="119">
        <f>H45+G47+G48</f>
        <v>6</v>
      </c>
      <c r="AL77" s="114">
        <f>G45+H47+H48</f>
        <v>2</v>
      </c>
      <c r="AM77" s="120">
        <f>AK77-AL77</f>
        <v>4</v>
      </c>
      <c r="AN77" s="114">
        <f>IF(ISBLANK(G48),0,IF(AQ74=3,0,IF(AQ74=1,1,3)))</f>
        <v>1</v>
      </c>
      <c r="AO77" s="114">
        <f>IF(ISBLANK(G47),0,IF(AQ75=3,0,IF(AQ75=1,1,3)))</f>
        <v>3</v>
      </c>
      <c r="AP77" s="114">
        <f>IF(ISBLANK(H45),0,IF(AQ76=3,0,IF(AQ76=1,1,3)))</f>
        <v>3</v>
      </c>
      <c r="AQ77" s="114" t="s">
        <v>72</v>
      </c>
      <c r="AR77" s="119" t="b">
        <f>10*(AM74-AM77)+AK74-AK77&lt;0</f>
        <v>1</v>
      </c>
      <c r="AS77" s="114" t="b">
        <f>10*(AM75-AM77)+AK75-AK77&lt;0</f>
        <v>1</v>
      </c>
      <c r="AT77" s="114" t="b">
        <f>10*(AM76-AM77)+AK76-AK77&lt;0</f>
        <v>1</v>
      </c>
      <c r="AU77" s="120" t="s">
        <v>72</v>
      </c>
      <c r="AV77" s="119" t="s">
        <v>72</v>
      </c>
      <c r="AW77" s="114">
        <f>10000*(AN77+AO77)+(G47-H47+G48-H48)*100+(G47+G48)</f>
        <v>40203</v>
      </c>
      <c r="AX77" s="114">
        <f>10000*(AN77+AP77)+(G48-H48+H45-G45)*100+(G48+H45)</f>
        <v>40204</v>
      </c>
      <c r="AY77" s="120">
        <f>10000*(AO77+AP77)+(G47-H47+H45-G45)*100+(G47+H45)</f>
        <v>60405</v>
      </c>
      <c r="AZ77" s="121">
        <f>-BC74</f>
        <v>-0.5</v>
      </c>
      <c r="BA77" s="122">
        <f>-BC75</f>
        <v>-0.5</v>
      </c>
      <c r="BB77" s="122">
        <f>-BC76</f>
        <v>-0.5</v>
      </c>
      <c r="BC77" s="120" t="s">
        <v>72</v>
      </c>
      <c r="BD77" s="85"/>
      <c r="BE77" s="85"/>
      <c r="BF77" s="85"/>
      <c r="BG77" s="85"/>
      <c r="BH77" s="85"/>
      <c r="BI77" s="85"/>
      <c r="BJ77" s="85"/>
      <c r="BK77" s="85"/>
      <c r="BL77" s="85"/>
      <c r="BM77" s="85"/>
      <c r="BN77" s="85"/>
      <c r="BO77" s="85"/>
      <c r="BP77" s="119"/>
      <c r="BQ77" s="114"/>
      <c r="BR77" s="114"/>
      <c r="BS77" s="120" t="s">
        <v>72</v>
      </c>
    </row>
    <row r="78" spans="2:71" ht="14.25" hidden="1" customHeight="1" x14ac:dyDescent="0.2">
      <c r="C78" s="146"/>
      <c r="D78" s="146"/>
      <c r="E78" s="146"/>
      <c r="F78" s="151"/>
      <c r="G78" s="151"/>
      <c r="H78" s="151"/>
      <c r="P78" s="60"/>
      <c r="Q78" s="60"/>
      <c r="R78" s="60"/>
      <c r="S78" s="60"/>
      <c r="T78" s="141"/>
      <c r="U78" s="141"/>
      <c r="V78" s="141"/>
      <c r="W78" s="141"/>
      <c r="X78" s="141"/>
      <c r="Y78" s="141"/>
      <c r="Z78" s="142"/>
      <c r="AA78" s="142"/>
      <c r="AB78" s="143"/>
      <c r="AE78" s="105"/>
      <c r="AF78" s="106"/>
      <c r="AG78" s="107"/>
      <c r="AH78" s="144"/>
      <c r="AI78" s="85"/>
      <c r="AJ78" s="87"/>
      <c r="AK78" s="87"/>
      <c r="AL78" s="87"/>
      <c r="AM78" s="87"/>
      <c r="AN78" s="87"/>
      <c r="AO78" s="87"/>
      <c r="AP78" s="87"/>
      <c r="AQ78" s="87"/>
      <c r="AR78" s="87"/>
      <c r="AS78" s="87"/>
      <c r="AT78" s="87"/>
      <c r="AU78" s="87"/>
      <c r="AV78" s="87"/>
      <c r="AW78" s="87"/>
      <c r="AX78" s="87"/>
      <c r="AY78" s="87"/>
      <c r="AZ78" s="112"/>
      <c r="BA78" s="112"/>
      <c r="BB78" s="112"/>
      <c r="BC78" s="87"/>
      <c r="BD78" s="85"/>
      <c r="BE78" s="85"/>
      <c r="BF78" s="85"/>
      <c r="BG78" s="85"/>
      <c r="BH78" s="85"/>
      <c r="BI78" s="85"/>
      <c r="BJ78" s="85"/>
      <c r="BK78" s="85"/>
      <c r="BL78" s="85"/>
      <c r="BM78" s="85"/>
      <c r="BN78" s="85"/>
      <c r="BO78" s="85"/>
      <c r="BP78" s="87"/>
      <c r="BQ78" s="87"/>
      <c r="BR78" s="87"/>
      <c r="BS78" s="87"/>
    </row>
    <row r="79" spans="2:71" ht="14.25" hidden="1" customHeight="1" x14ac:dyDescent="0.2">
      <c r="C79" s="146" t="s">
        <v>89</v>
      </c>
      <c r="D79" s="146"/>
      <c r="E79" s="146"/>
      <c r="F79" s="151" t="str">
        <f>IF(G71&gt;H71,E71,IF(G71&lt;H71,F71,IF(G71=H71,IF(I71=1,E71,IF(I71=2,F71,"-")))))</f>
        <v>-</v>
      </c>
      <c r="G79" s="151"/>
      <c r="H79" s="151"/>
      <c r="P79" s="60"/>
      <c r="Q79" s="60"/>
      <c r="R79" s="60"/>
      <c r="S79" s="60"/>
      <c r="T79" s="145"/>
      <c r="U79" s="145"/>
      <c r="V79" s="145"/>
      <c r="W79" s="145"/>
      <c r="X79" s="145"/>
      <c r="Y79" s="145"/>
      <c r="Z79" s="143"/>
      <c r="AA79" s="143"/>
      <c r="AB79" s="143"/>
    </row>
    <row r="80" spans="2:71" ht="14.25" hidden="1" customHeight="1" x14ac:dyDescent="0.2">
      <c r="C80" s="146"/>
      <c r="D80" s="146"/>
      <c r="E80" s="146"/>
      <c r="F80" s="151"/>
      <c r="G80" s="151"/>
      <c r="H80" s="151"/>
      <c r="P80" s="60"/>
      <c r="Q80" s="60"/>
      <c r="R80" s="60"/>
      <c r="S80" s="60"/>
      <c r="T80" s="145"/>
      <c r="U80" s="145"/>
      <c r="V80" s="145"/>
      <c r="W80" s="145"/>
      <c r="X80" s="145"/>
      <c r="Y80" s="145"/>
      <c r="Z80" s="143"/>
      <c r="AA80" s="143"/>
      <c r="AB80" s="143"/>
    </row>
    <row r="81" spans="3:72" ht="14.25" hidden="1" customHeight="1" x14ac:dyDescent="0.2">
      <c r="C81" s="146" t="s">
        <v>100</v>
      </c>
      <c r="D81" s="146"/>
      <c r="E81" s="146"/>
      <c r="F81" s="151" t="str">
        <f>IF(G71&gt;H71,F71,IF(G71&lt;H71,E71,IF(G71=H71,IF(I71=1,F71,IF(I71=2,E71,"-")))))</f>
        <v>-</v>
      </c>
      <c r="G81" s="151"/>
      <c r="H81" s="151"/>
      <c r="P81" s="60"/>
      <c r="Q81" s="60"/>
      <c r="R81" s="60"/>
      <c r="S81" s="60"/>
      <c r="T81" s="60"/>
      <c r="U81" s="60"/>
      <c r="V81" s="60"/>
      <c r="W81" s="60"/>
      <c r="X81" s="60"/>
      <c r="Y81" s="60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139"/>
      <c r="AN81" s="139"/>
      <c r="AO81" s="139"/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139"/>
      <c r="BA81" s="139"/>
      <c r="BB81" s="139"/>
      <c r="BC81" s="139"/>
      <c r="BD81" s="139"/>
      <c r="BE81" s="139"/>
      <c r="BF81" s="139"/>
      <c r="BG81" s="139"/>
      <c r="BH81" s="139"/>
      <c r="BI81" s="139"/>
      <c r="BJ81" s="139"/>
      <c r="BK81" s="139"/>
      <c r="BL81" s="139"/>
      <c r="BM81" s="139"/>
      <c r="BN81" s="139"/>
      <c r="BO81" s="139"/>
      <c r="BP81" s="139"/>
      <c r="BQ81" s="139"/>
      <c r="BR81" s="139"/>
      <c r="BS81" s="139"/>
      <c r="BT81" s="139"/>
    </row>
    <row r="82" spans="3:72" ht="14.25" hidden="1" customHeight="1" x14ac:dyDescent="0.2">
      <c r="C82" s="146"/>
      <c r="D82" s="146"/>
      <c r="E82" s="146"/>
      <c r="F82" s="151"/>
      <c r="G82" s="151"/>
      <c r="H82" s="151"/>
      <c r="P82" s="60"/>
      <c r="Q82" s="60"/>
      <c r="R82" s="60"/>
      <c r="S82" s="60"/>
      <c r="T82" s="60"/>
      <c r="U82" s="60"/>
      <c r="V82" s="60"/>
      <c r="W82" s="60"/>
      <c r="X82" s="60"/>
      <c r="Y82" s="60"/>
      <c r="AC82" s="139"/>
      <c r="AD82" s="139"/>
      <c r="AE82" s="139"/>
      <c r="AF82" s="139"/>
      <c r="AG82" s="139"/>
      <c r="AH82" s="139"/>
      <c r="AI82" s="139"/>
      <c r="AJ82" s="139"/>
      <c r="AK82" s="139"/>
      <c r="AL82" s="139"/>
      <c r="AM82" s="139"/>
      <c r="AN82" s="139"/>
      <c r="AO82" s="139"/>
      <c r="AP82" s="139"/>
      <c r="AQ82" s="139"/>
      <c r="AR82" s="139"/>
      <c r="AS82" s="139"/>
      <c r="AT82" s="139"/>
      <c r="AU82" s="139"/>
      <c r="AV82" s="139"/>
      <c r="AW82" s="139"/>
      <c r="AX82" s="139"/>
      <c r="AY82" s="139"/>
      <c r="AZ82" s="139"/>
      <c r="BA82" s="139"/>
      <c r="BB82" s="139"/>
      <c r="BC82" s="139"/>
      <c r="BD82" s="139"/>
      <c r="BE82" s="139"/>
      <c r="BF82" s="139"/>
      <c r="BG82" s="139"/>
      <c r="BH82" s="139"/>
      <c r="BI82" s="139"/>
      <c r="BJ82" s="139"/>
      <c r="BK82" s="139"/>
      <c r="BL82" s="139"/>
      <c r="BM82" s="139"/>
      <c r="BN82" s="139"/>
      <c r="BO82" s="139"/>
      <c r="BP82" s="139"/>
      <c r="BQ82" s="139"/>
      <c r="BR82" s="139"/>
      <c r="BS82" s="139"/>
      <c r="BT82" s="139"/>
    </row>
    <row r="83" spans="3:72" ht="14.25" customHeight="1" x14ac:dyDescent="0.2">
      <c r="C83" s="84"/>
      <c r="D83" s="84"/>
      <c r="E83" s="88"/>
      <c r="F83" s="88"/>
      <c r="G83" s="84"/>
      <c r="H83" s="84"/>
      <c r="P83" s="60"/>
      <c r="Q83" s="60"/>
      <c r="R83" s="60"/>
      <c r="S83" s="60"/>
      <c r="T83" s="60"/>
      <c r="U83" s="60"/>
      <c r="V83" s="60"/>
      <c r="W83" s="60"/>
      <c r="X83" s="60"/>
      <c r="Y83" s="60"/>
      <c r="AH83" s="101" t="s">
        <v>39</v>
      </c>
      <c r="AI83" s="102" t="s">
        <v>40</v>
      </c>
      <c r="AJ83" s="103" t="s">
        <v>1</v>
      </c>
      <c r="AK83" s="101" t="s">
        <v>41</v>
      </c>
      <c r="AL83" s="103" t="s">
        <v>42</v>
      </c>
      <c r="AM83" s="104" t="s">
        <v>43</v>
      </c>
      <c r="AN83" s="103" t="s">
        <v>44</v>
      </c>
      <c r="AO83" s="103" t="s">
        <v>45</v>
      </c>
      <c r="AP83" s="103" t="s">
        <v>46</v>
      </c>
      <c r="AQ83" s="103" t="s">
        <v>47</v>
      </c>
      <c r="AR83" s="101" t="s">
        <v>48</v>
      </c>
      <c r="AS83" s="103" t="s">
        <v>49</v>
      </c>
      <c r="AT83" s="103" t="s">
        <v>50</v>
      </c>
      <c r="AU83" s="104" t="s">
        <v>51</v>
      </c>
      <c r="AV83" s="101" t="s">
        <v>52</v>
      </c>
      <c r="AW83" s="103" t="s">
        <v>53</v>
      </c>
      <c r="AX83" s="103" t="s">
        <v>54</v>
      </c>
      <c r="AY83" s="104" t="s">
        <v>55</v>
      </c>
      <c r="AZ83" s="101" t="s">
        <v>56</v>
      </c>
      <c r="BA83" s="103" t="s">
        <v>57</v>
      </c>
      <c r="BB83" s="103" t="s">
        <v>58</v>
      </c>
      <c r="BC83" s="104" t="s">
        <v>59</v>
      </c>
      <c r="BD83" s="101" t="s">
        <v>60</v>
      </c>
      <c r="BE83" s="103" t="s">
        <v>52</v>
      </c>
      <c r="BF83" s="103" t="s">
        <v>53</v>
      </c>
      <c r="BG83" s="103" t="s">
        <v>54</v>
      </c>
      <c r="BH83" s="103" t="s">
        <v>55</v>
      </c>
      <c r="BI83" s="103" t="s">
        <v>61</v>
      </c>
      <c r="BJ83" s="103" t="s">
        <v>62</v>
      </c>
      <c r="BK83" s="103" t="s">
        <v>63</v>
      </c>
      <c r="BL83" s="103" t="s">
        <v>64</v>
      </c>
      <c r="BM83" s="103" t="s">
        <v>65</v>
      </c>
      <c r="BN83" s="103" t="s">
        <v>66</v>
      </c>
      <c r="BO83" s="104" t="s">
        <v>67</v>
      </c>
      <c r="BP83" s="101" t="s">
        <v>68</v>
      </c>
      <c r="BQ83" s="103" t="s">
        <v>69</v>
      </c>
      <c r="BR83" s="103" t="s">
        <v>70</v>
      </c>
      <c r="BS83" s="104" t="s">
        <v>71</v>
      </c>
    </row>
    <row r="84" spans="3:72" ht="14.25" customHeight="1" x14ac:dyDescent="0.2">
      <c r="C84" s="84"/>
      <c r="D84" s="84"/>
      <c r="E84" s="88"/>
      <c r="F84" s="88"/>
      <c r="G84" s="84"/>
      <c r="H84" s="84"/>
      <c r="P84" s="60"/>
      <c r="Q84" s="60"/>
      <c r="R84" s="60"/>
      <c r="S84" s="60"/>
      <c r="T84" s="60"/>
      <c r="U84" s="60"/>
      <c r="V84" s="60"/>
      <c r="W84" s="60"/>
      <c r="X84" s="60"/>
      <c r="Y84" s="60"/>
      <c r="AE84" s="105">
        <v>1</v>
      </c>
      <c r="AF84" s="106">
        <f>ROUND(AG84,0)</f>
        <v>1</v>
      </c>
      <c r="AG84" s="107">
        <f>MIN(AH84:AH87)</f>
        <v>0.9700000000000002</v>
      </c>
      <c r="AH84" s="108">
        <f>SUM(AZ84:BC84)+2.45</f>
        <v>2.95</v>
      </c>
      <c r="AI84" s="109" t="str">
        <f>E51</f>
        <v>Pologne</v>
      </c>
      <c r="AJ84" s="87">
        <f>SUM(AN84:AQ84)</f>
        <v>4</v>
      </c>
      <c r="AK84" s="110">
        <f>G51+G53+H54</f>
        <v>4</v>
      </c>
      <c r="AL84" s="87">
        <f>H51+H53+G54</f>
        <v>5</v>
      </c>
      <c r="AM84" s="111">
        <f>AK84-AL84</f>
        <v>-1</v>
      </c>
      <c r="AN84" s="87" t="s">
        <v>72</v>
      </c>
      <c r="AO84" s="87">
        <f>IF(ISBLANK(G51),0,IF(G51&gt;H51,3,IF(G51=H51,1,0)))</f>
        <v>0</v>
      </c>
      <c r="AP84" s="87">
        <f>IF(ISBLANK(G53),0,IF(G53&gt;H53,3,IF(G53=H53,1,0)))</f>
        <v>1</v>
      </c>
      <c r="AQ84" s="87">
        <f>IF(ISBLANK(H54),0,IF(H54&gt;G54,3,IF(H54=G54,1,0)))</f>
        <v>3</v>
      </c>
      <c r="AR84" s="110" t="s">
        <v>72</v>
      </c>
      <c r="AS84" s="87" t="b">
        <f>(10*(AM84-AM85)+AK84-AK85&gt;0)</f>
        <v>0</v>
      </c>
      <c r="AT84" s="87" t="b">
        <f>10*(AM84-AM86)+AK84-AK86&gt;0</f>
        <v>0</v>
      </c>
      <c r="AU84" s="111" t="b">
        <f>10*(AM84-AM87)+AK84-AK87&gt;0</f>
        <v>1</v>
      </c>
      <c r="AV84" s="110">
        <f>10000*(AO84+AP84)+(G53-H53+G51-H51)*100+(G53+G51)</f>
        <v>9802</v>
      </c>
      <c r="AW84" s="87">
        <f>10000*(AO84+AQ84)+(G51-H51+H54-G54)*100+(G51+H54)</f>
        <v>29902</v>
      </c>
      <c r="AX84" s="87">
        <f>10000*(AP84+AQ84)+(H54-G54+G53-H53)*100+(H54+G53)</f>
        <v>40104</v>
      </c>
      <c r="AY84" s="111" t="s">
        <v>72</v>
      </c>
      <c r="AZ84" s="110" t="s">
        <v>72</v>
      </c>
      <c r="BA84" s="112">
        <f>IF($AJ84&gt;$AJ85,-0.5,IF($AJ85&gt;$AJ84,0.5,IF(AS84,-0.5,IF(AR85,0.5,BQ84))))</f>
        <v>0.5</v>
      </c>
      <c r="BB84" s="112">
        <f>IF($AJ84&gt;$AJ86,-0.5,IF($AJ86&gt;$AJ84,0.5,IF(AT84,-0.5,IF(AR86,0.5,BR84))))</f>
        <v>0.5</v>
      </c>
      <c r="BC84" s="113">
        <f>IF($AJ84&gt;$AJ87,-0.5,IF($AJ87&gt;$AJ84,0.5,IF(AU84,-0.5,IF(AR87,0.5,BS84))))</f>
        <v>-0.5</v>
      </c>
      <c r="BD84" s="114" t="b">
        <f>AND(AND(AJ84=AJ85,AJ85=AJ86,AJ86=AJ87),AND(AK84=AK85,AK85=AK86,AK86=AK87),AND(AL84=AL85,AL85=AL86,AL86=AL87))</f>
        <v>0</v>
      </c>
      <c r="BE84" s="114" t="b">
        <f>AND(NOT(BD84),AJ84=AJ85,AJ84=AJ86,AK84=AK85,AK84=AK86,AL84=AL85,AL84=AL86)</f>
        <v>0</v>
      </c>
      <c r="BF84" s="114" t="b">
        <f>AND(NOT(BD84),AJ84=AJ85,AJ84=AJ87,AK84=AK85,AK84=AK87,AL84=AL85,AL84=AL87)</f>
        <v>0</v>
      </c>
      <c r="BG84" s="114" t="b">
        <f>AND(NOT(BD84),AJ84=AJ86,AJ84=AJ87,AK84=AK86,AK84=AK87,AL84=AL86,AL84=AL87)</f>
        <v>0</v>
      </c>
      <c r="BH84" s="114" t="b">
        <f>AND(NOT(BD84),AJ85=AJ86,AJ85=AJ87,AK85=AK86,AK85=AK87,AL85=AL86,AL85=AL87)</f>
        <v>0</v>
      </c>
      <c r="BI84" s="114" t="b">
        <f>AND(NOT(BD84),NOT(BE84),NOT(BF84),AJ84=AJ85,AK84=AK85,AL84=AL85)</f>
        <v>0</v>
      </c>
      <c r="BJ84" s="114" t="b">
        <f>AND(NOT(BD84),NOT(BE84),NOT(BG84),AJ84=AJ86,AK84=AK86,AL84=AL86)</f>
        <v>0</v>
      </c>
      <c r="BK84" s="114" t="b">
        <f>AND(NOT(BD84),NOT(BF84),NOT(BG84),AJ84=AJ87,AK84=AK87,AL84=AL87)</f>
        <v>0</v>
      </c>
      <c r="BL84" s="114" t="b">
        <f>AND(NOT(BD84),NOT(BE84),NOT(BH84),AJ85=AJ86,AK85=AK86)</f>
        <v>0</v>
      </c>
      <c r="BM84" s="114" t="b">
        <f>AND(NOT(BD84),NOT(BF84),NOT(BH84),AJ85=AJ87,AK85=AK87,AL85=AL87)</f>
        <v>0</v>
      </c>
      <c r="BN84" s="114" t="b">
        <f>AND(NOT(BD84),NOT(BG84),NOT(BH84),AJ86=AJ87,AK86=AK87,AL86=AL87)</f>
        <v>0</v>
      </c>
      <c r="BO84" s="114" t="b">
        <f t="array" ref="BO84">AND(NOT(BD84:BN84))</f>
        <v>1</v>
      </c>
      <c r="BP84" s="110" t="s">
        <v>72</v>
      </c>
      <c r="BQ84" s="87">
        <f>IF($BI84,IF(H51-G51&lt;0,-0.5,IF(G51-H51&lt;0,0.5,0)),IF($BE84,IF($AV84&gt;$AV85,-0.5,IF($AV84&lt;$AV85,0.5,0)),IF($BF84,IF($AW84&gt;$AW85,-0.5, IF($AW84&lt;$AW85,0.5,0)),0)))</f>
        <v>0</v>
      </c>
      <c r="BR84" s="87">
        <f>IF($BJ84,IF(H53-G53&lt;0,-0.5,IF(G53-H53&lt;0,0.5,0)),IF($BE84,IF($AV84&gt;$AV86,-0.5,IF($AV84&lt;$AV86,0.5,0)),IF($BG84,IF($AX84&gt;$AX86,-0.5,IF($AX84&lt;$AX86,0.5,0)),0)))</f>
        <v>0</v>
      </c>
      <c r="BS84" s="111">
        <f>IF($BK84,IF(G54-H54&lt;0,-0.5,IF(H54-G54&lt;0,0.5,0)),IF($BF84,IF($AW84&gt;$AW87,-0.5,IF($AW84&lt;$AW87,0.5,0)),IF($BG84,IF($AX84&gt;$AX87,-0.5, IF($AX84&lt;$AX87,0.5,0)),0)))</f>
        <v>0</v>
      </c>
    </row>
    <row r="85" spans="3:72" ht="14.25" customHeight="1" x14ac:dyDescent="0.2">
      <c r="C85" s="84"/>
      <c r="D85" s="84"/>
      <c r="E85" s="88"/>
      <c r="F85" s="88"/>
      <c r="G85" s="84"/>
      <c r="H85" s="84"/>
      <c r="P85" s="60"/>
      <c r="Q85" s="60"/>
      <c r="R85" s="60"/>
      <c r="S85" s="60"/>
      <c r="T85" s="60"/>
      <c r="U85" s="60"/>
      <c r="V85" s="60"/>
      <c r="W85" s="60"/>
      <c r="X85" s="60"/>
      <c r="Y85" s="60"/>
      <c r="AE85" s="105">
        <f>IF(ROUND(AG85,0)=ROUND(AG84,0),AE84,2)</f>
        <v>2</v>
      </c>
      <c r="AF85" s="106">
        <f>ROUND(AG85,0)</f>
        <v>2</v>
      </c>
      <c r="AG85" s="107">
        <f>MAX(MIN(AH84:AH86),MIN(AH84,AH85,AH87),MIN(AH84,AH86,AH87),MIN(AH85:AH87))</f>
        <v>1.96</v>
      </c>
      <c r="AH85" s="115">
        <f>SUM(AZ85:BC85)+2.46</f>
        <v>1.96</v>
      </c>
      <c r="AI85" s="109" t="str">
        <f>F51</f>
        <v>Sénégal</v>
      </c>
      <c r="AJ85" s="87">
        <f>SUM(AN85:AQ85)</f>
        <v>4</v>
      </c>
      <c r="AK85" s="110">
        <f>H51+H52+G55</f>
        <v>6</v>
      </c>
      <c r="AL85" s="87">
        <f>G51+G52+H55</f>
        <v>5</v>
      </c>
      <c r="AM85" s="111">
        <f>AK85-AL85</f>
        <v>1</v>
      </c>
      <c r="AN85" s="87">
        <f>IF(ISBLANK(H51),0,IF(AO84=3,0,IF(AO84=1,1,3)))</f>
        <v>3</v>
      </c>
      <c r="AO85" s="87" t="s">
        <v>72</v>
      </c>
      <c r="AP85" s="87">
        <f>IF(ISBLANK(G55),0,IF(AO86=3,0,IF(AO86=1,1,3)))</f>
        <v>0</v>
      </c>
      <c r="AQ85" s="87">
        <f>IF(ISBLANK(H52),0,IF(H52&gt;G52,3,IF(H52=G52,1,0)))</f>
        <v>1</v>
      </c>
      <c r="AR85" s="110" t="b">
        <f>(10*(AM84-AM85)+AK84-AK85&lt;0)</f>
        <v>1</v>
      </c>
      <c r="AS85" s="87" t="s">
        <v>72</v>
      </c>
      <c r="AT85" s="87" t="b">
        <f>10*(AM85-AM86)+AK85-AK86&gt;0</f>
        <v>0</v>
      </c>
      <c r="AU85" s="111" t="b">
        <f>10*(AM85-AM87)+AK85-AK87&gt;0</f>
        <v>1</v>
      </c>
      <c r="AV85" s="110">
        <f>10000*(AN85+AP85)+(H51-G51+G55-H55)*100+(H51+G55)</f>
        <v>30104</v>
      </c>
      <c r="AW85" s="87">
        <f>10000*(AN85+AQ85)+(H51-G51+H52-G52)*100+(H51+H52)</f>
        <v>40204</v>
      </c>
      <c r="AX85" s="87" t="s">
        <v>72</v>
      </c>
      <c r="AY85" s="111">
        <f>10000*(AP85+AQ85)+(H52-G52+G55-H55)*100+(H52+G55)</f>
        <v>9904</v>
      </c>
      <c r="AZ85" s="116">
        <f>-BA84</f>
        <v>-0.5</v>
      </c>
      <c r="BA85" s="87" t="s">
        <v>72</v>
      </c>
      <c r="BB85" s="112">
        <f>IF($AJ85&gt;$AJ86,-0.5,IF($AJ86&gt;$AJ85,0.5,IF(AT85,-0.5,IF(AS86,0.5,BR85))))</f>
        <v>0.5</v>
      </c>
      <c r="BC85" s="113">
        <f>IF($AJ85&gt;$AJ87,-0.5,IF($AJ87&gt;$AJ85,0.5,IF(AU85,-0.5,IF(AS87,0.5,BS85))))</f>
        <v>-0.5</v>
      </c>
      <c r="BD85" s="85"/>
      <c r="BE85" s="85"/>
      <c r="BF85" s="85"/>
      <c r="BG85" s="85"/>
      <c r="BH85" s="85"/>
      <c r="BI85" s="85"/>
      <c r="BJ85" s="85"/>
      <c r="BK85" s="85"/>
      <c r="BL85" s="85"/>
      <c r="BM85" s="85"/>
      <c r="BN85" s="85"/>
      <c r="BO85" s="85"/>
      <c r="BP85" s="110"/>
      <c r="BQ85" s="87" t="s">
        <v>72</v>
      </c>
      <c r="BR85" s="87">
        <f>IF($BL84,IF(H55-G55&lt;0,-0.5,IF(G55-H55&lt;0,0.5,0)),IF($BE84,IF($AV85&gt;$AV86,-0.5,IF($AV85&lt;$AV86,0.5,0)),IF($BH84,IF($AY85&gt;$AY86,-0.5,IF($AY85&lt;$AY86,0.5,0)),0)))</f>
        <v>0</v>
      </c>
      <c r="BS85" s="111">
        <f>IF($BM84,IF(G52-H52&lt;0,-0.5,IF(H52-G52&lt;0,0.5,0)),IF($BF84,IF($AW85&gt;$AW87,-0.5,IF($AW85&lt;$AW87,0.5,0)),IF($BH84,IF($AY85&gt;$AY87,-0.5,IF($AY85&lt;$AY87,0.5,0)),0)))</f>
        <v>0</v>
      </c>
    </row>
    <row r="86" spans="3:72" ht="14.25" customHeight="1" x14ac:dyDescent="0.2">
      <c r="C86" s="84"/>
      <c r="D86" s="84"/>
      <c r="E86" s="88"/>
      <c r="F86" s="88"/>
      <c r="G86" s="84"/>
      <c r="H86" s="84"/>
      <c r="P86" s="60"/>
      <c r="Q86" s="60"/>
      <c r="R86" s="60"/>
      <c r="S86" s="60"/>
      <c r="T86" s="60"/>
      <c r="U86" s="60"/>
      <c r="V86" s="60"/>
      <c r="W86" s="60"/>
      <c r="X86" s="60"/>
      <c r="Y86" s="60"/>
      <c r="AE86" s="105">
        <f>IF(ROUND(AG86,0)=ROUND(AG85,0),AE85,3)</f>
        <v>3</v>
      </c>
      <c r="AF86" s="106">
        <f>ROUND(AG86,0)</f>
        <v>3</v>
      </c>
      <c r="AG86" s="107">
        <f>MIN(MAX(AH84:AH86),MAX(AH84,AH85,AH87),MAX(AH84,AH86,AH87),MAX(AH85:AH87))</f>
        <v>2.95</v>
      </c>
      <c r="AH86" s="115">
        <f>SUM(AZ86:BC86)+2.47</f>
        <v>0.9700000000000002</v>
      </c>
      <c r="AI86" s="109" t="str">
        <f>E50</f>
        <v>Colombie</v>
      </c>
      <c r="AJ86" s="87">
        <f>SUM(AN86:AQ86)</f>
        <v>7</v>
      </c>
      <c r="AK86" s="110">
        <f>G50+H53+H55</f>
        <v>8</v>
      </c>
      <c r="AL86" s="87">
        <f>H50+G53+G55</f>
        <v>5</v>
      </c>
      <c r="AM86" s="111">
        <f>AK86-AL86</f>
        <v>3</v>
      </c>
      <c r="AN86" s="87">
        <f>IF(ISBLANK(H53),0,IF(AP84=3,0,IF(AP84=1,1,3)))</f>
        <v>1</v>
      </c>
      <c r="AO86" s="87">
        <f>IF(ISBLANK(H55),0,IF(H55&gt;G55,3,IF(H55=G55,1,0)))</f>
        <v>3</v>
      </c>
      <c r="AP86" s="87" t="s">
        <v>72</v>
      </c>
      <c r="AQ86" s="87">
        <f>IF(ISBLANK(G50),0,IF(G50&gt;H50,3,IF(G50=H50,1,0)))</f>
        <v>3</v>
      </c>
      <c r="AR86" s="110" t="b">
        <f>10*(AM84-AM86)+AK84-AK86&lt;0</f>
        <v>1</v>
      </c>
      <c r="AS86" s="87" t="b">
        <f>10*(AM85-AM86)+AK85-AK86&lt;0</f>
        <v>1</v>
      </c>
      <c r="AT86" s="87" t="s">
        <v>72</v>
      </c>
      <c r="AU86" s="111" t="b">
        <f>10*(AM86-AM87)+AK86-AK87&gt;0</f>
        <v>1</v>
      </c>
      <c r="AV86" s="110">
        <f>10000*(AN86+AO86)+(H53-G53+H55-G55)*100+(H53+H55)</f>
        <v>40105</v>
      </c>
      <c r="AW86" s="87" t="s">
        <v>72</v>
      </c>
      <c r="AX86" s="87">
        <f>10000*(AN86+AQ86)+(G50-H50+H53-G53)*100+(G50+H53)</f>
        <v>40205</v>
      </c>
      <c r="AY86" s="111">
        <f>10000*(AO86+AQ86)+(G50-H50+H55-G55)*100+(G50+H55)</f>
        <v>60306</v>
      </c>
      <c r="AZ86" s="116">
        <f>-BB84</f>
        <v>-0.5</v>
      </c>
      <c r="BA86" s="112">
        <f>-BB85</f>
        <v>-0.5</v>
      </c>
      <c r="BB86" s="112" t="s">
        <v>72</v>
      </c>
      <c r="BC86" s="113">
        <f>IF($AJ86&gt;$AJ87,-0.5,IF($AJ87&gt;$AJ86,0.5,IF(AU86,-0.5,IF(AT87,0.5,BS86))))</f>
        <v>-0.5</v>
      </c>
      <c r="BD86" s="85"/>
      <c r="BE86" s="85"/>
      <c r="BF86" s="85"/>
      <c r="BG86" s="85"/>
      <c r="BH86" s="85"/>
      <c r="BI86" s="85"/>
      <c r="BJ86" s="85"/>
      <c r="BK86" s="85"/>
      <c r="BL86" s="85"/>
      <c r="BM86" s="85"/>
      <c r="BN86" s="85"/>
      <c r="BO86" s="85"/>
      <c r="BP86" s="110"/>
      <c r="BQ86" s="87"/>
      <c r="BR86" s="87" t="s">
        <v>72</v>
      </c>
      <c r="BS86" s="111">
        <f>IF($BN84,IF(H50-G50&lt;0,-0.5,IF(G50-H50&lt;0,0.5,0)),IF($BG84,IF($AX86&gt;$AX87,-0.5,IF($AX86&lt;$AX87,0.5,0)),IF($BH84,IF($AY86&gt;$AY87,-0.5,IF($AY86&lt;$AY87,0.5,0)),0)))</f>
        <v>0</v>
      </c>
    </row>
    <row r="87" spans="3:72" ht="14.25" customHeight="1" x14ac:dyDescent="0.2">
      <c r="C87" s="84"/>
      <c r="D87" s="84"/>
      <c r="E87" s="88"/>
      <c r="F87" s="88"/>
      <c r="G87" s="84"/>
      <c r="H87" s="84"/>
      <c r="P87" s="60"/>
      <c r="Q87" s="60"/>
      <c r="R87" s="60"/>
      <c r="S87" s="60"/>
      <c r="T87" s="60"/>
      <c r="U87" s="60"/>
      <c r="V87" s="60"/>
      <c r="W87" s="60"/>
      <c r="X87" s="60"/>
      <c r="Y87" s="60"/>
      <c r="AE87" s="105">
        <f>IF(ROUND(AG87,0)=ROUND(AG86,0),AE86,4)</f>
        <v>4</v>
      </c>
      <c r="AF87" s="106">
        <f>ROUND(AG87,0)</f>
        <v>4</v>
      </c>
      <c r="AG87" s="107">
        <f>MAX(AH84:AH87)</f>
        <v>3.98</v>
      </c>
      <c r="AH87" s="117">
        <f>SUM(AZ87:BC87)+2.48</f>
        <v>3.98</v>
      </c>
      <c r="AI87" s="118" t="str">
        <f>F50</f>
        <v>Japon</v>
      </c>
      <c r="AJ87" s="114">
        <f>SUM(AN87:AQ87)</f>
        <v>1</v>
      </c>
      <c r="AK87" s="119">
        <f>H50+G52+G54</f>
        <v>4</v>
      </c>
      <c r="AL87" s="114">
        <f>G50+H52+H54</f>
        <v>7</v>
      </c>
      <c r="AM87" s="120">
        <f>AK87-AL87</f>
        <v>-3</v>
      </c>
      <c r="AN87" s="114">
        <f>IF(ISBLANK(G54),0,IF(AQ84=3,0,IF(AQ84=1,1,3)))</f>
        <v>0</v>
      </c>
      <c r="AO87" s="114">
        <f>IF(ISBLANK(G52),0,IF(AQ85=3,0,IF(AQ85=1,1,3)))</f>
        <v>1</v>
      </c>
      <c r="AP87" s="114">
        <f>IF(ISBLANK(H50),0,IF(AQ86=3,0,IF(AQ86=1,1,3)))</f>
        <v>0</v>
      </c>
      <c r="AQ87" s="114" t="s">
        <v>72</v>
      </c>
      <c r="AR87" s="119" t="b">
        <f>10*(AM84-AM87)+AK84-AK87&lt;0</f>
        <v>0</v>
      </c>
      <c r="AS87" s="114" t="b">
        <f>10*(AM85-AM87)+AK85-AK87&lt;0</f>
        <v>0</v>
      </c>
      <c r="AT87" s="114" t="b">
        <f>10*(AM86-AM87)+AK86-AK87&lt;0</f>
        <v>0</v>
      </c>
      <c r="AU87" s="120" t="s">
        <v>72</v>
      </c>
      <c r="AV87" s="119" t="s">
        <v>72</v>
      </c>
      <c r="AW87" s="114">
        <f>10000*(AN87+AO87)+(G52-H52+G54-H54)*100+(G52+G54)</f>
        <v>9903</v>
      </c>
      <c r="AX87" s="114">
        <f>10000*(AN87+AP87)+(G54-H54+H50-G50)*100+(G54+H50)</f>
        <v>-298</v>
      </c>
      <c r="AY87" s="120">
        <f>10000*(AO87+AP87)+(G52-H52+H50-G50)*100+(G52+H50)</f>
        <v>9803</v>
      </c>
      <c r="AZ87" s="121">
        <f>-BC84</f>
        <v>0.5</v>
      </c>
      <c r="BA87" s="122">
        <f>-BC85</f>
        <v>0.5</v>
      </c>
      <c r="BB87" s="122">
        <f>-BC86</f>
        <v>0.5</v>
      </c>
      <c r="BC87" s="120" t="s">
        <v>72</v>
      </c>
      <c r="BD87" s="85"/>
      <c r="BE87" s="85"/>
      <c r="BF87" s="85"/>
      <c r="BG87" s="85"/>
      <c r="BH87" s="85"/>
      <c r="BI87" s="85"/>
      <c r="BJ87" s="85"/>
      <c r="BK87" s="85"/>
      <c r="BL87" s="85"/>
      <c r="BM87" s="85"/>
      <c r="BN87" s="85"/>
      <c r="BO87" s="85"/>
      <c r="BP87" s="119"/>
      <c r="BQ87" s="114"/>
      <c r="BR87" s="114"/>
      <c r="BS87" s="120" t="s">
        <v>72</v>
      </c>
    </row>
    <row r="88" spans="3:72" ht="14.25" customHeight="1" x14ac:dyDescent="0.2">
      <c r="C88" s="84"/>
      <c r="D88" s="84"/>
      <c r="E88" s="88"/>
      <c r="F88" s="88"/>
      <c r="G88" s="84"/>
      <c r="H88" s="84"/>
      <c r="P88" s="60"/>
      <c r="Q88" s="60"/>
      <c r="R88" s="60"/>
      <c r="S88" s="60"/>
      <c r="T88" s="60"/>
      <c r="U88" s="60"/>
      <c r="V88" s="60"/>
      <c r="W88" s="60"/>
      <c r="X88" s="60"/>
      <c r="Y88" s="60"/>
    </row>
  </sheetData>
  <sheetProtection password="C8DF" sheet="1" objects="1" scenarios="1" selectLockedCells="1"/>
  <mergeCells count="23">
    <mergeCell ref="B44:B49"/>
    <mergeCell ref="B50:B55"/>
    <mergeCell ref="B57:B64"/>
    <mergeCell ref="B65:B68"/>
    <mergeCell ref="B8:B13"/>
    <mergeCell ref="B14:B19"/>
    <mergeCell ref="B20:B25"/>
    <mergeCell ref="C81:E82"/>
    <mergeCell ref="B26:B31"/>
    <mergeCell ref="B32:B37"/>
    <mergeCell ref="C3:S4"/>
    <mergeCell ref="U73:Y74"/>
    <mergeCell ref="C79:E80"/>
    <mergeCell ref="F79:H80"/>
    <mergeCell ref="F81:H82"/>
    <mergeCell ref="B7:I7"/>
    <mergeCell ref="B56:I56"/>
    <mergeCell ref="B69:B70"/>
    <mergeCell ref="C74:E75"/>
    <mergeCell ref="F74:H75"/>
    <mergeCell ref="C77:E78"/>
    <mergeCell ref="F77:H78"/>
    <mergeCell ref="B38:B43"/>
  </mergeCells>
  <conditionalFormatting sqref="K11:O11 K17:O17 K23:O23 K29:O29 K35:O35 K41:O41 K47:O47 K53:O53">
    <cfRule type="expression" dxfId="10" priority="13" stopIfTrue="1">
      <formula>OR($J11&lt;3)</formula>
    </cfRule>
  </conditionalFormatting>
  <conditionalFormatting sqref="K12:O12 K18:O18 K24:O24 K30:O30 K36:O36 K42:O42 K48:O48 K54:O54">
    <cfRule type="expression" dxfId="9" priority="14" stopIfTrue="1">
      <formula>$J12&lt;3</formula>
    </cfRule>
  </conditionalFormatting>
  <conditionalFormatting sqref="K13">
    <cfRule type="containsText" dxfId="8" priority="9" operator="containsText" text="TIRAGE">
      <formula>NOT(ISERROR(SEARCH("TIRAGE",K13)))</formula>
    </cfRule>
  </conditionalFormatting>
  <conditionalFormatting sqref="K19">
    <cfRule type="containsText" dxfId="7" priority="8" operator="containsText" text="TIRAGE">
      <formula>NOT(ISERROR(SEARCH("TIRAGE",K19)))</formula>
    </cfRule>
  </conditionalFormatting>
  <conditionalFormatting sqref="K25">
    <cfRule type="containsText" dxfId="6" priority="7" operator="containsText" text="TIRAGE">
      <formula>NOT(ISERROR(SEARCH("TIRAGE",K25)))</formula>
    </cfRule>
  </conditionalFormatting>
  <conditionalFormatting sqref="K31">
    <cfRule type="containsText" dxfId="5" priority="6" operator="containsText" text="TIRAGE">
      <formula>NOT(ISERROR(SEARCH("TIRAGE",K31)))</formula>
    </cfRule>
  </conditionalFormatting>
  <conditionalFormatting sqref="K37">
    <cfRule type="containsText" dxfId="4" priority="5" operator="containsText" text="TIRAGE">
      <formula>NOT(ISERROR(SEARCH("TIRAGE",K37)))</formula>
    </cfRule>
  </conditionalFormatting>
  <conditionalFormatting sqref="K43">
    <cfRule type="containsText" dxfId="3" priority="4" operator="containsText" text="TIRAGE">
      <formula>NOT(ISERROR(SEARCH("TIRAGE",K43)))</formula>
    </cfRule>
  </conditionalFormatting>
  <conditionalFormatting sqref="K49">
    <cfRule type="containsText" dxfId="2" priority="3" operator="containsText" text="TIRAGE">
      <formula>NOT(ISERROR(SEARCH("TIRAGE",K49)))</formula>
    </cfRule>
  </conditionalFormatting>
  <conditionalFormatting sqref="K55">
    <cfRule type="containsText" dxfId="1" priority="2" operator="containsText" text="TIRAGE">
      <formula>NOT(ISERROR(SEARCH("TIRAGE",K55)))</formula>
    </cfRule>
  </conditionalFormatting>
  <conditionalFormatting sqref="F74 F77 F79 F81">
    <cfRule type="cellIs" dxfId="0" priority="1" stopIfTrue="1" operator="notEqual">
      <formula>"-"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Grille de pronostics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</dc:creator>
  <cp:lastModifiedBy>Julian Carpentier</cp:lastModifiedBy>
  <dcterms:created xsi:type="dcterms:W3CDTF">2018-04-25T15:51:00Z</dcterms:created>
  <dcterms:modified xsi:type="dcterms:W3CDTF">2018-06-04T14:32:10Z</dcterms:modified>
</cp:coreProperties>
</file>